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65" windowWidth="23715" windowHeight="9915"/>
  </bookViews>
  <sheets>
    <sheet name="Planilla_General_29-11-2012_10_" sheetId="1" r:id="rId1"/>
    <sheet name="Eventos en ensayos por ID" sheetId="2" r:id="rId2"/>
    <sheet name="DV-IDENTITY-0" sheetId="3" state="veryHidden" r:id="rId3"/>
  </sheets>
  <definedNames>
    <definedName name="_xlnm._FilterDatabase" localSheetId="1" hidden="1">'Eventos en ensayos por ID'!$A$9:$G$119</definedName>
    <definedName name="_xlnm._FilterDatabase" localSheetId="0" hidden="1">'Planilla_General_29-11-2012_10_'!$A$6:$P$2832</definedName>
  </definedNames>
  <calcPr calcId="145621"/>
</workbook>
</file>

<file path=xl/calcChain.xml><?xml version="1.0" encoding="utf-8"?>
<calcChain xmlns="http://schemas.openxmlformats.org/spreadsheetml/2006/main">
  <c r="A193" i="3" l="1"/>
  <c r="B193" i="3"/>
  <c r="C193" i="3"/>
  <c r="D193" i="3"/>
  <c r="E193" i="3"/>
  <c r="F193" i="3"/>
  <c r="G193" i="3"/>
  <c r="I193" i="3"/>
  <c r="J193" i="3"/>
  <c r="A192" i="3"/>
  <c r="B192" i="3"/>
  <c r="C192" i="3"/>
  <c r="D192" i="3"/>
  <c r="E192" i="3"/>
  <c r="F192" i="3"/>
  <c r="G192" i="3"/>
  <c r="H192" i="3"/>
  <c r="I192" i="3"/>
  <c r="J192" i="3"/>
  <c r="K192" i="3"/>
  <c r="L192" i="3"/>
  <c r="M192" i="3"/>
  <c r="N192" i="3"/>
  <c r="O192" i="3"/>
  <c r="P192" i="3"/>
  <c r="Q192" i="3"/>
  <c r="R192" i="3"/>
  <c r="S192" i="3"/>
  <c r="T192" i="3"/>
  <c r="U192" i="3"/>
  <c r="V192" i="3"/>
  <c r="W192" i="3"/>
  <c r="X192" i="3"/>
  <c r="Y192" i="3"/>
  <c r="Z192" i="3"/>
  <c r="AA192" i="3"/>
  <c r="AB192" i="3"/>
  <c r="AC192" i="3"/>
  <c r="AD192" i="3"/>
  <c r="AE192" i="3"/>
  <c r="AF192" i="3"/>
  <c r="AG192" i="3"/>
  <c r="AH192" i="3"/>
  <c r="AI192" i="3"/>
  <c r="AJ192" i="3"/>
  <c r="AK192" i="3"/>
  <c r="AL192" i="3"/>
  <c r="AM192" i="3"/>
  <c r="AN192" i="3"/>
  <c r="AO192" i="3"/>
  <c r="AP192" i="3"/>
  <c r="AQ192" i="3"/>
  <c r="AR192" i="3"/>
  <c r="AS192" i="3"/>
  <c r="AT192" i="3"/>
  <c r="AU192" i="3"/>
  <c r="AV192" i="3"/>
  <c r="AW192" i="3"/>
  <c r="AX192" i="3"/>
  <c r="AY192" i="3"/>
  <c r="AZ192" i="3"/>
  <c r="BA192" i="3"/>
  <c r="BB192" i="3"/>
  <c r="BC192" i="3"/>
  <c r="BD192" i="3"/>
  <c r="BE192" i="3"/>
  <c r="BF192" i="3"/>
  <c r="BG192" i="3"/>
  <c r="BH192" i="3"/>
  <c r="BI192" i="3"/>
  <c r="BJ192" i="3"/>
  <c r="BK192" i="3"/>
  <c r="BL192" i="3"/>
  <c r="BM192" i="3"/>
  <c r="BN192" i="3"/>
  <c r="BO192" i="3"/>
  <c r="BP192" i="3"/>
  <c r="BQ192" i="3"/>
  <c r="BR192" i="3"/>
  <c r="BS192" i="3"/>
  <c r="BT192" i="3"/>
  <c r="BU192" i="3"/>
  <c r="BV192" i="3"/>
  <c r="BW192" i="3"/>
  <c r="BX192" i="3"/>
  <c r="BY192" i="3"/>
  <c r="BZ192" i="3"/>
  <c r="CA192" i="3"/>
  <c r="CB192" i="3"/>
  <c r="CC192" i="3"/>
  <c r="CD192" i="3"/>
  <c r="CE192" i="3"/>
  <c r="CF192" i="3"/>
  <c r="CG192" i="3"/>
  <c r="CH192" i="3"/>
  <c r="CI192" i="3"/>
  <c r="CJ192" i="3"/>
  <c r="CK192" i="3"/>
  <c r="CL192" i="3"/>
  <c r="CM192" i="3"/>
  <c r="CN192" i="3"/>
  <c r="CO192" i="3"/>
  <c r="CP192" i="3"/>
  <c r="CQ192" i="3"/>
  <c r="CR192" i="3"/>
  <c r="CS192" i="3"/>
  <c r="CT192" i="3"/>
  <c r="CU192" i="3"/>
  <c r="CV192" i="3"/>
  <c r="CW192" i="3"/>
  <c r="CX192" i="3"/>
  <c r="CY192" i="3"/>
  <c r="CZ192" i="3"/>
  <c r="DA192" i="3"/>
  <c r="DB192" i="3"/>
  <c r="DC192" i="3"/>
  <c r="DD192" i="3"/>
  <c r="DE192" i="3"/>
  <c r="DF192" i="3"/>
  <c r="DG192" i="3"/>
  <c r="DH192" i="3"/>
  <c r="DI192" i="3"/>
  <c r="DJ192" i="3"/>
  <c r="DK192" i="3"/>
  <c r="DL192" i="3"/>
  <c r="DM192" i="3"/>
  <c r="DN192" i="3"/>
  <c r="DO192" i="3"/>
  <c r="DP192" i="3"/>
  <c r="DQ192" i="3"/>
  <c r="DR192" i="3"/>
  <c r="DS192" i="3"/>
  <c r="DT192" i="3"/>
  <c r="DU192" i="3"/>
  <c r="DV192" i="3"/>
  <c r="DW192" i="3"/>
  <c r="DX192" i="3"/>
  <c r="DY192" i="3"/>
  <c r="DZ192" i="3"/>
  <c r="EA192" i="3"/>
  <c r="EB192" i="3"/>
  <c r="EC192" i="3"/>
  <c r="ED192" i="3"/>
  <c r="EE192" i="3"/>
  <c r="EF192" i="3"/>
  <c r="EG192" i="3"/>
  <c r="EH192" i="3"/>
  <c r="EI192" i="3"/>
  <c r="EJ192" i="3"/>
  <c r="EK192" i="3"/>
  <c r="EL192" i="3"/>
  <c r="EM192" i="3"/>
  <c r="EN192" i="3"/>
  <c r="EO192" i="3"/>
  <c r="EP192" i="3"/>
  <c r="EQ192" i="3"/>
  <c r="ER192" i="3"/>
  <c r="ES192" i="3"/>
  <c r="ET192" i="3"/>
  <c r="EU192" i="3"/>
  <c r="EV192" i="3"/>
  <c r="EW192" i="3"/>
  <c r="EX192" i="3"/>
  <c r="EY192" i="3"/>
  <c r="EZ192" i="3"/>
  <c r="FA192" i="3"/>
  <c r="FB192" i="3"/>
  <c r="FC192" i="3"/>
  <c r="FD192" i="3"/>
  <c r="FE192" i="3"/>
  <c r="FF192" i="3"/>
  <c r="FG192" i="3"/>
  <c r="FH192" i="3"/>
  <c r="FI192" i="3"/>
  <c r="FJ192" i="3"/>
  <c r="FK192" i="3"/>
  <c r="FL192" i="3"/>
  <c r="FM192" i="3"/>
  <c r="FN192" i="3"/>
  <c r="FO192" i="3"/>
  <c r="FP192" i="3"/>
  <c r="FQ192" i="3"/>
  <c r="FR192" i="3"/>
  <c r="FS192" i="3"/>
  <c r="FT192" i="3"/>
  <c r="FU192" i="3"/>
  <c r="FV192" i="3"/>
  <c r="FW192" i="3"/>
  <c r="FX192" i="3"/>
  <c r="FY192" i="3"/>
  <c r="FZ192" i="3"/>
  <c r="GA192" i="3"/>
  <c r="GB192" i="3"/>
  <c r="GC192" i="3"/>
  <c r="GD192" i="3"/>
  <c r="GE192" i="3"/>
  <c r="GF192" i="3"/>
  <c r="GG192" i="3"/>
  <c r="GH192" i="3"/>
  <c r="GI192" i="3"/>
  <c r="GJ192" i="3"/>
  <c r="GK192" i="3"/>
  <c r="GL192" i="3"/>
  <c r="GM192" i="3"/>
  <c r="GN192" i="3"/>
  <c r="GO192" i="3"/>
  <c r="GP192" i="3"/>
  <c r="GQ192" i="3"/>
  <c r="GR192" i="3"/>
  <c r="GS192" i="3"/>
  <c r="GT192" i="3"/>
  <c r="GU192" i="3"/>
  <c r="GV192" i="3"/>
  <c r="GW192" i="3"/>
  <c r="GX192" i="3"/>
  <c r="GY192" i="3"/>
  <c r="GZ192" i="3"/>
  <c r="HA192" i="3"/>
  <c r="HB192" i="3"/>
  <c r="HC192" i="3"/>
  <c r="HD192" i="3"/>
  <c r="HE192" i="3"/>
  <c r="HF192" i="3"/>
  <c r="HG192" i="3"/>
  <c r="HH192" i="3"/>
  <c r="HI192" i="3"/>
  <c r="HJ192" i="3"/>
  <c r="HK192" i="3"/>
  <c r="HL192" i="3"/>
  <c r="HM192" i="3"/>
  <c r="HN192" i="3"/>
  <c r="HO192" i="3"/>
  <c r="HP192" i="3"/>
  <c r="HQ192" i="3"/>
  <c r="HR192" i="3"/>
  <c r="HS192" i="3"/>
  <c r="HT192" i="3"/>
  <c r="HU192" i="3"/>
  <c r="HV192" i="3"/>
  <c r="HW192" i="3"/>
  <c r="HX192" i="3"/>
  <c r="HY192" i="3"/>
  <c r="HZ192" i="3"/>
  <c r="IA192" i="3"/>
  <c r="IB192" i="3"/>
  <c r="IC192" i="3"/>
  <c r="ID192" i="3"/>
  <c r="IE192" i="3"/>
  <c r="IF192" i="3"/>
  <c r="IG192" i="3"/>
  <c r="IH192" i="3"/>
  <c r="II192" i="3"/>
  <c r="IJ192" i="3"/>
  <c r="IK192" i="3"/>
  <c r="IL192" i="3"/>
  <c r="IM192" i="3"/>
  <c r="IN192" i="3"/>
  <c r="IO192" i="3"/>
  <c r="IP192" i="3"/>
  <c r="IQ192" i="3"/>
  <c r="IR192" i="3"/>
  <c r="IS192" i="3"/>
  <c r="IT192" i="3"/>
  <c r="IU192" i="3"/>
  <c r="IV192" i="3"/>
  <c r="A191" i="3"/>
  <c r="B191" i="3"/>
  <c r="C191" i="3"/>
  <c r="D191" i="3"/>
  <c r="E191" i="3"/>
  <c r="F191" i="3"/>
  <c r="G191" i="3"/>
  <c r="H191" i="3"/>
  <c r="I191" i="3"/>
  <c r="J191" i="3"/>
  <c r="K191" i="3"/>
  <c r="L191" i="3"/>
  <c r="M191" i="3"/>
  <c r="N191" i="3"/>
  <c r="O191" i="3"/>
  <c r="P191" i="3"/>
  <c r="Q191" i="3"/>
  <c r="R191" i="3"/>
  <c r="S191" i="3"/>
  <c r="T191" i="3"/>
  <c r="U191" i="3"/>
  <c r="V191" i="3"/>
  <c r="W191" i="3"/>
  <c r="X191" i="3"/>
  <c r="Y191" i="3"/>
  <c r="Z191" i="3"/>
  <c r="AA191" i="3"/>
  <c r="AB191" i="3"/>
  <c r="AC191" i="3"/>
  <c r="AD191" i="3"/>
  <c r="AE191" i="3"/>
  <c r="AF191" i="3"/>
  <c r="AG191" i="3"/>
  <c r="AH191" i="3"/>
  <c r="AI191" i="3"/>
  <c r="AJ191" i="3"/>
  <c r="AK191" i="3"/>
  <c r="AL191" i="3"/>
  <c r="AM191" i="3"/>
  <c r="AN191" i="3"/>
  <c r="AO191" i="3"/>
  <c r="AP191" i="3"/>
  <c r="AQ191" i="3"/>
  <c r="AR191" i="3"/>
  <c r="AS191" i="3"/>
  <c r="AT191" i="3"/>
  <c r="AU191" i="3"/>
  <c r="AV191" i="3"/>
  <c r="AW191" i="3"/>
  <c r="AX191" i="3"/>
  <c r="AY191" i="3"/>
  <c r="AZ191" i="3"/>
  <c r="BA191" i="3"/>
  <c r="BB191" i="3"/>
  <c r="BC191" i="3"/>
  <c r="BD191" i="3"/>
  <c r="BE191" i="3"/>
  <c r="BF191" i="3"/>
  <c r="BG191" i="3"/>
  <c r="BH191" i="3"/>
  <c r="BI191" i="3"/>
  <c r="BJ191" i="3"/>
  <c r="BK191" i="3"/>
  <c r="BL191" i="3"/>
  <c r="BM191" i="3"/>
  <c r="BN191" i="3"/>
  <c r="BO191" i="3"/>
  <c r="BP191" i="3"/>
  <c r="BQ191" i="3"/>
  <c r="BR191" i="3"/>
  <c r="BS191" i="3"/>
  <c r="BT191" i="3"/>
  <c r="BU191" i="3"/>
  <c r="BV191" i="3"/>
  <c r="BW191" i="3"/>
  <c r="BX191" i="3"/>
  <c r="BY191" i="3"/>
  <c r="BZ191" i="3"/>
  <c r="CA191" i="3"/>
  <c r="CB191" i="3"/>
  <c r="CC191" i="3"/>
  <c r="CD191" i="3"/>
  <c r="CE191" i="3"/>
  <c r="CF191" i="3"/>
  <c r="CG191" i="3"/>
  <c r="CH191" i="3"/>
  <c r="CI191" i="3"/>
  <c r="CJ191" i="3"/>
  <c r="CK191" i="3"/>
  <c r="CL191" i="3"/>
  <c r="CM191" i="3"/>
  <c r="CN191" i="3"/>
  <c r="CO191" i="3"/>
  <c r="CP191" i="3"/>
  <c r="CQ191" i="3"/>
  <c r="CR191" i="3"/>
  <c r="CS191" i="3"/>
  <c r="CT191" i="3"/>
  <c r="CU191" i="3"/>
  <c r="CV191" i="3"/>
  <c r="CW191" i="3"/>
  <c r="CX191" i="3"/>
  <c r="CY191" i="3"/>
  <c r="CZ191" i="3"/>
  <c r="DA191" i="3"/>
  <c r="DB191" i="3"/>
  <c r="DC191" i="3"/>
  <c r="DD191" i="3"/>
  <c r="DE191" i="3"/>
  <c r="DF191" i="3"/>
  <c r="DG191" i="3"/>
  <c r="DH191" i="3"/>
  <c r="DI191" i="3"/>
  <c r="DJ191" i="3"/>
  <c r="DK191" i="3"/>
  <c r="DL191" i="3"/>
  <c r="DM191" i="3"/>
  <c r="DN191" i="3"/>
  <c r="DO191" i="3"/>
  <c r="DP191" i="3"/>
  <c r="DQ191" i="3"/>
  <c r="DR191" i="3"/>
  <c r="DS191" i="3"/>
  <c r="DT191" i="3"/>
  <c r="DU191" i="3"/>
  <c r="DV191" i="3"/>
  <c r="DW191" i="3"/>
  <c r="DX191" i="3"/>
  <c r="DY191" i="3"/>
  <c r="DZ191" i="3"/>
  <c r="EA191" i="3"/>
  <c r="EB191" i="3"/>
  <c r="EC191" i="3"/>
  <c r="ED191" i="3"/>
  <c r="EE191" i="3"/>
  <c r="EF191" i="3"/>
  <c r="EG191" i="3"/>
  <c r="EH191" i="3"/>
  <c r="EI191" i="3"/>
  <c r="EJ191" i="3"/>
  <c r="EK191" i="3"/>
  <c r="EL191" i="3"/>
  <c r="EM191" i="3"/>
  <c r="EN191" i="3"/>
  <c r="EO191" i="3"/>
  <c r="EP191" i="3"/>
  <c r="EQ191" i="3"/>
  <c r="ER191" i="3"/>
  <c r="ES191" i="3"/>
  <c r="ET191" i="3"/>
  <c r="EU191" i="3"/>
  <c r="EV191" i="3"/>
  <c r="EW191" i="3"/>
  <c r="EX191" i="3"/>
  <c r="EY191" i="3"/>
  <c r="EZ191" i="3"/>
  <c r="FA191" i="3"/>
  <c r="FB191" i="3"/>
  <c r="FC191" i="3"/>
  <c r="FD191" i="3"/>
  <c r="FE191" i="3"/>
  <c r="FF191" i="3"/>
  <c r="FG191" i="3"/>
  <c r="FH191" i="3"/>
  <c r="FI191" i="3"/>
  <c r="FJ191" i="3"/>
  <c r="FK191" i="3"/>
  <c r="FL191" i="3"/>
  <c r="FM191" i="3"/>
  <c r="FN191" i="3"/>
  <c r="FO191" i="3"/>
  <c r="FP191" i="3"/>
  <c r="FQ191" i="3"/>
  <c r="FR191" i="3"/>
  <c r="FS191" i="3"/>
  <c r="FT191" i="3"/>
  <c r="FU191" i="3"/>
  <c r="FV191" i="3"/>
  <c r="FW191" i="3"/>
  <c r="FX191" i="3"/>
  <c r="FY191" i="3"/>
  <c r="FZ191" i="3"/>
  <c r="GA191" i="3"/>
  <c r="GB191" i="3"/>
  <c r="GC191" i="3"/>
  <c r="GD191" i="3"/>
  <c r="GE191" i="3"/>
  <c r="GF191" i="3"/>
  <c r="GG191" i="3"/>
  <c r="GH191" i="3"/>
  <c r="GI191" i="3"/>
  <c r="GJ191" i="3"/>
  <c r="GK191" i="3"/>
  <c r="GL191" i="3"/>
  <c r="GM191" i="3"/>
  <c r="GN191" i="3"/>
  <c r="GO191" i="3"/>
  <c r="GP191" i="3"/>
  <c r="GQ191" i="3"/>
  <c r="GR191" i="3"/>
  <c r="GS191" i="3"/>
  <c r="GT191" i="3"/>
  <c r="GU191" i="3"/>
  <c r="GV191" i="3"/>
  <c r="GW191" i="3"/>
  <c r="GX191" i="3"/>
  <c r="GY191" i="3"/>
  <c r="GZ191" i="3"/>
  <c r="HA191" i="3"/>
  <c r="HB191" i="3"/>
  <c r="HC191" i="3"/>
  <c r="HD191" i="3"/>
  <c r="HE191" i="3"/>
  <c r="HF191" i="3"/>
  <c r="HG191" i="3"/>
  <c r="HH191" i="3"/>
  <c r="HI191" i="3"/>
  <c r="HJ191" i="3"/>
  <c r="HK191" i="3"/>
  <c r="HL191" i="3"/>
  <c r="HM191" i="3"/>
  <c r="HN191" i="3"/>
  <c r="HO191" i="3"/>
  <c r="HP191" i="3"/>
  <c r="HQ191" i="3"/>
  <c r="HR191" i="3"/>
  <c r="HS191" i="3"/>
  <c r="HT191" i="3"/>
  <c r="HU191" i="3"/>
  <c r="HV191" i="3"/>
  <c r="HW191" i="3"/>
  <c r="HX191" i="3"/>
  <c r="HY191" i="3"/>
  <c r="HZ191" i="3"/>
  <c r="IA191" i="3"/>
  <c r="IB191" i="3"/>
  <c r="IC191" i="3"/>
  <c r="ID191" i="3"/>
  <c r="IE191" i="3"/>
  <c r="IF191" i="3"/>
  <c r="IG191" i="3"/>
  <c r="IH191" i="3"/>
  <c r="II191" i="3"/>
  <c r="IJ191" i="3"/>
  <c r="IK191" i="3"/>
  <c r="IL191" i="3"/>
  <c r="IM191" i="3"/>
  <c r="IN191" i="3"/>
  <c r="IO191" i="3"/>
  <c r="IP191" i="3"/>
  <c r="IQ191" i="3"/>
  <c r="IR191" i="3"/>
  <c r="IS191" i="3"/>
  <c r="IT191" i="3"/>
  <c r="IU191" i="3"/>
  <c r="IV191" i="3"/>
  <c r="A190" i="3"/>
  <c r="B190" i="3"/>
  <c r="C190" i="3"/>
  <c r="D190" i="3"/>
  <c r="E190" i="3"/>
  <c r="F190" i="3"/>
  <c r="G190" i="3"/>
  <c r="H190" i="3"/>
  <c r="I190" i="3"/>
  <c r="J190" i="3"/>
  <c r="K190" i="3"/>
  <c r="L190" i="3"/>
  <c r="M190" i="3"/>
  <c r="N190" i="3"/>
  <c r="O190" i="3"/>
  <c r="P190" i="3"/>
  <c r="Q190" i="3"/>
  <c r="R190" i="3"/>
  <c r="S190" i="3"/>
  <c r="T190" i="3"/>
  <c r="U190" i="3"/>
  <c r="V190" i="3"/>
  <c r="W190" i="3"/>
  <c r="X190" i="3"/>
  <c r="Y190" i="3"/>
  <c r="Z190" i="3"/>
  <c r="AA190" i="3"/>
  <c r="AB190" i="3"/>
  <c r="AC190" i="3"/>
  <c r="AD190" i="3"/>
  <c r="AE190" i="3"/>
  <c r="AF190" i="3"/>
  <c r="AG190" i="3"/>
  <c r="AH190" i="3"/>
  <c r="AI190" i="3"/>
  <c r="AJ190" i="3"/>
  <c r="AK190" i="3"/>
  <c r="AL190" i="3"/>
  <c r="AM190" i="3"/>
  <c r="AN190" i="3"/>
  <c r="AO190" i="3"/>
  <c r="AP190" i="3"/>
  <c r="AQ190" i="3"/>
  <c r="AR190" i="3"/>
  <c r="AS190" i="3"/>
  <c r="AT190" i="3"/>
  <c r="AU190" i="3"/>
  <c r="AV190" i="3"/>
  <c r="AW190" i="3"/>
  <c r="AX190" i="3"/>
  <c r="AY190" i="3"/>
  <c r="AZ190" i="3"/>
  <c r="BA190" i="3"/>
  <c r="BB190" i="3"/>
  <c r="BC190" i="3"/>
  <c r="BD190" i="3"/>
  <c r="BE190" i="3"/>
  <c r="BF190" i="3"/>
  <c r="BG190" i="3"/>
  <c r="BH190" i="3"/>
  <c r="BI190" i="3"/>
  <c r="BJ190" i="3"/>
  <c r="BK190" i="3"/>
  <c r="BL190" i="3"/>
  <c r="BM190" i="3"/>
  <c r="BN190" i="3"/>
  <c r="BO190" i="3"/>
  <c r="BP190" i="3"/>
  <c r="BQ190" i="3"/>
  <c r="BR190" i="3"/>
  <c r="BS190" i="3"/>
  <c r="BT190" i="3"/>
  <c r="BU190" i="3"/>
  <c r="BV190" i="3"/>
  <c r="BW190" i="3"/>
  <c r="BX190" i="3"/>
  <c r="BY190" i="3"/>
  <c r="BZ190" i="3"/>
  <c r="CA190" i="3"/>
  <c r="CB190" i="3"/>
  <c r="CC190" i="3"/>
  <c r="CD190" i="3"/>
  <c r="CE190" i="3"/>
  <c r="CF190" i="3"/>
  <c r="CG190" i="3"/>
  <c r="CH190" i="3"/>
  <c r="CI190" i="3"/>
  <c r="CJ190" i="3"/>
  <c r="CK190" i="3"/>
  <c r="CL190" i="3"/>
  <c r="CM190" i="3"/>
  <c r="CN190" i="3"/>
  <c r="CO190" i="3"/>
  <c r="CP190" i="3"/>
  <c r="CQ190" i="3"/>
  <c r="CR190" i="3"/>
  <c r="CS190" i="3"/>
  <c r="CT190" i="3"/>
  <c r="CU190" i="3"/>
  <c r="CV190" i="3"/>
  <c r="CW190" i="3"/>
  <c r="CX190" i="3"/>
  <c r="CY190" i="3"/>
  <c r="CZ190" i="3"/>
  <c r="DA190" i="3"/>
  <c r="DB190" i="3"/>
  <c r="DC190" i="3"/>
  <c r="DD190" i="3"/>
  <c r="DE190" i="3"/>
  <c r="DF190" i="3"/>
  <c r="DG190" i="3"/>
  <c r="DH190" i="3"/>
  <c r="DI190" i="3"/>
  <c r="DJ190" i="3"/>
  <c r="DK190" i="3"/>
  <c r="DL190" i="3"/>
  <c r="DM190" i="3"/>
  <c r="DN190" i="3"/>
  <c r="DO190" i="3"/>
  <c r="DP190" i="3"/>
  <c r="DQ190" i="3"/>
  <c r="DR190" i="3"/>
  <c r="DS190" i="3"/>
  <c r="DT190" i="3"/>
  <c r="DU190" i="3"/>
  <c r="DV190" i="3"/>
  <c r="DW190" i="3"/>
  <c r="DX190" i="3"/>
  <c r="DY190" i="3"/>
  <c r="DZ190" i="3"/>
  <c r="EA190" i="3"/>
  <c r="EB190" i="3"/>
  <c r="EC190" i="3"/>
  <c r="ED190" i="3"/>
  <c r="EE190" i="3"/>
  <c r="EF190" i="3"/>
  <c r="EG190" i="3"/>
  <c r="EH190" i="3"/>
  <c r="EI190" i="3"/>
  <c r="EJ190" i="3"/>
  <c r="EK190" i="3"/>
  <c r="EL190" i="3"/>
  <c r="EM190" i="3"/>
  <c r="EN190" i="3"/>
  <c r="EO190" i="3"/>
  <c r="EP190" i="3"/>
  <c r="EQ190" i="3"/>
  <c r="ER190" i="3"/>
  <c r="ES190" i="3"/>
  <c r="ET190" i="3"/>
  <c r="EU190" i="3"/>
  <c r="EV190" i="3"/>
  <c r="EW190" i="3"/>
  <c r="EX190" i="3"/>
  <c r="EY190" i="3"/>
  <c r="EZ190" i="3"/>
  <c r="FA190" i="3"/>
  <c r="FB190" i="3"/>
  <c r="FC190" i="3"/>
  <c r="FD190" i="3"/>
  <c r="FE190" i="3"/>
  <c r="FF190" i="3"/>
  <c r="FG190" i="3"/>
  <c r="FH190" i="3"/>
  <c r="FI190" i="3"/>
  <c r="FJ190" i="3"/>
  <c r="FK190" i="3"/>
  <c r="FL190" i="3"/>
  <c r="FM190" i="3"/>
  <c r="FN190" i="3"/>
  <c r="FO190" i="3"/>
  <c r="FP190" i="3"/>
  <c r="FQ190" i="3"/>
  <c r="FR190" i="3"/>
  <c r="FS190" i="3"/>
  <c r="FT190" i="3"/>
  <c r="FU190" i="3"/>
  <c r="FV190" i="3"/>
  <c r="FW190" i="3"/>
  <c r="FX190" i="3"/>
  <c r="FY190" i="3"/>
  <c r="FZ190" i="3"/>
  <c r="GA190" i="3"/>
  <c r="GB190" i="3"/>
  <c r="GC190" i="3"/>
  <c r="GD190" i="3"/>
  <c r="GE190" i="3"/>
  <c r="GF190" i="3"/>
  <c r="GG190" i="3"/>
  <c r="GH190" i="3"/>
  <c r="GI190" i="3"/>
  <c r="GJ190" i="3"/>
  <c r="GK190" i="3"/>
  <c r="GL190" i="3"/>
  <c r="GM190" i="3"/>
  <c r="GN190" i="3"/>
  <c r="GO190" i="3"/>
  <c r="GP190" i="3"/>
  <c r="GQ190" i="3"/>
  <c r="GR190" i="3"/>
  <c r="GS190" i="3"/>
  <c r="GT190" i="3"/>
  <c r="GU190" i="3"/>
  <c r="GV190" i="3"/>
  <c r="GW190" i="3"/>
  <c r="GX190" i="3"/>
  <c r="GY190" i="3"/>
  <c r="GZ190" i="3"/>
  <c r="HA190" i="3"/>
  <c r="HB190" i="3"/>
  <c r="HC190" i="3"/>
  <c r="HD190" i="3"/>
  <c r="HE190" i="3"/>
  <c r="HF190" i="3"/>
  <c r="HG190" i="3"/>
  <c r="HH190" i="3"/>
  <c r="HI190" i="3"/>
  <c r="HJ190" i="3"/>
  <c r="HK190" i="3"/>
  <c r="HL190" i="3"/>
  <c r="HM190" i="3"/>
  <c r="HN190" i="3"/>
  <c r="HO190" i="3"/>
  <c r="HP190" i="3"/>
  <c r="HQ190" i="3"/>
  <c r="HR190" i="3"/>
  <c r="HS190" i="3"/>
  <c r="HT190" i="3"/>
  <c r="HU190" i="3"/>
  <c r="HV190" i="3"/>
  <c r="HW190" i="3"/>
  <c r="HX190" i="3"/>
  <c r="HY190" i="3"/>
  <c r="HZ190" i="3"/>
  <c r="IA190" i="3"/>
  <c r="IB190" i="3"/>
  <c r="IC190" i="3"/>
  <c r="ID190" i="3"/>
  <c r="IE190" i="3"/>
  <c r="IF190" i="3"/>
  <c r="IG190" i="3"/>
  <c r="IH190" i="3"/>
  <c r="II190" i="3"/>
  <c r="IJ190" i="3"/>
  <c r="IK190" i="3"/>
  <c r="IL190" i="3"/>
  <c r="IM190" i="3"/>
  <c r="IN190" i="3"/>
  <c r="IO190" i="3"/>
  <c r="IP190" i="3"/>
  <c r="IQ190" i="3"/>
  <c r="IR190" i="3"/>
  <c r="IS190" i="3"/>
  <c r="IT190" i="3"/>
  <c r="IU190" i="3"/>
  <c r="IV190" i="3"/>
  <c r="A189" i="3"/>
  <c r="B189" i="3"/>
  <c r="C189" i="3"/>
  <c r="D189" i="3"/>
  <c r="E189" i="3"/>
  <c r="F189" i="3"/>
  <c r="G189" i="3"/>
  <c r="H189" i="3"/>
  <c r="I189" i="3"/>
  <c r="J189" i="3"/>
  <c r="K189" i="3"/>
  <c r="L189" i="3"/>
  <c r="M189" i="3"/>
  <c r="N189" i="3"/>
  <c r="O189" i="3"/>
  <c r="P189" i="3"/>
  <c r="Q189" i="3"/>
  <c r="R189" i="3"/>
  <c r="S189" i="3"/>
  <c r="T189" i="3"/>
  <c r="U189" i="3"/>
  <c r="V189" i="3"/>
  <c r="W189" i="3"/>
  <c r="X189" i="3"/>
  <c r="Y189" i="3"/>
  <c r="Z189" i="3"/>
  <c r="AA189" i="3"/>
  <c r="AB189" i="3"/>
  <c r="AC189" i="3"/>
  <c r="AD189" i="3"/>
  <c r="AE189" i="3"/>
  <c r="AF189" i="3"/>
  <c r="AG189" i="3"/>
  <c r="AH189" i="3"/>
  <c r="AI189" i="3"/>
  <c r="AJ189" i="3"/>
  <c r="AK189" i="3"/>
  <c r="AL189" i="3"/>
  <c r="AM189" i="3"/>
  <c r="AN189" i="3"/>
  <c r="AO189" i="3"/>
  <c r="AP189" i="3"/>
  <c r="AQ189" i="3"/>
  <c r="AR189" i="3"/>
  <c r="AS189" i="3"/>
  <c r="AT189" i="3"/>
  <c r="AU189" i="3"/>
  <c r="AV189" i="3"/>
  <c r="AW189" i="3"/>
  <c r="AX189" i="3"/>
  <c r="AY189" i="3"/>
  <c r="AZ189" i="3"/>
  <c r="BA189" i="3"/>
  <c r="BB189" i="3"/>
  <c r="BC189" i="3"/>
  <c r="BD189" i="3"/>
  <c r="BE189" i="3"/>
  <c r="BF189" i="3"/>
  <c r="BG189" i="3"/>
  <c r="BH189" i="3"/>
  <c r="BI189" i="3"/>
  <c r="BJ189" i="3"/>
  <c r="BK189" i="3"/>
  <c r="BL189" i="3"/>
  <c r="BM189" i="3"/>
  <c r="BN189" i="3"/>
  <c r="BO189" i="3"/>
  <c r="BP189" i="3"/>
  <c r="BQ189" i="3"/>
  <c r="BR189" i="3"/>
  <c r="BS189" i="3"/>
  <c r="BT189" i="3"/>
  <c r="BU189" i="3"/>
  <c r="BV189" i="3"/>
  <c r="BW189" i="3"/>
  <c r="BX189" i="3"/>
  <c r="BY189" i="3"/>
  <c r="BZ189" i="3"/>
  <c r="CA189" i="3"/>
  <c r="CB189" i="3"/>
  <c r="CC189" i="3"/>
  <c r="CD189" i="3"/>
  <c r="CE189" i="3"/>
  <c r="CF189" i="3"/>
  <c r="CG189" i="3"/>
  <c r="CH189" i="3"/>
  <c r="CI189" i="3"/>
  <c r="CJ189" i="3"/>
  <c r="CK189" i="3"/>
  <c r="CL189" i="3"/>
  <c r="CM189" i="3"/>
  <c r="CN189" i="3"/>
  <c r="CO189" i="3"/>
  <c r="CP189" i="3"/>
  <c r="CQ189" i="3"/>
  <c r="CR189" i="3"/>
  <c r="CS189" i="3"/>
  <c r="CT189" i="3"/>
  <c r="CU189" i="3"/>
  <c r="CV189" i="3"/>
  <c r="CW189" i="3"/>
  <c r="CX189" i="3"/>
  <c r="CY189" i="3"/>
  <c r="CZ189" i="3"/>
  <c r="DA189" i="3"/>
  <c r="DB189" i="3"/>
  <c r="DC189" i="3"/>
  <c r="DD189" i="3"/>
  <c r="DE189" i="3"/>
  <c r="DF189" i="3"/>
  <c r="DG189" i="3"/>
  <c r="DH189" i="3"/>
  <c r="DI189" i="3"/>
  <c r="DJ189" i="3"/>
  <c r="DK189" i="3"/>
  <c r="DL189" i="3"/>
  <c r="DM189" i="3"/>
  <c r="DN189" i="3"/>
  <c r="DO189" i="3"/>
  <c r="DP189" i="3"/>
  <c r="DQ189" i="3"/>
  <c r="DR189" i="3"/>
  <c r="DS189" i="3"/>
  <c r="DT189" i="3"/>
  <c r="DU189" i="3"/>
  <c r="DV189" i="3"/>
  <c r="DW189" i="3"/>
  <c r="DX189" i="3"/>
  <c r="DY189" i="3"/>
  <c r="DZ189" i="3"/>
  <c r="EA189" i="3"/>
  <c r="EB189" i="3"/>
  <c r="EC189" i="3"/>
  <c r="ED189" i="3"/>
  <c r="EE189" i="3"/>
  <c r="EF189" i="3"/>
  <c r="EG189" i="3"/>
  <c r="EH189" i="3"/>
  <c r="EI189" i="3"/>
  <c r="EJ189" i="3"/>
  <c r="EK189" i="3"/>
  <c r="EL189" i="3"/>
  <c r="EM189" i="3"/>
  <c r="EN189" i="3"/>
  <c r="EO189" i="3"/>
  <c r="EP189" i="3"/>
  <c r="EQ189" i="3"/>
  <c r="ER189" i="3"/>
  <c r="ES189" i="3"/>
  <c r="ET189" i="3"/>
  <c r="EU189" i="3"/>
  <c r="EV189" i="3"/>
  <c r="EW189" i="3"/>
  <c r="EX189" i="3"/>
  <c r="EY189" i="3"/>
  <c r="EZ189" i="3"/>
  <c r="FA189" i="3"/>
  <c r="FB189" i="3"/>
  <c r="FC189" i="3"/>
  <c r="FD189" i="3"/>
  <c r="FE189" i="3"/>
  <c r="FF189" i="3"/>
  <c r="FG189" i="3"/>
  <c r="FH189" i="3"/>
  <c r="FI189" i="3"/>
  <c r="FJ189" i="3"/>
  <c r="FK189" i="3"/>
  <c r="FL189" i="3"/>
  <c r="FM189" i="3"/>
  <c r="FN189" i="3"/>
  <c r="FO189" i="3"/>
  <c r="FP189" i="3"/>
  <c r="FQ189" i="3"/>
  <c r="FR189" i="3"/>
  <c r="FS189" i="3"/>
  <c r="FT189" i="3"/>
  <c r="FU189" i="3"/>
  <c r="FV189" i="3"/>
  <c r="FW189" i="3"/>
  <c r="FX189" i="3"/>
  <c r="FY189" i="3"/>
  <c r="FZ189" i="3"/>
  <c r="GA189" i="3"/>
  <c r="GB189" i="3"/>
  <c r="GC189" i="3"/>
  <c r="GD189" i="3"/>
  <c r="GE189" i="3"/>
  <c r="GF189" i="3"/>
  <c r="GG189" i="3"/>
  <c r="GH189" i="3"/>
  <c r="GI189" i="3"/>
  <c r="GJ189" i="3"/>
  <c r="GK189" i="3"/>
  <c r="GL189" i="3"/>
  <c r="GM189" i="3"/>
  <c r="GN189" i="3"/>
  <c r="GO189" i="3"/>
  <c r="GP189" i="3"/>
  <c r="GQ189" i="3"/>
  <c r="GR189" i="3"/>
  <c r="GS189" i="3"/>
  <c r="GT189" i="3"/>
  <c r="GU189" i="3"/>
  <c r="GV189" i="3"/>
  <c r="GW189" i="3"/>
  <c r="GX189" i="3"/>
  <c r="GY189" i="3"/>
  <c r="GZ189" i="3"/>
  <c r="HA189" i="3"/>
  <c r="HB189" i="3"/>
  <c r="HC189" i="3"/>
  <c r="HD189" i="3"/>
  <c r="HE189" i="3"/>
  <c r="HF189" i="3"/>
  <c r="HG189" i="3"/>
  <c r="HH189" i="3"/>
  <c r="HI189" i="3"/>
  <c r="HJ189" i="3"/>
  <c r="HK189" i="3"/>
  <c r="HL189" i="3"/>
  <c r="HM189" i="3"/>
  <c r="HN189" i="3"/>
  <c r="HO189" i="3"/>
  <c r="HP189" i="3"/>
  <c r="HQ189" i="3"/>
  <c r="HR189" i="3"/>
  <c r="HS189" i="3"/>
  <c r="HT189" i="3"/>
  <c r="HU189" i="3"/>
  <c r="HV189" i="3"/>
  <c r="HW189" i="3"/>
  <c r="HX189" i="3"/>
  <c r="HY189" i="3"/>
  <c r="HZ189" i="3"/>
  <c r="IA189" i="3"/>
  <c r="IB189" i="3"/>
  <c r="IC189" i="3"/>
  <c r="ID189" i="3"/>
  <c r="IE189" i="3"/>
  <c r="IF189" i="3"/>
  <c r="IG189" i="3"/>
  <c r="IH189" i="3"/>
  <c r="II189" i="3"/>
  <c r="IJ189" i="3"/>
  <c r="IK189" i="3"/>
  <c r="IL189" i="3"/>
  <c r="IM189" i="3"/>
  <c r="IN189" i="3"/>
  <c r="IO189" i="3"/>
  <c r="IP189" i="3"/>
  <c r="IQ189" i="3"/>
  <c r="IR189" i="3"/>
  <c r="IS189" i="3"/>
  <c r="IT189" i="3"/>
  <c r="IU189" i="3"/>
  <c r="IV189" i="3"/>
  <c r="A188" i="3"/>
  <c r="B188" i="3"/>
  <c r="C188" i="3"/>
  <c r="D188" i="3"/>
  <c r="E188" i="3"/>
  <c r="F188" i="3"/>
  <c r="G188" i="3"/>
  <c r="H188" i="3"/>
  <c r="I188" i="3"/>
  <c r="J188" i="3"/>
  <c r="K188" i="3"/>
  <c r="L188" i="3"/>
  <c r="M188" i="3"/>
  <c r="N188" i="3"/>
  <c r="O188" i="3"/>
  <c r="P188" i="3"/>
  <c r="Q188" i="3"/>
  <c r="R188" i="3"/>
  <c r="S188" i="3"/>
  <c r="T188" i="3"/>
  <c r="U188" i="3"/>
  <c r="V188" i="3"/>
  <c r="W188" i="3"/>
  <c r="X188" i="3"/>
  <c r="Y188" i="3"/>
  <c r="Z188" i="3"/>
  <c r="AA188" i="3"/>
  <c r="AB188" i="3"/>
  <c r="AC188" i="3"/>
  <c r="AD188" i="3"/>
  <c r="AE188" i="3"/>
  <c r="AF188" i="3"/>
  <c r="AG188" i="3"/>
  <c r="AH188" i="3"/>
  <c r="AI188" i="3"/>
  <c r="AJ188" i="3"/>
  <c r="AK188" i="3"/>
  <c r="AL188" i="3"/>
  <c r="AM188" i="3"/>
  <c r="AN188" i="3"/>
  <c r="AO188" i="3"/>
  <c r="AP188" i="3"/>
  <c r="AQ188" i="3"/>
  <c r="AR188" i="3"/>
  <c r="AS188" i="3"/>
  <c r="AT188" i="3"/>
  <c r="AU188" i="3"/>
  <c r="AV188" i="3"/>
  <c r="AW188" i="3"/>
  <c r="AX188" i="3"/>
  <c r="AY188" i="3"/>
  <c r="AZ188" i="3"/>
  <c r="BA188" i="3"/>
  <c r="BB188" i="3"/>
  <c r="BC188" i="3"/>
  <c r="BD188" i="3"/>
  <c r="BE188" i="3"/>
  <c r="BF188" i="3"/>
  <c r="BG188" i="3"/>
  <c r="BH188" i="3"/>
  <c r="BI188" i="3"/>
  <c r="BJ188" i="3"/>
  <c r="BK188" i="3"/>
  <c r="BL188" i="3"/>
  <c r="BM188" i="3"/>
  <c r="BN188" i="3"/>
  <c r="BO188" i="3"/>
  <c r="BP188" i="3"/>
  <c r="BQ188" i="3"/>
  <c r="BR188" i="3"/>
  <c r="BS188" i="3"/>
  <c r="BT188" i="3"/>
  <c r="BU188" i="3"/>
  <c r="BV188" i="3"/>
  <c r="BW188" i="3"/>
  <c r="BX188" i="3"/>
  <c r="BY188" i="3"/>
  <c r="BZ188" i="3"/>
  <c r="CA188" i="3"/>
  <c r="CB188" i="3"/>
  <c r="CC188" i="3"/>
  <c r="CD188" i="3"/>
  <c r="CE188" i="3"/>
  <c r="CF188" i="3"/>
  <c r="CG188" i="3"/>
  <c r="CH188" i="3"/>
  <c r="CI188" i="3"/>
  <c r="CJ188" i="3"/>
  <c r="CK188" i="3"/>
  <c r="CL188" i="3"/>
  <c r="CM188" i="3"/>
  <c r="CN188" i="3"/>
  <c r="CO188" i="3"/>
  <c r="CP188" i="3"/>
  <c r="CQ188" i="3"/>
  <c r="CR188" i="3"/>
  <c r="CS188" i="3"/>
  <c r="CT188" i="3"/>
  <c r="CU188" i="3"/>
  <c r="CV188" i="3"/>
  <c r="CW188" i="3"/>
  <c r="CX188" i="3"/>
  <c r="CY188" i="3"/>
  <c r="CZ188" i="3"/>
  <c r="DA188" i="3"/>
  <c r="DB188" i="3"/>
  <c r="DC188" i="3"/>
  <c r="DD188" i="3"/>
  <c r="DE188" i="3"/>
  <c r="DF188" i="3"/>
  <c r="DG188" i="3"/>
  <c r="DH188" i="3"/>
  <c r="DI188" i="3"/>
  <c r="DJ188" i="3"/>
  <c r="DK188" i="3"/>
  <c r="DL188" i="3"/>
  <c r="DM188" i="3"/>
  <c r="DN188" i="3"/>
  <c r="DO188" i="3"/>
  <c r="DP188" i="3"/>
  <c r="DQ188" i="3"/>
  <c r="DR188" i="3"/>
  <c r="DS188" i="3"/>
  <c r="DT188" i="3"/>
  <c r="DU188" i="3"/>
  <c r="DV188" i="3"/>
  <c r="DW188" i="3"/>
  <c r="DX188" i="3"/>
  <c r="DY188" i="3"/>
  <c r="DZ188" i="3"/>
  <c r="EA188" i="3"/>
  <c r="EB188" i="3"/>
  <c r="EC188" i="3"/>
  <c r="ED188" i="3"/>
  <c r="EE188" i="3"/>
  <c r="EF188" i="3"/>
  <c r="EG188" i="3"/>
  <c r="EH188" i="3"/>
  <c r="EI188" i="3"/>
  <c r="EJ188" i="3"/>
  <c r="EK188" i="3"/>
  <c r="EL188" i="3"/>
  <c r="EM188" i="3"/>
  <c r="EN188" i="3"/>
  <c r="EO188" i="3"/>
  <c r="EP188" i="3"/>
  <c r="EQ188" i="3"/>
  <c r="ER188" i="3"/>
  <c r="ES188" i="3"/>
  <c r="ET188" i="3"/>
  <c r="EU188" i="3"/>
  <c r="EV188" i="3"/>
  <c r="EW188" i="3"/>
  <c r="EX188" i="3"/>
  <c r="EY188" i="3"/>
  <c r="EZ188" i="3"/>
  <c r="FA188" i="3"/>
  <c r="FB188" i="3"/>
  <c r="FC188" i="3"/>
  <c r="FD188" i="3"/>
  <c r="FE188" i="3"/>
  <c r="FF188" i="3"/>
  <c r="FG188" i="3"/>
  <c r="FH188" i="3"/>
  <c r="FI188" i="3"/>
  <c r="FJ188" i="3"/>
  <c r="FK188" i="3"/>
  <c r="FL188" i="3"/>
  <c r="FM188" i="3"/>
  <c r="FN188" i="3"/>
  <c r="FO188" i="3"/>
  <c r="FP188" i="3"/>
  <c r="FQ188" i="3"/>
  <c r="FR188" i="3"/>
  <c r="FS188" i="3"/>
  <c r="FT188" i="3"/>
  <c r="FU188" i="3"/>
  <c r="FV188" i="3"/>
  <c r="FW188" i="3"/>
  <c r="FX188" i="3"/>
  <c r="FY188" i="3"/>
  <c r="FZ188" i="3"/>
  <c r="GA188" i="3"/>
  <c r="GB188" i="3"/>
  <c r="GC188" i="3"/>
  <c r="GD188" i="3"/>
  <c r="GE188" i="3"/>
  <c r="GF188" i="3"/>
  <c r="GG188" i="3"/>
  <c r="GH188" i="3"/>
  <c r="GI188" i="3"/>
  <c r="GJ188" i="3"/>
  <c r="GK188" i="3"/>
  <c r="GL188" i="3"/>
  <c r="GM188" i="3"/>
  <c r="GN188" i="3"/>
  <c r="GO188" i="3"/>
  <c r="GP188" i="3"/>
  <c r="GQ188" i="3"/>
  <c r="GR188" i="3"/>
  <c r="GS188" i="3"/>
  <c r="GT188" i="3"/>
  <c r="GU188" i="3"/>
  <c r="GV188" i="3"/>
  <c r="GW188" i="3"/>
  <c r="GX188" i="3"/>
  <c r="GY188" i="3"/>
  <c r="GZ188" i="3"/>
  <c r="HA188" i="3"/>
  <c r="HB188" i="3"/>
  <c r="HC188" i="3"/>
  <c r="HD188" i="3"/>
  <c r="HE188" i="3"/>
  <c r="HF188" i="3"/>
  <c r="HG188" i="3"/>
  <c r="HH188" i="3"/>
  <c r="HI188" i="3"/>
  <c r="HJ188" i="3"/>
  <c r="HK188" i="3"/>
  <c r="HL188" i="3"/>
  <c r="HM188" i="3"/>
  <c r="HN188" i="3"/>
  <c r="HO188" i="3"/>
  <c r="HP188" i="3"/>
  <c r="HQ188" i="3"/>
  <c r="HR188" i="3"/>
  <c r="HS188" i="3"/>
  <c r="HT188" i="3"/>
  <c r="HU188" i="3"/>
  <c r="HV188" i="3"/>
  <c r="HW188" i="3"/>
  <c r="HX188" i="3"/>
  <c r="HY188" i="3"/>
  <c r="HZ188" i="3"/>
  <c r="IA188" i="3"/>
  <c r="IB188" i="3"/>
  <c r="IC188" i="3"/>
  <c r="ID188" i="3"/>
  <c r="IE188" i="3"/>
  <c r="IF188" i="3"/>
  <c r="IG188" i="3"/>
  <c r="IH188" i="3"/>
  <c r="II188" i="3"/>
  <c r="IJ188" i="3"/>
  <c r="IK188" i="3"/>
  <c r="IL188" i="3"/>
  <c r="IM188" i="3"/>
  <c r="IN188" i="3"/>
  <c r="IO188" i="3"/>
  <c r="IP188" i="3"/>
  <c r="IQ188" i="3"/>
  <c r="IR188" i="3"/>
  <c r="IS188" i="3"/>
  <c r="IT188" i="3"/>
  <c r="IU188" i="3"/>
  <c r="IV188" i="3"/>
  <c r="A187" i="3"/>
  <c r="B187" i="3"/>
  <c r="C187" i="3"/>
  <c r="D187" i="3"/>
  <c r="E187" i="3"/>
  <c r="F187" i="3"/>
  <c r="G187" i="3"/>
  <c r="H187" i="3"/>
  <c r="I187" i="3"/>
  <c r="J187" i="3"/>
  <c r="K187" i="3"/>
  <c r="L187" i="3"/>
  <c r="M187" i="3"/>
  <c r="N187" i="3"/>
  <c r="O187" i="3"/>
  <c r="P187" i="3"/>
  <c r="Q187" i="3"/>
  <c r="R187" i="3"/>
  <c r="S187" i="3"/>
  <c r="T187" i="3"/>
  <c r="U187" i="3"/>
  <c r="V187" i="3"/>
  <c r="W187" i="3"/>
  <c r="X187" i="3"/>
  <c r="Y187" i="3"/>
  <c r="Z187" i="3"/>
  <c r="AA187" i="3"/>
  <c r="AB187" i="3"/>
  <c r="AC187" i="3"/>
  <c r="AD187" i="3"/>
  <c r="AE187" i="3"/>
  <c r="AF187" i="3"/>
  <c r="AG187" i="3"/>
  <c r="AH187" i="3"/>
  <c r="AI187" i="3"/>
  <c r="AJ187" i="3"/>
  <c r="AK187" i="3"/>
  <c r="AL187" i="3"/>
  <c r="AM187" i="3"/>
  <c r="AN187" i="3"/>
  <c r="AO187" i="3"/>
  <c r="AP187" i="3"/>
  <c r="AQ187" i="3"/>
  <c r="AR187" i="3"/>
  <c r="AS187" i="3"/>
  <c r="AT187" i="3"/>
  <c r="AU187" i="3"/>
  <c r="AV187" i="3"/>
  <c r="AW187" i="3"/>
  <c r="AX187" i="3"/>
  <c r="AY187" i="3"/>
  <c r="AZ187" i="3"/>
  <c r="BA187" i="3"/>
  <c r="BB187" i="3"/>
  <c r="BC187" i="3"/>
  <c r="BD187" i="3"/>
  <c r="BE187" i="3"/>
  <c r="BF187" i="3"/>
  <c r="BG187" i="3"/>
  <c r="BH187" i="3"/>
  <c r="BI187" i="3"/>
  <c r="BJ187" i="3"/>
  <c r="BK187" i="3"/>
  <c r="BL187" i="3"/>
  <c r="BM187" i="3"/>
  <c r="BN187" i="3"/>
  <c r="BO187" i="3"/>
  <c r="BP187" i="3"/>
  <c r="BQ187" i="3"/>
  <c r="BR187" i="3"/>
  <c r="BS187" i="3"/>
  <c r="BT187" i="3"/>
  <c r="BU187" i="3"/>
  <c r="BV187" i="3"/>
  <c r="BW187" i="3"/>
  <c r="BX187" i="3"/>
  <c r="BY187" i="3"/>
  <c r="BZ187" i="3"/>
  <c r="CA187" i="3"/>
  <c r="CB187" i="3"/>
  <c r="CC187" i="3"/>
  <c r="CD187" i="3"/>
  <c r="CE187" i="3"/>
  <c r="CF187" i="3"/>
  <c r="CG187" i="3"/>
  <c r="CH187" i="3"/>
  <c r="CI187" i="3"/>
  <c r="CJ187" i="3"/>
  <c r="CK187" i="3"/>
  <c r="CL187" i="3"/>
  <c r="CM187" i="3"/>
  <c r="CN187" i="3"/>
  <c r="CO187" i="3"/>
  <c r="CP187" i="3"/>
  <c r="CQ187" i="3"/>
  <c r="CR187" i="3"/>
  <c r="CS187" i="3"/>
  <c r="CT187" i="3"/>
  <c r="CU187" i="3"/>
  <c r="CV187" i="3"/>
  <c r="CW187" i="3"/>
  <c r="CX187" i="3"/>
  <c r="CY187" i="3"/>
  <c r="CZ187" i="3"/>
  <c r="DA187" i="3"/>
  <c r="DB187" i="3"/>
  <c r="DC187" i="3"/>
  <c r="DD187" i="3"/>
  <c r="DE187" i="3"/>
  <c r="DF187" i="3"/>
  <c r="DG187" i="3"/>
  <c r="DH187" i="3"/>
  <c r="DI187" i="3"/>
  <c r="DJ187" i="3"/>
  <c r="DK187" i="3"/>
  <c r="DL187" i="3"/>
  <c r="DM187" i="3"/>
  <c r="DN187" i="3"/>
  <c r="DO187" i="3"/>
  <c r="DP187" i="3"/>
  <c r="DQ187" i="3"/>
  <c r="DR187" i="3"/>
  <c r="DS187" i="3"/>
  <c r="DT187" i="3"/>
  <c r="DU187" i="3"/>
  <c r="DV187" i="3"/>
  <c r="DW187" i="3"/>
  <c r="DX187" i="3"/>
  <c r="DY187" i="3"/>
  <c r="DZ187" i="3"/>
  <c r="EA187" i="3"/>
  <c r="EB187" i="3"/>
  <c r="EC187" i="3"/>
  <c r="ED187" i="3"/>
  <c r="EE187" i="3"/>
  <c r="EF187" i="3"/>
  <c r="EG187" i="3"/>
  <c r="EH187" i="3"/>
  <c r="EI187" i="3"/>
  <c r="EJ187" i="3"/>
  <c r="EK187" i="3"/>
  <c r="EL187" i="3"/>
  <c r="EM187" i="3"/>
  <c r="EN187" i="3"/>
  <c r="EO187" i="3"/>
  <c r="EP187" i="3"/>
  <c r="EQ187" i="3"/>
  <c r="ER187" i="3"/>
  <c r="ES187" i="3"/>
  <c r="ET187" i="3"/>
  <c r="EU187" i="3"/>
  <c r="EV187" i="3"/>
  <c r="EW187" i="3"/>
  <c r="EX187" i="3"/>
  <c r="EY187" i="3"/>
  <c r="EZ187" i="3"/>
  <c r="FA187" i="3"/>
  <c r="FB187" i="3"/>
  <c r="FC187" i="3"/>
  <c r="FD187" i="3"/>
  <c r="FE187" i="3"/>
  <c r="FF187" i="3"/>
  <c r="FG187" i="3"/>
  <c r="FH187" i="3"/>
  <c r="FI187" i="3"/>
  <c r="FJ187" i="3"/>
  <c r="FK187" i="3"/>
  <c r="FL187" i="3"/>
  <c r="FM187" i="3"/>
  <c r="FN187" i="3"/>
  <c r="FO187" i="3"/>
  <c r="FP187" i="3"/>
  <c r="FQ187" i="3"/>
  <c r="FR187" i="3"/>
  <c r="FS187" i="3"/>
  <c r="FT187" i="3"/>
  <c r="FU187" i="3"/>
  <c r="FV187" i="3"/>
  <c r="FW187" i="3"/>
  <c r="FX187" i="3"/>
  <c r="FY187" i="3"/>
  <c r="FZ187" i="3"/>
  <c r="GA187" i="3"/>
  <c r="GB187" i="3"/>
  <c r="GC187" i="3"/>
  <c r="GD187" i="3"/>
  <c r="GE187" i="3"/>
  <c r="GF187" i="3"/>
  <c r="GG187" i="3"/>
  <c r="GH187" i="3"/>
  <c r="GI187" i="3"/>
  <c r="GJ187" i="3"/>
  <c r="GK187" i="3"/>
  <c r="GL187" i="3"/>
  <c r="GM187" i="3"/>
  <c r="GN187" i="3"/>
  <c r="GO187" i="3"/>
  <c r="GP187" i="3"/>
  <c r="GQ187" i="3"/>
  <c r="GR187" i="3"/>
  <c r="GS187" i="3"/>
  <c r="GT187" i="3"/>
  <c r="GU187" i="3"/>
  <c r="GV187" i="3"/>
  <c r="GW187" i="3"/>
  <c r="GX187" i="3"/>
  <c r="GY187" i="3"/>
  <c r="GZ187" i="3"/>
  <c r="HA187" i="3"/>
  <c r="HB187" i="3"/>
  <c r="HC187" i="3"/>
  <c r="HD187" i="3"/>
  <c r="HE187" i="3"/>
  <c r="HF187" i="3"/>
  <c r="HG187" i="3"/>
  <c r="HH187" i="3"/>
  <c r="HI187" i="3"/>
  <c r="HJ187" i="3"/>
  <c r="HK187" i="3"/>
  <c r="HL187" i="3"/>
  <c r="HM187" i="3"/>
  <c r="HN187" i="3"/>
  <c r="HO187" i="3"/>
  <c r="HP187" i="3"/>
  <c r="HQ187" i="3"/>
  <c r="HR187" i="3"/>
  <c r="HS187" i="3"/>
  <c r="HT187" i="3"/>
  <c r="HU187" i="3"/>
  <c r="HV187" i="3"/>
  <c r="HW187" i="3"/>
  <c r="HX187" i="3"/>
  <c r="HY187" i="3"/>
  <c r="HZ187" i="3"/>
  <c r="IA187" i="3"/>
  <c r="IB187" i="3"/>
  <c r="IC187" i="3"/>
  <c r="ID187" i="3"/>
  <c r="IE187" i="3"/>
  <c r="IF187" i="3"/>
  <c r="IG187" i="3"/>
  <c r="IH187" i="3"/>
  <c r="II187" i="3"/>
  <c r="IJ187" i="3"/>
  <c r="IK187" i="3"/>
  <c r="IL187" i="3"/>
  <c r="IM187" i="3"/>
  <c r="IN187" i="3"/>
  <c r="IO187" i="3"/>
  <c r="IP187" i="3"/>
  <c r="IQ187" i="3"/>
  <c r="IR187" i="3"/>
  <c r="IS187" i="3"/>
  <c r="IT187" i="3"/>
  <c r="IU187" i="3"/>
  <c r="IV187" i="3"/>
  <c r="A186" i="3"/>
  <c r="B186" i="3"/>
  <c r="C186" i="3"/>
  <c r="D186" i="3"/>
  <c r="E186" i="3"/>
  <c r="F186" i="3"/>
  <c r="G186" i="3"/>
  <c r="H186" i="3"/>
  <c r="I186" i="3"/>
  <c r="J186" i="3"/>
  <c r="K186" i="3"/>
  <c r="L186" i="3"/>
  <c r="M186" i="3"/>
  <c r="N186" i="3"/>
  <c r="O186" i="3"/>
  <c r="P186" i="3"/>
  <c r="Q186" i="3"/>
  <c r="R186" i="3"/>
  <c r="S186" i="3"/>
  <c r="T186" i="3"/>
  <c r="U186" i="3"/>
  <c r="V186" i="3"/>
  <c r="W186" i="3"/>
  <c r="X186" i="3"/>
  <c r="Y186" i="3"/>
  <c r="Z186" i="3"/>
  <c r="AA186" i="3"/>
  <c r="AB186" i="3"/>
  <c r="AC186" i="3"/>
  <c r="AD186" i="3"/>
  <c r="AE186" i="3"/>
  <c r="AF186" i="3"/>
  <c r="AG186" i="3"/>
  <c r="AH186" i="3"/>
  <c r="AI186" i="3"/>
  <c r="AJ186" i="3"/>
  <c r="AK186" i="3"/>
  <c r="AL186" i="3"/>
  <c r="AM186" i="3"/>
  <c r="AN186" i="3"/>
  <c r="AO186" i="3"/>
  <c r="AP186" i="3"/>
  <c r="AQ186" i="3"/>
  <c r="AR186" i="3"/>
  <c r="AS186" i="3"/>
  <c r="AT186" i="3"/>
  <c r="AU186" i="3"/>
  <c r="AV186" i="3"/>
  <c r="AW186" i="3"/>
  <c r="AX186" i="3"/>
  <c r="AY186" i="3"/>
  <c r="AZ186" i="3"/>
  <c r="BA186" i="3"/>
  <c r="BB186" i="3"/>
  <c r="BC186" i="3"/>
  <c r="BD186" i="3"/>
  <c r="BE186" i="3"/>
  <c r="BF186" i="3"/>
  <c r="BG186" i="3"/>
  <c r="BH186" i="3"/>
  <c r="BI186" i="3"/>
  <c r="BJ186" i="3"/>
  <c r="BK186" i="3"/>
  <c r="BL186" i="3"/>
  <c r="BM186" i="3"/>
  <c r="BN186" i="3"/>
  <c r="BO186" i="3"/>
  <c r="BP186" i="3"/>
  <c r="BQ186" i="3"/>
  <c r="BR186" i="3"/>
  <c r="BS186" i="3"/>
  <c r="BT186" i="3"/>
  <c r="BU186" i="3"/>
  <c r="BV186" i="3"/>
  <c r="BW186" i="3"/>
  <c r="BX186" i="3"/>
  <c r="BY186" i="3"/>
  <c r="BZ186" i="3"/>
  <c r="CA186" i="3"/>
  <c r="CB186" i="3"/>
  <c r="CC186" i="3"/>
  <c r="CD186" i="3"/>
  <c r="CE186" i="3"/>
  <c r="CF186" i="3"/>
  <c r="CG186" i="3"/>
  <c r="CH186" i="3"/>
  <c r="CI186" i="3"/>
  <c r="CJ186" i="3"/>
  <c r="CK186" i="3"/>
  <c r="CL186" i="3"/>
  <c r="CM186" i="3"/>
  <c r="CN186" i="3"/>
  <c r="CO186" i="3"/>
  <c r="CP186" i="3"/>
  <c r="CQ186" i="3"/>
  <c r="CR186" i="3"/>
  <c r="CS186" i="3"/>
  <c r="CT186" i="3"/>
  <c r="CU186" i="3"/>
  <c r="CV186" i="3"/>
  <c r="CW186" i="3"/>
  <c r="CX186" i="3"/>
  <c r="CY186" i="3"/>
  <c r="CZ186" i="3"/>
  <c r="DA186" i="3"/>
  <c r="DB186" i="3"/>
  <c r="DC186" i="3"/>
  <c r="DD186" i="3"/>
  <c r="DE186" i="3"/>
  <c r="DF186" i="3"/>
  <c r="DG186" i="3"/>
  <c r="DH186" i="3"/>
  <c r="DI186" i="3"/>
  <c r="DJ186" i="3"/>
  <c r="DK186" i="3"/>
  <c r="DL186" i="3"/>
  <c r="DM186" i="3"/>
  <c r="DN186" i="3"/>
  <c r="DO186" i="3"/>
  <c r="DP186" i="3"/>
  <c r="DQ186" i="3"/>
  <c r="DR186" i="3"/>
  <c r="DS186" i="3"/>
  <c r="DT186" i="3"/>
  <c r="DU186" i="3"/>
  <c r="DV186" i="3"/>
  <c r="DW186" i="3"/>
  <c r="DX186" i="3"/>
  <c r="DY186" i="3"/>
  <c r="DZ186" i="3"/>
  <c r="EA186" i="3"/>
  <c r="EB186" i="3"/>
  <c r="EC186" i="3"/>
  <c r="ED186" i="3"/>
  <c r="EE186" i="3"/>
  <c r="EF186" i="3"/>
  <c r="EG186" i="3"/>
  <c r="EH186" i="3"/>
  <c r="EI186" i="3"/>
  <c r="EJ186" i="3"/>
  <c r="EK186" i="3"/>
  <c r="EL186" i="3"/>
  <c r="EM186" i="3"/>
  <c r="EN186" i="3"/>
  <c r="EO186" i="3"/>
  <c r="EP186" i="3"/>
  <c r="EQ186" i="3"/>
  <c r="ER186" i="3"/>
  <c r="ES186" i="3"/>
  <c r="ET186" i="3"/>
  <c r="EU186" i="3"/>
  <c r="EV186" i="3"/>
  <c r="EW186" i="3"/>
  <c r="EX186" i="3"/>
  <c r="EY186" i="3"/>
  <c r="EZ186" i="3"/>
  <c r="FA186" i="3"/>
  <c r="FB186" i="3"/>
  <c r="FC186" i="3"/>
  <c r="FD186" i="3"/>
  <c r="FE186" i="3"/>
  <c r="FF186" i="3"/>
  <c r="FG186" i="3"/>
  <c r="FH186" i="3"/>
  <c r="FI186" i="3"/>
  <c r="FJ186" i="3"/>
  <c r="FK186" i="3"/>
  <c r="FL186" i="3"/>
  <c r="FM186" i="3"/>
  <c r="FN186" i="3"/>
  <c r="FO186" i="3"/>
  <c r="FP186" i="3"/>
  <c r="FQ186" i="3"/>
  <c r="FR186" i="3"/>
  <c r="FS186" i="3"/>
  <c r="FT186" i="3"/>
  <c r="FU186" i="3"/>
  <c r="FV186" i="3"/>
  <c r="FW186" i="3"/>
  <c r="FX186" i="3"/>
  <c r="FY186" i="3"/>
  <c r="FZ186" i="3"/>
  <c r="GA186" i="3"/>
  <c r="GB186" i="3"/>
  <c r="GC186" i="3"/>
  <c r="GD186" i="3"/>
  <c r="GE186" i="3"/>
  <c r="GF186" i="3"/>
  <c r="GG186" i="3"/>
  <c r="GH186" i="3"/>
  <c r="GI186" i="3"/>
  <c r="GJ186" i="3"/>
  <c r="GK186" i="3"/>
  <c r="GL186" i="3"/>
  <c r="GM186" i="3"/>
  <c r="GN186" i="3"/>
  <c r="GO186" i="3"/>
  <c r="GP186" i="3"/>
  <c r="GQ186" i="3"/>
  <c r="GR186" i="3"/>
  <c r="GS186" i="3"/>
  <c r="GT186" i="3"/>
  <c r="GU186" i="3"/>
  <c r="GV186" i="3"/>
  <c r="GW186" i="3"/>
  <c r="GX186" i="3"/>
  <c r="GY186" i="3"/>
  <c r="GZ186" i="3"/>
  <c r="HA186" i="3"/>
  <c r="HB186" i="3"/>
  <c r="HC186" i="3"/>
  <c r="HD186" i="3"/>
  <c r="HE186" i="3"/>
  <c r="HF186" i="3"/>
  <c r="HG186" i="3"/>
  <c r="HH186" i="3"/>
  <c r="HI186" i="3"/>
  <c r="HJ186" i="3"/>
  <c r="HK186" i="3"/>
  <c r="HL186" i="3"/>
  <c r="HM186" i="3"/>
  <c r="HN186" i="3"/>
  <c r="HO186" i="3"/>
  <c r="HP186" i="3"/>
  <c r="HQ186" i="3"/>
  <c r="HR186" i="3"/>
  <c r="HS186" i="3"/>
  <c r="HT186" i="3"/>
  <c r="HU186" i="3"/>
  <c r="HV186" i="3"/>
  <c r="HW186" i="3"/>
  <c r="HX186" i="3"/>
  <c r="HY186" i="3"/>
  <c r="HZ186" i="3"/>
  <c r="IA186" i="3"/>
  <c r="IB186" i="3"/>
  <c r="IC186" i="3"/>
  <c r="ID186" i="3"/>
  <c r="IE186" i="3"/>
  <c r="IF186" i="3"/>
  <c r="IG186" i="3"/>
  <c r="IH186" i="3"/>
  <c r="II186" i="3"/>
  <c r="IJ186" i="3"/>
  <c r="IK186" i="3"/>
  <c r="IL186" i="3"/>
  <c r="IM186" i="3"/>
  <c r="IN186" i="3"/>
  <c r="IO186" i="3"/>
  <c r="IP186" i="3"/>
  <c r="IQ186" i="3"/>
  <c r="IR186" i="3"/>
  <c r="IS186" i="3"/>
  <c r="IT186" i="3"/>
  <c r="IU186" i="3"/>
  <c r="IV186" i="3"/>
  <c r="A185" i="3"/>
  <c r="B185" i="3"/>
  <c r="C185" i="3"/>
  <c r="D185" i="3"/>
  <c r="E185" i="3"/>
  <c r="F185" i="3"/>
  <c r="G185" i="3"/>
  <c r="H185" i="3"/>
  <c r="I185" i="3"/>
  <c r="J185" i="3"/>
  <c r="K185" i="3"/>
  <c r="L185" i="3"/>
  <c r="M185" i="3"/>
  <c r="N185" i="3"/>
  <c r="O185" i="3"/>
  <c r="P185" i="3"/>
  <c r="Q185" i="3"/>
  <c r="R185" i="3"/>
  <c r="S185" i="3"/>
  <c r="T185" i="3"/>
  <c r="U185" i="3"/>
  <c r="V185" i="3"/>
  <c r="W185" i="3"/>
  <c r="X185" i="3"/>
  <c r="Y185" i="3"/>
  <c r="Z185" i="3"/>
  <c r="AA185" i="3"/>
  <c r="AB185" i="3"/>
  <c r="AC185" i="3"/>
  <c r="AD185" i="3"/>
  <c r="AE185" i="3"/>
  <c r="AF185" i="3"/>
  <c r="AG185" i="3"/>
  <c r="AH185" i="3"/>
  <c r="AI185" i="3"/>
  <c r="AJ185" i="3"/>
  <c r="AK185" i="3"/>
  <c r="AL185" i="3"/>
  <c r="AM185" i="3"/>
  <c r="AN185" i="3"/>
  <c r="AO185" i="3"/>
  <c r="AP185" i="3"/>
  <c r="AQ185" i="3"/>
  <c r="AR185" i="3"/>
  <c r="AS185" i="3"/>
  <c r="AT185" i="3"/>
  <c r="AU185" i="3"/>
  <c r="AV185" i="3"/>
  <c r="AW185" i="3"/>
  <c r="AX185" i="3"/>
  <c r="AY185" i="3"/>
  <c r="AZ185" i="3"/>
  <c r="BA185" i="3"/>
  <c r="BB185" i="3"/>
  <c r="BC185" i="3"/>
  <c r="BD185" i="3"/>
  <c r="BE185" i="3"/>
  <c r="BF185" i="3"/>
  <c r="BG185" i="3"/>
  <c r="BH185" i="3"/>
  <c r="BI185" i="3"/>
  <c r="BJ185" i="3"/>
  <c r="BK185" i="3"/>
  <c r="BL185" i="3"/>
  <c r="BM185" i="3"/>
  <c r="BN185" i="3"/>
  <c r="BO185" i="3"/>
  <c r="BP185" i="3"/>
  <c r="BQ185" i="3"/>
  <c r="BR185" i="3"/>
  <c r="BS185" i="3"/>
  <c r="BT185" i="3"/>
  <c r="BU185" i="3"/>
  <c r="BV185" i="3"/>
  <c r="BW185" i="3"/>
  <c r="BX185" i="3"/>
  <c r="BY185" i="3"/>
  <c r="BZ185" i="3"/>
  <c r="CA185" i="3"/>
  <c r="CB185" i="3"/>
  <c r="CC185" i="3"/>
  <c r="CD185" i="3"/>
  <c r="CE185" i="3"/>
  <c r="CF185" i="3"/>
  <c r="CG185" i="3"/>
  <c r="CH185" i="3"/>
  <c r="CI185" i="3"/>
  <c r="CJ185" i="3"/>
  <c r="CK185" i="3"/>
  <c r="CL185" i="3"/>
  <c r="CM185" i="3"/>
  <c r="CN185" i="3"/>
  <c r="CO185" i="3"/>
  <c r="CP185" i="3"/>
  <c r="CQ185" i="3"/>
  <c r="CR185" i="3"/>
  <c r="CS185" i="3"/>
  <c r="CT185" i="3"/>
  <c r="CU185" i="3"/>
  <c r="CV185" i="3"/>
  <c r="CW185" i="3"/>
  <c r="CX185" i="3"/>
  <c r="CY185" i="3"/>
  <c r="CZ185" i="3"/>
  <c r="DA185" i="3"/>
  <c r="DB185" i="3"/>
  <c r="DC185" i="3"/>
  <c r="DD185" i="3"/>
  <c r="DE185" i="3"/>
  <c r="DF185" i="3"/>
  <c r="DG185" i="3"/>
  <c r="DH185" i="3"/>
  <c r="DI185" i="3"/>
  <c r="DJ185" i="3"/>
  <c r="DK185" i="3"/>
  <c r="DL185" i="3"/>
  <c r="DM185" i="3"/>
  <c r="DN185" i="3"/>
  <c r="DO185" i="3"/>
  <c r="DP185" i="3"/>
  <c r="DQ185" i="3"/>
  <c r="DR185" i="3"/>
  <c r="DS185" i="3"/>
  <c r="DT185" i="3"/>
  <c r="DU185" i="3"/>
  <c r="DV185" i="3"/>
  <c r="DW185" i="3"/>
  <c r="DX185" i="3"/>
  <c r="DY185" i="3"/>
  <c r="DZ185" i="3"/>
  <c r="EA185" i="3"/>
  <c r="EB185" i="3"/>
  <c r="EC185" i="3"/>
  <c r="ED185" i="3"/>
  <c r="EE185" i="3"/>
  <c r="EF185" i="3"/>
  <c r="EG185" i="3"/>
  <c r="EH185" i="3"/>
  <c r="EI185" i="3"/>
  <c r="EJ185" i="3"/>
  <c r="EK185" i="3"/>
  <c r="EL185" i="3"/>
  <c r="EM185" i="3"/>
  <c r="EN185" i="3"/>
  <c r="EO185" i="3"/>
  <c r="EP185" i="3"/>
  <c r="EQ185" i="3"/>
  <c r="ER185" i="3"/>
  <c r="ES185" i="3"/>
  <c r="ET185" i="3"/>
  <c r="EU185" i="3"/>
  <c r="EV185" i="3"/>
  <c r="EW185" i="3"/>
  <c r="EX185" i="3"/>
  <c r="EY185" i="3"/>
  <c r="EZ185" i="3"/>
  <c r="FA185" i="3"/>
  <c r="FB185" i="3"/>
  <c r="FC185" i="3"/>
  <c r="FD185" i="3"/>
  <c r="FE185" i="3"/>
  <c r="FF185" i="3"/>
  <c r="FG185" i="3"/>
  <c r="FH185" i="3"/>
  <c r="FI185" i="3"/>
  <c r="FJ185" i="3"/>
  <c r="FK185" i="3"/>
  <c r="FL185" i="3"/>
  <c r="FM185" i="3"/>
  <c r="FN185" i="3"/>
  <c r="FO185" i="3"/>
  <c r="FP185" i="3"/>
  <c r="FQ185" i="3"/>
  <c r="FR185" i="3"/>
  <c r="FS185" i="3"/>
  <c r="FT185" i="3"/>
  <c r="FU185" i="3"/>
  <c r="FV185" i="3"/>
  <c r="FW185" i="3"/>
  <c r="FX185" i="3"/>
  <c r="FY185" i="3"/>
  <c r="FZ185" i="3"/>
  <c r="GA185" i="3"/>
  <c r="GB185" i="3"/>
  <c r="GC185" i="3"/>
  <c r="GD185" i="3"/>
  <c r="GE185" i="3"/>
  <c r="GF185" i="3"/>
  <c r="GG185" i="3"/>
  <c r="GH185" i="3"/>
  <c r="GI185" i="3"/>
  <c r="GJ185" i="3"/>
  <c r="GK185" i="3"/>
  <c r="GL185" i="3"/>
  <c r="GM185" i="3"/>
  <c r="GN185" i="3"/>
  <c r="GO185" i="3"/>
  <c r="GP185" i="3"/>
  <c r="GQ185" i="3"/>
  <c r="GR185" i="3"/>
  <c r="GS185" i="3"/>
  <c r="GT185" i="3"/>
  <c r="GU185" i="3"/>
  <c r="GV185" i="3"/>
  <c r="GW185" i="3"/>
  <c r="GX185" i="3"/>
  <c r="GY185" i="3"/>
  <c r="GZ185" i="3"/>
  <c r="HA185" i="3"/>
  <c r="HB185" i="3"/>
  <c r="HC185" i="3"/>
  <c r="HD185" i="3"/>
  <c r="HE185" i="3"/>
  <c r="HF185" i="3"/>
  <c r="HG185" i="3"/>
  <c r="HH185" i="3"/>
  <c r="HI185" i="3"/>
  <c r="HJ185" i="3"/>
  <c r="HK185" i="3"/>
  <c r="HL185" i="3"/>
  <c r="HM185" i="3"/>
  <c r="HN185" i="3"/>
  <c r="HO185" i="3"/>
  <c r="HP185" i="3"/>
  <c r="HQ185" i="3"/>
  <c r="HR185" i="3"/>
  <c r="HS185" i="3"/>
  <c r="HT185" i="3"/>
  <c r="HU185" i="3"/>
  <c r="HV185" i="3"/>
  <c r="HW185" i="3"/>
  <c r="HX185" i="3"/>
  <c r="HY185" i="3"/>
  <c r="HZ185" i="3"/>
  <c r="IA185" i="3"/>
  <c r="IB185" i="3"/>
  <c r="IC185" i="3"/>
  <c r="ID185" i="3"/>
  <c r="IE185" i="3"/>
  <c r="IF185" i="3"/>
  <c r="IG185" i="3"/>
  <c r="IH185" i="3"/>
  <c r="II185" i="3"/>
  <c r="IJ185" i="3"/>
  <c r="IK185" i="3"/>
  <c r="IL185" i="3"/>
  <c r="IM185" i="3"/>
  <c r="IN185" i="3"/>
  <c r="IO185" i="3"/>
  <c r="IP185" i="3"/>
  <c r="IQ185" i="3"/>
  <c r="IR185" i="3"/>
  <c r="IS185" i="3"/>
  <c r="IT185" i="3"/>
  <c r="IU185" i="3"/>
  <c r="IV185" i="3"/>
  <c r="A184" i="3"/>
  <c r="B184" i="3"/>
  <c r="C184" i="3"/>
  <c r="D184" i="3"/>
  <c r="E184" i="3"/>
  <c r="F184" i="3"/>
  <c r="G184" i="3"/>
  <c r="H184" i="3"/>
  <c r="I184" i="3"/>
  <c r="J184" i="3"/>
  <c r="K184" i="3"/>
  <c r="L184" i="3"/>
  <c r="M184" i="3"/>
  <c r="N184" i="3"/>
  <c r="O184" i="3"/>
  <c r="P184" i="3"/>
  <c r="Q184" i="3"/>
  <c r="R184" i="3"/>
  <c r="S184" i="3"/>
  <c r="T184" i="3"/>
  <c r="U184" i="3"/>
  <c r="V184" i="3"/>
  <c r="W184" i="3"/>
  <c r="X184" i="3"/>
  <c r="Y184" i="3"/>
  <c r="Z184" i="3"/>
  <c r="AA184" i="3"/>
  <c r="AB184" i="3"/>
  <c r="AC184" i="3"/>
  <c r="AD184" i="3"/>
  <c r="AE184" i="3"/>
  <c r="AF184" i="3"/>
  <c r="AG184" i="3"/>
  <c r="AH184" i="3"/>
  <c r="AI184" i="3"/>
  <c r="AJ184" i="3"/>
  <c r="AK184" i="3"/>
  <c r="AL184" i="3"/>
  <c r="AM184" i="3"/>
  <c r="AN184" i="3"/>
  <c r="AO184" i="3"/>
  <c r="AP184" i="3"/>
  <c r="AQ184" i="3"/>
  <c r="AR184" i="3"/>
  <c r="AS184" i="3"/>
  <c r="AT184" i="3"/>
  <c r="AU184" i="3"/>
  <c r="AV184" i="3"/>
  <c r="AW184" i="3"/>
  <c r="AX184" i="3"/>
  <c r="AY184" i="3"/>
  <c r="AZ184" i="3"/>
  <c r="BA184" i="3"/>
  <c r="BB184" i="3"/>
  <c r="BC184" i="3"/>
  <c r="BD184" i="3"/>
  <c r="BE184" i="3"/>
  <c r="BF184" i="3"/>
  <c r="BG184" i="3"/>
  <c r="BH184" i="3"/>
  <c r="BI184" i="3"/>
  <c r="BJ184" i="3"/>
  <c r="BK184" i="3"/>
  <c r="BL184" i="3"/>
  <c r="BM184" i="3"/>
  <c r="BN184" i="3"/>
  <c r="BO184" i="3"/>
  <c r="BP184" i="3"/>
  <c r="BQ184" i="3"/>
  <c r="BR184" i="3"/>
  <c r="BS184" i="3"/>
  <c r="BT184" i="3"/>
  <c r="BU184" i="3"/>
  <c r="BV184" i="3"/>
  <c r="BW184" i="3"/>
  <c r="BX184" i="3"/>
  <c r="BY184" i="3"/>
  <c r="BZ184" i="3"/>
  <c r="CA184" i="3"/>
  <c r="CB184" i="3"/>
  <c r="CC184" i="3"/>
  <c r="CD184" i="3"/>
  <c r="CE184" i="3"/>
  <c r="CF184" i="3"/>
  <c r="CG184" i="3"/>
  <c r="CH184" i="3"/>
  <c r="CI184" i="3"/>
  <c r="CJ184" i="3"/>
  <c r="CK184" i="3"/>
  <c r="CL184" i="3"/>
  <c r="CM184" i="3"/>
  <c r="CN184" i="3"/>
  <c r="CO184" i="3"/>
  <c r="CP184" i="3"/>
  <c r="CQ184" i="3"/>
  <c r="CR184" i="3"/>
  <c r="CS184" i="3"/>
  <c r="CT184" i="3"/>
  <c r="CU184" i="3"/>
  <c r="CV184" i="3"/>
  <c r="CW184" i="3"/>
  <c r="CX184" i="3"/>
  <c r="CY184" i="3"/>
  <c r="CZ184" i="3"/>
  <c r="DA184" i="3"/>
  <c r="DB184" i="3"/>
  <c r="DC184" i="3"/>
  <c r="DD184" i="3"/>
  <c r="DE184" i="3"/>
  <c r="DF184" i="3"/>
  <c r="DG184" i="3"/>
  <c r="DH184" i="3"/>
  <c r="DI184" i="3"/>
  <c r="DJ184" i="3"/>
  <c r="DK184" i="3"/>
  <c r="DL184" i="3"/>
  <c r="DM184" i="3"/>
  <c r="DN184" i="3"/>
  <c r="DO184" i="3"/>
  <c r="DP184" i="3"/>
  <c r="DQ184" i="3"/>
  <c r="DR184" i="3"/>
  <c r="DS184" i="3"/>
  <c r="DT184" i="3"/>
  <c r="DU184" i="3"/>
  <c r="DV184" i="3"/>
  <c r="DW184" i="3"/>
  <c r="DX184" i="3"/>
  <c r="DY184" i="3"/>
  <c r="DZ184" i="3"/>
  <c r="EA184" i="3"/>
  <c r="EB184" i="3"/>
  <c r="EC184" i="3"/>
  <c r="ED184" i="3"/>
  <c r="EE184" i="3"/>
  <c r="EF184" i="3"/>
  <c r="EG184" i="3"/>
  <c r="EH184" i="3"/>
  <c r="EI184" i="3"/>
  <c r="EJ184" i="3"/>
  <c r="EK184" i="3"/>
  <c r="EL184" i="3"/>
  <c r="EM184" i="3"/>
  <c r="EN184" i="3"/>
  <c r="EO184" i="3"/>
  <c r="EP184" i="3"/>
  <c r="EQ184" i="3"/>
  <c r="ER184" i="3"/>
  <c r="ES184" i="3"/>
  <c r="ET184" i="3"/>
  <c r="EU184" i="3"/>
  <c r="EV184" i="3"/>
  <c r="EW184" i="3"/>
  <c r="EX184" i="3"/>
  <c r="EY184" i="3"/>
  <c r="EZ184" i="3"/>
  <c r="FA184" i="3"/>
  <c r="FB184" i="3"/>
  <c r="FC184" i="3"/>
  <c r="FD184" i="3"/>
  <c r="FE184" i="3"/>
  <c r="FF184" i="3"/>
  <c r="FG184" i="3"/>
  <c r="FH184" i="3"/>
  <c r="FI184" i="3"/>
  <c r="FJ184" i="3"/>
  <c r="FK184" i="3"/>
  <c r="FL184" i="3"/>
  <c r="FM184" i="3"/>
  <c r="FN184" i="3"/>
  <c r="FO184" i="3"/>
  <c r="FP184" i="3"/>
  <c r="FQ184" i="3"/>
  <c r="FR184" i="3"/>
  <c r="FS184" i="3"/>
  <c r="FT184" i="3"/>
  <c r="FU184" i="3"/>
  <c r="FV184" i="3"/>
  <c r="FW184" i="3"/>
  <c r="FX184" i="3"/>
  <c r="FY184" i="3"/>
  <c r="FZ184" i="3"/>
  <c r="GA184" i="3"/>
  <c r="GB184" i="3"/>
  <c r="GC184" i="3"/>
  <c r="GD184" i="3"/>
  <c r="GE184" i="3"/>
  <c r="GF184" i="3"/>
  <c r="GG184" i="3"/>
  <c r="GH184" i="3"/>
  <c r="GI184" i="3"/>
  <c r="GJ184" i="3"/>
  <c r="GK184" i="3"/>
  <c r="GL184" i="3"/>
  <c r="GM184" i="3"/>
  <c r="GN184" i="3"/>
  <c r="GO184" i="3"/>
  <c r="GP184" i="3"/>
  <c r="GQ184" i="3"/>
  <c r="GR184" i="3"/>
  <c r="GS184" i="3"/>
  <c r="GT184" i="3"/>
  <c r="GU184" i="3"/>
  <c r="GV184" i="3"/>
  <c r="GW184" i="3"/>
  <c r="GX184" i="3"/>
  <c r="GY184" i="3"/>
  <c r="GZ184" i="3"/>
  <c r="HA184" i="3"/>
  <c r="HB184" i="3"/>
  <c r="HC184" i="3"/>
  <c r="HD184" i="3"/>
  <c r="HE184" i="3"/>
  <c r="HF184" i="3"/>
  <c r="HG184" i="3"/>
  <c r="HH184" i="3"/>
  <c r="HI184" i="3"/>
  <c r="HJ184" i="3"/>
  <c r="HK184" i="3"/>
  <c r="HL184" i="3"/>
  <c r="HM184" i="3"/>
  <c r="HN184" i="3"/>
  <c r="HO184" i="3"/>
  <c r="HP184" i="3"/>
  <c r="HQ184" i="3"/>
  <c r="HR184" i="3"/>
  <c r="HS184" i="3"/>
  <c r="HT184" i="3"/>
  <c r="HU184" i="3"/>
  <c r="HV184" i="3"/>
  <c r="HW184" i="3"/>
  <c r="HX184" i="3"/>
  <c r="HY184" i="3"/>
  <c r="HZ184" i="3"/>
  <c r="IA184" i="3"/>
  <c r="IB184" i="3"/>
  <c r="IC184" i="3"/>
  <c r="ID184" i="3"/>
  <c r="IE184" i="3"/>
  <c r="IF184" i="3"/>
  <c r="IG184" i="3"/>
  <c r="IH184" i="3"/>
  <c r="II184" i="3"/>
  <c r="IJ184" i="3"/>
  <c r="IK184" i="3"/>
  <c r="IL184" i="3"/>
  <c r="IM184" i="3"/>
  <c r="IN184" i="3"/>
  <c r="IO184" i="3"/>
  <c r="IP184" i="3"/>
  <c r="IQ184" i="3"/>
  <c r="IR184" i="3"/>
  <c r="IS184" i="3"/>
  <c r="IT184" i="3"/>
  <c r="IU184" i="3"/>
  <c r="IV184" i="3"/>
  <c r="A183" i="3"/>
  <c r="B183" i="3"/>
  <c r="C183" i="3"/>
  <c r="D183" i="3"/>
  <c r="E183" i="3"/>
  <c r="F183" i="3"/>
  <c r="G183" i="3"/>
  <c r="H183" i="3"/>
  <c r="I183" i="3"/>
  <c r="J183" i="3"/>
  <c r="K183" i="3"/>
  <c r="L183" i="3"/>
  <c r="M183" i="3"/>
  <c r="N183" i="3"/>
  <c r="O183" i="3"/>
  <c r="P183" i="3"/>
  <c r="Q183" i="3"/>
  <c r="R183" i="3"/>
  <c r="S183" i="3"/>
  <c r="T183" i="3"/>
  <c r="U183" i="3"/>
  <c r="V183" i="3"/>
  <c r="W183" i="3"/>
  <c r="X183" i="3"/>
  <c r="Y183" i="3"/>
  <c r="Z183" i="3"/>
  <c r="AA183" i="3"/>
  <c r="AB183" i="3"/>
  <c r="AC183" i="3"/>
  <c r="AD183" i="3"/>
  <c r="AE183" i="3"/>
  <c r="AF183" i="3"/>
  <c r="AG183" i="3"/>
  <c r="AH183" i="3"/>
  <c r="AI183" i="3"/>
  <c r="AJ183" i="3"/>
  <c r="AK183" i="3"/>
  <c r="AL183" i="3"/>
  <c r="AM183" i="3"/>
  <c r="AN183" i="3"/>
  <c r="AO183" i="3"/>
  <c r="AP183" i="3"/>
  <c r="AQ183" i="3"/>
  <c r="AR183" i="3"/>
  <c r="AS183" i="3"/>
  <c r="AT183" i="3"/>
  <c r="AU183" i="3"/>
  <c r="AV183" i="3"/>
  <c r="AW183" i="3"/>
  <c r="AX183" i="3"/>
  <c r="AY183" i="3"/>
  <c r="AZ183" i="3"/>
  <c r="BA183" i="3"/>
  <c r="BB183" i="3"/>
  <c r="BC183" i="3"/>
  <c r="BD183" i="3"/>
  <c r="BE183" i="3"/>
  <c r="BF183" i="3"/>
  <c r="BG183" i="3"/>
  <c r="BH183" i="3"/>
  <c r="BI183" i="3"/>
  <c r="BJ183" i="3"/>
  <c r="BK183" i="3"/>
  <c r="BL183" i="3"/>
  <c r="BM183" i="3"/>
  <c r="BN183" i="3"/>
  <c r="BO183" i="3"/>
  <c r="BP183" i="3"/>
  <c r="BQ183" i="3"/>
  <c r="BR183" i="3"/>
  <c r="BS183" i="3"/>
  <c r="BT183" i="3"/>
  <c r="BU183" i="3"/>
  <c r="BV183" i="3"/>
  <c r="BW183" i="3"/>
  <c r="BX183" i="3"/>
  <c r="BY183" i="3"/>
  <c r="BZ183" i="3"/>
  <c r="CA183" i="3"/>
  <c r="CB183" i="3"/>
  <c r="CC183" i="3"/>
  <c r="CD183" i="3"/>
  <c r="CE183" i="3"/>
  <c r="CF183" i="3"/>
  <c r="CG183" i="3"/>
  <c r="CH183" i="3"/>
  <c r="CI183" i="3"/>
  <c r="CJ183" i="3"/>
  <c r="CK183" i="3"/>
  <c r="CL183" i="3"/>
  <c r="CM183" i="3"/>
  <c r="CN183" i="3"/>
  <c r="CO183" i="3"/>
  <c r="CP183" i="3"/>
  <c r="CQ183" i="3"/>
  <c r="CR183" i="3"/>
  <c r="CS183" i="3"/>
  <c r="CT183" i="3"/>
  <c r="CU183" i="3"/>
  <c r="CV183" i="3"/>
  <c r="CW183" i="3"/>
  <c r="CX183" i="3"/>
  <c r="CY183" i="3"/>
  <c r="CZ183" i="3"/>
  <c r="DA183" i="3"/>
  <c r="DB183" i="3"/>
  <c r="DC183" i="3"/>
  <c r="DD183" i="3"/>
  <c r="DE183" i="3"/>
  <c r="DF183" i="3"/>
  <c r="DG183" i="3"/>
  <c r="DH183" i="3"/>
  <c r="DI183" i="3"/>
  <c r="DJ183" i="3"/>
  <c r="DK183" i="3"/>
  <c r="DL183" i="3"/>
  <c r="DM183" i="3"/>
  <c r="DN183" i="3"/>
  <c r="DO183" i="3"/>
  <c r="DP183" i="3"/>
  <c r="DQ183" i="3"/>
  <c r="DR183" i="3"/>
  <c r="DS183" i="3"/>
  <c r="DT183" i="3"/>
  <c r="DU183" i="3"/>
  <c r="DV183" i="3"/>
  <c r="DW183" i="3"/>
  <c r="DX183" i="3"/>
  <c r="DY183" i="3"/>
  <c r="DZ183" i="3"/>
  <c r="EA183" i="3"/>
  <c r="EB183" i="3"/>
  <c r="EC183" i="3"/>
  <c r="ED183" i="3"/>
  <c r="EE183" i="3"/>
  <c r="EF183" i="3"/>
  <c r="EG183" i="3"/>
  <c r="EH183" i="3"/>
  <c r="EI183" i="3"/>
  <c r="EJ183" i="3"/>
  <c r="EK183" i="3"/>
  <c r="EL183" i="3"/>
  <c r="EM183" i="3"/>
  <c r="EN183" i="3"/>
  <c r="EO183" i="3"/>
  <c r="EP183" i="3"/>
  <c r="EQ183" i="3"/>
  <c r="ER183" i="3"/>
  <c r="ES183" i="3"/>
  <c r="ET183" i="3"/>
  <c r="EU183" i="3"/>
  <c r="EV183" i="3"/>
  <c r="EW183" i="3"/>
  <c r="EX183" i="3"/>
  <c r="EY183" i="3"/>
  <c r="EZ183" i="3"/>
  <c r="FA183" i="3"/>
  <c r="FB183" i="3"/>
  <c r="FC183" i="3"/>
  <c r="FD183" i="3"/>
  <c r="FE183" i="3"/>
  <c r="FF183" i="3"/>
  <c r="FG183" i="3"/>
  <c r="FH183" i="3"/>
  <c r="FI183" i="3"/>
  <c r="FJ183" i="3"/>
  <c r="FK183" i="3"/>
  <c r="FL183" i="3"/>
  <c r="FM183" i="3"/>
  <c r="FN183" i="3"/>
  <c r="FO183" i="3"/>
  <c r="FP183" i="3"/>
  <c r="FQ183" i="3"/>
  <c r="FR183" i="3"/>
  <c r="FS183" i="3"/>
  <c r="FT183" i="3"/>
  <c r="FU183" i="3"/>
  <c r="FV183" i="3"/>
  <c r="FW183" i="3"/>
  <c r="FX183" i="3"/>
  <c r="FY183" i="3"/>
  <c r="FZ183" i="3"/>
  <c r="GA183" i="3"/>
  <c r="GB183" i="3"/>
  <c r="GC183" i="3"/>
  <c r="GD183" i="3"/>
  <c r="GE183" i="3"/>
  <c r="GF183" i="3"/>
  <c r="GG183" i="3"/>
  <c r="GH183" i="3"/>
  <c r="GI183" i="3"/>
  <c r="GJ183" i="3"/>
  <c r="GK183" i="3"/>
  <c r="GL183" i="3"/>
  <c r="GM183" i="3"/>
  <c r="GN183" i="3"/>
  <c r="GO183" i="3"/>
  <c r="GP183" i="3"/>
  <c r="GQ183" i="3"/>
  <c r="GR183" i="3"/>
  <c r="GS183" i="3"/>
  <c r="GT183" i="3"/>
  <c r="GU183" i="3"/>
  <c r="GV183" i="3"/>
  <c r="GW183" i="3"/>
  <c r="GX183" i="3"/>
  <c r="GY183" i="3"/>
  <c r="GZ183" i="3"/>
  <c r="HA183" i="3"/>
  <c r="HB183" i="3"/>
  <c r="HC183" i="3"/>
  <c r="HD183" i="3"/>
  <c r="HE183" i="3"/>
  <c r="HF183" i="3"/>
  <c r="HG183" i="3"/>
  <c r="HH183" i="3"/>
  <c r="HI183" i="3"/>
  <c r="HJ183" i="3"/>
  <c r="HK183" i="3"/>
  <c r="HL183" i="3"/>
  <c r="HM183" i="3"/>
  <c r="HN183" i="3"/>
  <c r="HO183" i="3"/>
  <c r="HP183" i="3"/>
  <c r="HQ183" i="3"/>
  <c r="HR183" i="3"/>
  <c r="HS183" i="3"/>
  <c r="HT183" i="3"/>
  <c r="HU183" i="3"/>
  <c r="HV183" i="3"/>
  <c r="HW183" i="3"/>
  <c r="HX183" i="3"/>
  <c r="HY183" i="3"/>
  <c r="HZ183" i="3"/>
  <c r="IA183" i="3"/>
  <c r="IB183" i="3"/>
  <c r="IC183" i="3"/>
  <c r="ID183" i="3"/>
  <c r="IE183" i="3"/>
  <c r="IF183" i="3"/>
  <c r="IG183" i="3"/>
  <c r="IH183" i="3"/>
  <c r="II183" i="3"/>
  <c r="IJ183" i="3"/>
  <c r="IK183" i="3"/>
  <c r="IL183" i="3"/>
  <c r="IM183" i="3"/>
  <c r="IN183" i="3"/>
  <c r="IO183" i="3"/>
  <c r="IP183" i="3"/>
  <c r="IQ183" i="3"/>
  <c r="IR183" i="3"/>
  <c r="IS183" i="3"/>
  <c r="IT183" i="3"/>
  <c r="IU183" i="3"/>
  <c r="IV183" i="3"/>
  <c r="A182" i="3"/>
  <c r="B182" i="3"/>
  <c r="C182" i="3"/>
  <c r="D182" i="3"/>
  <c r="E182" i="3"/>
  <c r="F182" i="3"/>
  <c r="G182" i="3"/>
  <c r="H182" i="3"/>
  <c r="I182" i="3"/>
  <c r="J182" i="3"/>
  <c r="K182" i="3"/>
  <c r="L182" i="3"/>
  <c r="M182" i="3"/>
  <c r="N182" i="3"/>
  <c r="O182" i="3"/>
  <c r="P182" i="3"/>
  <c r="Q182" i="3"/>
  <c r="R182" i="3"/>
  <c r="S182" i="3"/>
  <c r="T182" i="3"/>
  <c r="U182" i="3"/>
  <c r="V182" i="3"/>
  <c r="W182" i="3"/>
  <c r="X182" i="3"/>
  <c r="Y182" i="3"/>
  <c r="Z182" i="3"/>
  <c r="AA182" i="3"/>
  <c r="AB182" i="3"/>
  <c r="AC182" i="3"/>
  <c r="AD182" i="3"/>
  <c r="AE182" i="3"/>
  <c r="AF182" i="3"/>
  <c r="AG182" i="3"/>
  <c r="AH182" i="3"/>
  <c r="AI182" i="3"/>
  <c r="AJ182" i="3"/>
  <c r="AK182" i="3"/>
  <c r="AL182" i="3"/>
  <c r="AM182" i="3"/>
  <c r="AN182" i="3"/>
  <c r="AO182" i="3"/>
  <c r="AP182" i="3"/>
  <c r="AQ182" i="3"/>
  <c r="AR182" i="3"/>
  <c r="AS182" i="3"/>
  <c r="AT182" i="3"/>
  <c r="AU182" i="3"/>
  <c r="AV182" i="3"/>
  <c r="AW182" i="3"/>
  <c r="AX182" i="3"/>
  <c r="AY182" i="3"/>
  <c r="AZ182" i="3"/>
  <c r="BA182" i="3"/>
  <c r="BB182" i="3"/>
  <c r="BC182" i="3"/>
  <c r="BD182" i="3"/>
  <c r="BE182" i="3"/>
  <c r="BF182" i="3"/>
  <c r="BG182" i="3"/>
  <c r="BH182" i="3"/>
  <c r="BI182" i="3"/>
  <c r="BJ182" i="3"/>
  <c r="BK182" i="3"/>
  <c r="BL182" i="3"/>
  <c r="BM182" i="3"/>
  <c r="BN182" i="3"/>
  <c r="BO182" i="3"/>
  <c r="BP182" i="3"/>
  <c r="BQ182" i="3"/>
  <c r="BR182" i="3"/>
  <c r="BS182" i="3"/>
  <c r="BT182" i="3"/>
  <c r="BU182" i="3"/>
  <c r="BV182" i="3"/>
  <c r="BW182" i="3"/>
  <c r="BX182" i="3"/>
  <c r="BY182" i="3"/>
  <c r="BZ182" i="3"/>
  <c r="CA182" i="3"/>
  <c r="CB182" i="3"/>
  <c r="CC182" i="3"/>
  <c r="CD182" i="3"/>
  <c r="CE182" i="3"/>
  <c r="CF182" i="3"/>
  <c r="CG182" i="3"/>
  <c r="CH182" i="3"/>
  <c r="CI182" i="3"/>
  <c r="CJ182" i="3"/>
  <c r="CK182" i="3"/>
  <c r="CL182" i="3"/>
  <c r="CM182" i="3"/>
  <c r="CN182" i="3"/>
  <c r="CO182" i="3"/>
  <c r="CP182" i="3"/>
  <c r="CQ182" i="3"/>
  <c r="CR182" i="3"/>
  <c r="CS182" i="3"/>
  <c r="CT182" i="3"/>
  <c r="CU182" i="3"/>
  <c r="CV182" i="3"/>
  <c r="CW182" i="3"/>
  <c r="CX182" i="3"/>
  <c r="CY182" i="3"/>
  <c r="CZ182" i="3"/>
  <c r="DA182" i="3"/>
  <c r="DB182" i="3"/>
  <c r="DC182" i="3"/>
  <c r="DD182" i="3"/>
  <c r="DE182" i="3"/>
  <c r="DF182" i="3"/>
  <c r="DG182" i="3"/>
  <c r="DH182" i="3"/>
  <c r="DI182" i="3"/>
  <c r="DJ182" i="3"/>
  <c r="DK182" i="3"/>
  <c r="DL182" i="3"/>
  <c r="DM182" i="3"/>
  <c r="DN182" i="3"/>
  <c r="DO182" i="3"/>
  <c r="DP182" i="3"/>
  <c r="DQ182" i="3"/>
  <c r="DR182" i="3"/>
  <c r="DS182" i="3"/>
  <c r="DT182" i="3"/>
  <c r="DU182" i="3"/>
  <c r="DV182" i="3"/>
  <c r="DW182" i="3"/>
  <c r="DX182" i="3"/>
  <c r="DY182" i="3"/>
  <c r="DZ182" i="3"/>
  <c r="EA182" i="3"/>
  <c r="EB182" i="3"/>
  <c r="EC182" i="3"/>
  <c r="ED182" i="3"/>
  <c r="EE182" i="3"/>
  <c r="EF182" i="3"/>
  <c r="EG182" i="3"/>
  <c r="EH182" i="3"/>
  <c r="EI182" i="3"/>
  <c r="EJ182" i="3"/>
  <c r="EK182" i="3"/>
  <c r="EL182" i="3"/>
  <c r="EM182" i="3"/>
  <c r="EN182" i="3"/>
  <c r="EO182" i="3"/>
  <c r="EP182" i="3"/>
  <c r="EQ182" i="3"/>
  <c r="ER182" i="3"/>
  <c r="ES182" i="3"/>
  <c r="ET182" i="3"/>
  <c r="EU182" i="3"/>
  <c r="EV182" i="3"/>
  <c r="EW182" i="3"/>
  <c r="EX182" i="3"/>
  <c r="EY182" i="3"/>
  <c r="EZ182" i="3"/>
  <c r="FA182" i="3"/>
  <c r="FB182" i="3"/>
  <c r="FC182" i="3"/>
  <c r="FD182" i="3"/>
  <c r="FE182" i="3"/>
  <c r="FF182" i="3"/>
  <c r="FG182" i="3"/>
  <c r="FH182" i="3"/>
  <c r="FI182" i="3"/>
  <c r="FJ182" i="3"/>
  <c r="FK182" i="3"/>
  <c r="FL182" i="3"/>
  <c r="FM182" i="3"/>
  <c r="FN182" i="3"/>
  <c r="FO182" i="3"/>
  <c r="FP182" i="3"/>
  <c r="FQ182" i="3"/>
  <c r="FR182" i="3"/>
  <c r="FS182" i="3"/>
  <c r="FT182" i="3"/>
  <c r="FU182" i="3"/>
  <c r="FV182" i="3"/>
  <c r="FW182" i="3"/>
  <c r="FX182" i="3"/>
  <c r="FY182" i="3"/>
  <c r="FZ182" i="3"/>
  <c r="GA182" i="3"/>
  <c r="GB182" i="3"/>
  <c r="GC182" i="3"/>
  <c r="GD182" i="3"/>
  <c r="GE182" i="3"/>
  <c r="GF182" i="3"/>
  <c r="GG182" i="3"/>
  <c r="GH182" i="3"/>
  <c r="GI182" i="3"/>
  <c r="GJ182" i="3"/>
  <c r="GK182" i="3"/>
  <c r="GL182" i="3"/>
  <c r="GM182" i="3"/>
  <c r="GN182" i="3"/>
  <c r="GO182" i="3"/>
  <c r="GP182" i="3"/>
  <c r="GQ182" i="3"/>
  <c r="GR182" i="3"/>
  <c r="GS182" i="3"/>
  <c r="GT182" i="3"/>
  <c r="GU182" i="3"/>
  <c r="GV182" i="3"/>
  <c r="GW182" i="3"/>
  <c r="GX182" i="3"/>
  <c r="GY182" i="3"/>
  <c r="GZ182" i="3"/>
  <c r="HA182" i="3"/>
  <c r="HB182" i="3"/>
  <c r="HC182" i="3"/>
  <c r="HD182" i="3"/>
  <c r="HE182" i="3"/>
  <c r="HF182" i="3"/>
  <c r="HG182" i="3"/>
  <c r="HH182" i="3"/>
  <c r="HI182" i="3"/>
  <c r="HJ182" i="3"/>
  <c r="HK182" i="3"/>
  <c r="HL182" i="3"/>
  <c r="HM182" i="3"/>
  <c r="HN182" i="3"/>
  <c r="HO182" i="3"/>
  <c r="HP182" i="3"/>
  <c r="HQ182" i="3"/>
  <c r="HR182" i="3"/>
  <c r="HS182" i="3"/>
  <c r="HT182" i="3"/>
  <c r="HU182" i="3"/>
  <c r="HV182" i="3"/>
  <c r="HW182" i="3"/>
  <c r="HX182" i="3"/>
  <c r="HY182" i="3"/>
  <c r="HZ182" i="3"/>
  <c r="IA182" i="3"/>
  <c r="IB182" i="3"/>
  <c r="IC182" i="3"/>
  <c r="ID182" i="3"/>
  <c r="IE182" i="3"/>
  <c r="IF182" i="3"/>
  <c r="IG182" i="3"/>
  <c r="IH182" i="3"/>
  <c r="II182" i="3"/>
  <c r="IJ182" i="3"/>
  <c r="IK182" i="3"/>
  <c r="IL182" i="3"/>
  <c r="IM182" i="3"/>
  <c r="IN182" i="3"/>
  <c r="IO182" i="3"/>
  <c r="IP182" i="3"/>
  <c r="IQ182" i="3"/>
  <c r="IR182" i="3"/>
  <c r="IS182" i="3"/>
  <c r="IT182" i="3"/>
  <c r="IU182" i="3"/>
  <c r="IV182" i="3"/>
  <c r="A181" i="3"/>
  <c r="B181" i="3"/>
  <c r="C181" i="3"/>
  <c r="D181" i="3"/>
  <c r="E181" i="3"/>
  <c r="F181" i="3"/>
  <c r="G181" i="3"/>
  <c r="H181" i="3"/>
  <c r="I181" i="3"/>
  <c r="J181" i="3"/>
  <c r="K181" i="3"/>
  <c r="L181" i="3"/>
  <c r="M181" i="3"/>
  <c r="N181" i="3"/>
  <c r="O181" i="3"/>
  <c r="P181" i="3"/>
  <c r="Q181" i="3"/>
  <c r="R181" i="3"/>
  <c r="S181" i="3"/>
  <c r="T181" i="3"/>
  <c r="U181" i="3"/>
  <c r="V181" i="3"/>
  <c r="W181" i="3"/>
  <c r="X181" i="3"/>
  <c r="Y181" i="3"/>
  <c r="Z181" i="3"/>
  <c r="AA181" i="3"/>
  <c r="AB181" i="3"/>
  <c r="AC181" i="3"/>
  <c r="AD181" i="3"/>
  <c r="AE181" i="3"/>
  <c r="AF181" i="3"/>
  <c r="AG181" i="3"/>
  <c r="AH181" i="3"/>
  <c r="AI181" i="3"/>
  <c r="AJ181" i="3"/>
  <c r="AK181" i="3"/>
  <c r="AL181" i="3"/>
  <c r="AM181" i="3"/>
  <c r="AN181" i="3"/>
  <c r="AO181" i="3"/>
  <c r="AP181" i="3"/>
  <c r="AQ181" i="3"/>
  <c r="AR181" i="3"/>
  <c r="AS181" i="3"/>
  <c r="AT181" i="3"/>
  <c r="AU181" i="3"/>
  <c r="AV181" i="3"/>
  <c r="AW181" i="3"/>
  <c r="AX181" i="3"/>
  <c r="AY181" i="3"/>
  <c r="AZ181" i="3"/>
  <c r="BA181" i="3"/>
  <c r="BB181" i="3"/>
  <c r="BC181" i="3"/>
  <c r="BD181" i="3"/>
  <c r="BE181" i="3"/>
  <c r="BF181" i="3"/>
  <c r="BG181" i="3"/>
  <c r="BH181" i="3"/>
  <c r="BI181" i="3"/>
  <c r="BJ181" i="3"/>
  <c r="BK181" i="3"/>
  <c r="BL181" i="3"/>
  <c r="BM181" i="3"/>
  <c r="BN181" i="3"/>
  <c r="BO181" i="3"/>
  <c r="BP181" i="3"/>
  <c r="BQ181" i="3"/>
  <c r="BR181" i="3"/>
  <c r="BS181" i="3"/>
  <c r="BT181" i="3"/>
  <c r="BU181" i="3"/>
  <c r="BV181" i="3"/>
  <c r="BW181" i="3"/>
  <c r="BX181" i="3"/>
  <c r="BY181" i="3"/>
  <c r="BZ181" i="3"/>
  <c r="CA181" i="3"/>
  <c r="CB181" i="3"/>
  <c r="CC181" i="3"/>
  <c r="CD181" i="3"/>
  <c r="CE181" i="3"/>
  <c r="CF181" i="3"/>
  <c r="CG181" i="3"/>
  <c r="CH181" i="3"/>
  <c r="CI181" i="3"/>
  <c r="CJ181" i="3"/>
  <c r="CK181" i="3"/>
  <c r="CL181" i="3"/>
  <c r="CM181" i="3"/>
  <c r="CN181" i="3"/>
  <c r="CO181" i="3"/>
  <c r="CP181" i="3"/>
  <c r="CQ181" i="3"/>
  <c r="CR181" i="3"/>
  <c r="CS181" i="3"/>
  <c r="CT181" i="3"/>
  <c r="CU181" i="3"/>
  <c r="CV181" i="3"/>
  <c r="CW181" i="3"/>
  <c r="CX181" i="3"/>
  <c r="CY181" i="3"/>
  <c r="CZ181" i="3"/>
  <c r="DA181" i="3"/>
  <c r="DB181" i="3"/>
  <c r="DC181" i="3"/>
  <c r="DD181" i="3"/>
  <c r="DE181" i="3"/>
  <c r="DF181" i="3"/>
  <c r="DG181" i="3"/>
  <c r="DH181" i="3"/>
  <c r="DI181" i="3"/>
  <c r="DJ181" i="3"/>
  <c r="DK181" i="3"/>
  <c r="DL181" i="3"/>
  <c r="DM181" i="3"/>
  <c r="DN181" i="3"/>
  <c r="DO181" i="3"/>
  <c r="DP181" i="3"/>
  <c r="DQ181" i="3"/>
  <c r="DR181" i="3"/>
  <c r="DS181" i="3"/>
  <c r="DT181" i="3"/>
  <c r="DU181" i="3"/>
  <c r="DV181" i="3"/>
  <c r="DW181" i="3"/>
  <c r="DX181" i="3"/>
  <c r="DY181" i="3"/>
  <c r="DZ181" i="3"/>
  <c r="EA181" i="3"/>
  <c r="EB181" i="3"/>
  <c r="EC181" i="3"/>
  <c r="ED181" i="3"/>
  <c r="EE181" i="3"/>
  <c r="EF181" i="3"/>
  <c r="EG181" i="3"/>
  <c r="EH181" i="3"/>
  <c r="EI181" i="3"/>
  <c r="EJ181" i="3"/>
  <c r="EK181" i="3"/>
  <c r="EL181" i="3"/>
  <c r="EM181" i="3"/>
  <c r="EN181" i="3"/>
  <c r="EO181" i="3"/>
  <c r="EP181" i="3"/>
  <c r="EQ181" i="3"/>
  <c r="ER181" i="3"/>
  <c r="ES181" i="3"/>
  <c r="ET181" i="3"/>
  <c r="EU181" i="3"/>
  <c r="EV181" i="3"/>
  <c r="EW181" i="3"/>
  <c r="EX181" i="3"/>
  <c r="EY181" i="3"/>
  <c r="EZ181" i="3"/>
  <c r="FA181" i="3"/>
  <c r="FB181" i="3"/>
  <c r="FC181" i="3"/>
  <c r="FD181" i="3"/>
  <c r="FE181" i="3"/>
  <c r="FF181" i="3"/>
  <c r="FG181" i="3"/>
  <c r="FH181" i="3"/>
  <c r="FI181" i="3"/>
  <c r="FJ181" i="3"/>
  <c r="FK181" i="3"/>
  <c r="FL181" i="3"/>
  <c r="FM181" i="3"/>
  <c r="FN181" i="3"/>
  <c r="FO181" i="3"/>
  <c r="FP181" i="3"/>
  <c r="FQ181" i="3"/>
  <c r="FR181" i="3"/>
  <c r="FS181" i="3"/>
  <c r="FT181" i="3"/>
  <c r="FU181" i="3"/>
  <c r="FV181" i="3"/>
  <c r="FW181" i="3"/>
  <c r="FX181" i="3"/>
  <c r="FY181" i="3"/>
  <c r="FZ181" i="3"/>
  <c r="GA181" i="3"/>
  <c r="GB181" i="3"/>
  <c r="GC181" i="3"/>
  <c r="GD181" i="3"/>
  <c r="GE181" i="3"/>
  <c r="GF181" i="3"/>
  <c r="GG181" i="3"/>
  <c r="GH181" i="3"/>
  <c r="GI181" i="3"/>
  <c r="GJ181" i="3"/>
  <c r="GK181" i="3"/>
  <c r="GL181" i="3"/>
  <c r="GM181" i="3"/>
  <c r="GN181" i="3"/>
  <c r="GO181" i="3"/>
  <c r="GP181" i="3"/>
  <c r="GQ181" i="3"/>
  <c r="GR181" i="3"/>
  <c r="GS181" i="3"/>
  <c r="GT181" i="3"/>
  <c r="GU181" i="3"/>
  <c r="GV181" i="3"/>
  <c r="GW181" i="3"/>
  <c r="GX181" i="3"/>
  <c r="GY181" i="3"/>
  <c r="GZ181" i="3"/>
  <c r="HA181" i="3"/>
  <c r="HB181" i="3"/>
  <c r="HC181" i="3"/>
  <c r="HD181" i="3"/>
  <c r="HE181" i="3"/>
  <c r="HF181" i="3"/>
  <c r="HG181" i="3"/>
  <c r="HH181" i="3"/>
  <c r="HI181" i="3"/>
  <c r="HJ181" i="3"/>
  <c r="HK181" i="3"/>
  <c r="HL181" i="3"/>
  <c r="HM181" i="3"/>
  <c r="HN181" i="3"/>
  <c r="HO181" i="3"/>
  <c r="HP181" i="3"/>
  <c r="HQ181" i="3"/>
  <c r="HR181" i="3"/>
  <c r="HS181" i="3"/>
  <c r="HT181" i="3"/>
  <c r="HU181" i="3"/>
  <c r="HV181" i="3"/>
  <c r="HW181" i="3"/>
  <c r="HX181" i="3"/>
  <c r="HY181" i="3"/>
  <c r="HZ181" i="3"/>
  <c r="IA181" i="3"/>
  <c r="IB181" i="3"/>
  <c r="IC181" i="3"/>
  <c r="ID181" i="3"/>
  <c r="IE181" i="3"/>
  <c r="IF181" i="3"/>
  <c r="IG181" i="3"/>
  <c r="IH181" i="3"/>
  <c r="II181" i="3"/>
  <c r="IJ181" i="3"/>
  <c r="IK181" i="3"/>
  <c r="IL181" i="3"/>
  <c r="IM181" i="3"/>
  <c r="IN181" i="3"/>
  <c r="IO181" i="3"/>
  <c r="IP181" i="3"/>
  <c r="IQ181" i="3"/>
  <c r="IR181" i="3"/>
  <c r="IS181" i="3"/>
  <c r="IT181" i="3"/>
  <c r="IU181" i="3"/>
  <c r="IV181" i="3"/>
  <c r="A180" i="3"/>
  <c r="B180" i="3"/>
  <c r="C180" i="3"/>
  <c r="D180" i="3"/>
  <c r="E180" i="3"/>
  <c r="F180" i="3"/>
  <c r="G180" i="3"/>
  <c r="H180" i="3"/>
  <c r="I180" i="3"/>
  <c r="J180" i="3"/>
  <c r="K180" i="3"/>
  <c r="L180" i="3"/>
  <c r="M180" i="3"/>
  <c r="N180" i="3"/>
  <c r="O180" i="3"/>
  <c r="P180" i="3"/>
  <c r="Q180" i="3"/>
  <c r="R180" i="3"/>
  <c r="S180" i="3"/>
  <c r="T180" i="3"/>
  <c r="U180" i="3"/>
  <c r="V180" i="3"/>
  <c r="W180" i="3"/>
  <c r="X180" i="3"/>
  <c r="Y180" i="3"/>
  <c r="Z180" i="3"/>
  <c r="AA180" i="3"/>
  <c r="AB180" i="3"/>
  <c r="AC180" i="3"/>
  <c r="AD180" i="3"/>
  <c r="AE180" i="3"/>
  <c r="AF180" i="3"/>
  <c r="AG180" i="3"/>
  <c r="AH180" i="3"/>
  <c r="AI180" i="3"/>
  <c r="AJ180" i="3"/>
  <c r="AK180" i="3"/>
  <c r="AL180" i="3"/>
  <c r="AM180" i="3"/>
  <c r="AN180" i="3"/>
  <c r="AO180" i="3"/>
  <c r="AP180" i="3"/>
  <c r="AQ180" i="3"/>
  <c r="AR180" i="3"/>
  <c r="AS180" i="3"/>
  <c r="AT180" i="3"/>
  <c r="AU180" i="3"/>
  <c r="AV180" i="3"/>
  <c r="AW180" i="3"/>
  <c r="AX180" i="3"/>
  <c r="AY180" i="3"/>
  <c r="AZ180" i="3"/>
  <c r="BA180" i="3"/>
  <c r="BB180" i="3"/>
  <c r="BC180" i="3"/>
  <c r="BD180" i="3"/>
  <c r="BE180" i="3"/>
  <c r="BF180" i="3"/>
  <c r="BG180" i="3"/>
  <c r="BH180" i="3"/>
  <c r="BI180" i="3"/>
  <c r="BJ180" i="3"/>
  <c r="BK180" i="3"/>
  <c r="BL180" i="3"/>
  <c r="BM180" i="3"/>
  <c r="BN180" i="3"/>
  <c r="BO180" i="3"/>
  <c r="BP180" i="3"/>
  <c r="BQ180" i="3"/>
  <c r="BR180" i="3"/>
  <c r="BS180" i="3"/>
  <c r="BT180" i="3"/>
  <c r="BU180" i="3"/>
  <c r="BV180" i="3"/>
  <c r="BW180" i="3"/>
  <c r="BX180" i="3"/>
  <c r="BY180" i="3"/>
  <c r="BZ180" i="3"/>
  <c r="CA180" i="3"/>
  <c r="CB180" i="3"/>
  <c r="CC180" i="3"/>
  <c r="CD180" i="3"/>
  <c r="CE180" i="3"/>
  <c r="CF180" i="3"/>
  <c r="CG180" i="3"/>
  <c r="CH180" i="3"/>
  <c r="CI180" i="3"/>
  <c r="CJ180" i="3"/>
  <c r="CK180" i="3"/>
  <c r="CL180" i="3"/>
  <c r="CM180" i="3"/>
  <c r="CN180" i="3"/>
  <c r="CO180" i="3"/>
  <c r="CP180" i="3"/>
  <c r="CQ180" i="3"/>
  <c r="CR180" i="3"/>
  <c r="CS180" i="3"/>
  <c r="CT180" i="3"/>
  <c r="CU180" i="3"/>
  <c r="CV180" i="3"/>
  <c r="CW180" i="3"/>
  <c r="CX180" i="3"/>
  <c r="CY180" i="3"/>
  <c r="CZ180" i="3"/>
  <c r="DA180" i="3"/>
  <c r="DB180" i="3"/>
  <c r="DC180" i="3"/>
  <c r="DD180" i="3"/>
  <c r="DE180" i="3"/>
  <c r="DF180" i="3"/>
  <c r="DG180" i="3"/>
  <c r="DH180" i="3"/>
  <c r="DI180" i="3"/>
  <c r="DJ180" i="3"/>
  <c r="DK180" i="3"/>
  <c r="DL180" i="3"/>
  <c r="DM180" i="3"/>
  <c r="DN180" i="3"/>
  <c r="DO180" i="3"/>
  <c r="DP180" i="3"/>
  <c r="DQ180" i="3"/>
  <c r="DR180" i="3"/>
  <c r="DS180" i="3"/>
  <c r="DT180" i="3"/>
  <c r="DU180" i="3"/>
  <c r="DV180" i="3"/>
  <c r="DW180" i="3"/>
  <c r="DX180" i="3"/>
  <c r="DY180" i="3"/>
  <c r="DZ180" i="3"/>
  <c r="EA180" i="3"/>
  <c r="EB180" i="3"/>
  <c r="EC180" i="3"/>
  <c r="ED180" i="3"/>
  <c r="EE180" i="3"/>
  <c r="EF180" i="3"/>
  <c r="EG180" i="3"/>
  <c r="EH180" i="3"/>
  <c r="EI180" i="3"/>
  <c r="EJ180" i="3"/>
  <c r="EK180" i="3"/>
  <c r="EL180" i="3"/>
  <c r="EM180" i="3"/>
  <c r="EN180" i="3"/>
  <c r="EO180" i="3"/>
  <c r="EP180" i="3"/>
  <c r="EQ180" i="3"/>
  <c r="ER180" i="3"/>
  <c r="ES180" i="3"/>
  <c r="ET180" i="3"/>
  <c r="EU180" i="3"/>
  <c r="EV180" i="3"/>
  <c r="EW180" i="3"/>
  <c r="EX180" i="3"/>
  <c r="EY180" i="3"/>
  <c r="EZ180" i="3"/>
  <c r="FA180" i="3"/>
  <c r="FB180" i="3"/>
  <c r="FC180" i="3"/>
  <c r="FD180" i="3"/>
  <c r="FE180" i="3"/>
  <c r="FF180" i="3"/>
  <c r="FG180" i="3"/>
  <c r="FH180" i="3"/>
  <c r="FI180" i="3"/>
  <c r="FJ180" i="3"/>
  <c r="FK180" i="3"/>
  <c r="FL180" i="3"/>
  <c r="FM180" i="3"/>
  <c r="FN180" i="3"/>
  <c r="FO180" i="3"/>
  <c r="FP180" i="3"/>
  <c r="FQ180" i="3"/>
  <c r="FR180" i="3"/>
  <c r="FS180" i="3"/>
  <c r="FT180" i="3"/>
  <c r="FU180" i="3"/>
  <c r="FV180" i="3"/>
  <c r="FW180" i="3"/>
  <c r="FX180" i="3"/>
  <c r="FY180" i="3"/>
  <c r="FZ180" i="3"/>
  <c r="GA180" i="3"/>
  <c r="GB180" i="3"/>
  <c r="GC180" i="3"/>
  <c r="GD180" i="3"/>
  <c r="GE180" i="3"/>
  <c r="GF180" i="3"/>
  <c r="GG180" i="3"/>
  <c r="GH180" i="3"/>
  <c r="GI180" i="3"/>
  <c r="GJ180" i="3"/>
  <c r="GK180" i="3"/>
  <c r="GL180" i="3"/>
  <c r="GM180" i="3"/>
  <c r="GN180" i="3"/>
  <c r="GO180" i="3"/>
  <c r="GP180" i="3"/>
  <c r="GQ180" i="3"/>
  <c r="GR180" i="3"/>
  <c r="GS180" i="3"/>
  <c r="GT180" i="3"/>
  <c r="GU180" i="3"/>
  <c r="GV180" i="3"/>
  <c r="GW180" i="3"/>
  <c r="GX180" i="3"/>
  <c r="GY180" i="3"/>
  <c r="GZ180" i="3"/>
  <c r="HA180" i="3"/>
  <c r="HB180" i="3"/>
  <c r="HC180" i="3"/>
  <c r="HD180" i="3"/>
  <c r="HE180" i="3"/>
  <c r="HF180" i="3"/>
  <c r="HG180" i="3"/>
  <c r="HH180" i="3"/>
  <c r="HI180" i="3"/>
  <c r="HJ180" i="3"/>
  <c r="HK180" i="3"/>
  <c r="HL180" i="3"/>
  <c r="HM180" i="3"/>
  <c r="HN180" i="3"/>
  <c r="HO180" i="3"/>
  <c r="HP180" i="3"/>
  <c r="HQ180" i="3"/>
  <c r="HR180" i="3"/>
  <c r="HS180" i="3"/>
  <c r="HT180" i="3"/>
  <c r="HU180" i="3"/>
  <c r="HV180" i="3"/>
  <c r="HW180" i="3"/>
  <c r="HX180" i="3"/>
  <c r="HY180" i="3"/>
  <c r="HZ180" i="3"/>
  <c r="IA180" i="3"/>
  <c r="IB180" i="3"/>
  <c r="IC180" i="3"/>
  <c r="ID180" i="3"/>
  <c r="IE180" i="3"/>
  <c r="IF180" i="3"/>
  <c r="IG180" i="3"/>
  <c r="IH180" i="3"/>
  <c r="II180" i="3"/>
  <c r="IJ180" i="3"/>
  <c r="IK180" i="3"/>
  <c r="IL180" i="3"/>
  <c r="IM180" i="3"/>
  <c r="IN180" i="3"/>
  <c r="IO180" i="3"/>
  <c r="IP180" i="3"/>
  <c r="IQ180" i="3"/>
  <c r="IR180" i="3"/>
  <c r="IS180" i="3"/>
  <c r="IT180" i="3"/>
  <c r="IU180" i="3"/>
  <c r="IV180" i="3"/>
  <c r="A179" i="3"/>
  <c r="B179" i="3"/>
  <c r="C179" i="3"/>
  <c r="D179" i="3"/>
  <c r="E179" i="3"/>
  <c r="F179" i="3"/>
  <c r="G179" i="3"/>
  <c r="H179" i="3"/>
  <c r="I179" i="3"/>
  <c r="J179" i="3"/>
  <c r="K179" i="3"/>
  <c r="L179" i="3"/>
  <c r="M179" i="3"/>
  <c r="N179" i="3"/>
  <c r="O179" i="3"/>
  <c r="P179" i="3"/>
  <c r="Q179" i="3"/>
  <c r="R179" i="3"/>
  <c r="S179" i="3"/>
  <c r="T179" i="3"/>
  <c r="U179" i="3"/>
  <c r="V179" i="3"/>
  <c r="W179" i="3"/>
  <c r="X179" i="3"/>
  <c r="Y179" i="3"/>
  <c r="Z179" i="3"/>
  <c r="AA179" i="3"/>
  <c r="AB179" i="3"/>
  <c r="AC179" i="3"/>
  <c r="AD179" i="3"/>
  <c r="AE179" i="3"/>
  <c r="AF179" i="3"/>
  <c r="AG179" i="3"/>
  <c r="AH179" i="3"/>
  <c r="AI179" i="3"/>
  <c r="AJ179" i="3"/>
  <c r="AK179" i="3"/>
  <c r="AL179" i="3"/>
  <c r="AM179" i="3"/>
  <c r="AN179" i="3"/>
  <c r="AO179" i="3"/>
  <c r="AP179" i="3"/>
  <c r="AQ179" i="3"/>
  <c r="AR179" i="3"/>
  <c r="AS179" i="3"/>
  <c r="AT179" i="3"/>
  <c r="AU179" i="3"/>
  <c r="AV179" i="3"/>
  <c r="AW179" i="3"/>
  <c r="AX179" i="3"/>
  <c r="AY179" i="3"/>
  <c r="AZ179" i="3"/>
  <c r="BA179" i="3"/>
  <c r="BB179" i="3"/>
  <c r="BC179" i="3"/>
  <c r="BD179" i="3"/>
  <c r="BE179" i="3"/>
  <c r="BF179" i="3"/>
  <c r="BG179" i="3"/>
  <c r="BH179" i="3"/>
  <c r="BI179" i="3"/>
  <c r="BJ179" i="3"/>
  <c r="BK179" i="3"/>
  <c r="BL179" i="3"/>
  <c r="BM179" i="3"/>
  <c r="BN179" i="3"/>
  <c r="BO179" i="3"/>
  <c r="BP179" i="3"/>
  <c r="BQ179" i="3"/>
  <c r="BR179" i="3"/>
  <c r="BS179" i="3"/>
  <c r="BT179" i="3"/>
  <c r="BU179" i="3"/>
  <c r="BV179" i="3"/>
  <c r="BW179" i="3"/>
  <c r="BX179" i="3"/>
  <c r="BY179" i="3"/>
  <c r="BZ179" i="3"/>
  <c r="CA179" i="3"/>
  <c r="CB179" i="3"/>
  <c r="CC179" i="3"/>
  <c r="CD179" i="3"/>
  <c r="CE179" i="3"/>
  <c r="CF179" i="3"/>
  <c r="CG179" i="3"/>
  <c r="CH179" i="3"/>
  <c r="CI179" i="3"/>
  <c r="CJ179" i="3"/>
  <c r="CK179" i="3"/>
  <c r="CL179" i="3"/>
  <c r="CM179" i="3"/>
  <c r="CN179" i="3"/>
  <c r="CO179" i="3"/>
  <c r="CP179" i="3"/>
  <c r="CQ179" i="3"/>
  <c r="CR179" i="3"/>
  <c r="CS179" i="3"/>
  <c r="CT179" i="3"/>
  <c r="CU179" i="3"/>
  <c r="CV179" i="3"/>
  <c r="CW179" i="3"/>
  <c r="CX179" i="3"/>
  <c r="CY179" i="3"/>
  <c r="CZ179" i="3"/>
  <c r="DA179" i="3"/>
  <c r="DB179" i="3"/>
  <c r="DC179" i="3"/>
  <c r="DD179" i="3"/>
  <c r="DE179" i="3"/>
  <c r="DF179" i="3"/>
  <c r="DG179" i="3"/>
  <c r="DH179" i="3"/>
  <c r="DI179" i="3"/>
  <c r="DJ179" i="3"/>
  <c r="DK179" i="3"/>
  <c r="DL179" i="3"/>
  <c r="DM179" i="3"/>
  <c r="DN179" i="3"/>
  <c r="DO179" i="3"/>
  <c r="DP179" i="3"/>
  <c r="DQ179" i="3"/>
  <c r="DR179" i="3"/>
  <c r="DS179" i="3"/>
  <c r="DT179" i="3"/>
  <c r="DU179" i="3"/>
  <c r="DV179" i="3"/>
  <c r="DW179" i="3"/>
  <c r="DX179" i="3"/>
  <c r="DY179" i="3"/>
  <c r="DZ179" i="3"/>
  <c r="EA179" i="3"/>
  <c r="EB179" i="3"/>
  <c r="EC179" i="3"/>
  <c r="ED179" i="3"/>
  <c r="EE179" i="3"/>
  <c r="EF179" i="3"/>
  <c r="EG179" i="3"/>
  <c r="EH179" i="3"/>
  <c r="EI179" i="3"/>
  <c r="EJ179" i="3"/>
  <c r="EK179" i="3"/>
  <c r="EL179" i="3"/>
  <c r="EM179" i="3"/>
  <c r="EN179" i="3"/>
  <c r="EO179" i="3"/>
  <c r="EP179" i="3"/>
  <c r="EQ179" i="3"/>
  <c r="ER179" i="3"/>
  <c r="ES179" i="3"/>
  <c r="ET179" i="3"/>
  <c r="EU179" i="3"/>
  <c r="EV179" i="3"/>
  <c r="EW179" i="3"/>
  <c r="EX179" i="3"/>
  <c r="EY179" i="3"/>
  <c r="EZ179" i="3"/>
  <c r="FA179" i="3"/>
  <c r="FB179" i="3"/>
  <c r="FC179" i="3"/>
  <c r="FD179" i="3"/>
  <c r="FE179" i="3"/>
  <c r="FF179" i="3"/>
  <c r="FG179" i="3"/>
  <c r="FH179" i="3"/>
  <c r="FI179" i="3"/>
  <c r="FJ179" i="3"/>
  <c r="FK179" i="3"/>
  <c r="FL179" i="3"/>
  <c r="FM179" i="3"/>
  <c r="FN179" i="3"/>
  <c r="FO179" i="3"/>
  <c r="FP179" i="3"/>
  <c r="FQ179" i="3"/>
  <c r="FR179" i="3"/>
  <c r="FS179" i="3"/>
  <c r="FT179" i="3"/>
  <c r="FU179" i="3"/>
  <c r="FV179" i="3"/>
  <c r="FW179" i="3"/>
  <c r="FX179" i="3"/>
  <c r="FY179" i="3"/>
  <c r="FZ179" i="3"/>
  <c r="GA179" i="3"/>
  <c r="GB179" i="3"/>
  <c r="GC179" i="3"/>
  <c r="GD179" i="3"/>
  <c r="GE179" i="3"/>
  <c r="GF179" i="3"/>
  <c r="GG179" i="3"/>
  <c r="GH179" i="3"/>
  <c r="GI179" i="3"/>
  <c r="GJ179" i="3"/>
  <c r="GK179" i="3"/>
  <c r="GL179" i="3"/>
  <c r="GM179" i="3"/>
  <c r="GN179" i="3"/>
  <c r="GO179" i="3"/>
  <c r="GP179" i="3"/>
  <c r="GQ179" i="3"/>
  <c r="GR179" i="3"/>
  <c r="GS179" i="3"/>
  <c r="GT179" i="3"/>
  <c r="GU179" i="3"/>
  <c r="GV179" i="3"/>
  <c r="GW179" i="3"/>
  <c r="GX179" i="3"/>
  <c r="GY179" i="3"/>
  <c r="GZ179" i="3"/>
  <c r="HA179" i="3"/>
  <c r="HB179" i="3"/>
  <c r="HC179" i="3"/>
  <c r="HD179" i="3"/>
  <c r="HE179" i="3"/>
  <c r="HF179" i="3"/>
  <c r="HG179" i="3"/>
  <c r="HH179" i="3"/>
  <c r="HI179" i="3"/>
  <c r="HJ179" i="3"/>
  <c r="HK179" i="3"/>
  <c r="HL179" i="3"/>
  <c r="HM179" i="3"/>
  <c r="HN179" i="3"/>
  <c r="HO179" i="3"/>
  <c r="HP179" i="3"/>
  <c r="HQ179" i="3"/>
  <c r="HR179" i="3"/>
  <c r="HS179" i="3"/>
  <c r="HT179" i="3"/>
  <c r="HU179" i="3"/>
  <c r="HV179" i="3"/>
  <c r="HW179" i="3"/>
  <c r="HX179" i="3"/>
  <c r="HY179" i="3"/>
  <c r="HZ179" i="3"/>
  <c r="IA179" i="3"/>
  <c r="IB179" i="3"/>
  <c r="IC179" i="3"/>
  <c r="ID179" i="3"/>
  <c r="IE179" i="3"/>
  <c r="IF179" i="3"/>
  <c r="IG179" i="3"/>
  <c r="IH179" i="3"/>
  <c r="II179" i="3"/>
  <c r="IJ179" i="3"/>
  <c r="IK179" i="3"/>
  <c r="IL179" i="3"/>
  <c r="IM179" i="3"/>
  <c r="IN179" i="3"/>
  <c r="IO179" i="3"/>
  <c r="IP179" i="3"/>
  <c r="IQ179" i="3"/>
  <c r="IR179" i="3"/>
  <c r="IS179" i="3"/>
  <c r="IT179" i="3"/>
  <c r="IU179" i="3"/>
  <c r="IV179" i="3"/>
  <c r="A178" i="3"/>
  <c r="B178" i="3"/>
  <c r="C178" i="3"/>
  <c r="D178" i="3"/>
  <c r="E178" i="3"/>
  <c r="F178" i="3"/>
  <c r="G178" i="3"/>
  <c r="H178" i="3"/>
  <c r="I178" i="3"/>
  <c r="J178" i="3"/>
  <c r="K178" i="3"/>
  <c r="L178" i="3"/>
  <c r="M178" i="3"/>
  <c r="N178" i="3"/>
  <c r="O178" i="3"/>
  <c r="P178" i="3"/>
  <c r="Q178" i="3"/>
  <c r="R178" i="3"/>
  <c r="S178" i="3"/>
  <c r="T178" i="3"/>
  <c r="U178" i="3"/>
  <c r="V178" i="3"/>
  <c r="W178" i="3"/>
  <c r="X178" i="3"/>
  <c r="Y178" i="3"/>
  <c r="Z178" i="3"/>
  <c r="AA178" i="3"/>
  <c r="AB178" i="3"/>
  <c r="AC178" i="3"/>
  <c r="AD178" i="3"/>
  <c r="AE178" i="3"/>
  <c r="AF178" i="3"/>
  <c r="AG178" i="3"/>
  <c r="AH178" i="3"/>
  <c r="AI178" i="3"/>
  <c r="AJ178" i="3"/>
  <c r="AK178" i="3"/>
  <c r="AL178" i="3"/>
  <c r="AM178" i="3"/>
  <c r="AN178" i="3"/>
  <c r="AO178" i="3"/>
  <c r="AP178" i="3"/>
  <c r="AQ178" i="3"/>
  <c r="AR178" i="3"/>
  <c r="AS178" i="3"/>
  <c r="AT178" i="3"/>
  <c r="AU178" i="3"/>
  <c r="AV178" i="3"/>
  <c r="AW178" i="3"/>
  <c r="AX178" i="3"/>
  <c r="AY178" i="3"/>
  <c r="AZ178" i="3"/>
  <c r="BA178" i="3"/>
  <c r="BB178" i="3"/>
  <c r="BC178" i="3"/>
  <c r="BD178" i="3"/>
  <c r="BE178" i="3"/>
  <c r="BF178" i="3"/>
  <c r="BG178" i="3"/>
  <c r="BH178" i="3"/>
  <c r="BI178" i="3"/>
  <c r="BJ178" i="3"/>
  <c r="BK178" i="3"/>
  <c r="BL178" i="3"/>
  <c r="BM178" i="3"/>
  <c r="BN178" i="3"/>
  <c r="BO178" i="3"/>
  <c r="BP178" i="3"/>
  <c r="BQ178" i="3"/>
  <c r="BR178" i="3"/>
  <c r="BS178" i="3"/>
  <c r="BT178" i="3"/>
  <c r="BU178" i="3"/>
  <c r="BV178" i="3"/>
  <c r="BW178" i="3"/>
  <c r="BX178" i="3"/>
  <c r="BY178" i="3"/>
  <c r="BZ178" i="3"/>
  <c r="CA178" i="3"/>
  <c r="CB178" i="3"/>
  <c r="CC178" i="3"/>
  <c r="CD178" i="3"/>
  <c r="CE178" i="3"/>
  <c r="CF178" i="3"/>
  <c r="CG178" i="3"/>
  <c r="CH178" i="3"/>
  <c r="CI178" i="3"/>
  <c r="CJ178" i="3"/>
  <c r="CK178" i="3"/>
  <c r="CL178" i="3"/>
  <c r="CM178" i="3"/>
  <c r="CN178" i="3"/>
  <c r="CO178" i="3"/>
  <c r="CP178" i="3"/>
  <c r="CQ178" i="3"/>
  <c r="CR178" i="3"/>
  <c r="CS178" i="3"/>
  <c r="CT178" i="3"/>
  <c r="CU178" i="3"/>
  <c r="CV178" i="3"/>
  <c r="CW178" i="3"/>
  <c r="CX178" i="3"/>
  <c r="CY178" i="3"/>
  <c r="CZ178" i="3"/>
  <c r="DA178" i="3"/>
  <c r="DB178" i="3"/>
  <c r="DC178" i="3"/>
  <c r="DD178" i="3"/>
  <c r="DE178" i="3"/>
  <c r="DF178" i="3"/>
  <c r="DG178" i="3"/>
  <c r="DH178" i="3"/>
  <c r="DI178" i="3"/>
  <c r="DJ178" i="3"/>
  <c r="DK178" i="3"/>
  <c r="DL178" i="3"/>
  <c r="DM178" i="3"/>
  <c r="DN178" i="3"/>
  <c r="DO178" i="3"/>
  <c r="DP178" i="3"/>
  <c r="DQ178" i="3"/>
  <c r="DR178" i="3"/>
  <c r="DS178" i="3"/>
  <c r="DT178" i="3"/>
  <c r="DU178" i="3"/>
  <c r="DV178" i="3"/>
  <c r="DW178" i="3"/>
  <c r="DX178" i="3"/>
  <c r="DY178" i="3"/>
  <c r="DZ178" i="3"/>
  <c r="EA178" i="3"/>
  <c r="EB178" i="3"/>
  <c r="EC178" i="3"/>
  <c r="ED178" i="3"/>
  <c r="EE178" i="3"/>
  <c r="EF178" i="3"/>
  <c r="EG178" i="3"/>
  <c r="EH178" i="3"/>
  <c r="EI178" i="3"/>
  <c r="EJ178" i="3"/>
  <c r="EK178" i="3"/>
  <c r="EL178" i="3"/>
  <c r="EM178" i="3"/>
  <c r="EN178" i="3"/>
  <c r="EO178" i="3"/>
  <c r="EP178" i="3"/>
  <c r="EQ178" i="3"/>
  <c r="ER178" i="3"/>
  <c r="ES178" i="3"/>
  <c r="ET178" i="3"/>
  <c r="EU178" i="3"/>
  <c r="EV178" i="3"/>
  <c r="EW178" i="3"/>
  <c r="EX178" i="3"/>
  <c r="EY178" i="3"/>
  <c r="EZ178" i="3"/>
  <c r="FA178" i="3"/>
  <c r="FB178" i="3"/>
  <c r="FC178" i="3"/>
  <c r="FD178" i="3"/>
  <c r="FE178" i="3"/>
  <c r="FF178" i="3"/>
  <c r="FG178" i="3"/>
  <c r="FH178" i="3"/>
  <c r="FI178" i="3"/>
  <c r="FJ178" i="3"/>
  <c r="FK178" i="3"/>
  <c r="FL178" i="3"/>
  <c r="FM178" i="3"/>
  <c r="FN178" i="3"/>
  <c r="FO178" i="3"/>
  <c r="FP178" i="3"/>
  <c r="FQ178" i="3"/>
  <c r="FR178" i="3"/>
  <c r="FS178" i="3"/>
  <c r="FT178" i="3"/>
  <c r="FU178" i="3"/>
  <c r="FV178" i="3"/>
  <c r="FW178" i="3"/>
  <c r="FX178" i="3"/>
  <c r="FY178" i="3"/>
  <c r="FZ178" i="3"/>
  <c r="GA178" i="3"/>
  <c r="GB178" i="3"/>
  <c r="GC178" i="3"/>
  <c r="GD178" i="3"/>
  <c r="GE178" i="3"/>
  <c r="GF178" i="3"/>
  <c r="GG178" i="3"/>
  <c r="GH178" i="3"/>
  <c r="GI178" i="3"/>
  <c r="GJ178" i="3"/>
  <c r="GK178" i="3"/>
  <c r="GL178" i="3"/>
  <c r="GM178" i="3"/>
  <c r="GN178" i="3"/>
  <c r="GO178" i="3"/>
  <c r="GP178" i="3"/>
  <c r="GQ178" i="3"/>
  <c r="GR178" i="3"/>
  <c r="GS178" i="3"/>
  <c r="GT178" i="3"/>
  <c r="GU178" i="3"/>
  <c r="GV178" i="3"/>
  <c r="GW178" i="3"/>
  <c r="GX178" i="3"/>
  <c r="GY178" i="3"/>
  <c r="GZ178" i="3"/>
  <c r="HA178" i="3"/>
  <c r="HB178" i="3"/>
  <c r="HC178" i="3"/>
  <c r="HD178" i="3"/>
  <c r="HE178" i="3"/>
  <c r="HF178" i="3"/>
  <c r="HG178" i="3"/>
  <c r="HH178" i="3"/>
  <c r="HI178" i="3"/>
  <c r="HJ178" i="3"/>
  <c r="HK178" i="3"/>
  <c r="HL178" i="3"/>
  <c r="HM178" i="3"/>
  <c r="HN178" i="3"/>
  <c r="HO178" i="3"/>
  <c r="HP178" i="3"/>
  <c r="HQ178" i="3"/>
  <c r="HR178" i="3"/>
  <c r="HS178" i="3"/>
  <c r="HT178" i="3"/>
  <c r="HU178" i="3"/>
  <c r="HV178" i="3"/>
  <c r="HW178" i="3"/>
  <c r="HX178" i="3"/>
  <c r="HY178" i="3"/>
  <c r="HZ178" i="3"/>
  <c r="IA178" i="3"/>
  <c r="IB178" i="3"/>
  <c r="IC178" i="3"/>
  <c r="ID178" i="3"/>
  <c r="IE178" i="3"/>
  <c r="IF178" i="3"/>
  <c r="IG178" i="3"/>
  <c r="IH178" i="3"/>
  <c r="II178" i="3"/>
  <c r="IJ178" i="3"/>
  <c r="IK178" i="3"/>
  <c r="IL178" i="3"/>
  <c r="IM178" i="3"/>
  <c r="IN178" i="3"/>
  <c r="IO178" i="3"/>
  <c r="IP178" i="3"/>
  <c r="IQ178" i="3"/>
  <c r="IR178" i="3"/>
  <c r="IS178" i="3"/>
  <c r="IT178" i="3"/>
  <c r="IU178" i="3"/>
  <c r="IV178" i="3"/>
  <c r="A177" i="3"/>
  <c r="B177" i="3"/>
  <c r="C177" i="3"/>
  <c r="D177" i="3"/>
  <c r="E177" i="3"/>
  <c r="F177" i="3"/>
  <c r="G177" i="3"/>
  <c r="H177" i="3"/>
  <c r="I177" i="3"/>
  <c r="J177" i="3"/>
  <c r="K177" i="3"/>
  <c r="L177" i="3"/>
  <c r="M177" i="3"/>
  <c r="N177" i="3"/>
  <c r="O177" i="3"/>
  <c r="P177" i="3"/>
  <c r="Q177" i="3"/>
  <c r="R177" i="3"/>
  <c r="S177" i="3"/>
  <c r="T177" i="3"/>
  <c r="U177" i="3"/>
  <c r="V177" i="3"/>
  <c r="W177" i="3"/>
  <c r="X177" i="3"/>
  <c r="Y177" i="3"/>
  <c r="Z177" i="3"/>
  <c r="AA177" i="3"/>
  <c r="AB177" i="3"/>
  <c r="AC177" i="3"/>
  <c r="AD177" i="3"/>
  <c r="AE177" i="3"/>
  <c r="AF177" i="3"/>
  <c r="AG177" i="3"/>
  <c r="AH177" i="3"/>
  <c r="AI177" i="3"/>
  <c r="AJ177" i="3"/>
  <c r="AK177" i="3"/>
  <c r="AL177" i="3"/>
  <c r="AM177" i="3"/>
  <c r="AN177" i="3"/>
  <c r="AO177" i="3"/>
  <c r="AP177" i="3"/>
  <c r="AQ177" i="3"/>
  <c r="AR177" i="3"/>
  <c r="AS177" i="3"/>
  <c r="AT177" i="3"/>
  <c r="AU177" i="3"/>
  <c r="AV177" i="3"/>
  <c r="AW177" i="3"/>
  <c r="AX177" i="3"/>
  <c r="AY177" i="3"/>
  <c r="AZ177" i="3"/>
  <c r="BA177" i="3"/>
  <c r="BB177" i="3"/>
  <c r="BC177" i="3"/>
  <c r="BD177" i="3"/>
  <c r="BE177" i="3"/>
  <c r="BF177" i="3"/>
  <c r="BG177" i="3"/>
  <c r="BH177" i="3"/>
  <c r="BI177" i="3"/>
  <c r="BJ177" i="3"/>
  <c r="BK177" i="3"/>
  <c r="BL177" i="3"/>
  <c r="BM177" i="3"/>
  <c r="BN177" i="3"/>
  <c r="BO177" i="3"/>
  <c r="BP177" i="3"/>
  <c r="BQ177" i="3"/>
  <c r="BR177" i="3"/>
  <c r="BS177" i="3"/>
  <c r="BT177" i="3"/>
  <c r="BU177" i="3"/>
  <c r="BV177" i="3"/>
  <c r="BW177" i="3"/>
  <c r="BX177" i="3"/>
  <c r="BY177" i="3"/>
  <c r="BZ177" i="3"/>
  <c r="CA177" i="3"/>
  <c r="CB177" i="3"/>
  <c r="CC177" i="3"/>
  <c r="CD177" i="3"/>
  <c r="CE177" i="3"/>
  <c r="CF177" i="3"/>
  <c r="CG177" i="3"/>
  <c r="CH177" i="3"/>
  <c r="CI177" i="3"/>
  <c r="CJ177" i="3"/>
  <c r="CK177" i="3"/>
  <c r="CL177" i="3"/>
  <c r="CM177" i="3"/>
  <c r="CN177" i="3"/>
  <c r="CO177" i="3"/>
  <c r="CP177" i="3"/>
  <c r="CQ177" i="3"/>
  <c r="CR177" i="3"/>
  <c r="CS177" i="3"/>
  <c r="CT177" i="3"/>
  <c r="CU177" i="3"/>
  <c r="CV177" i="3"/>
  <c r="CW177" i="3"/>
  <c r="CX177" i="3"/>
  <c r="CY177" i="3"/>
  <c r="CZ177" i="3"/>
  <c r="DA177" i="3"/>
  <c r="DB177" i="3"/>
  <c r="DC177" i="3"/>
  <c r="DD177" i="3"/>
  <c r="DE177" i="3"/>
  <c r="DF177" i="3"/>
  <c r="DG177" i="3"/>
  <c r="DH177" i="3"/>
  <c r="DI177" i="3"/>
  <c r="DJ177" i="3"/>
  <c r="DK177" i="3"/>
  <c r="DL177" i="3"/>
  <c r="DM177" i="3"/>
  <c r="DN177" i="3"/>
  <c r="DO177" i="3"/>
  <c r="DP177" i="3"/>
  <c r="DQ177" i="3"/>
  <c r="DR177" i="3"/>
  <c r="DS177" i="3"/>
  <c r="DT177" i="3"/>
  <c r="DU177" i="3"/>
  <c r="DV177" i="3"/>
  <c r="DW177" i="3"/>
  <c r="DX177" i="3"/>
  <c r="DY177" i="3"/>
  <c r="DZ177" i="3"/>
  <c r="EA177" i="3"/>
  <c r="EB177" i="3"/>
  <c r="EC177" i="3"/>
  <c r="ED177" i="3"/>
  <c r="EE177" i="3"/>
  <c r="EF177" i="3"/>
  <c r="EG177" i="3"/>
  <c r="EH177" i="3"/>
  <c r="EI177" i="3"/>
  <c r="EJ177" i="3"/>
  <c r="EK177" i="3"/>
  <c r="EL177" i="3"/>
  <c r="EM177" i="3"/>
  <c r="EN177" i="3"/>
  <c r="EO177" i="3"/>
  <c r="EP177" i="3"/>
  <c r="EQ177" i="3"/>
  <c r="ER177" i="3"/>
  <c r="ES177" i="3"/>
  <c r="ET177" i="3"/>
  <c r="EU177" i="3"/>
  <c r="EV177" i="3"/>
  <c r="EW177" i="3"/>
  <c r="EX177" i="3"/>
  <c r="EY177" i="3"/>
  <c r="EZ177" i="3"/>
  <c r="FA177" i="3"/>
  <c r="FB177" i="3"/>
  <c r="FC177" i="3"/>
  <c r="FD177" i="3"/>
  <c r="FE177" i="3"/>
  <c r="FF177" i="3"/>
  <c r="FG177" i="3"/>
  <c r="FH177" i="3"/>
  <c r="FI177" i="3"/>
  <c r="FJ177" i="3"/>
  <c r="FK177" i="3"/>
  <c r="FL177" i="3"/>
  <c r="FM177" i="3"/>
  <c r="FN177" i="3"/>
  <c r="FO177" i="3"/>
  <c r="FP177" i="3"/>
  <c r="FQ177" i="3"/>
  <c r="FR177" i="3"/>
  <c r="FS177" i="3"/>
  <c r="FT177" i="3"/>
  <c r="FU177" i="3"/>
  <c r="FV177" i="3"/>
  <c r="FW177" i="3"/>
  <c r="FX177" i="3"/>
  <c r="FY177" i="3"/>
  <c r="FZ177" i="3"/>
  <c r="GA177" i="3"/>
  <c r="GB177" i="3"/>
  <c r="GC177" i="3"/>
  <c r="GD177" i="3"/>
  <c r="GE177" i="3"/>
  <c r="GF177" i="3"/>
  <c r="GG177" i="3"/>
  <c r="GH177" i="3"/>
  <c r="GI177" i="3"/>
  <c r="GJ177" i="3"/>
  <c r="GK177" i="3"/>
  <c r="GL177" i="3"/>
  <c r="GM177" i="3"/>
  <c r="GN177" i="3"/>
  <c r="GO177" i="3"/>
  <c r="GP177" i="3"/>
  <c r="GQ177" i="3"/>
  <c r="GR177" i="3"/>
  <c r="GS177" i="3"/>
  <c r="GT177" i="3"/>
  <c r="GU177" i="3"/>
  <c r="GV177" i="3"/>
  <c r="GW177" i="3"/>
  <c r="GX177" i="3"/>
  <c r="GY177" i="3"/>
  <c r="GZ177" i="3"/>
  <c r="HA177" i="3"/>
  <c r="HB177" i="3"/>
  <c r="HC177" i="3"/>
  <c r="HD177" i="3"/>
  <c r="HE177" i="3"/>
  <c r="HF177" i="3"/>
  <c r="HG177" i="3"/>
  <c r="HH177" i="3"/>
  <c r="HI177" i="3"/>
  <c r="HJ177" i="3"/>
  <c r="HK177" i="3"/>
  <c r="HL177" i="3"/>
  <c r="HM177" i="3"/>
  <c r="HN177" i="3"/>
  <c r="HO177" i="3"/>
  <c r="HP177" i="3"/>
  <c r="HQ177" i="3"/>
  <c r="HR177" i="3"/>
  <c r="HS177" i="3"/>
  <c r="HT177" i="3"/>
  <c r="HU177" i="3"/>
  <c r="HV177" i="3"/>
  <c r="HW177" i="3"/>
  <c r="HX177" i="3"/>
  <c r="HY177" i="3"/>
  <c r="HZ177" i="3"/>
  <c r="IA177" i="3"/>
  <c r="IB177" i="3"/>
  <c r="IC177" i="3"/>
  <c r="ID177" i="3"/>
  <c r="IE177" i="3"/>
  <c r="IF177" i="3"/>
  <c r="IG177" i="3"/>
  <c r="IH177" i="3"/>
  <c r="II177" i="3"/>
  <c r="IJ177" i="3"/>
  <c r="IK177" i="3"/>
  <c r="IL177" i="3"/>
  <c r="IM177" i="3"/>
  <c r="IN177" i="3"/>
  <c r="IO177" i="3"/>
  <c r="IP177" i="3"/>
  <c r="IQ177" i="3"/>
  <c r="IR177" i="3"/>
  <c r="IS177" i="3"/>
  <c r="IT177" i="3"/>
  <c r="IU177" i="3"/>
  <c r="IV177" i="3"/>
  <c r="A176" i="3"/>
  <c r="B176" i="3"/>
  <c r="C176" i="3"/>
  <c r="D176" i="3"/>
  <c r="E176" i="3"/>
  <c r="F176" i="3"/>
  <c r="G176" i="3"/>
  <c r="H176" i="3"/>
  <c r="I176" i="3"/>
  <c r="J176" i="3"/>
  <c r="K176" i="3"/>
  <c r="L176" i="3"/>
  <c r="M176" i="3"/>
  <c r="N176" i="3"/>
  <c r="O176" i="3"/>
  <c r="P176" i="3"/>
  <c r="Q176" i="3"/>
  <c r="R176" i="3"/>
  <c r="S176" i="3"/>
  <c r="T176" i="3"/>
  <c r="U176" i="3"/>
  <c r="V176" i="3"/>
  <c r="W176" i="3"/>
  <c r="X176" i="3"/>
  <c r="Y176" i="3"/>
  <c r="Z176" i="3"/>
  <c r="AA176" i="3"/>
  <c r="AB176" i="3"/>
  <c r="AC176" i="3"/>
  <c r="AD176" i="3"/>
  <c r="AE176" i="3"/>
  <c r="AF176" i="3"/>
  <c r="AG176" i="3"/>
  <c r="AH176" i="3"/>
  <c r="AI176" i="3"/>
  <c r="AJ176" i="3"/>
  <c r="AK176" i="3"/>
  <c r="AL176" i="3"/>
  <c r="AM176" i="3"/>
  <c r="AN176" i="3"/>
  <c r="AO176" i="3"/>
  <c r="AP176" i="3"/>
  <c r="AQ176" i="3"/>
  <c r="AR176" i="3"/>
  <c r="AS176" i="3"/>
  <c r="AT176" i="3"/>
  <c r="AU176" i="3"/>
  <c r="AV176" i="3"/>
  <c r="AW176" i="3"/>
  <c r="AX176" i="3"/>
  <c r="AY176" i="3"/>
  <c r="AZ176" i="3"/>
  <c r="BA176" i="3"/>
  <c r="BB176" i="3"/>
  <c r="BC176" i="3"/>
  <c r="BD176" i="3"/>
  <c r="BE176" i="3"/>
  <c r="BF176" i="3"/>
  <c r="BG176" i="3"/>
  <c r="BH176" i="3"/>
  <c r="BI176" i="3"/>
  <c r="BJ176" i="3"/>
  <c r="BK176" i="3"/>
  <c r="BL176" i="3"/>
  <c r="BM176" i="3"/>
  <c r="BN176" i="3"/>
  <c r="BO176" i="3"/>
  <c r="BP176" i="3"/>
  <c r="BQ176" i="3"/>
  <c r="BR176" i="3"/>
  <c r="BS176" i="3"/>
  <c r="BT176" i="3"/>
  <c r="BU176" i="3"/>
  <c r="BV176" i="3"/>
  <c r="BW176" i="3"/>
  <c r="BX176" i="3"/>
  <c r="BY176" i="3"/>
  <c r="BZ176" i="3"/>
  <c r="CA176" i="3"/>
  <c r="CB176" i="3"/>
  <c r="CC176" i="3"/>
  <c r="CD176" i="3"/>
  <c r="CE176" i="3"/>
  <c r="CF176" i="3"/>
  <c r="CG176" i="3"/>
  <c r="CH176" i="3"/>
  <c r="CI176" i="3"/>
  <c r="CJ176" i="3"/>
  <c r="CK176" i="3"/>
  <c r="CL176" i="3"/>
  <c r="CM176" i="3"/>
  <c r="CN176" i="3"/>
  <c r="CO176" i="3"/>
  <c r="CP176" i="3"/>
  <c r="CQ176" i="3"/>
  <c r="CR176" i="3"/>
  <c r="CS176" i="3"/>
  <c r="CT176" i="3"/>
  <c r="CU176" i="3"/>
  <c r="CV176" i="3"/>
  <c r="CW176" i="3"/>
  <c r="CX176" i="3"/>
  <c r="CY176" i="3"/>
  <c r="CZ176" i="3"/>
  <c r="DA176" i="3"/>
  <c r="DB176" i="3"/>
  <c r="DC176" i="3"/>
  <c r="DD176" i="3"/>
  <c r="DE176" i="3"/>
  <c r="DF176" i="3"/>
  <c r="DG176" i="3"/>
  <c r="DH176" i="3"/>
  <c r="DI176" i="3"/>
  <c r="DJ176" i="3"/>
  <c r="DK176" i="3"/>
  <c r="DL176" i="3"/>
  <c r="DM176" i="3"/>
  <c r="DN176" i="3"/>
  <c r="DO176" i="3"/>
  <c r="DP176" i="3"/>
  <c r="DQ176" i="3"/>
  <c r="DR176" i="3"/>
  <c r="DS176" i="3"/>
  <c r="DT176" i="3"/>
  <c r="DU176" i="3"/>
  <c r="DV176" i="3"/>
  <c r="DW176" i="3"/>
  <c r="DX176" i="3"/>
  <c r="DY176" i="3"/>
  <c r="DZ176" i="3"/>
  <c r="EA176" i="3"/>
  <c r="EB176" i="3"/>
  <c r="EC176" i="3"/>
  <c r="ED176" i="3"/>
  <c r="EE176" i="3"/>
  <c r="EF176" i="3"/>
  <c r="EG176" i="3"/>
  <c r="EH176" i="3"/>
  <c r="EI176" i="3"/>
  <c r="EJ176" i="3"/>
  <c r="EK176" i="3"/>
  <c r="EL176" i="3"/>
  <c r="EM176" i="3"/>
  <c r="EN176" i="3"/>
  <c r="EO176" i="3"/>
  <c r="EP176" i="3"/>
  <c r="EQ176" i="3"/>
  <c r="ER176" i="3"/>
  <c r="ES176" i="3"/>
  <c r="ET176" i="3"/>
  <c r="EU176" i="3"/>
  <c r="EV176" i="3"/>
  <c r="EW176" i="3"/>
  <c r="EX176" i="3"/>
  <c r="EY176" i="3"/>
  <c r="EZ176" i="3"/>
  <c r="FA176" i="3"/>
  <c r="FB176" i="3"/>
  <c r="FC176" i="3"/>
  <c r="FD176" i="3"/>
  <c r="FE176" i="3"/>
  <c r="FF176" i="3"/>
  <c r="FG176" i="3"/>
  <c r="FH176" i="3"/>
  <c r="FI176" i="3"/>
  <c r="FJ176" i="3"/>
  <c r="FK176" i="3"/>
  <c r="FL176" i="3"/>
  <c r="FM176" i="3"/>
  <c r="FN176" i="3"/>
  <c r="FO176" i="3"/>
  <c r="FP176" i="3"/>
  <c r="FQ176" i="3"/>
  <c r="FR176" i="3"/>
  <c r="FS176" i="3"/>
  <c r="FT176" i="3"/>
  <c r="FU176" i="3"/>
  <c r="FV176" i="3"/>
  <c r="FW176" i="3"/>
  <c r="FX176" i="3"/>
  <c r="FY176" i="3"/>
  <c r="FZ176" i="3"/>
  <c r="GA176" i="3"/>
  <c r="GB176" i="3"/>
  <c r="GC176" i="3"/>
  <c r="GD176" i="3"/>
  <c r="GE176" i="3"/>
  <c r="GF176" i="3"/>
  <c r="GG176" i="3"/>
  <c r="GH176" i="3"/>
  <c r="GI176" i="3"/>
  <c r="GJ176" i="3"/>
  <c r="GK176" i="3"/>
  <c r="GL176" i="3"/>
  <c r="GM176" i="3"/>
  <c r="GN176" i="3"/>
  <c r="GO176" i="3"/>
  <c r="GP176" i="3"/>
  <c r="GQ176" i="3"/>
  <c r="GR176" i="3"/>
  <c r="GS176" i="3"/>
  <c r="GT176" i="3"/>
  <c r="GU176" i="3"/>
  <c r="GV176" i="3"/>
  <c r="GW176" i="3"/>
  <c r="GX176" i="3"/>
  <c r="GY176" i="3"/>
  <c r="GZ176" i="3"/>
  <c r="HA176" i="3"/>
  <c r="HB176" i="3"/>
  <c r="HC176" i="3"/>
  <c r="HD176" i="3"/>
  <c r="HE176" i="3"/>
  <c r="HF176" i="3"/>
  <c r="HG176" i="3"/>
  <c r="HH176" i="3"/>
  <c r="HI176" i="3"/>
  <c r="HJ176" i="3"/>
  <c r="HK176" i="3"/>
  <c r="HL176" i="3"/>
  <c r="HM176" i="3"/>
  <c r="HN176" i="3"/>
  <c r="HO176" i="3"/>
  <c r="HP176" i="3"/>
  <c r="HQ176" i="3"/>
  <c r="HR176" i="3"/>
  <c r="HS176" i="3"/>
  <c r="HT176" i="3"/>
  <c r="HU176" i="3"/>
  <c r="HV176" i="3"/>
  <c r="HW176" i="3"/>
  <c r="HX176" i="3"/>
  <c r="HY176" i="3"/>
  <c r="HZ176" i="3"/>
  <c r="IA176" i="3"/>
  <c r="IB176" i="3"/>
  <c r="IC176" i="3"/>
  <c r="ID176" i="3"/>
  <c r="IE176" i="3"/>
  <c r="IF176" i="3"/>
  <c r="IG176" i="3"/>
  <c r="IH176" i="3"/>
  <c r="II176" i="3"/>
  <c r="IJ176" i="3"/>
  <c r="IK176" i="3"/>
  <c r="IL176" i="3"/>
  <c r="IM176" i="3"/>
  <c r="IN176" i="3"/>
  <c r="IO176" i="3"/>
  <c r="IP176" i="3"/>
  <c r="IQ176" i="3"/>
  <c r="IR176" i="3"/>
  <c r="IS176" i="3"/>
  <c r="IT176" i="3"/>
  <c r="IU176" i="3"/>
  <c r="IV176" i="3"/>
  <c r="A175" i="3"/>
  <c r="B175" i="3"/>
  <c r="C175" i="3"/>
  <c r="D175" i="3"/>
  <c r="E175" i="3"/>
  <c r="F175" i="3"/>
  <c r="G175" i="3"/>
  <c r="H175" i="3"/>
  <c r="I175" i="3"/>
  <c r="J175" i="3"/>
  <c r="K175" i="3"/>
  <c r="L175" i="3"/>
  <c r="M175" i="3"/>
  <c r="N175" i="3"/>
  <c r="O175" i="3"/>
  <c r="P175" i="3"/>
  <c r="Q175" i="3"/>
  <c r="R175" i="3"/>
  <c r="S175" i="3"/>
  <c r="T175" i="3"/>
  <c r="U175" i="3"/>
  <c r="V175" i="3"/>
  <c r="W175" i="3"/>
  <c r="X175" i="3"/>
  <c r="Y175" i="3"/>
  <c r="Z175" i="3"/>
  <c r="AA175" i="3"/>
  <c r="AB175" i="3"/>
  <c r="AC175" i="3"/>
  <c r="AD175" i="3"/>
  <c r="AE175" i="3"/>
  <c r="AF175" i="3"/>
  <c r="AG175" i="3"/>
  <c r="AH175" i="3"/>
  <c r="AI175" i="3"/>
  <c r="AJ175" i="3"/>
  <c r="AK175" i="3"/>
  <c r="AL175" i="3"/>
  <c r="AM175" i="3"/>
  <c r="AN175" i="3"/>
  <c r="AO175" i="3"/>
  <c r="AP175" i="3"/>
  <c r="AQ175" i="3"/>
  <c r="AR175" i="3"/>
  <c r="AS175" i="3"/>
  <c r="AT175" i="3"/>
  <c r="AU175" i="3"/>
  <c r="AV175" i="3"/>
  <c r="AW175" i="3"/>
  <c r="AX175" i="3"/>
  <c r="AY175" i="3"/>
  <c r="AZ175" i="3"/>
  <c r="BA175" i="3"/>
  <c r="BB175" i="3"/>
  <c r="BC175" i="3"/>
  <c r="BD175" i="3"/>
  <c r="BE175" i="3"/>
  <c r="BF175" i="3"/>
  <c r="BG175" i="3"/>
  <c r="BH175" i="3"/>
  <c r="BI175" i="3"/>
  <c r="BJ175" i="3"/>
  <c r="BK175" i="3"/>
  <c r="BL175" i="3"/>
  <c r="BM175" i="3"/>
  <c r="BN175" i="3"/>
  <c r="BO175" i="3"/>
  <c r="BP175" i="3"/>
  <c r="BQ175" i="3"/>
  <c r="BR175" i="3"/>
  <c r="BS175" i="3"/>
  <c r="BT175" i="3"/>
  <c r="BU175" i="3"/>
  <c r="BV175" i="3"/>
  <c r="BW175" i="3"/>
  <c r="BX175" i="3"/>
  <c r="BY175" i="3"/>
  <c r="BZ175" i="3"/>
  <c r="CA175" i="3"/>
  <c r="CB175" i="3"/>
  <c r="CC175" i="3"/>
  <c r="CD175" i="3"/>
  <c r="CE175" i="3"/>
  <c r="CF175" i="3"/>
  <c r="CG175" i="3"/>
  <c r="CH175" i="3"/>
  <c r="CI175" i="3"/>
  <c r="CJ175" i="3"/>
  <c r="CK175" i="3"/>
  <c r="CL175" i="3"/>
  <c r="CM175" i="3"/>
  <c r="CN175" i="3"/>
  <c r="CO175" i="3"/>
  <c r="CP175" i="3"/>
  <c r="CQ175" i="3"/>
  <c r="CR175" i="3"/>
  <c r="CS175" i="3"/>
  <c r="CT175" i="3"/>
  <c r="CU175" i="3"/>
  <c r="CV175" i="3"/>
  <c r="CW175" i="3"/>
  <c r="CX175" i="3"/>
  <c r="CY175" i="3"/>
  <c r="CZ175" i="3"/>
  <c r="DA175" i="3"/>
  <c r="DB175" i="3"/>
  <c r="DC175" i="3"/>
  <c r="DD175" i="3"/>
  <c r="DE175" i="3"/>
  <c r="DF175" i="3"/>
  <c r="DG175" i="3"/>
  <c r="DH175" i="3"/>
  <c r="DI175" i="3"/>
  <c r="DJ175" i="3"/>
  <c r="DK175" i="3"/>
  <c r="DL175" i="3"/>
  <c r="DM175" i="3"/>
  <c r="DN175" i="3"/>
  <c r="DO175" i="3"/>
  <c r="DP175" i="3"/>
  <c r="DQ175" i="3"/>
  <c r="DR175" i="3"/>
  <c r="DS175" i="3"/>
  <c r="DT175" i="3"/>
  <c r="DU175" i="3"/>
  <c r="DV175" i="3"/>
  <c r="DW175" i="3"/>
  <c r="DX175" i="3"/>
  <c r="DY175" i="3"/>
  <c r="DZ175" i="3"/>
  <c r="EA175" i="3"/>
  <c r="EB175" i="3"/>
  <c r="EC175" i="3"/>
  <c r="ED175" i="3"/>
  <c r="EE175" i="3"/>
  <c r="EF175" i="3"/>
  <c r="EG175" i="3"/>
  <c r="EH175" i="3"/>
  <c r="EI175" i="3"/>
  <c r="EJ175" i="3"/>
  <c r="EK175" i="3"/>
  <c r="EL175" i="3"/>
  <c r="EM175" i="3"/>
  <c r="EN175" i="3"/>
  <c r="EO175" i="3"/>
  <c r="EP175" i="3"/>
  <c r="EQ175" i="3"/>
  <c r="ER175" i="3"/>
  <c r="ES175" i="3"/>
  <c r="ET175" i="3"/>
  <c r="EU175" i="3"/>
  <c r="EV175" i="3"/>
  <c r="EW175" i="3"/>
  <c r="EX175" i="3"/>
  <c r="EY175" i="3"/>
  <c r="EZ175" i="3"/>
  <c r="FA175" i="3"/>
  <c r="FB175" i="3"/>
  <c r="FC175" i="3"/>
  <c r="FD175" i="3"/>
  <c r="FE175" i="3"/>
  <c r="FF175" i="3"/>
  <c r="FG175" i="3"/>
  <c r="FH175" i="3"/>
  <c r="FI175" i="3"/>
  <c r="FJ175" i="3"/>
  <c r="FK175" i="3"/>
  <c r="FL175" i="3"/>
  <c r="FM175" i="3"/>
  <c r="FN175" i="3"/>
  <c r="FO175" i="3"/>
  <c r="FP175" i="3"/>
  <c r="FQ175" i="3"/>
  <c r="FR175" i="3"/>
  <c r="FS175" i="3"/>
  <c r="FT175" i="3"/>
  <c r="FU175" i="3"/>
  <c r="FV175" i="3"/>
  <c r="FW175" i="3"/>
  <c r="FX175" i="3"/>
  <c r="FY175" i="3"/>
  <c r="FZ175" i="3"/>
  <c r="GA175" i="3"/>
  <c r="GB175" i="3"/>
  <c r="GC175" i="3"/>
  <c r="GD175" i="3"/>
  <c r="GE175" i="3"/>
  <c r="GF175" i="3"/>
  <c r="GG175" i="3"/>
  <c r="GH175" i="3"/>
  <c r="GI175" i="3"/>
  <c r="GJ175" i="3"/>
  <c r="GK175" i="3"/>
  <c r="GL175" i="3"/>
  <c r="GM175" i="3"/>
  <c r="GN175" i="3"/>
  <c r="GO175" i="3"/>
  <c r="GP175" i="3"/>
  <c r="GQ175" i="3"/>
  <c r="GR175" i="3"/>
  <c r="GS175" i="3"/>
  <c r="GT175" i="3"/>
  <c r="GU175" i="3"/>
  <c r="GV175" i="3"/>
  <c r="GW175" i="3"/>
  <c r="GX175" i="3"/>
  <c r="GY175" i="3"/>
  <c r="GZ175" i="3"/>
  <c r="HA175" i="3"/>
  <c r="HB175" i="3"/>
  <c r="HC175" i="3"/>
  <c r="HD175" i="3"/>
  <c r="HE175" i="3"/>
  <c r="HF175" i="3"/>
  <c r="HG175" i="3"/>
  <c r="HH175" i="3"/>
  <c r="HI175" i="3"/>
  <c r="HJ175" i="3"/>
  <c r="HK175" i="3"/>
  <c r="HL175" i="3"/>
  <c r="HM175" i="3"/>
  <c r="HN175" i="3"/>
  <c r="HO175" i="3"/>
  <c r="HP175" i="3"/>
  <c r="HQ175" i="3"/>
  <c r="HR175" i="3"/>
  <c r="HS175" i="3"/>
  <c r="HT175" i="3"/>
  <c r="HU175" i="3"/>
  <c r="HV175" i="3"/>
  <c r="HW175" i="3"/>
  <c r="HX175" i="3"/>
  <c r="HY175" i="3"/>
  <c r="HZ175" i="3"/>
  <c r="IA175" i="3"/>
  <c r="IB175" i="3"/>
  <c r="IC175" i="3"/>
  <c r="ID175" i="3"/>
  <c r="IE175" i="3"/>
  <c r="IF175" i="3"/>
  <c r="IG175" i="3"/>
  <c r="IH175" i="3"/>
  <c r="II175" i="3"/>
  <c r="IJ175" i="3"/>
  <c r="IK175" i="3"/>
  <c r="IL175" i="3"/>
  <c r="IM175" i="3"/>
  <c r="IN175" i="3"/>
  <c r="IO175" i="3"/>
  <c r="IP175" i="3"/>
  <c r="IQ175" i="3"/>
  <c r="IR175" i="3"/>
  <c r="IS175" i="3"/>
  <c r="IT175" i="3"/>
  <c r="IU175" i="3"/>
  <c r="IV175" i="3"/>
  <c r="A174" i="3"/>
  <c r="B174" i="3"/>
  <c r="C174" i="3"/>
  <c r="D174" i="3"/>
  <c r="E174" i="3"/>
  <c r="F174" i="3"/>
  <c r="G174" i="3"/>
  <c r="H174" i="3"/>
  <c r="I174" i="3"/>
  <c r="J174" i="3"/>
  <c r="K174" i="3"/>
  <c r="L174" i="3"/>
  <c r="M174" i="3"/>
  <c r="N174" i="3"/>
  <c r="O174" i="3"/>
  <c r="P174" i="3"/>
  <c r="Q174" i="3"/>
  <c r="R174" i="3"/>
  <c r="S174" i="3"/>
  <c r="T174" i="3"/>
  <c r="U174" i="3"/>
  <c r="V174" i="3"/>
  <c r="W174" i="3"/>
  <c r="X174" i="3"/>
  <c r="Y174" i="3"/>
  <c r="Z174" i="3"/>
  <c r="AA174" i="3"/>
  <c r="AB174" i="3"/>
  <c r="AC174" i="3"/>
  <c r="AD174" i="3"/>
  <c r="AE174" i="3"/>
  <c r="AF174" i="3"/>
  <c r="AG174" i="3"/>
  <c r="AH174" i="3"/>
  <c r="AI174" i="3"/>
  <c r="AJ174" i="3"/>
  <c r="AK174" i="3"/>
  <c r="AL174" i="3"/>
  <c r="AM174" i="3"/>
  <c r="AN174" i="3"/>
  <c r="AO174" i="3"/>
  <c r="AP174" i="3"/>
  <c r="AQ174" i="3"/>
  <c r="AR174" i="3"/>
  <c r="AS174" i="3"/>
  <c r="AT174" i="3"/>
  <c r="AU174" i="3"/>
  <c r="AV174" i="3"/>
  <c r="AW174" i="3"/>
  <c r="AX174" i="3"/>
  <c r="AY174" i="3"/>
  <c r="AZ174" i="3"/>
  <c r="BA174" i="3"/>
  <c r="BB174" i="3"/>
  <c r="BC174" i="3"/>
  <c r="BD174" i="3"/>
  <c r="BE174" i="3"/>
  <c r="BF174" i="3"/>
  <c r="BG174" i="3"/>
  <c r="BH174" i="3"/>
  <c r="BI174" i="3"/>
  <c r="BJ174" i="3"/>
  <c r="BK174" i="3"/>
  <c r="BL174" i="3"/>
  <c r="BM174" i="3"/>
  <c r="BN174" i="3"/>
  <c r="BO174" i="3"/>
  <c r="BP174" i="3"/>
  <c r="BQ174" i="3"/>
  <c r="BR174" i="3"/>
  <c r="BS174" i="3"/>
  <c r="BT174" i="3"/>
  <c r="BU174" i="3"/>
  <c r="BV174" i="3"/>
  <c r="BW174" i="3"/>
  <c r="BX174" i="3"/>
  <c r="BY174" i="3"/>
  <c r="BZ174" i="3"/>
  <c r="CA174" i="3"/>
  <c r="CB174" i="3"/>
  <c r="CC174" i="3"/>
  <c r="CD174" i="3"/>
  <c r="CE174" i="3"/>
  <c r="CF174" i="3"/>
  <c r="CG174" i="3"/>
  <c r="CH174" i="3"/>
  <c r="CI174" i="3"/>
  <c r="CJ174" i="3"/>
  <c r="CK174" i="3"/>
  <c r="CL174" i="3"/>
  <c r="CM174" i="3"/>
  <c r="CN174" i="3"/>
  <c r="CO174" i="3"/>
  <c r="CP174" i="3"/>
  <c r="CQ174" i="3"/>
  <c r="CR174" i="3"/>
  <c r="CS174" i="3"/>
  <c r="CT174" i="3"/>
  <c r="CU174" i="3"/>
  <c r="CV174" i="3"/>
  <c r="CW174" i="3"/>
  <c r="CX174" i="3"/>
  <c r="CY174" i="3"/>
  <c r="CZ174" i="3"/>
  <c r="DA174" i="3"/>
  <c r="DB174" i="3"/>
  <c r="DC174" i="3"/>
  <c r="DD174" i="3"/>
  <c r="DE174" i="3"/>
  <c r="DF174" i="3"/>
  <c r="DG174" i="3"/>
  <c r="DH174" i="3"/>
  <c r="DI174" i="3"/>
  <c r="DJ174" i="3"/>
  <c r="DK174" i="3"/>
  <c r="DL174" i="3"/>
  <c r="DM174" i="3"/>
  <c r="DN174" i="3"/>
  <c r="DO174" i="3"/>
  <c r="DP174" i="3"/>
  <c r="DQ174" i="3"/>
  <c r="DR174" i="3"/>
  <c r="DS174" i="3"/>
  <c r="DT174" i="3"/>
  <c r="DU174" i="3"/>
  <c r="DV174" i="3"/>
  <c r="DW174" i="3"/>
  <c r="DX174" i="3"/>
  <c r="DY174" i="3"/>
  <c r="DZ174" i="3"/>
  <c r="EA174" i="3"/>
  <c r="EB174" i="3"/>
  <c r="EC174" i="3"/>
  <c r="ED174" i="3"/>
  <c r="EE174" i="3"/>
  <c r="EF174" i="3"/>
  <c r="EG174" i="3"/>
  <c r="EH174" i="3"/>
  <c r="EI174" i="3"/>
  <c r="EJ174" i="3"/>
  <c r="EK174" i="3"/>
  <c r="EL174" i="3"/>
  <c r="EM174" i="3"/>
  <c r="EN174" i="3"/>
  <c r="EO174" i="3"/>
  <c r="EP174" i="3"/>
  <c r="EQ174" i="3"/>
  <c r="ER174" i="3"/>
  <c r="ES174" i="3"/>
  <c r="ET174" i="3"/>
  <c r="EU174" i="3"/>
  <c r="EV174" i="3"/>
  <c r="EW174" i="3"/>
  <c r="EX174" i="3"/>
  <c r="EY174" i="3"/>
  <c r="EZ174" i="3"/>
  <c r="FA174" i="3"/>
  <c r="FB174" i="3"/>
  <c r="FC174" i="3"/>
  <c r="FD174" i="3"/>
  <c r="FE174" i="3"/>
  <c r="FF174" i="3"/>
  <c r="FG174" i="3"/>
  <c r="FH174" i="3"/>
  <c r="FI174" i="3"/>
  <c r="FJ174" i="3"/>
  <c r="FK174" i="3"/>
  <c r="FL174" i="3"/>
  <c r="FM174" i="3"/>
  <c r="FN174" i="3"/>
  <c r="FO174" i="3"/>
  <c r="FP174" i="3"/>
  <c r="FQ174" i="3"/>
  <c r="FR174" i="3"/>
  <c r="FS174" i="3"/>
  <c r="FT174" i="3"/>
  <c r="FU174" i="3"/>
  <c r="FV174" i="3"/>
  <c r="FW174" i="3"/>
  <c r="FX174" i="3"/>
  <c r="FY174" i="3"/>
  <c r="FZ174" i="3"/>
  <c r="GA174" i="3"/>
  <c r="GB174" i="3"/>
  <c r="GC174" i="3"/>
  <c r="GD174" i="3"/>
  <c r="GE174" i="3"/>
  <c r="GF174" i="3"/>
  <c r="GG174" i="3"/>
  <c r="GH174" i="3"/>
  <c r="GI174" i="3"/>
  <c r="GJ174" i="3"/>
  <c r="GK174" i="3"/>
  <c r="GL174" i="3"/>
  <c r="GM174" i="3"/>
  <c r="GN174" i="3"/>
  <c r="GO174" i="3"/>
  <c r="GP174" i="3"/>
  <c r="GQ174" i="3"/>
  <c r="GR174" i="3"/>
  <c r="GS174" i="3"/>
  <c r="GT174" i="3"/>
  <c r="GU174" i="3"/>
  <c r="GV174" i="3"/>
  <c r="GW174" i="3"/>
  <c r="GX174" i="3"/>
  <c r="GY174" i="3"/>
  <c r="GZ174" i="3"/>
  <c r="HA174" i="3"/>
  <c r="HB174" i="3"/>
  <c r="HC174" i="3"/>
  <c r="HD174" i="3"/>
  <c r="HE174" i="3"/>
  <c r="HF174" i="3"/>
  <c r="HG174" i="3"/>
  <c r="HH174" i="3"/>
  <c r="HI174" i="3"/>
  <c r="HJ174" i="3"/>
  <c r="HK174" i="3"/>
  <c r="HL174" i="3"/>
  <c r="HM174" i="3"/>
  <c r="HN174" i="3"/>
  <c r="HO174" i="3"/>
  <c r="HP174" i="3"/>
  <c r="HQ174" i="3"/>
  <c r="HR174" i="3"/>
  <c r="HS174" i="3"/>
  <c r="HT174" i="3"/>
  <c r="HU174" i="3"/>
  <c r="HV174" i="3"/>
  <c r="HW174" i="3"/>
  <c r="HX174" i="3"/>
  <c r="HY174" i="3"/>
  <c r="HZ174" i="3"/>
  <c r="IA174" i="3"/>
  <c r="IB174" i="3"/>
  <c r="IC174" i="3"/>
  <c r="ID174" i="3"/>
  <c r="IE174" i="3"/>
  <c r="IF174" i="3"/>
  <c r="IG174" i="3"/>
  <c r="IH174" i="3"/>
  <c r="II174" i="3"/>
  <c r="IJ174" i="3"/>
  <c r="IK174" i="3"/>
  <c r="IL174" i="3"/>
  <c r="IM174" i="3"/>
  <c r="IN174" i="3"/>
  <c r="IO174" i="3"/>
  <c r="IP174" i="3"/>
  <c r="IQ174" i="3"/>
  <c r="IR174" i="3"/>
  <c r="IS174" i="3"/>
  <c r="IT174" i="3"/>
  <c r="IU174" i="3"/>
  <c r="IV174" i="3"/>
  <c r="A173" i="3"/>
  <c r="B173" i="3"/>
  <c r="C173" i="3"/>
  <c r="D173" i="3"/>
  <c r="E173" i="3"/>
  <c r="F173" i="3"/>
  <c r="G173" i="3"/>
  <c r="H173" i="3"/>
  <c r="I173" i="3"/>
  <c r="J173" i="3"/>
  <c r="K173" i="3"/>
  <c r="L173" i="3"/>
  <c r="M173" i="3"/>
  <c r="N173" i="3"/>
  <c r="O173" i="3"/>
  <c r="P173" i="3"/>
  <c r="Q173" i="3"/>
  <c r="R173" i="3"/>
  <c r="S173" i="3"/>
  <c r="T173" i="3"/>
  <c r="U173" i="3"/>
  <c r="V173" i="3"/>
  <c r="W173" i="3"/>
  <c r="X173" i="3"/>
  <c r="Y173" i="3"/>
  <c r="Z173" i="3"/>
  <c r="AA173" i="3"/>
  <c r="AB173" i="3"/>
  <c r="AC173" i="3"/>
  <c r="AD173" i="3"/>
  <c r="AE173" i="3"/>
  <c r="AF173" i="3"/>
  <c r="AG173" i="3"/>
  <c r="AH173" i="3"/>
  <c r="AI173" i="3"/>
  <c r="AJ173" i="3"/>
  <c r="AK173" i="3"/>
  <c r="AL173" i="3"/>
  <c r="AM173" i="3"/>
  <c r="AN173" i="3"/>
  <c r="AO173" i="3"/>
  <c r="AP173" i="3"/>
  <c r="AQ173" i="3"/>
  <c r="AR173" i="3"/>
  <c r="AS173" i="3"/>
  <c r="AT173" i="3"/>
  <c r="AU173" i="3"/>
  <c r="AV173" i="3"/>
  <c r="AW173" i="3"/>
  <c r="AX173" i="3"/>
  <c r="AY173" i="3"/>
  <c r="AZ173" i="3"/>
  <c r="BA173" i="3"/>
  <c r="BB173" i="3"/>
  <c r="BC173" i="3"/>
  <c r="BD173" i="3"/>
  <c r="BE173" i="3"/>
  <c r="BF173" i="3"/>
  <c r="BG173" i="3"/>
  <c r="BH173" i="3"/>
  <c r="BI173" i="3"/>
  <c r="BJ173" i="3"/>
  <c r="BK173" i="3"/>
  <c r="BL173" i="3"/>
  <c r="BM173" i="3"/>
  <c r="BN173" i="3"/>
  <c r="BO173" i="3"/>
  <c r="BP173" i="3"/>
  <c r="BQ173" i="3"/>
  <c r="BR173" i="3"/>
  <c r="BS173" i="3"/>
  <c r="BT173" i="3"/>
  <c r="BU173" i="3"/>
  <c r="BV173" i="3"/>
  <c r="BW173" i="3"/>
  <c r="BX173" i="3"/>
  <c r="BY173" i="3"/>
  <c r="BZ173" i="3"/>
  <c r="CA173" i="3"/>
  <c r="CB173" i="3"/>
  <c r="CC173" i="3"/>
  <c r="CD173" i="3"/>
  <c r="CE173" i="3"/>
  <c r="CF173" i="3"/>
  <c r="CG173" i="3"/>
  <c r="CH173" i="3"/>
  <c r="CI173" i="3"/>
  <c r="CJ173" i="3"/>
  <c r="CK173" i="3"/>
  <c r="CL173" i="3"/>
  <c r="CM173" i="3"/>
  <c r="CN173" i="3"/>
  <c r="CO173" i="3"/>
  <c r="CP173" i="3"/>
  <c r="CQ173" i="3"/>
  <c r="CR173" i="3"/>
  <c r="CS173" i="3"/>
  <c r="CT173" i="3"/>
  <c r="CU173" i="3"/>
  <c r="CV173" i="3"/>
  <c r="CW173" i="3"/>
  <c r="CX173" i="3"/>
  <c r="CY173" i="3"/>
  <c r="CZ173" i="3"/>
  <c r="DA173" i="3"/>
  <c r="DB173" i="3"/>
  <c r="DC173" i="3"/>
  <c r="DD173" i="3"/>
  <c r="DE173" i="3"/>
  <c r="DF173" i="3"/>
  <c r="DG173" i="3"/>
  <c r="DH173" i="3"/>
  <c r="DI173" i="3"/>
  <c r="DJ173" i="3"/>
  <c r="DK173" i="3"/>
  <c r="DL173" i="3"/>
  <c r="DM173" i="3"/>
  <c r="DN173" i="3"/>
  <c r="DO173" i="3"/>
  <c r="DP173" i="3"/>
  <c r="DQ173" i="3"/>
  <c r="DR173" i="3"/>
  <c r="DS173" i="3"/>
  <c r="DT173" i="3"/>
  <c r="DU173" i="3"/>
  <c r="DV173" i="3"/>
  <c r="DW173" i="3"/>
  <c r="DX173" i="3"/>
  <c r="DY173" i="3"/>
  <c r="DZ173" i="3"/>
  <c r="EA173" i="3"/>
  <c r="EB173" i="3"/>
  <c r="EC173" i="3"/>
  <c r="ED173" i="3"/>
  <c r="EE173" i="3"/>
  <c r="EF173" i="3"/>
  <c r="EG173" i="3"/>
  <c r="EH173" i="3"/>
  <c r="EI173" i="3"/>
  <c r="EJ173" i="3"/>
  <c r="EK173" i="3"/>
  <c r="EL173" i="3"/>
  <c r="EM173" i="3"/>
  <c r="EN173" i="3"/>
  <c r="EO173" i="3"/>
  <c r="EP173" i="3"/>
  <c r="EQ173" i="3"/>
  <c r="ER173" i="3"/>
  <c r="ES173" i="3"/>
  <c r="ET173" i="3"/>
  <c r="EU173" i="3"/>
  <c r="EV173" i="3"/>
  <c r="EW173" i="3"/>
  <c r="EX173" i="3"/>
  <c r="EY173" i="3"/>
  <c r="EZ173" i="3"/>
  <c r="FA173" i="3"/>
  <c r="FB173" i="3"/>
  <c r="FC173" i="3"/>
  <c r="FD173" i="3"/>
  <c r="FE173" i="3"/>
  <c r="FF173" i="3"/>
  <c r="FG173" i="3"/>
  <c r="FH173" i="3"/>
  <c r="FI173" i="3"/>
  <c r="FJ173" i="3"/>
  <c r="FK173" i="3"/>
  <c r="FL173" i="3"/>
  <c r="FM173" i="3"/>
  <c r="FN173" i="3"/>
  <c r="FO173" i="3"/>
  <c r="FP173" i="3"/>
  <c r="FQ173" i="3"/>
  <c r="FR173" i="3"/>
  <c r="FS173" i="3"/>
  <c r="FT173" i="3"/>
  <c r="FU173" i="3"/>
  <c r="FV173" i="3"/>
  <c r="FW173" i="3"/>
  <c r="FX173" i="3"/>
  <c r="FY173" i="3"/>
  <c r="FZ173" i="3"/>
  <c r="GA173" i="3"/>
  <c r="GB173" i="3"/>
  <c r="GC173" i="3"/>
  <c r="GD173" i="3"/>
  <c r="GE173" i="3"/>
  <c r="GF173" i="3"/>
  <c r="GG173" i="3"/>
  <c r="GH173" i="3"/>
  <c r="GI173" i="3"/>
  <c r="GJ173" i="3"/>
  <c r="GK173" i="3"/>
  <c r="GL173" i="3"/>
  <c r="GM173" i="3"/>
  <c r="GN173" i="3"/>
  <c r="GO173" i="3"/>
  <c r="GP173" i="3"/>
  <c r="GQ173" i="3"/>
  <c r="GR173" i="3"/>
  <c r="GS173" i="3"/>
  <c r="GT173" i="3"/>
  <c r="GU173" i="3"/>
  <c r="GV173" i="3"/>
  <c r="GW173" i="3"/>
  <c r="GX173" i="3"/>
  <c r="GY173" i="3"/>
  <c r="GZ173" i="3"/>
  <c r="HA173" i="3"/>
  <c r="HB173" i="3"/>
  <c r="HC173" i="3"/>
  <c r="HD173" i="3"/>
  <c r="HE173" i="3"/>
  <c r="HF173" i="3"/>
  <c r="HG173" i="3"/>
  <c r="HH173" i="3"/>
  <c r="HI173" i="3"/>
  <c r="HJ173" i="3"/>
  <c r="HK173" i="3"/>
  <c r="HL173" i="3"/>
  <c r="HM173" i="3"/>
  <c r="HN173" i="3"/>
  <c r="HO173" i="3"/>
  <c r="HP173" i="3"/>
  <c r="HQ173" i="3"/>
  <c r="HR173" i="3"/>
  <c r="HS173" i="3"/>
  <c r="HT173" i="3"/>
  <c r="HU173" i="3"/>
  <c r="HV173" i="3"/>
  <c r="HW173" i="3"/>
  <c r="HX173" i="3"/>
  <c r="HY173" i="3"/>
  <c r="HZ173" i="3"/>
  <c r="IA173" i="3"/>
  <c r="IB173" i="3"/>
  <c r="IC173" i="3"/>
  <c r="ID173" i="3"/>
  <c r="IE173" i="3"/>
  <c r="IF173" i="3"/>
  <c r="IG173" i="3"/>
  <c r="IH173" i="3"/>
  <c r="II173" i="3"/>
  <c r="IJ173" i="3"/>
  <c r="IK173" i="3"/>
  <c r="IL173" i="3"/>
  <c r="IM173" i="3"/>
  <c r="IN173" i="3"/>
  <c r="IO173" i="3"/>
  <c r="IP173" i="3"/>
  <c r="IQ173" i="3"/>
  <c r="IR173" i="3"/>
  <c r="IS173" i="3"/>
  <c r="IT173" i="3"/>
  <c r="IU173" i="3"/>
  <c r="IV173" i="3"/>
  <c r="A172" i="3"/>
  <c r="B172" i="3"/>
  <c r="C172" i="3"/>
  <c r="D172" i="3"/>
  <c r="E172" i="3"/>
  <c r="F172" i="3"/>
  <c r="G172" i="3"/>
  <c r="H172" i="3"/>
  <c r="I172" i="3"/>
  <c r="J172" i="3"/>
  <c r="K172" i="3"/>
  <c r="L172" i="3"/>
  <c r="M172" i="3"/>
  <c r="N172" i="3"/>
  <c r="O172" i="3"/>
  <c r="P172" i="3"/>
  <c r="Q172" i="3"/>
  <c r="R172" i="3"/>
  <c r="S172" i="3"/>
  <c r="T172" i="3"/>
  <c r="U172" i="3"/>
  <c r="V172" i="3"/>
  <c r="W172" i="3"/>
  <c r="X172" i="3"/>
  <c r="Y172" i="3"/>
  <c r="Z172" i="3"/>
  <c r="AA172" i="3"/>
  <c r="AB172" i="3"/>
  <c r="AC172" i="3"/>
  <c r="AD172" i="3"/>
  <c r="AE172" i="3"/>
  <c r="AF172" i="3"/>
  <c r="AG172" i="3"/>
  <c r="AH172" i="3"/>
  <c r="AI172" i="3"/>
  <c r="AJ172" i="3"/>
  <c r="AK172" i="3"/>
  <c r="AL172" i="3"/>
  <c r="AM172" i="3"/>
  <c r="AN172" i="3"/>
  <c r="AO172" i="3"/>
  <c r="AP172" i="3"/>
  <c r="AQ172" i="3"/>
  <c r="AR172" i="3"/>
  <c r="AS172" i="3"/>
  <c r="AT172" i="3"/>
  <c r="AU172" i="3"/>
  <c r="AV172" i="3"/>
  <c r="AW172" i="3"/>
  <c r="AX172" i="3"/>
  <c r="AY172" i="3"/>
  <c r="AZ172" i="3"/>
  <c r="BA172" i="3"/>
  <c r="BB172" i="3"/>
  <c r="BC172" i="3"/>
  <c r="BD172" i="3"/>
  <c r="BE172" i="3"/>
  <c r="BF172" i="3"/>
  <c r="BG172" i="3"/>
  <c r="BH172" i="3"/>
  <c r="BI172" i="3"/>
  <c r="BJ172" i="3"/>
  <c r="BK172" i="3"/>
  <c r="BL172" i="3"/>
  <c r="BM172" i="3"/>
  <c r="BN172" i="3"/>
  <c r="BO172" i="3"/>
  <c r="BP172" i="3"/>
  <c r="BQ172" i="3"/>
  <c r="BR172" i="3"/>
  <c r="BS172" i="3"/>
  <c r="BT172" i="3"/>
  <c r="BU172" i="3"/>
  <c r="BV172" i="3"/>
  <c r="BW172" i="3"/>
  <c r="BX172" i="3"/>
  <c r="BY172" i="3"/>
  <c r="BZ172" i="3"/>
  <c r="CA172" i="3"/>
  <c r="CB172" i="3"/>
  <c r="CC172" i="3"/>
  <c r="CD172" i="3"/>
  <c r="CE172" i="3"/>
  <c r="CF172" i="3"/>
  <c r="CG172" i="3"/>
  <c r="CH172" i="3"/>
  <c r="CI172" i="3"/>
  <c r="CJ172" i="3"/>
  <c r="CK172" i="3"/>
  <c r="CL172" i="3"/>
  <c r="CM172" i="3"/>
  <c r="CN172" i="3"/>
  <c r="CO172" i="3"/>
  <c r="CP172" i="3"/>
  <c r="CQ172" i="3"/>
  <c r="CR172" i="3"/>
  <c r="CS172" i="3"/>
  <c r="CT172" i="3"/>
  <c r="CU172" i="3"/>
  <c r="CV172" i="3"/>
  <c r="CW172" i="3"/>
  <c r="CX172" i="3"/>
  <c r="CY172" i="3"/>
  <c r="CZ172" i="3"/>
  <c r="DA172" i="3"/>
  <c r="DB172" i="3"/>
  <c r="DC172" i="3"/>
  <c r="DD172" i="3"/>
  <c r="DE172" i="3"/>
  <c r="DF172" i="3"/>
  <c r="DG172" i="3"/>
  <c r="DH172" i="3"/>
  <c r="DI172" i="3"/>
  <c r="DJ172" i="3"/>
  <c r="DK172" i="3"/>
  <c r="DL172" i="3"/>
  <c r="DM172" i="3"/>
  <c r="DN172" i="3"/>
  <c r="DO172" i="3"/>
  <c r="DP172" i="3"/>
  <c r="DQ172" i="3"/>
  <c r="DR172" i="3"/>
  <c r="DS172" i="3"/>
  <c r="DT172" i="3"/>
  <c r="DU172" i="3"/>
  <c r="DV172" i="3"/>
  <c r="DW172" i="3"/>
  <c r="DX172" i="3"/>
  <c r="DY172" i="3"/>
  <c r="DZ172" i="3"/>
  <c r="EA172" i="3"/>
  <c r="EB172" i="3"/>
  <c r="EC172" i="3"/>
  <c r="ED172" i="3"/>
  <c r="EE172" i="3"/>
  <c r="EF172" i="3"/>
  <c r="EG172" i="3"/>
  <c r="EH172" i="3"/>
  <c r="EI172" i="3"/>
  <c r="EJ172" i="3"/>
  <c r="EK172" i="3"/>
  <c r="EL172" i="3"/>
  <c r="EM172" i="3"/>
  <c r="EN172" i="3"/>
  <c r="EO172" i="3"/>
  <c r="EP172" i="3"/>
  <c r="EQ172" i="3"/>
  <c r="ER172" i="3"/>
  <c r="ES172" i="3"/>
  <c r="ET172" i="3"/>
  <c r="EU172" i="3"/>
  <c r="EV172" i="3"/>
  <c r="EW172" i="3"/>
  <c r="EX172" i="3"/>
  <c r="EY172" i="3"/>
  <c r="EZ172" i="3"/>
  <c r="FA172" i="3"/>
  <c r="FB172" i="3"/>
  <c r="FC172" i="3"/>
  <c r="FD172" i="3"/>
  <c r="FE172" i="3"/>
  <c r="FF172" i="3"/>
  <c r="FG172" i="3"/>
  <c r="FH172" i="3"/>
  <c r="FI172" i="3"/>
  <c r="FJ172" i="3"/>
  <c r="FK172" i="3"/>
  <c r="FL172" i="3"/>
  <c r="FM172" i="3"/>
  <c r="FN172" i="3"/>
  <c r="FO172" i="3"/>
  <c r="FP172" i="3"/>
  <c r="FQ172" i="3"/>
  <c r="FR172" i="3"/>
  <c r="FS172" i="3"/>
  <c r="FT172" i="3"/>
  <c r="FU172" i="3"/>
  <c r="FV172" i="3"/>
  <c r="FW172" i="3"/>
  <c r="FX172" i="3"/>
  <c r="FY172" i="3"/>
  <c r="FZ172" i="3"/>
  <c r="GA172" i="3"/>
  <c r="GB172" i="3"/>
  <c r="GC172" i="3"/>
  <c r="GD172" i="3"/>
  <c r="GE172" i="3"/>
  <c r="GF172" i="3"/>
  <c r="GG172" i="3"/>
  <c r="GH172" i="3"/>
  <c r="GI172" i="3"/>
  <c r="GJ172" i="3"/>
  <c r="GK172" i="3"/>
  <c r="GL172" i="3"/>
  <c r="GM172" i="3"/>
  <c r="GN172" i="3"/>
  <c r="GO172" i="3"/>
  <c r="GP172" i="3"/>
  <c r="GQ172" i="3"/>
  <c r="GR172" i="3"/>
  <c r="GS172" i="3"/>
  <c r="GT172" i="3"/>
  <c r="GU172" i="3"/>
  <c r="GV172" i="3"/>
  <c r="GW172" i="3"/>
  <c r="GX172" i="3"/>
  <c r="GY172" i="3"/>
  <c r="GZ172" i="3"/>
  <c r="HA172" i="3"/>
  <c r="HB172" i="3"/>
  <c r="HC172" i="3"/>
  <c r="HD172" i="3"/>
  <c r="HE172" i="3"/>
  <c r="HF172" i="3"/>
  <c r="HG172" i="3"/>
  <c r="HH172" i="3"/>
  <c r="HI172" i="3"/>
  <c r="HJ172" i="3"/>
  <c r="HK172" i="3"/>
  <c r="HL172" i="3"/>
  <c r="HM172" i="3"/>
  <c r="HN172" i="3"/>
  <c r="HO172" i="3"/>
  <c r="HP172" i="3"/>
  <c r="HQ172" i="3"/>
  <c r="HR172" i="3"/>
  <c r="HS172" i="3"/>
  <c r="HT172" i="3"/>
  <c r="HU172" i="3"/>
  <c r="HV172" i="3"/>
  <c r="HW172" i="3"/>
  <c r="HX172" i="3"/>
  <c r="HY172" i="3"/>
  <c r="HZ172" i="3"/>
  <c r="IA172" i="3"/>
  <c r="IB172" i="3"/>
  <c r="IC172" i="3"/>
  <c r="ID172" i="3"/>
  <c r="IE172" i="3"/>
  <c r="IF172" i="3"/>
  <c r="IG172" i="3"/>
  <c r="IH172" i="3"/>
  <c r="II172" i="3"/>
  <c r="IJ172" i="3"/>
  <c r="IK172" i="3"/>
  <c r="IL172" i="3"/>
  <c r="IM172" i="3"/>
  <c r="IN172" i="3"/>
  <c r="IO172" i="3"/>
  <c r="IP172" i="3"/>
  <c r="IQ172" i="3"/>
  <c r="IR172" i="3"/>
  <c r="IS172" i="3"/>
  <c r="IT172" i="3"/>
  <c r="IU172" i="3"/>
  <c r="IV172" i="3"/>
  <c r="A171" i="3"/>
  <c r="B171" i="3"/>
  <c r="C171" i="3"/>
  <c r="D171" i="3"/>
  <c r="E171" i="3"/>
  <c r="F171" i="3"/>
  <c r="G171" i="3"/>
  <c r="H171" i="3"/>
  <c r="I171" i="3"/>
  <c r="J171" i="3"/>
  <c r="K171" i="3"/>
  <c r="L171" i="3"/>
  <c r="M171" i="3"/>
  <c r="N171" i="3"/>
  <c r="O171" i="3"/>
  <c r="P171" i="3"/>
  <c r="Q171" i="3"/>
  <c r="R171" i="3"/>
  <c r="S171" i="3"/>
  <c r="T171" i="3"/>
  <c r="U171" i="3"/>
  <c r="V171" i="3"/>
  <c r="W171" i="3"/>
  <c r="X171" i="3"/>
  <c r="Y171" i="3"/>
  <c r="Z171" i="3"/>
  <c r="AA171" i="3"/>
  <c r="AB171" i="3"/>
  <c r="AC171" i="3"/>
  <c r="AD171" i="3"/>
  <c r="AE171" i="3"/>
  <c r="AF171" i="3"/>
  <c r="AG171" i="3"/>
  <c r="AH171" i="3"/>
  <c r="AI171" i="3"/>
  <c r="AJ171" i="3"/>
  <c r="AK171" i="3"/>
  <c r="AL171" i="3"/>
  <c r="AM171" i="3"/>
  <c r="AN171" i="3"/>
  <c r="AO171" i="3"/>
  <c r="AP171" i="3"/>
  <c r="AQ171" i="3"/>
  <c r="AR171" i="3"/>
  <c r="AS171" i="3"/>
  <c r="AT171" i="3"/>
  <c r="AU171" i="3"/>
  <c r="AV171" i="3"/>
  <c r="AW171" i="3"/>
  <c r="AX171" i="3"/>
  <c r="AY171" i="3"/>
  <c r="AZ171" i="3"/>
  <c r="BA171" i="3"/>
  <c r="BB171" i="3"/>
  <c r="BC171" i="3"/>
  <c r="BD171" i="3"/>
  <c r="BE171" i="3"/>
  <c r="BF171" i="3"/>
  <c r="BG171" i="3"/>
  <c r="BH171" i="3"/>
  <c r="BI171" i="3"/>
  <c r="BJ171" i="3"/>
  <c r="BK171" i="3"/>
  <c r="BL171" i="3"/>
  <c r="BM171" i="3"/>
  <c r="BN171" i="3"/>
  <c r="BO171" i="3"/>
  <c r="BP171" i="3"/>
  <c r="BQ171" i="3"/>
  <c r="BR171" i="3"/>
  <c r="BS171" i="3"/>
  <c r="BT171" i="3"/>
  <c r="BU171" i="3"/>
  <c r="BV171" i="3"/>
  <c r="BW171" i="3"/>
  <c r="BX171" i="3"/>
  <c r="BY171" i="3"/>
  <c r="BZ171" i="3"/>
  <c r="CA171" i="3"/>
  <c r="CB171" i="3"/>
  <c r="CC171" i="3"/>
  <c r="CD171" i="3"/>
  <c r="CE171" i="3"/>
  <c r="CF171" i="3"/>
  <c r="CG171" i="3"/>
  <c r="CH171" i="3"/>
  <c r="CI171" i="3"/>
  <c r="CJ171" i="3"/>
  <c r="CK171" i="3"/>
  <c r="CL171" i="3"/>
  <c r="CM171" i="3"/>
  <c r="CN171" i="3"/>
  <c r="CO171" i="3"/>
  <c r="CP171" i="3"/>
  <c r="CQ171" i="3"/>
  <c r="CR171" i="3"/>
  <c r="CS171" i="3"/>
  <c r="CT171" i="3"/>
  <c r="CU171" i="3"/>
  <c r="CV171" i="3"/>
  <c r="CW171" i="3"/>
  <c r="CX171" i="3"/>
  <c r="CY171" i="3"/>
  <c r="CZ171" i="3"/>
  <c r="DA171" i="3"/>
  <c r="DB171" i="3"/>
  <c r="DC171" i="3"/>
  <c r="DD171" i="3"/>
  <c r="DE171" i="3"/>
  <c r="DF171" i="3"/>
  <c r="DG171" i="3"/>
  <c r="DH171" i="3"/>
  <c r="DI171" i="3"/>
  <c r="DJ171" i="3"/>
  <c r="DK171" i="3"/>
  <c r="DL171" i="3"/>
  <c r="DM171" i="3"/>
  <c r="DN171" i="3"/>
  <c r="DO171" i="3"/>
  <c r="DP171" i="3"/>
  <c r="DQ171" i="3"/>
  <c r="DR171" i="3"/>
  <c r="DS171" i="3"/>
  <c r="DT171" i="3"/>
  <c r="DU171" i="3"/>
  <c r="DV171" i="3"/>
  <c r="DW171" i="3"/>
  <c r="DX171" i="3"/>
  <c r="DY171" i="3"/>
  <c r="DZ171" i="3"/>
  <c r="EA171" i="3"/>
  <c r="EB171" i="3"/>
  <c r="EC171" i="3"/>
  <c r="ED171" i="3"/>
  <c r="EE171" i="3"/>
  <c r="EF171" i="3"/>
  <c r="EG171" i="3"/>
  <c r="EH171" i="3"/>
  <c r="EI171" i="3"/>
  <c r="EJ171" i="3"/>
  <c r="EK171" i="3"/>
  <c r="EL171" i="3"/>
  <c r="EM171" i="3"/>
  <c r="EN171" i="3"/>
  <c r="EO171" i="3"/>
  <c r="EP171" i="3"/>
  <c r="EQ171" i="3"/>
  <c r="ER171" i="3"/>
  <c r="ES171" i="3"/>
  <c r="ET171" i="3"/>
  <c r="EU171" i="3"/>
  <c r="EV171" i="3"/>
  <c r="EW171" i="3"/>
  <c r="EX171" i="3"/>
  <c r="EY171" i="3"/>
  <c r="EZ171" i="3"/>
  <c r="FA171" i="3"/>
  <c r="FB171" i="3"/>
  <c r="FC171" i="3"/>
  <c r="FD171" i="3"/>
  <c r="FE171" i="3"/>
  <c r="FF171" i="3"/>
  <c r="FG171" i="3"/>
  <c r="FH171" i="3"/>
  <c r="FI171" i="3"/>
  <c r="FJ171" i="3"/>
  <c r="FK171" i="3"/>
  <c r="FL171" i="3"/>
  <c r="FM171" i="3"/>
  <c r="FN171" i="3"/>
  <c r="FO171" i="3"/>
  <c r="FP171" i="3"/>
  <c r="FQ171" i="3"/>
  <c r="FR171" i="3"/>
  <c r="FS171" i="3"/>
  <c r="FT171" i="3"/>
  <c r="FU171" i="3"/>
  <c r="FV171" i="3"/>
  <c r="FW171" i="3"/>
  <c r="FX171" i="3"/>
  <c r="FY171" i="3"/>
  <c r="FZ171" i="3"/>
  <c r="GA171" i="3"/>
  <c r="GB171" i="3"/>
  <c r="GC171" i="3"/>
  <c r="GD171" i="3"/>
  <c r="GE171" i="3"/>
  <c r="GF171" i="3"/>
  <c r="GG171" i="3"/>
  <c r="GH171" i="3"/>
  <c r="GI171" i="3"/>
  <c r="GJ171" i="3"/>
  <c r="GK171" i="3"/>
  <c r="GL171" i="3"/>
  <c r="GM171" i="3"/>
  <c r="GN171" i="3"/>
  <c r="GO171" i="3"/>
  <c r="GP171" i="3"/>
  <c r="GQ171" i="3"/>
  <c r="GR171" i="3"/>
  <c r="GS171" i="3"/>
  <c r="GT171" i="3"/>
  <c r="GU171" i="3"/>
  <c r="GV171" i="3"/>
  <c r="GW171" i="3"/>
  <c r="GX171" i="3"/>
  <c r="GY171" i="3"/>
  <c r="GZ171" i="3"/>
  <c r="HA171" i="3"/>
  <c r="HB171" i="3"/>
  <c r="HC171" i="3"/>
  <c r="HD171" i="3"/>
  <c r="HE171" i="3"/>
  <c r="HF171" i="3"/>
  <c r="HG171" i="3"/>
  <c r="HH171" i="3"/>
  <c r="HI171" i="3"/>
  <c r="HJ171" i="3"/>
  <c r="HK171" i="3"/>
  <c r="HL171" i="3"/>
  <c r="HM171" i="3"/>
  <c r="HN171" i="3"/>
  <c r="HO171" i="3"/>
  <c r="HP171" i="3"/>
  <c r="HQ171" i="3"/>
  <c r="HR171" i="3"/>
  <c r="HS171" i="3"/>
  <c r="HT171" i="3"/>
  <c r="HU171" i="3"/>
  <c r="HV171" i="3"/>
  <c r="HW171" i="3"/>
  <c r="HX171" i="3"/>
  <c r="HY171" i="3"/>
  <c r="HZ171" i="3"/>
  <c r="IA171" i="3"/>
  <c r="IB171" i="3"/>
  <c r="IC171" i="3"/>
  <c r="ID171" i="3"/>
  <c r="IE171" i="3"/>
  <c r="IF171" i="3"/>
  <c r="IG171" i="3"/>
  <c r="IH171" i="3"/>
  <c r="II171" i="3"/>
  <c r="IJ171" i="3"/>
  <c r="IK171" i="3"/>
  <c r="IL171" i="3"/>
  <c r="IM171" i="3"/>
  <c r="IN171" i="3"/>
  <c r="IO171" i="3"/>
  <c r="IP171" i="3"/>
  <c r="IQ171" i="3"/>
  <c r="IR171" i="3"/>
  <c r="IS171" i="3"/>
  <c r="IT171" i="3"/>
  <c r="IU171" i="3"/>
  <c r="IV171" i="3"/>
  <c r="A170" i="3"/>
  <c r="B170" i="3"/>
  <c r="C170" i="3"/>
  <c r="D170" i="3"/>
  <c r="E170" i="3"/>
  <c r="F170" i="3"/>
  <c r="G170" i="3"/>
  <c r="H170" i="3"/>
  <c r="I170" i="3"/>
  <c r="J170" i="3"/>
  <c r="K170" i="3"/>
  <c r="L170" i="3"/>
  <c r="M170" i="3"/>
  <c r="N170" i="3"/>
  <c r="O170" i="3"/>
  <c r="P170" i="3"/>
  <c r="Q170" i="3"/>
  <c r="R170" i="3"/>
  <c r="S170" i="3"/>
  <c r="T170" i="3"/>
  <c r="U170" i="3"/>
  <c r="V170" i="3"/>
  <c r="W170" i="3"/>
  <c r="X170" i="3"/>
  <c r="Y170" i="3"/>
  <c r="Z170" i="3"/>
  <c r="AA170" i="3"/>
  <c r="AB170" i="3"/>
  <c r="AC170" i="3"/>
  <c r="AD170" i="3"/>
  <c r="AE170" i="3"/>
  <c r="AF170" i="3"/>
  <c r="AG170" i="3"/>
  <c r="AH170" i="3"/>
  <c r="AI170" i="3"/>
  <c r="AJ170" i="3"/>
  <c r="AK170" i="3"/>
  <c r="AL170" i="3"/>
  <c r="AM170" i="3"/>
  <c r="AN170" i="3"/>
  <c r="AO170" i="3"/>
  <c r="AP170" i="3"/>
  <c r="AQ170" i="3"/>
  <c r="AR170" i="3"/>
  <c r="AS170" i="3"/>
  <c r="AT170" i="3"/>
  <c r="AU170" i="3"/>
  <c r="AV170" i="3"/>
  <c r="AW170" i="3"/>
  <c r="AX170" i="3"/>
  <c r="AY170" i="3"/>
  <c r="AZ170" i="3"/>
  <c r="BA170" i="3"/>
  <c r="BB170" i="3"/>
  <c r="BC170" i="3"/>
  <c r="BD170" i="3"/>
  <c r="BE170" i="3"/>
  <c r="BF170" i="3"/>
  <c r="BG170" i="3"/>
  <c r="BH170" i="3"/>
  <c r="BI170" i="3"/>
  <c r="BJ170" i="3"/>
  <c r="BK170" i="3"/>
  <c r="BL170" i="3"/>
  <c r="BM170" i="3"/>
  <c r="BN170" i="3"/>
  <c r="BO170" i="3"/>
  <c r="BP170" i="3"/>
  <c r="BQ170" i="3"/>
  <c r="BR170" i="3"/>
  <c r="BS170" i="3"/>
  <c r="BT170" i="3"/>
  <c r="BU170" i="3"/>
  <c r="BV170" i="3"/>
  <c r="BW170" i="3"/>
  <c r="BX170" i="3"/>
  <c r="BY170" i="3"/>
  <c r="BZ170" i="3"/>
  <c r="CA170" i="3"/>
  <c r="CB170" i="3"/>
  <c r="CC170" i="3"/>
  <c r="CD170" i="3"/>
  <c r="CE170" i="3"/>
  <c r="CF170" i="3"/>
  <c r="CG170" i="3"/>
  <c r="CH170" i="3"/>
  <c r="CI170" i="3"/>
  <c r="CJ170" i="3"/>
  <c r="CK170" i="3"/>
  <c r="CL170" i="3"/>
  <c r="CM170" i="3"/>
  <c r="CN170" i="3"/>
  <c r="CO170" i="3"/>
  <c r="CP170" i="3"/>
  <c r="CQ170" i="3"/>
  <c r="CR170" i="3"/>
  <c r="CS170" i="3"/>
  <c r="CT170" i="3"/>
  <c r="CU170" i="3"/>
  <c r="CV170" i="3"/>
  <c r="CW170" i="3"/>
  <c r="CX170" i="3"/>
  <c r="CY170" i="3"/>
  <c r="CZ170" i="3"/>
  <c r="DA170" i="3"/>
  <c r="DB170" i="3"/>
  <c r="DC170" i="3"/>
  <c r="DD170" i="3"/>
  <c r="DE170" i="3"/>
  <c r="DF170" i="3"/>
  <c r="DG170" i="3"/>
  <c r="DH170" i="3"/>
  <c r="DI170" i="3"/>
  <c r="DJ170" i="3"/>
  <c r="DK170" i="3"/>
  <c r="DL170" i="3"/>
  <c r="DM170" i="3"/>
  <c r="DN170" i="3"/>
  <c r="DO170" i="3"/>
  <c r="DP170" i="3"/>
  <c r="DQ170" i="3"/>
  <c r="DR170" i="3"/>
  <c r="DS170" i="3"/>
  <c r="DT170" i="3"/>
  <c r="DU170" i="3"/>
  <c r="DV170" i="3"/>
  <c r="DW170" i="3"/>
  <c r="DX170" i="3"/>
  <c r="DY170" i="3"/>
  <c r="DZ170" i="3"/>
  <c r="EA170" i="3"/>
  <c r="EB170" i="3"/>
  <c r="EC170" i="3"/>
  <c r="ED170" i="3"/>
  <c r="EE170" i="3"/>
  <c r="EF170" i="3"/>
  <c r="EG170" i="3"/>
  <c r="EH170" i="3"/>
  <c r="EI170" i="3"/>
  <c r="EJ170" i="3"/>
  <c r="EK170" i="3"/>
  <c r="EL170" i="3"/>
  <c r="EM170" i="3"/>
  <c r="EN170" i="3"/>
  <c r="EO170" i="3"/>
  <c r="EP170" i="3"/>
  <c r="EQ170" i="3"/>
  <c r="ER170" i="3"/>
  <c r="ES170" i="3"/>
  <c r="ET170" i="3"/>
  <c r="EU170" i="3"/>
  <c r="EV170" i="3"/>
  <c r="EW170" i="3"/>
  <c r="EX170" i="3"/>
  <c r="EY170" i="3"/>
  <c r="EZ170" i="3"/>
  <c r="FA170" i="3"/>
  <c r="FB170" i="3"/>
  <c r="FC170" i="3"/>
  <c r="FD170" i="3"/>
  <c r="FE170" i="3"/>
  <c r="FF170" i="3"/>
  <c r="FG170" i="3"/>
  <c r="FH170" i="3"/>
  <c r="FI170" i="3"/>
  <c r="FJ170" i="3"/>
  <c r="FK170" i="3"/>
  <c r="FL170" i="3"/>
  <c r="FM170" i="3"/>
  <c r="FN170" i="3"/>
  <c r="FO170" i="3"/>
  <c r="FP170" i="3"/>
  <c r="FQ170" i="3"/>
  <c r="FR170" i="3"/>
  <c r="FS170" i="3"/>
  <c r="FT170" i="3"/>
  <c r="FU170" i="3"/>
  <c r="FV170" i="3"/>
  <c r="FW170" i="3"/>
  <c r="FX170" i="3"/>
  <c r="FY170" i="3"/>
  <c r="FZ170" i="3"/>
  <c r="GA170" i="3"/>
  <c r="GB170" i="3"/>
  <c r="GC170" i="3"/>
  <c r="GD170" i="3"/>
  <c r="GE170" i="3"/>
  <c r="GF170" i="3"/>
  <c r="GG170" i="3"/>
  <c r="GH170" i="3"/>
  <c r="GI170" i="3"/>
  <c r="GJ170" i="3"/>
  <c r="GK170" i="3"/>
  <c r="GL170" i="3"/>
  <c r="GM170" i="3"/>
  <c r="GN170" i="3"/>
  <c r="GO170" i="3"/>
  <c r="GP170" i="3"/>
  <c r="GQ170" i="3"/>
  <c r="GR170" i="3"/>
  <c r="GS170" i="3"/>
  <c r="GT170" i="3"/>
  <c r="GU170" i="3"/>
  <c r="GV170" i="3"/>
  <c r="GW170" i="3"/>
  <c r="GX170" i="3"/>
  <c r="GY170" i="3"/>
  <c r="GZ170" i="3"/>
  <c r="HA170" i="3"/>
  <c r="HB170" i="3"/>
  <c r="HC170" i="3"/>
  <c r="HD170" i="3"/>
  <c r="HE170" i="3"/>
  <c r="HF170" i="3"/>
  <c r="HG170" i="3"/>
  <c r="HH170" i="3"/>
  <c r="HI170" i="3"/>
  <c r="HJ170" i="3"/>
  <c r="HK170" i="3"/>
  <c r="HL170" i="3"/>
  <c r="HM170" i="3"/>
  <c r="HN170" i="3"/>
  <c r="HO170" i="3"/>
  <c r="HP170" i="3"/>
  <c r="HQ170" i="3"/>
  <c r="HR170" i="3"/>
  <c r="HS170" i="3"/>
  <c r="HT170" i="3"/>
  <c r="HU170" i="3"/>
  <c r="HV170" i="3"/>
  <c r="HW170" i="3"/>
  <c r="HX170" i="3"/>
  <c r="HY170" i="3"/>
  <c r="HZ170" i="3"/>
  <c r="IA170" i="3"/>
  <c r="IB170" i="3"/>
  <c r="IC170" i="3"/>
  <c r="ID170" i="3"/>
  <c r="IE170" i="3"/>
  <c r="IF170" i="3"/>
  <c r="IG170" i="3"/>
  <c r="IH170" i="3"/>
  <c r="II170" i="3"/>
  <c r="IJ170" i="3"/>
  <c r="IK170" i="3"/>
  <c r="IL170" i="3"/>
  <c r="IM170" i="3"/>
  <c r="IN170" i="3"/>
  <c r="IO170" i="3"/>
  <c r="IP170" i="3"/>
  <c r="IQ170" i="3"/>
  <c r="IR170" i="3"/>
  <c r="IS170" i="3"/>
  <c r="IT170" i="3"/>
  <c r="IU170" i="3"/>
  <c r="IV170" i="3"/>
  <c r="A169" i="3"/>
  <c r="B169" i="3"/>
  <c r="C169" i="3"/>
  <c r="D169" i="3"/>
  <c r="E169" i="3"/>
  <c r="F169" i="3"/>
  <c r="G169" i="3"/>
  <c r="H169" i="3"/>
  <c r="I169" i="3"/>
  <c r="J169" i="3"/>
  <c r="K169" i="3"/>
  <c r="L169" i="3"/>
  <c r="M169" i="3"/>
  <c r="N169" i="3"/>
  <c r="O169" i="3"/>
  <c r="P169" i="3"/>
  <c r="Q169" i="3"/>
  <c r="R169" i="3"/>
  <c r="S169" i="3"/>
  <c r="T169" i="3"/>
  <c r="U169" i="3"/>
  <c r="V169" i="3"/>
  <c r="W169" i="3"/>
  <c r="X169" i="3"/>
  <c r="Y169" i="3"/>
  <c r="Z169" i="3"/>
  <c r="AA169" i="3"/>
  <c r="AB169" i="3"/>
  <c r="AC169" i="3"/>
  <c r="AD169" i="3"/>
  <c r="AE169" i="3"/>
  <c r="AF169" i="3"/>
  <c r="AG169" i="3"/>
  <c r="AH169" i="3"/>
  <c r="AI169" i="3"/>
  <c r="AJ169" i="3"/>
  <c r="AK169" i="3"/>
  <c r="AL169" i="3"/>
  <c r="AM169" i="3"/>
  <c r="AN169" i="3"/>
  <c r="AO169" i="3"/>
  <c r="AP169" i="3"/>
  <c r="AQ169" i="3"/>
  <c r="AR169" i="3"/>
  <c r="AS169" i="3"/>
  <c r="AT169" i="3"/>
  <c r="AU169" i="3"/>
  <c r="AV169" i="3"/>
  <c r="AW169" i="3"/>
  <c r="AX169" i="3"/>
  <c r="AY169" i="3"/>
  <c r="AZ169" i="3"/>
  <c r="BA169" i="3"/>
  <c r="BB169" i="3"/>
  <c r="BC169" i="3"/>
  <c r="BD169" i="3"/>
  <c r="BE169" i="3"/>
  <c r="BF169" i="3"/>
  <c r="BG169" i="3"/>
  <c r="BH169" i="3"/>
  <c r="BI169" i="3"/>
  <c r="BJ169" i="3"/>
  <c r="BK169" i="3"/>
  <c r="BL169" i="3"/>
  <c r="BM169" i="3"/>
  <c r="BN169" i="3"/>
  <c r="BO169" i="3"/>
  <c r="BP169" i="3"/>
  <c r="BQ169" i="3"/>
  <c r="BR169" i="3"/>
  <c r="BS169" i="3"/>
  <c r="BT169" i="3"/>
  <c r="BU169" i="3"/>
  <c r="BV169" i="3"/>
  <c r="BW169" i="3"/>
  <c r="BX169" i="3"/>
  <c r="BY169" i="3"/>
  <c r="BZ169" i="3"/>
  <c r="CA169" i="3"/>
  <c r="CB169" i="3"/>
  <c r="CC169" i="3"/>
  <c r="CD169" i="3"/>
  <c r="CE169" i="3"/>
  <c r="CF169" i="3"/>
  <c r="CG169" i="3"/>
  <c r="CH169" i="3"/>
  <c r="CI169" i="3"/>
  <c r="CJ169" i="3"/>
  <c r="CK169" i="3"/>
  <c r="CL169" i="3"/>
  <c r="CM169" i="3"/>
  <c r="CN169" i="3"/>
  <c r="CO169" i="3"/>
  <c r="CP169" i="3"/>
  <c r="CQ169" i="3"/>
  <c r="CR169" i="3"/>
  <c r="CS169" i="3"/>
  <c r="CT169" i="3"/>
  <c r="CU169" i="3"/>
  <c r="CV169" i="3"/>
  <c r="CW169" i="3"/>
  <c r="CX169" i="3"/>
  <c r="CY169" i="3"/>
  <c r="CZ169" i="3"/>
  <c r="DA169" i="3"/>
  <c r="DB169" i="3"/>
  <c r="DC169" i="3"/>
  <c r="DD169" i="3"/>
  <c r="DE169" i="3"/>
  <c r="DF169" i="3"/>
  <c r="DG169" i="3"/>
  <c r="DH169" i="3"/>
  <c r="DI169" i="3"/>
  <c r="DJ169" i="3"/>
  <c r="DK169" i="3"/>
  <c r="DL169" i="3"/>
  <c r="DM169" i="3"/>
  <c r="DN169" i="3"/>
  <c r="DO169" i="3"/>
  <c r="DP169" i="3"/>
  <c r="DQ169" i="3"/>
  <c r="DR169" i="3"/>
  <c r="DS169" i="3"/>
  <c r="DT169" i="3"/>
  <c r="DU169" i="3"/>
  <c r="DV169" i="3"/>
  <c r="DW169" i="3"/>
  <c r="DX169" i="3"/>
  <c r="DY169" i="3"/>
  <c r="DZ169" i="3"/>
  <c r="EA169" i="3"/>
  <c r="EB169" i="3"/>
  <c r="EC169" i="3"/>
  <c r="ED169" i="3"/>
  <c r="EE169" i="3"/>
  <c r="EF169" i="3"/>
  <c r="EG169" i="3"/>
  <c r="EH169" i="3"/>
  <c r="EI169" i="3"/>
  <c r="EJ169" i="3"/>
  <c r="EK169" i="3"/>
  <c r="EL169" i="3"/>
  <c r="EM169" i="3"/>
  <c r="EN169" i="3"/>
  <c r="EO169" i="3"/>
  <c r="EP169" i="3"/>
  <c r="EQ169" i="3"/>
  <c r="ER169" i="3"/>
  <c r="ES169" i="3"/>
  <c r="ET169" i="3"/>
  <c r="EU169" i="3"/>
  <c r="EV169" i="3"/>
  <c r="EW169" i="3"/>
  <c r="EX169" i="3"/>
  <c r="EY169" i="3"/>
  <c r="EZ169" i="3"/>
  <c r="FA169" i="3"/>
  <c r="FB169" i="3"/>
  <c r="FC169" i="3"/>
  <c r="FD169" i="3"/>
  <c r="FE169" i="3"/>
  <c r="FF169" i="3"/>
  <c r="FG169" i="3"/>
  <c r="FH169" i="3"/>
  <c r="FI169" i="3"/>
  <c r="FJ169" i="3"/>
  <c r="FK169" i="3"/>
  <c r="FL169" i="3"/>
  <c r="FM169" i="3"/>
  <c r="FN169" i="3"/>
  <c r="FO169" i="3"/>
  <c r="FP169" i="3"/>
  <c r="FQ169" i="3"/>
  <c r="FR169" i="3"/>
  <c r="FS169" i="3"/>
  <c r="FT169" i="3"/>
  <c r="FU169" i="3"/>
  <c r="FV169" i="3"/>
  <c r="FW169" i="3"/>
  <c r="FX169" i="3"/>
  <c r="FY169" i="3"/>
  <c r="FZ169" i="3"/>
  <c r="GA169" i="3"/>
  <c r="GB169" i="3"/>
  <c r="GC169" i="3"/>
  <c r="GD169" i="3"/>
  <c r="GE169" i="3"/>
  <c r="GF169" i="3"/>
  <c r="GG169" i="3"/>
  <c r="GH169" i="3"/>
  <c r="GI169" i="3"/>
  <c r="GJ169" i="3"/>
  <c r="GK169" i="3"/>
  <c r="GL169" i="3"/>
  <c r="GM169" i="3"/>
  <c r="GN169" i="3"/>
  <c r="GO169" i="3"/>
  <c r="GP169" i="3"/>
  <c r="GQ169" i="3"/>
  <c r="GR169" i="3"/>
  <c r="GS169" i="3"/>
  <c r="GT169" i="3"/>
  <c r="GU169" i="3"/>
  <c r="GV169" i="3"/>
  <c r="GW169" i="3"/>
  <c r="GX169" i="3"/>
  <c r="GY169" i="3"/>
  <c r="GZ169" i="3"/>
  <c r="HA169" i="3"/>
  <c r="HB169" i="3"/>
  <c r="HC169" i="3"/>
  <c r="HD169" i="3"/>
  <c r="HE169" i="3"/>
  <c r="HF169" i="3"/>
  <c r="HG169" i="3"/>
  <c r="HH169" i="3"/>
  <c r="HI169" i="3"/>
  <c r="HJ169" i="3"/>
  <c r="HK169" i="3"/>
  <c r="HL169" i="3"/>
  <c r="HM169" i="3"/>
  <c r="HN169" i="3"/>
  <c r="HO169" i="3"/>
  <c r="HP169" i="3"/>
  <c r="HQ169" i="3"/>
  <c r="HR169" i="3"/>
  <c r="HS169" i="3"/>
  <c r="HT169" i="3"/>
  <c r="HU169" i="3"/>
  <c r="HV169" i="3"/>
  <c r="HW169" i="3"/>
  <c r="HX169" i="3"/>
  <c r="HY169" i="3"/>
  <c r="HZ169" i="3"/>
  <c r="IA169" i="3"/>
  <c r="IB169" i="3"/>
  <c r="IC169" i="3"/>
  <c r="ID169" i="3"/>
  <c r="IE169" i="3"/>
  <c r="IF169" i="3"/>
  <c r="IG169" i="3"/>
  <c r="IH169" i="3"/>
  <c r="II169" i="3"/>
  <c r="IJ169" i="3"/>
  <c r="IK169" i="3"/>
  <c r="IL169" i="3"/>
  <c r="IM169" i="3"/>
  <c r="IN169" i="3"/>
  <c r="IO169" i="3"/>
  <c r="IP169" i="3"/>
  <c r="IQ169" i="3"/>
  <c r="IR169" i="3"/>
  <c r="IS169" i="3"/>
  <c r="IT169" i="3"/>
  <c r="IU169" i="3"/>
  <c r="IV169" i="3"/>
  <c r="A168" i="3"/>
  <c r="B168" i="3"/>
  <c r="C168" i="3"/>
  <c r="D168" i="3"/>
  <c r="E168" i="3"/>
  <c r="F168" i="3"/>
  <c r="G168" i="3"/>
  <c r="H168" i="3"/>
  <c r="I168" i="3"/>
  <c r="J168" i="3"/>
  <c r="K168" i="3"/>
  <c r="L168" i="3"/>
  <c r="M168" i="3"/>
  <c r="N168" i="3"/>
  <c r="O168" i="3"/>
  <c r="P168" i="3"/>
  <c r="Q168" i="3"/>
  <c r="R168" i="3"/>
  <c r="S168" i="3"/>
  <c r="T168" i="3"/>
  <c r="U168" i="3"/>
  <c r="V168" i="3"/>
  <c r="W168" i="3"/>
  <c r="X168" i="3"/>
  <c r="Y168" i="3"/>
  <c r="Z168" i="3"/>
  <c r="AA168" i="3"/>
  <c r="AB168" i="3"/>
  <c r="AC168" i="3"/>
  <c r="AD168" i="3"/>
  <c r="AE168" i="3"/>
  <c r="AF168" i="3"/>
  <c r="AG168" i="3"/>
  <c r="AH168" i="3"/>
  <c r="AI168" i="3"/>
  <c r="AJ168" i="3"/>
  <c r="AK168" i="3"/>
  <c r="AL168" i="3"/>
  <c r="AM168" i="3"/>
  <c r="AN168" i="3"/>
  <c r="AO168" i="3"/>
  <c r="AP168" i="3"/>
  <c r="AQ168" i="3"/>
  <c r="AR168" i="3"/>
  <c r="AS168" i="3"/>
  <c r="AT168" i="3"/>
  <c r="AU168" i="3"/>
  <c r="AV168" i="3"/>
  <c r="AW168" i="3"/>
  <c r="AX168" i="3"/>
  <c r="AY168" i="3"/>
  <c r="AZ168" i="3"/>
  <c r="BA168" i="3"/>
  <c r="BB168" i="3"/>
  <c r="BC168" i="3"/>
  <c r="BD168" i="3"/>
  <c r="BE168" i="3"/>
  <c r="BF168" i="3"/>
  <c r="BG168" i="3"/>
  <c r="BH168" i="3"/>
  <c r="BI168" i="3"/>
  <c r="BJ168" i="3"/>
  <c r="BK168" i="3"/>
  <c r="BL168" i="3"/>
  <c r="BM168" i="3"/>
  <c r="BN168" i="3"/>
  <c r="BO168" i="3"/>
  <c r="BP168" i="3"/>
  <c r="BQ168" i="3"/>
  <c r="BR168" i="3"/>
  <c r="BS168" i="3"/>
  <c r="BT168" i="3"/>
  <c r="BU168" i="3"/>
  <c r="BV168" i="3"/>
  <c r="BW168" i="3"/>
  <c r="BX168" i="3"/>
  <c r="BY168" i="3"/>
  <c r="BZ168" i="3"/>
  <c r="CA168" i="3"/>
  <c r="CB168" i="3"/>
  <c r="CC168" i="3"/>
  <c r="CD168" i="3"/>
  <c r="CE168" i="3"/>
  <c r="CF168" i="3"/>
  <c r="CG168" i="3"/>
  <c r="CH168" i="3"/>
  <c r="CI168" i="3"/>
  <c r="CJ168" i="3"/>
  <c r="CK168" i="3"/>
  <c r="CL168" i="3"/>
  <c r="CM168" i="3"/>
  <c r="CN168" i="3"/>
  <c r="CO168" i="3"/>
  <c r="CP168" i="3"/>
  <c r="CQ168" i="3"/>
  <c r="CR168" i="3"/>
  <c r="CS168" i="3"/>
  <c r="CT168" i="3"/>
  <c r="CU168" i="3"/>
  <c r="CV168" i="3"/>
  <c r="CW168" i="3"/>
  <c r="CX168" i="3"/>
  <c r="CY168" i="3"/>
  <c r="CZ168" i="3"/>
  <c r="DA168" i="3"/>
  <c r="DB168" i="3"/>
  <c r="DC168" i="3"/>
  <c r="DD168" i="3"/>
  <c r="DE168" i="3"/>
  <c r="DF168" i="3"/>
  <c r="DG168" i="3"/>
  <c r="DH168" i="3"/>
  <c r="DI168" i="3"/>
  <c r="DJ168" i="3"/>
  <c r="DK168" i="3"/>
  <c r="DL168" i="3"/>
  <c r="DM168" i="3"/>
  <c r="DN168" i="3"/>
  <c r="DO168" i="3"/>
  <c r="DP168" i="3"/>
  <c r="DQ168" i="3"/>
  <c r="DR168" i="3"/>
  <c r="DS168" i="3"/>
  <c r="DT168" i="3"/>
  <c r="DU168" i="3"/>
  <c r="DV168" i="3"/>
  <c r="DW168" i="3"/>
  <c r="DX168" i="3"/>
  <c r="DY168" i="3"/>
  <c r="DZ168" i="3"/>
  <c r="EA168" i="3"/>
  <c r="EB168" i="3"/>
  <c r="EC168" i="3"/>
  <c r="ED168" i="3"/>
  <c r="EE168" i="3"/>
  <c r="EF168" i="3"/>
  <c r="EG168" i="3"/>
  <c r="EH168" i="3"/>
  <c r="EI168" i="3"/>
  <c r="EJ168" i="3"/>
  <c r="EK168" i="3"/>
  <c r="EL168" i="3"/>
  <c r="EM168" i="3"/>
  <c r="EN168" i="3"/>
  <c r="EO168" i="3"/>
  <c r="EP168" i="3"/>
  <c r="EQ168" i="3"/>
  <c r="ER168" i="3"/>
  <c r="ES168" i="3"/>
  <c r="ET168" i="3"/>
  <c r="EU168" i="3"/>
  <c r="EV168" i="3"/>
  <c r="EW168" i="3"/>
  <c r="EX168" i="3"/>
  <c r="EY168" i="3"/>
  <c r="EZ168" i="3"/>
  <c r="FA168" i="3"/>
  <c r="FB168" i="3"/>
  <c r="FC168" i="3"/>
  <c r="FD168" i="3"/>
  <c r="FE168" i="3"/>
  <c r="FF168" i="3"/>
  <c r="FG168" i="3"/>
  <c r="FH168" i="3"/>
  <c r="FI168" i="3"/>
  <c r="FJ168" i="3"/>
  <c r="FK168" i="3"/>
  <c r="FL168" i="3"/>
  <c r="FM168" i="3"/>
  <c r="FN168" i="3"/>
  <c r="FO168" i="3"/>
  <c r="FP168" i="3"/>
  <c r="FQ168" i="3"/>
  <c r="FR168" i="3"/>
  <c r="FS168" i="3"/>
  <c r="FT168" i="3"/>
  <c r="FU168" i="3"/>
  <c r="FV168" i="3"/>
  <c r="FW168" i="3"/>
  <c r="FX168" i="3"/>
  <c r="FY168" i="3"/>
  <c r="FZ168" i="3"/>
  <c r="GA168" i="3"/>
  <c r="GB168" i="3"/>
  <c r="GC168" i="3"/>
  <c r="GD168" i="3"/>
  <c r="GE168" i="3"/>
  <c r="GF168" i="3"/>
  <c r="GG168" i="3"/>
  <c r="GH168" i="3"/>
  <c r="GI168" i="3"/>
  <c r="GJ168" i="3"/>
  <c r="GK168" i="3"/>
  <c r="GL168" i="3"/>
  <c r="GM168" i="3"/>
  <c r="GN168" i="3"/>
  <c r="GO168" i="3"/>
  <c r="GP168" i="3"/>
  <c r="GQ168" i="3"/>
  <c r="GR168" i="3"/>
  <c r="GS168" i="3"/>
  <c r="GT168" i="3"/>
  <c r="GU168" i="3"/>
  <c r="GV168" i="3"/>
  <c r="GW168" i="3"/>
  <c r="GX168" i="3"/>
  <c r="GY168" i="3"/>
  <c r="GZ168" i="3"/>
  <c r="HA168" i="3"/>
  <c r="HB168" i="3"/>
  <c r="HC168" i="3"/>
  <c r="HD168" i="3"/>
  <c r="HE168" i="3"/>
  <c r="HF168" i="3"/>
  <c r="HG168" i="3"/>
  <c r="HH168" i="3"/>
  <c r="HI168" i="3"/>
  <c r="HJ168" i="3"/>
  <c r="HK168" i="3"/>
  <c r="HL168" i="3"/>
  <c r="HM168" i="3"/>
  <c r="HN168" i="3"/>
  <c r="HO168" i="3"/>
  <c r="HP168" i="3"/>
  <c r="HQ168" i="3"/>
  <c r="HR168" i="3"/>
  <c r="HS168" i="3"/>
  <c r="HT168" i="3"/>
  <c r="HU168" i="3"/>
  <c r="HV168" i="3"/>
  <c r="HW168" i="3"/>
  <c r="HX168" i="3"/>
  <c r="HY168" i="3"/>
  <c r="HZ168" i="3"/>
  <c r="IA168" i="3"/>
  <c r="IB168" i="3"/>
  <c r="IC168" i="3"/>
  <c r="ID168" i="3"/>
  <c r="IE168" i="3"/>
  <c r="IF168" i="3"/>
  <c r="IG168" i="3"/>
  <c r="IH168" i="3"/>
  <c r="II168" i="3"/>
  <c r="IJ168" i="3"/>
  <c r="IK168" i="3"/>
  <c r="IL168" i="3"/>
  <c r="IM168" i="3"/>
  <c r="IN168" i="3"/>
  <c r="IO168" i="3"/>
  <c r="IP168" i="3"/>
  <c r="IQ168" i="3"/>
  <c r="IR168" i="3"/>
  <c r="IS168" i="3"/>
  <c r="IT168" i="3"/>
  <c r="IU168" i="3"/>
  <c r="IV168" i="3"/>
  <c r="A167" i="3"/>
  <c r="B167" i="3"/>
  <c r="C167" i="3"/>
  <c r="D167" i="3"/>
  <c r="E167" i="3"/>
  <c r="F167" i="3"/>
  <c r="G167" i="3"/>
  <c r="H167" i="3"/>
  <c r="I167" i="3"/>
  <c r="J167" i="3"/>
  <c r="K167" i="3"/>
  <c r="L167" i="3"/>
  <c r="M167" i="3"/>
  <c r="N167" i="3"/>
  <c r="O167" i="3"/>
  <c r="P167" i="3"/>
  <c r="Q167" i="3"/>
  <c r="R167" i="3"/>
  <c r="S167" i="3"/>
  <c r="T167" i="3"/>
  <c r="U167" i="3"/>
  <c r="V167" i="3"/>
  <c r="W167" i="3"/>
  <c r="X167" i="3"/>
  <c r="Y167" i="3"/>
  <c r="Z167" i="3"/>
  <c r="AA167" i="3"/>
  <c r="AB167" i="3"/>
  <c r="AC167" i="3"/>
  <c r="AD167" i="3"/>
  <c r="AE167" i="3"/>
  <c r="AF167" i="3"/>
  <c r="AG167" i="3"/>
  <c r="AH167" i="3"/>
  <c r="AI167" i="3"/>
  <c r="AJ167" i="3"/>
  <c r="AK167" i="3"/>
  <c r="AL167" i="3"/>
  <c r="AM167" i="3"/>
  <c r="AN167" i="3"/>
  <c r="AO167" i="3"/>
  <c r="AP167" i="3"/>
  <c r="AQ167" i="3"/>
  <c r="AR167" i="3"/>
  <c r="AS167" i="3"/>
  <c r="AT167" i="3"/>
  <c r="AU167" i="3"/>
  <c r="AV167" i="3"/>
  <c r="AW167" i="3"/>
  <c r="AX167" i="3"/>
  <c r="AY167" i="3"/>
  <c r="AZ167" i="3"/>
  <c r="BA167" i="3"/>
  <c r="BB167" i="3"/>
  <c r="BC167" i="3"/>
  <c r="BD167" i="3"/>
  <c r="BE167" i="3"/>
  <c r="BF167" i="3"/>
  <c r="BG167" i="3"/>
  <c r="BH167" i="3"/>
  <c r="BI167" i="3"/>
  <c r="BJ167" i="3"/>
  <c r="BK167" i="3"/>
  <c r="BL167" i="3"/>
  <c r="BM167" i="3"/>
  <c r="BN167" i="3"/>
  <c r="BO167" i="3"/>
  <c r="BP167" i="3"/>
  <c r="BQ167" i="3"/>
  <c r="BR167" i="3"/>
  <c r="BS167" i="3"/>
  <c r="BT167" i="3"/>
  <c r="BU167" i="3"/>
  <c r="BV167" i="3"/>
  <c r="BW167" i="3"/>
  <c r="BX167" i="3"/>
  <c r="BY167" i="3"/>
  <c r="BZ167" i="3"/>
  <c r="CA167" i="3"/>
  <c r="CB167" i="3"/>
  <c r="CC167" i="3"/>
  <c r="CD167" i="3"/>
  <c r="CE167" i="3"/>
  <c r="CF167" i="3"/>
  <c r="CG167" i="3"/>
  <c r="CH167" i="3"/>
  <c r="CI167" i="3"/>
  <c r="CJ167" i="3"/>
  <c r="CK167" i="3"/>
  <c r="CL167" i="3"/>
  <c r="CM167" i="3"/>
  <c r="CN167" i="3"/>
  <c r="CO167" i="3"/>
  <c r="CP167" i="3"/>
  <c r="CQ167" i="3"/>
  <c r="CR167" i="3"/>
  <c r="CS167" i="3"/>
  <c r="CT167" i="3"/>
  <c r="CU167" i="3"/>
  <c r="CV167" i="3"/>
  <c r="CW167" i="3"/>
  <c r="CX167" i="3"/>
  <c r="CY167" i="3"/>
  <c r="CZ167" i="3"/>
  <c r="DA167" i="3"/>
  <c r="DB167" i="3"/>
  <c r="DC167" i="3"/>
  <c r="DD167" i="3"/>
  <c r="DE167" i="3"/>
  <c r="DF167" i="3"/>
  <c r="DG167" i="3"/>
  <c r="DH167" i="3"/>
  <c r="DI167" i="3"/>
  <c r="DJ167" i="3"/>
  <c r="DK167" i="3"/>
  <c r="DL167" i="3"/>
  <c r="DM167" i="3"/>
  <c r="DN167" i="3"/>
  <c r="DO167" i="3"/>
  <c r="DP167" i="3"/>
  <c r="DQ167" i="3"/>
  <c r="DR167" i="3"/>
  <c r="DS167" i="3"/>
  <c r="DT167" i="3"/>
  <c r="DU167" i="3"/>
  <c r="DV167" i="3"/>
  <c r="DW167" i="3"/>
  <c r="DX167" i="3"/>
  <c r="DY167" i="3"/>
  <c r="DZ167" i="3"/>
  <c r="EA167" i="3"/>
  <c r="EB167" i="3"/>
  <c r="EC167" i="3"/>
  <c r="ED167" i="3"/>
  <c r="EE167" i="3"/>
  <c r="EF167" i="3"/>
  <c r="EG167" i="3"/>
  <c r="EH167" i="3"/>
  <c r="EI167" i="3"/>
  <c r="EJ167" i="3"/>
  <c r="EK167" i="3"/>
  <c r="EL167" i="3"/>
  <c r="EM167" i="3"/>
  <c r="EN167" i="3"/>
  <c r="EO167" i="3"/>
  <c r="EP167" i="3"/>
  <c r="EQ167" i="3"/>
  <c r="ER167" i="3"/>
  <c r="ES167" i="3"/>
  <c r="ET167" i="3"/>
  <c r="EU167" i="3"/>
  <c r="EV167" i="3"/>
  <c r="EW167" i="3"/>
  <c r="EX167" i="3"/>
  <c r="EY167" i="3"/>
  <c r="EZ167" i="3"/>
  <c r="FA167" i="3"/>
  <c r="FB167" i="3"/>
  <c r="FC167" i="3"/>
  <c r="FD167" i="3"/>
  <c r="FE167" i="3"/>
  <c r="FF167" i="3"/>
  <c r="FG167" i="3"/>
  <c r="FH167" i="3"/>
  <c r="FI167" i="3"/>
  <c r="FJ167" i="3"/>
  <c r="FK167" i="3"/>
  <c r="FL167" i="3"/>
  <c r="FM167" i="3"/>
  <c r="FN167" i="3"/>
  <c r="FO167" i="3"/>
  <c r="FP167" i="3"/>
  <c r="FQ167" i="3"/>
  <c r="FR167" i="3"/>
  <c r="FS167" i="3"/>
  <c r="FT167" i="3"/>
  <c r="FU167" i="3"/>
  <c r="FV167" i="3"/>
  <c r="FW167" i="3"/>
  <c r="FX167" i="3"/>
  <c r="FY167" i="3"/>
  <c r="FZ167" i="3"/>
  <c r="GA167" i="3"/>
  <c r="GB167" i="3"/>
  <c r="GC167" i="3"/>
  <c r="GD167" i="3"/>
  <c r="GE167" i="3"/>
  <c r="GF167" i="3"/>
  <c r="GG167" i="3"/>
  <c r="GH167" i="3"/>
  <c r="GI167" i="3"/>
  <c r="GJ167" i="3"/>
  <c r="GK167" i="3"/>
  <c r="GL167" i="3"/>
  <c r="GM167" i="3"/>
  <c r="GN167" i="3"/>
  <c r="GO167" i="3"/>
  <c r="GP167" i="3"/>
  <c r="GQ167" i="3"/>
  <c r="GR167" i="3"/>
  <c r="GS167" i="3"/>
  <c r="GT167" i="3"/>
  <c r="GU167" i="3"/>
  <c r="GV167" i="3"/>
  <c r="GW167" i="3"/>
  <c r="GX167" i="3"/>
  <c r="GY167" i="3"/>
  <c r="GZ167" i="3"/>
  <c r="HA167" i="3"/>
  <c r="HB167" i="3"/>
  <c r="HC167" i="3"/>
  <c r="HD167" i="3"/>
  <c r="HE167" i="3"/>
  <c r="HF167" i="3"/>
  <c r="HG167" i="3"/>
  <c r="HH167" i="3"/>
  <c r="HI167" i="3"/>
  <c r="HJ167" i="3"/>
  <c r="HK167" i="3"/>
  <c r="HL167" i="3"/>
  <c r="HM167" i="3"/>
  <c r="HN167" i="3"/>
  <c r="HO167" i="3"/>
  <c r="HP167" i="3"/>
  <c r="HQ167" i="3"/>
  <c r="HR167" i="3"/>
  <c r="HS167" i="3"/>
  <c r="HT167" i="3"/>
  <c r="HU167" i="3"/>
  <c r="HV167" i="3"/>
  <c r="HW167" i="3"/>
  <c r="HX167" i="3"/>
  <c r="HY167" i="3"/>
  <c r="HZ167" i="3"/>
  <c r="IA167" i="3"/>
  <c r="IB167" i="3"/>
  <c r="IC167" i="3"/>
  <c r="ID167" i="3"/>
  <c r="IE167" i="3"/>
  <c r="IF167" i="3"/>
  <c r="IG167" i="3"/>
  <c r="IH167" i="3"/>
  <c r="II167" i="3"/>
  <c r="IJ167" i="3"/>
  <c r="IK167" i="3"/>
  <c r="IL167" i="3"/>
  <c r="IM167" i="3"/>
  <c r="IN167" i="3"/>
  <c r="IO167" i="3"/>
  <c r="IP167" i="3"/>
  <c r="IQ167" i="3"/>
  <c r="IR167" i="3"/>
  <c r="IS167" i="3"/>
  <c r="IT167" i="3"/>
  <c r="IU167" i="3"/>
  <c r="IV167" i="3"/>
  <c r="A166" i="3"/>
  <c r="B166" i="3"/>
  <c r="C166" i="3"/>
  <c r="D166" i="3"/>
  <c r="E166" i="3"/>
  <c r="F166" i="3"/>
  <c r="G166" i="3"/>
  <c r="H166" i="3"/>
  <c r="I166" i="3"/>
  <c r="J166" i="3"/>
  <c r="K166" i="3"/>
  <c r="L166" i="3"/>
  <c r="M166" i="3"/>
  <c r="N166" i="3"/>
  <c r="O166" i="3"/>
  <c r="P166" i="3"/>
  <c r="Q166" i="3"/>
  <c r="R166" i="3"/>
  <c r="S166" i="3"/>
  <c r="T166" i="3"/>
  <c r="U166" i="3"/>
  <c r="V166" i="3"/>
  <c r="W166" i="3"/>
  <c r="X166" i="3"/>
  <c r="Y166" i="3"/>
  <c r="Z166" i="3"/>
  <c r="AA166" i="3"/>
  <c r="AB166" i="3"/>
  <c r="AC166" i="3"/>
  <c r="AD166" i="3"/>
  <c r="AE166" i="3"/>
  <c r="AF166" i="3"/>
  <c r="AG166" i="3"/>
  <c r="AH166" i="3"/>
  <c r="AI166" i="3"/>
  <c r="AJ166" i="3"/>
  <c r="AK166" i="3"/>
  <c r="AL166" i="3"/>
  <c r="AM166" i="3"/>
  <c r="AN166" i="3"/>
  <c r="AO166" i="3"/>
  <c r="AP166" i="3"/>
  <c r="AQ166" i="3"/>
  <c r="AR166" i="3"/>
  <c r="AS166" i="3"/>
  <c r="AT166" i="3"/>
  <c r="AU166" i="3"/>
  <c r="AV166" i="3"/>
  <c r="AW166" i="3"/>
  <c r="AX166" i="3"/>
  <c r="AY166" i="3"/>
  <c r="AZ166" i="3"/>
  <c r="BA166" i="3"/>
  <c r="BB166" i="3"/>
  <c r="BC166" i="3"/>
  <c r="BD166" i="3"/>
  <c r="BE166" i="3"/>
  <c r="BF166" i="3"/>
  <c r="BG166" i="3"/>
  <c r="BH166" i="3"/>
  <c r="BI166" i="3"/>
  <c r="BJ166" i="3"/>
  <c r="BK166" i="3"/>
  <c r="BL166" i="3"/>
  <c r="BM166" i="3"/>
  <c r="BN166" i="3"/>
  <c r="BO166" i="3"/>
  <c r="BP166" i="3"/>
  <c r="BQ166" i="3"/>
  <c r="BR166" i="3"/>
  <c r="BS166" i="3"/>
  <c r="BT166" i="3"/>
  <c r="BU166" i="3"/>
  <c r="BV166" i="3"/>
  <c r="BW166" i="3"/>
  <c r="BX166" i="3"/>
  <c r="BY166" i="3"/>
  <c r="BZ166" i="3"/>
  <c r="CA166" i="3"/>
  <c r="CB166" i="3"/>
  <c r="CC166" i="3"/>
  <c r="CD166" i="3"/>
  <c r="CE166" i="3"/>
  <c r="CF166" i="3"/>
  <c r="CG166" i="3"/>
  <c r="CH166" i="3"/>
  <c r="CI166" i="3"/>
  <c r="CJ166" i="3"/>
  <c r="CK166" i="3"/>
  <c r="CL166" i="3"/>
  <c r="CM166" i="3"/>
  <c r="CN166" i="3"/>
  <c r="CO166" i="3"/>
  <c r="CP166" i="3"/>
  <c r="CQ166" i="3"/>
  <c r="CR166" i="3"/>
  <c r="CS166" i="3"/>
  <c r="CT166" i="3"/>
  <c r="CU166" i="3"/>
  <c r="CV166" i="3"/>
  <c r="CW166" i="3"/>
  <c r="CX166" i="3"/>
  <c r="CY166" i="3"/>
  <c r="CZ166" i="3"/>
  <c r="DA166" i="3"/>
  <c r="DB166" i="3"/>
  <c r="DC166" i="3"/>
  <c r="DD166" i="3"/>
  <c r="DE166" i="3"/>
  <c r="DF166" i="3"/>
  <c r="DG166" i="3"/>
  <c r="DH166" i="3"/>
  <c r="DI166" i="3"/>
  <c r="DJ166" i="3"/>
  <c r="DK166" i="3"/>
  <c r="DL166" i="3"/>
  <c r="DM166" i="3"/>
  <c r="DN166" i="3"/>
  <c r="DO166" i="3"/>
  <c r="DP166" i="3"/>
  <c r="DQ166" i="3"/>
  <c r="DR166" i="3"/>
  <c r="DS166" i="3"/>
  <c r="DT166" i="3"/>
  <c r="DU166" i="3"/>
  <c r="DV166" i="3"/>
  <c r="DW166" i="3"/>
  <c r="DX166" i="3"/>
  <c r="DY166" i="3"/>
  <c r="DZ166" i="3"/>
  <c r="EA166" i="3"/>
  <c r="EB166" i="3"/>
  <c r="EC166" i="3"/>
  <c r="ED166" i="3"/>
  <c r="EE166" i="3"/>
  <c r="EF166" i="3"/>
  <c r="EG166" i="3"/>
  <c r="EH166" i="3"/>
  <c r="EI166" i="3"/>
  <c r="EJ166" i="3"/>
  <c r="EK166" i="3"/>
  <c r="EL166" i="3"/>
  <c r="EM166" i="3"/>
  <c r="EN166" i="3"/>
  <c r="EO166" i="3"/>
  <c r="EP166" i="3"/>
  <c r="EQ166" i="3"/>
  <c r="ER166" i="3"/>
  <c r="ES166" i="3"/>
  <c r="ET166" i="3"/>
  <c r="EU166" i="3"/>
  <c r="EV166" i="3"/>
  <c r="EW166" i="3"/>
  <c r="EX166" i="3"/>
  <c r="EY166" i="3"/>
  <c r="EZ166" i="3"/>
  <c r="FA166" i="3"/>
  <c r="FB166" i="3"/>
  <c r="FC166" i="3"/>
  <c r="FD166" i="3"/>
  <c r="FE166" i="3"/>
  <c r="FF166" i="3"/>
  <c r="FG166" i="3"/>
  <c r="FH166" i="3"/>
  <c r="FI166" i="3"/>
  <c r="FJ166" i="3"/>
  <c r="FK166" i="3"/>
  <c r="FL166" i="3"/>
  <c r="FM166" i="3"/>
  <c r="FN166" i="3"/>
  <c r="FO166" i="3"/>
  <c r="FP166" i="3"/>
  <c r="FQ166" i="3"/>
  <c r="FR166" i="3"/>
  <c r="FS166" i="3"/>
  <c r="FT166" i="3"/>
  <c r="FU166" i="3"/>
  <c r="FV166" i="3"/>
  <c r="FW166" i="3"/>
  <c r="FX166" i="3"/>
  <c r="FY166" i="3"/>
  <c r="FZ166" i="3"/>
  <c r="GA166" i="3"/>
  <c r="GB166" i="3"/>
  <c r="GC166" i="3"/>
  <c r="GD166" i="3"/>
  <c r="GE166" i="3"/>
  <c r="GF166" i="3"/>
  <c r="GG166" i="3"/>
  <c r="GH166" i="3"/>
  <c r="GI166" i="3"/>
  <c r="GJ166" i="3"/>
  <c r="GK166" i="3"/>
  <c r="GL166" i="3"/>
  <c r="GM166" i="3"/>
  <c r="GN166" i="3"/>
  <c r="GO166" i="3"/>
  <c r="GP166" i="3"/>
  <c r="GQ166" i="3"/>
  <c r="GR166" i="3"/>
  <c r="GS166" i="3"/>
  <c r="GT166" i="3"/>
  <c r="GU166" i="3"/>
  <c r="GV166" i="3"/>
  <c r="GW166" i="3"/>
  <c r="GX166" i="3"/>
  <c r="GY166" i="3"/>
  <c r="GZ166" i="3"/>
  <c r="HA166" i="3"/>
  <c r="HB166" i="3"/>
  <c r="HC166" i="3"/>
  <c r="HD166" i="3"/>
  <c r="HE166" i="3"/>
  <c r="HF166" i="3"/>
  <c r="HG166" i="3"/>
  <c r="HH166" i="3"/>
  <c r="HI166" i="3"/>
  <c r="HJ166" i="3"/>
  <c r="HK166" i="3"/>
  <c r="HL166" i="3"/>
  <c r="HM166" i="3"/>
  <c r="HN166" i="3"/>
  <c r="HO166" i="3"/>
  <c r="HP166" i="3"/>
  <c r="HQ166" i="3"/>
  <c r="HR166" i="3"/>
  <c r="HS166" i="3"/>
  <c r="HT166" i="3"/>
  <c r="HU166" i="3"/>
  <c r="HV166" i="3"/>
  <c r="HW166" i="3"/>
  <c r="HX166" i="3"/>
  <c r="HY166" i="3"/>
  <c r="HZ166" i="3"/>
  <c r="IA166" i="3"/>
  <c r="IB166" i="3"/>
  <c r="IC166" i="3"/>
  <c r="ID166" i="3"/>
  <c r="IE166" i="3"/>
  <c r="IF166" i="3"/>
  <c r="IG166" i="3"/>
  <c r="IH166" i="3"/>
  <c r="II166" i="3"/>
  <c r="IJ166" i="3"/>
  <c r="IK166" i="3"/>
  <c r="IL166" i="3"/>
  <c r="IM166" i="3"/>
  <c r="IN166" i="3"/>
  <c r="IO166" i="3"/>
  <c r="IP166" i="3"/>
  <c r="IQ166" i="3"/>
  <c r="IR166" i="3"/>
  <c r="IS166" i="3"/>
  <c r="IT166" i="3"/>
  <c r="IU166" i="3"/>
  <c r="IV166" i="3"/>
  <c r="A165" i="3"/>
  <c r="B165" i="3"/>
  <c r="C165" i="3"/>
  <c r="D165" i="3"/>
  <c r="E165" i="3"/>
  <c r="F165" i="3"/>
  <c r="G165" i="3"/>
  <c r="H165" i="3"/>
  <c r="I165" i="3"/>
  <c r="J165" i="3"/>
  <c r="K165" i="3"/>
  <c r="L165" i="3"/>
  <c r="M165" i="3"/>
  <c r="N165" i="3"/>
  <c r="O165" i="3"/>
  <c r="P165" i="3"/>
  <c r="Q165" i="3"/>
  <c r="R165" i="3"/>
  <c r="S165" i="3"/>
  <c r="T165" i="3"/>
  <c r="U165" i="3"/>
  <c r="V165" i="3"/>
  <c r="W165" i="3"/>
  <c r="X165" i="3"/>
  <c r="Y165" i="3"/>
  <c r="Z165" i="3"/>
  <c r="AA165" i="3"/>
  <c r="AB165" i="3"/>
  <c r="AC165" i="3"/>
  <c r="AD165" i="3"/>
  <c r="AE165" i="3"/>
  <c r="AF165" i="3"/>
  <c r="AG165" i="3"/>
  <c r="AH165" i="3"/>
  <c r="AI165" i="3"/>
  <c r="AJ165" i="3"/>
  <c r="AK165" i="3"/>
  <c r="AL165" i="3"/>
  <c r="AM165" i="3"/>
  <c r="AN165" i="3"/>
  <c r="AO165" i="3"/>
  <c r="AP165" i="3"/>
  <c r="AQ165" i="3"/>
  <c r="AR165" i="3"/>
  <c r="AS165" i="3"/>
  <c r="AT165" i="3"/>
  <c r="AU165" i="3"/>
  <c r="AV165" i="3"/>
  <c r="AW165" i="3"/>
  <c r="AX165" i="3"/>
  <c r="AY165" i="3"/>
  <c r="AZ165" i="3"/>
  <c r="BA165" i="3"/>
  <c r="BB165" i="3"/>
  <c r="BC165" i="3"/>
  <c r="BD165" i="3"/>
  <c r="BE165" i="3"/>
  <c r="BF165" i="3"/>
  <c r="BG165" i="3"/>
  <c r="BH165" i="3"/>
  <c r="BI165" i="3"/>
  <c r="BJ165" i="3"/>
  <c r="BK165" i="3"/>
  <c r="BL165" i="3"/>
  <c r="BM165" i="3"/>
  <c r="BN165" i="3"/>
  <c r="BO165" i="3"/>
  <c r="BP165" i="3"/>
  <c r="BQ165" i="3"/>
  <c r="BR165" i="3"/>
  <c r="BS165" i="3"/>
  <c r="BT165" i="3"/>
  <c r="BU165" i="3"/>
  <c r="BV165" i="3"/>
  <c r="BW165" i="3"/>
  <c r="BX165" i="3"/>
  <c r="BY165" i="3"/>
  <c r="BZ165" i="3"/>
  <c r="CA165" i="3"/>
  <c r="CB165" i="3"/>
  <c r="CC165" i="3"/>
  <c r="CD165" i="3"/>
  <c r="CE165" i="3"/>
  <c r="CF165" i="3"/>
  <c r="CG165" i="3"/>
  <c r="CH165" i="3"/>
  <c r="CI165" i="3"/>
  <c r="CJ165" i="3"/>
  <c r="CK165" i="3"/>
  <c r="CL165" i="3"/>
  <c r="CM165" i="3"/>
  <c r="CN165" i="3"/>
  <c r="CO165" i="3"/>
  <c r="CP165" i="3"/>
  <c r="CQ165" i="3"/>
  <c r="CR165" i="3"/>
  <c r="CS165" i="3"/>
  <c r="CT165" i="3"/>
  <c r="CU165" i="3"/>
  <c r="CV165" i="3"/>
  <c r="CW165" i="3"/>
  <c r="CX165" i="3"/>
  <c r="CY165" i="3"/>
  <c r="CZ165" i="3"/>
  <c r="DA165" i="3"/>
  <c r="DB165" i="3"/>
  <c r="DC165" i="3"/>
  <c r="DD165" i="3"/>
  <c r="DE165" i="3"/>
  <c r="DF165" i="3"/>
  <c r="DG165" i="3"/>
  <c r="DH165" i="3"/>
  <c r="DI165" i="3"/>
  <c r="DJ165" i="3"/>
  <c r="DK165" i="3"/>
  <c r="DL165" i="3"/>
  <c r="DM165" i="3"/>
  <c r="DN165" i="3"/>
  <c r="DO165" i="3"/>
  <c r="DP165" i="3"/>
  <c r="DQ165" i="3"/>
  <c r="DR165" i="3"/>
  <c r="DS165" i="3"/>
  <c r="DT165" i="3"/>
  <c r="DU165" i="3"/>
  <c r="DV165" i="3"/>
  <c r="DW165" i="3"/>
  <c r="DX165" i="3"/>
  <c r="DY165" i="3"/>
  <c r="DZ165" i="3"/>
  <c r="EA165" i="3"/>
  <c r="EB165" i="3"/>
  <c r="EC165" i="3"/>
  <c r="ED165" i="3"/>
  <c r="EE165" i="3"/>
  <c r="EF165" i="3"/>
  <c r="EG165" i="3"/>
  <c r="EH165" i="3"/>
  <c r="EI165" i="3"/>
  <c r="EJ165" i="3"/>
  <c r="EK165" i="3"/>
  <c r="EL165" i="3"/>
  <c r="EM165" i="3"/>
  <c r="EN165" i="3"/>
  <c r="EO165" i="3"/>
  <c r="EP165" i="3"/>
  <c r="EQ165" i="3"/>
  <c r="ER165" i="3"/>
  <c r="ES165" i="3"/>
  <c r="ET165" i="3"/>
  <c r="EU165" i="3"/>
  <c r="EV165" i="3"/>
  <c r="EW165" i="3"/>
  <c r="EX165" i="3"/>
  <c r="EY165" i="3"/>
  <c r="EZ165" i="3"/>
  <c r="FA165" i="3"/>
  <c r="FB165" i="3"/>
  <c r="FC165" i="3"/>
  <c r="FD165" i="3"/>
  <c r="FE165" i="3"/>
  <c r="FF165" i="3"/>
  <c r="FG165" i="3"/>
  <c r="FH165" i="3"/>
  <c r="FI165" i="3"/>
  <c r="FJ165" i="3"/>
  <c r="FK165" i="3"/>
  <c r="FL165" i="3"/>
  <c r="FM165" i="3"/>
  <c r="FN165" i="3"/>
  <c r="FO165" i="3"/>
  <c r="FP165" i="3"/>
  <c r="FQ165" i="3"/>
  <c r="FR165" i="3"/>
  <c r="FS165" i="3"/>
  <c r="FT165" i="3"/>
  <c r="FU165" i="3"/>
  <c r="FV165" i="3"/>
  <c r="FW165" i="3"/>
  <c r="FX165" i="3"/>
  <c r="FY165" i="3"/>
  <c r="FZ165" i="3"/>
  <c r="GA165" i="3"/>
  <c r="GB165" i="3"/>
  <c r="GC165" i="3"/>
  <c r="GD165" i="3"/>
  <c r="GE165" i="3"/>
  <c r="GF165" i="3"/>
  <c r="GG165" i="3"/>
  <c r="GH165" i="3"/>
  <c r="GI165" i="3"/>
  <c r="GJ165" i="3"/>
  <c r="GK165" i="3"/>
  <c r="GL165" i="3"/>
  <c r="GM165" i="3"/>
  <c r="GN165" i="3"/>
  <c r="GO165" i="3"/>
  <c r="GP165" i="3"/>
  <c r="GQ165" i="3"/>
  <c r="GR165" i="3"/>
  <c r="GS165" i="3"/>
  <c r="GT165" i="3"/>
  <c r="GU165" i="3"/>
  <c r="GV165" i="3"/>
  <c r="GW165" i="3"/>
  <c r="GX165" i="3"/>
  <c r="GY165" i="3"/>
  <c r="GZ165" i="3"/>
  <c r="HA165" i="3"/>
  <c r="HB165" i="3"/>
  <c r="HC165" i="3"/>
  <c r="HD165" i="3"/>
  <c r="HE165" i="3"/>
  <c r="HF165" i="3"/>
  <c r="HG165" i="3"/>
  <c r="HH165" i="3"/>
  <c r="HI165" i="3"/>
  <c r="HJ165" i="3"/>
  <c r="HK165" i="3"/>
  <c r="HL165" i="3"/>
  <c r="HM165" i="3"/>
  <c r="HN165" i="3"/>
  <c r="HO165" i="3"/>
  <c r="HP165" i="3"/>
  <c r="HQ165" i="3"/>
  <c r="HR165" i="3"/>
  <c r="HS165" i="3"/>
  <c r="HT165" i="3"/>
  <c r="HU165" i="3"/>
  <c r="HV165" i="3"/>
  <c r="HW165" i="3"/>
  <c r="HX165" i="3"/>
  <c r="HY165" i="3"/>
  <c r="HZ165" i="3"/>
  <c r="IA165" i="3"/>
  <c r="IB165" i="3"/>
  <c r="IC165" i="3"/>
  <c r="ID165" i="3"/>
  <c r="IE165" i="3"/>
  <c r="IF165" i="3"/>
  <c r="IG165" i="3"/>
  <c r="IH165" i="3"/>
  <c r="II165" i="3"/>
  <c r="IJ165" i="3"/>
  <c r="IK165" i="3"/>
  <c r="IL165" i="3"/>
  <c r="IM165" i="3"/>
  <c r="IN165" i="3"/>
  <c r="IO165" i="3"/>
  <c r="IP165" i="3"/>
  <c r="IQ165" i="3"/>
  <c r="IR165" i="3"/>
  <c r="IS165" i="3"/>
  <c r="IT165" i="3"/>
  <c r="IU165" i="3"/>
  <c r="IV165" i="3"/>
  <c r="A164" i="3"/>
  <c r="B164" i="3"/>
  <c r="C164" i="3"/>
  <c r="D164" i="3"/>
  <c r="E164" i="3"/>
  <c r="F164" i="3"/>
  <c r="G164" i="3"/>
  <c r="H164" i="3"/>
  <c r="I164" i="3"/>
  <c r="J164" i="3"/>
  <c r="K164" i="3"/>
  <c r="L164" i="3"/>
  <c r="M164" i="3"/>
  <c r="N164" i="3"/>
  <c r="O164" i="3"/>
  <c r="P164" i="3"/>
  <c r="Q164" i="3"/>
  <c r="R164" i="3"/>
  <c r="S164" i="3"/>
  <c r="T164" i="3"/>
  <c r="U164" i="3"/>
  <c r="V164" i="3"/>
  <c r="W164" i="3"/>
  <c r="X164" i="3"/>
  <c r="Y164" i="3"/>
  <c r="Z164" i="3"/>
  <c r="AA164" i="3"/>
  <c r="AB164" i="3"/>
  <c r="AC164" i="3"/>
  <c r="AD164" i="3"/>
  <c r="AE164" i="3"/>
  <c r="AF164" i="3"/>
  <c r="AG164" i="3"/>
  <c r="AH164" i="3"/>
  <c r="AI164" i="3"/>
  <c r="AJ164" i="3"/>
  <c r="AK164" i="3"/>
  <c r="AL164" i="3"/>
  <c r="AM164" i="3"/>
  <c r="AN164" i="3"/>
  <c r="AO164" i="3"/>
  <c r="AP164" i="3"/>
  <c r="AQ164" i="3"/>
  <c r="AR164" i="3"/>
  <c r="AS164" i="3"/>
  <c r="AT164" i="3"/>
  <c r="AU164" i="3"/>
  <c r="AV164" i="3"/>
  <c r="AW164" i="3"/>
  <c r="AX164" i="3"/>
  <c r="AY164" i="3"/>
  <c r="AZ164" i="3"/>
  <c r="BA164" i="3"/>
  <c r="BB164" i="3"/>
  <c r="BC164" i="3"/>
  <c r="BD164" i="3"/>
  <c r="BE164" i="3"/>
  <c r="BF164" i="3"/>
  <c r="BG164" i="3"/>
  <c r="BH164" i="3"/>
  <c r="BI164" i="3"/>
  <c r="BJ164" i="3"/>
  <c r="BK164" i="3"/>
  <c r="BL164" i="3"/>
  <c r="BM164" i="3"/>
  <c r="BN164" i="3"/>
  <c r="BO164" i="3"/>
  <c r="BP164" i="3"/>
  <c r="BQ164" i="3"/>
  <c r="BR164" i="3"/>
  <c r="BS164" i="3"/>
  <c r="BT164" i="3"/>
  <c r="BU164" i="3"/>
  <c r="BV164" i="3"/>
  <c r="BW164" i="3"/>
  <c r="BX164" i="3"/>
  <c r="BY164" i="3"/>
  <c r="BZ164" i="3"/>
  <c r="CA164" i="3"/>
  <c r="CB164" i="3"/>
  <c r="CC164" i="3"/>
  <c r="CD164" i="3"/>
  <c r="CE164" i="3"/>
  <c r="CF164" i="3"/>
  <c r="CG164" i="3"/>
  <c r="CH164" i="3"/>
  <c r="CI164" i="3"/>
  <c r="CJ164" i="3"/>
  <c r="CK164" i="3"/>
  <c r="CL164" i="3"/>
  <c r="CM164" i="3"/>
  <c r="CN164" i="3"/>
  <c r="CO164" i="3"/>
  <c r="CP164" i="3"/>
  <c r="CQ164" i="3"/>
  <c r="CR164" i="3"/>
  <c r="CS164" i="3"/>
  <c r="CT164" i="3"/>
  <c r="CU164" i="3"/>
  <c r="CV164" i="3"/>
  <c r="CW164" i="3"/>
  <c r="CX164" i="3"/>
  <c r="CY164" i="3"/>
  <c r="CZ164" i="3"/>
  <c r="DA164" i="3"/>
  <c r="DB164" i="3"/>
  <c r="DC164" i="3"/>
  <c r="DD164" i="3"/>
  <c r="DE164" i="3"/>
  <c r="DF164" i="3"/>
  <c r="DG164" i="3"/>
  <c r="DH164" i="3"/>
  <c r="DI164" i="3"/>
  <c r="DJ164" i="3"/>
  <c r="DK164" i="3"/>
  <c r="DL164" i="3"/>
  <c r="DM164" i="3"/>
  <c r="DN164" i="3"/>
  <c r="DO164" i="3"/>
  <c r="DP164" i="3"/>
  <c r="DQ164" i="3"/>
  <c r="DR164" i="3"/>
  <c r="DS164" i="3"/>
  <c r="DT164" i="3"/>
  <c r="DU164" i="3"/>
  <c r="DV164" i="3"/>
  <c r="DW164" i="3"/>
  <c r="DX164" i="3"/>
  <c r="DY164" i="3"/>
  <c r="DZ164" i="3"/>
  <c r="EA164" i="3"/>
  <c r="EB164" i="3"/>
  <c r="EC164" i="3"/>
  <c r="ED164" i="3"/>
  <c r="EE164" i="3"/>
  <c r="EF164" i="3"/>
  <c r="EG164" i="3"/>
  <c r="EH164" i="3"/>
  <c r="EI164" i="3"/>
  <c r="EJ164" i="3"/>
  <c r="EK164" i="3"/>
  <c r="EL164" i="3"/>
  <c r="EM164" i="3"/>
  <c r="EN164" i="3"/>
  <c r="EO164" i="3"/>
  <c r="EP164" i="3"/>
  <c r="EQ164" i="3"/>
  <c r="ER164" i="3"/>
  <c r="ES164" i="3"/>
  <c r="ET164" i="3"/>
  <c r="EU164" i="3"/>
  <c r="EV164" i="3"/>
  <c r="EW164" i="3"/>
  <c r="EX164" i="3"/>
  <c r="EY164" i="3"/>
  <c r="EZ164" i="3"/>
  <c r="FA164" i="3"/>
  <c r="FB164" i="3"/>
  <c r="FC164" i="3"/>
  <c r="FD164" i="3"/>
  <c r="FE164" i="3"/>
  <c r="FF164" i="3"/>
  <c r="FG164" i="3"/>
  <c r="FH164" i="3"/>
  <c r="FI164" i="3"/>
  <c r="FJ164" i="3"/>
  <c r="FK164" i="3"/>
  <c r="FL164" i="3"/>
  <c r="FM164" i="3"/>
  <c r="FN164" i="3"/>
  <c r="FO164" i="3"/>
  <c r="FP164" i="3"/>
  <c r="FQ164" i="3"/>
  <c r="FR164" i="3"/>
  <c r="FS164" i="3"/>
  <c r="FT164" i="3"/>
  <c r="FU164" i="3"/>
  <c r="FV164" i="3"/>
  <c r="FW164" i="3"/>
  <c r="FX164" i="3"/>
  <c r="FY164" i="3"/>
  <c r="FZ164" i="3"/>
  <c r="GA164" i="3"/>
  <c r="GB164" i="3"/>
  <c r="GC164" i="3"/>
  <c r="GD164" i="3"/>
  <c r="GE164" i="3"/>
  <c r="GF164" i="3"/>
  <c r="GG164" i="3"/>
  <c r="GH164" i="3"/>
  <c r="GI164" i="3"/>
  <c r="GJ164" i="3"/>
  <c r="GK164" i="3"/>
  <c r="GL164" i="3"/>
  <c r="GM164" i="3"/>
  <c r="GN164" i="3"/>
  <c r="GO164" i="3"/>
  <c r="GP164" i="3"/>
  <c r="GQ164" i="3"/>
  <c r="GR164" i="3"/>
  <c r="GS164" i="3"/>
  <c r="GT164" i="3"/>
  <c r="GU164" i="3"/>
  <c r="GV164" i="3"/>
  <c r="GW164" i="3"/>
  <c r="GX164" i="3"/>
  <c r="GY164" i="3"/>
  <c r="GZ164" i="3"/>
  <c r="HA164" i="3"/>
  <c r="HB164" i="3"/>
  <c r="HC164" i="3"/>
  <c r="HD164" i="3"/>
  <c r="HE164" i="3"/>
  <c r="HF164" i="3"/>
  <c r="HG164" i="3"/>
  <c r="HH164" i="3"/>
  <c r="HI164" i="3"/>
  <c r="HJ164" i="3"/>
  <c r="HK164" i="3"/>
  <c r="HL164" i="3"/>
  <c r="HM164" i="3"/>
  <c r="HN164" i="3"/>
  <c r="HO164" i="3"/>
  <c r="HP164" i="3"/>
  <c r="HQ164" i="3"/>
  <c r="HR164" i="3"/>
  <c r="HS164" i="3"/>
  <c r="HT164" i="3"/>
  <c r="HU164" i="3"/>
  <c r="HV164" i="3"/>
  <c r="HW164" i="3"/>
  <c r="HX164" i="3"/>
  <c r="HY164" i="3"/>
  <c r="HZ164" i="3"/>
  <c r="IA164" i="3"/>
  <c r="IB164" i="3"/>
  <c r="IC164" i="3"/>
  <c r="ID164" i="3"/>
  <c r="IE164" i="3"/>
  <c r="IF164" i="3"/>
  <c r="IG164" i="3"/>
  <c r="IH164" i="3"/>
  <c r="II164" i="3"/>
  <c r="IJ164" i="3"/>
  <c r="IK164" i="3"/>
  <c r="IL164" i="3"/>
  <c r="IM164" i="3"/>
  <c r="IN164" i="3"/>
  <c r="IO164" i="3"/>
  <c r="IP164" i="3"/>
  <c r="IQ164" i="3"/>
  <c r="IR164" i="3"/>
  <c r="IS164" i="3"/>
  <c r="IT164" i="3"/>
  <c r="IU164" i="3"/>
  <c r="IV164" i="3"/>
  <c r="A163" i="3"/>
  <c r="B163" i="3"/>
  <c r="C163" i="3"/>
  <c r="D163" i="3"/>
  <c r="E163" i="3"/>
  <c r="F163" i="3"/>
  <c r="G163" i="3"/>
  <c r="H163" i="3"/>
  <c r="I163" i="3"/>
  <c r="J163" i="3"/>
  <c r="K163" i="3"/>
  <c r="L163" i="3"/>
  <c r="M163" i="3"/>
  <c r="N163" i="3"/>
  <c r="O163" i="3"/>
  <c r="P163" i="3"/>
  <c r="Q163" i="3"/>
  <c r="R163" i="3"/>
  <c r="S163" i="3"/>
  <c r="T163" i="3"/>
  <c r="U163" i="3"/>
  <c r="V163" i="3"/>
  <c r="W163" i="3"/>
  <c r="X163" i="3"/>
  <c r="Y163" i="3"/>
  <c r="Z163" i="3"/>
  <c r="AA163" i="3"/>
  <c r="AB163" i="3"/>
  <c r="AC163" i="3"/>
  <c r="AD163" i="3"/>
  <c r="AE163" i="3"/>
  <c r="AF163" i="3"/>
  <c r="AG163" i="3"/>
  <c r="AH163" i="3"/>
  <c r="AI163" i="3"/>
  <c r="AJ163" i="3"/>
  <c r="AK163" i="3"/>
  <c r="AL163" i="3"/>
  <c r="AM163" i="3"/>
  <c r="AN163" i="3"/>
  <c r="AO163" i="3"/>
  <c r="AP163" i="3"/>
  <c r="AQ163" i="3"/>
  <c r="AR163" i="3"/>
  <c r="AS163" i="3"/>
  <c r="AT163" i="3"/>
  <c r="AU163" i="3"/>
  <c r="AV163" i="3"/>
  <c r="AW163" i="3"/>
  <c r="AX163" i="3"/>
  <c r="AY163" i="3"/>
  <c r="AZ163" i="3"/>
  <c r="BA163" i="3"/>
  <c r="BB163" i="3"/>
  <c r="BC163" i="3"/>
  <c r="BD163" i="3"/>
  <c r="BE163" i="3"/>
  <c r="BF163" i="3"/>
  <c r="BG163" i="3"/>
  <c r="BH163" i="3"/>
  <c r="BI163" i="3"/>
  <c r="BJ163" i="3"/>
  <c r="BK163" i="3"/>
  <c r="BL163" i="3"/>
  <c r="BM163" i="3"/>
  <c r="BN163" i="3"/>
  <c r="BO163" i="3"/>
  <c r="BP163" i="3"/>
  <c r="BQ163" i="3"/>
  <c r="BR163" i="3"/>
  <c r="BS163" i="3"/>
  <c r="BT163" i="3"/>
  <c r="BU163" i="3"/>
  <c r="BV163" i="3"/>
  <c r="BW163" i="3"/>
  <c r="BX163" i="3"/>
  <c r="BY163" i="3"/>
  <c r="BZ163" i="3"/>
  <c r="CA163" i="3"/>
  <c r="CB163" i="3"/>
  <c r="CC163" i="3"/>
  <c r="CD163" i="3"/>
  <c r="CE163" i="3"/>
  <c r="CF163" i="3"/>
  <c r="CG163" i="3"/>
  <c r="CH163" i="3"/>
  <c r="CI163" i="3"/>
  <c r="CJ163" i="3"/>
  <c r="CK163" i="3"/>
  <c r="CL163" i="3"/>
  <c r="CM163" i="3"/>
  <c r="CN163" i="3"/>
  <c r="CO163" i="3"/>
  <c r="CP163" i="3"/>
  <c r="CQ163" i="3"/>
  <c r="CR163" i="3"/>
  <c r="CS163" i="3"/>
  <c r="CT163" i="3"/>
  <c r="CU163" i="3"/>
  <c r="CV163" i="3"/>
  <c r="CW163" i="3"/>
  <c r="CX163" i="3"/>
  <c r="CY163" i="3"/>
  <c r="CZ163" i="3"/>
  <c r="DA163" i="3"/>
  <c r="DB163" i="3"/>
  <c r="DC163" i="3"/>
  <c r="DD163" i="3"/>
  <c r="DE163" i="3"/>
  <c r="DF163" i="3"/>
  <c r="DG163" i="3"/>
  <c r="DH163" i="3"/>
  <c r="DI163" i="3"/>
  <c r="DJ163" i="3"/>
  <c r="DK163" i="3"/>
  <c r="DL163" i="3"/>
  <c r="DM163" i="3"/>
  <c r="DN163" i="3"/>
  <c r="DO163" i="3"/>
  <c r="DP163" i="3"/>
  <c r="DQ163" i="3"/>
  <c r="DR163" i="3"/>
  <c r="DS163" i="3"/>
  <c r="DT163" i="3"/>
  <c r="DU163" i="3"/>
  <c r="DV163" i="3"/>
  <c r="DW163" i="3"/>
  <c r="DX163" i="3"/>
  <c r="DY163" i="3"/>
  <c r="DZ163" i="3"/>
  <c r="EA163" i="3"/>
  <c r="EB163" i="3"/>
  <c r="EC163" i="3"/>
  <c r="ED163" i="3"/>
  <c r="EE163" i="3"/>
  <c r="EF163" i="3"/>
  <c r="EG163" i="3"/>
  <c r="EH163" i="3"/>
  <c r="EI163" i="3"/>
  <c r="EJ163" i="3"/>
  <c r="EK163" i="3"/>
  <c r="EL163" i="3"/>
  <c r="EM163" i="3"/>
  <c r="EN163" i="3"/>
  <c r="EO163" i="3"/>
  <c r="EP163" i="3"/>
  <c r="EQ163" i="3"/>
  <c r="ER163" i="3"/>
  <c r="ES163" i="3"/>
  <c r="ET163" i="3"/>
  <c r="EU163" i="3"/>
  <c r="EV163" i="3"/>
  <c r="EW163" i="3"/>
  <c r="EX163" i="3"/>
  <c r="EY163" i="3"/>
  <c r="EZ163" i="3"/>
  <c r="FA163" i="3"/>
  <c r="FB163" i="3"/>
  <c r="FC163" i="3"/>
  <c r="FD163" i="3"/>
  <c r="FE163" i="3"/>
  <c r="FF163" i="3"/>
  <c r="FG163" i="3"/>
  <c r="FH163" i="3"/>
  <c r="FI163" i="3"/>
  <c r="FJ163" i="3"/>
  <c r="FK163" i="3"/>
  <c r="FL163" i="3"/>
  <c r="FM163" i="3"/>
  <c r="FN163" i="3"/>
  <c r="FO163" i="3"/>
  <c r="FP163" i="3"/>
  <c r="FQ163" i="3"/>
  <c r="FR163" i="3"/>
  <c r="FS163" i="3"/>
  <c r="FT163" i="3"/>
  <c r="FU163" i="3"/>
  <c r="FV163" i="3"/>
  <c r="FW163" i="3"/>
  <c r="FX163" i="3"/>
  <c r="FY163" i="3"/>
  <c r="FZ163" i="3"/>
  <c r="GA163" i="3"/>
  <c r="GB163" i="3"/>
  <c r="GC163" i="3"/>
  <c r="GD163" i="3"/>
  <c r="GE163" i="3"/>
  <c r="GF163" i="3"/>
  <c r="GG163" i="3"/>
  <c r="GH163" i="3"/>
  <c r="GI163" i="3"/>
  <c r="GJ163" i="3"/>
  <c r="GK163" i="3"/>
  <c r="GL163" i="3"/>
  <c r="GM163" i="3"/>
  <c r="GN163" i="3"/>
  <c r="GO163" i="3"/>
  <c r="GP163" i="3"/>
  <c r="GQ163" i="3"/>
  <c r="GR163" i="3"/>
  <c r="GS163" i="3"/>
  <c r="GT163" i="3"/>
  <c r="GU163" i="3"/>
  <c r="GV163" i="3"/>
  <c r="GW163" i="3"/>
  <c r="GX163" i="3"/>
  <c r="GY163" i="3"/>
  <c r="GZ163" i="3"/>
  <c r="HA163" i="3"/>
  <c r="HB163" i="3"/>
  <c r="HC163" i="3"/>
  <c r="HD163" i="3"/>
  <c r="HE163" i="3"/>
  <c r="HF163" i="3"/>
  <c r="HG163" i="3"/>
  <c r="HH163" i="3"/>
  <c r="HI163" i="3"/>
  <c r="HJ163" i="3"/>
  <c r="HK163" i="3"/>
  <c r="HL163" i="3"/>
  <c r="HM163" i="3"/>
  <c r="HN163" i="3"/>
  <c r="HO163" i="3"/>
  <c r="HP163" i="3"/>
  <c r="HQ163" i="3"/>
  <c r="HR163" i="3"/>
  <c r="HS163" i="3"/>
  <c r="HT163" i="3"/>
  <c r="HU163" i="3"/>
  <c r="HV163" i="3"/>
  <c r="HW163" i="3"/>
  <c r="HX163" i="3"/>
  <c r="HY163" i="3"/>
  <c r="HZ163" i="3"/>
  <c r="IA163" i="3"/>
  <c r="IB163" i="3"/>
  <c r="IC163" i="3"/>
  <c r="ID163" i="3"/>
  <c r="IE163" i="3"/>
  <c r="IF163" i="3"/>
  <c r="IG163" i="3"/>
  <c r="IH163" i="3"/>
  <c r="II163" i="3"/>
  <c r="IJ163" i="3"/>
  <c r="IK163" i="3"/>
  <c r="IL163" i="3"/>
  <c r="IM163" i="3"/>
  <c r="IN163" i="3"/>
  <c r="IO163" i="3"/>
  <c r="IP163" i="3"/>
  <c r="IQ163" i="3"/>
  <c r="IR163" i="3"/>
  <c r="IS163" i="3"/>
  <c r="IT163" i="3"/>
  <c r="IU163" i="3"/>
  <c r="IV163" i="3"/>
  <c r="A162" i="3"/>
  <c r="B162" i="3"/>
  <c r="C162" i="3"/>
  <c r="D162" i="3"/>
  <c r="E162" i="3"/>
  <c r="F162" i="3"/>
  <c r="G162" i="3"/>
  <c r="H162" i="3"/>
  <c r="I162" i="3"/>
  <c r="J162" i="3"/>
  <c r="K162" i="3"/>
  <c r="L162" i="3"/>
  <c r="M162" i="3"/>
  <c r="N162" i="3"/>
  <c r="O162" i="3"/>
  <c r="P162" i="3"/>
  <c r="Q162" i="3"/>
  <c r="R162" i="3"/>
  <c r="S162" i="3"/>
  <c r="T162" i="3"/>
  <c r="U162" i="3"/>
  <c r="V162" i="3"/>
  <c r="W162" i="3"/>
  <c r="X162" i="3"/>
  <c r="Y162" i="3"/>
  <c r="Z162" i="3"/>
  <c r="AA162" i="3"/>
  <c r="AB162" i="3"/>
  <c r="AC162" i="3"/>
  <c r="AD162" i="3"/>
  <c r="AE162" i="3"/>
  <c r="AF162" i="3"/>
  <c r="AG162" i="3"/>
  <c r="AH162" i="3"/>
  <c r="AI162" i="3"/>
  <c r="AJ162" i="3"/>
  <c r="AK162" i="3"/>
  <c r="AL162" i="3"/>
  <c r="AM162" i="3"/>
  <c r="AN162" i="3"/>
  <c r="AO162" i="3"/>
  <c r="AP162" i="3"/>
  <c r="AQ162" i="3"/>
  <c r="AR162" i="3"/>
  <c r="AS162" i="3"/>
  <c r="AT162" i="3"/>
  <c r="AU162" i="3"/>
  <c r="AV162" i="3"/>
  <c r="AW162" i="3"/>
  <c r="AX162" i="3"/>
  <c r="AY162" i="3"/>
  <c r="AZ162" i="3"/>
  <c r="BA162" i="3"/>
  <c r="BB162" i="3"/>
  <c r="BC162" i="3"/>
  <c r="BD162" i="3"/>
  <c r="BE162" i="3"/>
  <c r="BF162" i="3"/>
  <c r="BG162" i="3"/>
  <c r="BH162" i="3"/>
  <c r="BI162" i="3"/>
  <c r="BJ162" i="3"/>
  <c r="BK162" i="3"/>
  <c r="BL162" i="3"/>
  <c r="BM162" i="3"/>
  <c r="BN162" i="3"/>
  <c r="BO162" i="3"/>
  <c r="BP162" i="3"/>
  <c r="BQ162" i="3"/>
  <c r="BR162" i="3"/>
  <c r="BS162" i="3"/>
  <c r="BT162" i="3"/>
  <c r="BU162" i="3"/>
  <c r="BV162" i="3"/>
  <c r="BW162" i="3"/>
  <c r="BX162" i="3"/>
  <c r="BY162" i="3"/>
  <c r="BZ162" i="3"/>
  <c r="CA162" i="3"/>
  <c r="CB162" i="3"/>
  <c r="CC162" i="3"/>
  <c r="CD162" i="3"/>
  <c r="CE162" i="3"/>
  <c r="CF162" i="3"/>
  <c r="CG162" i="3"/>
  <c r="CH162" i="3"/>
  <c r="CI162" i="3"/>
  <c r="CJ162" i="3"/>
  <c r="CK162" i="3"/>
  <c r="CL162" i="3"/>
  <c r="CM162" i="3"/>
  <c r="CN162" i="3"/>
  <c r="CO162" i="3"/>
  <c r="CP162" i="3"/>
  <c r="CQ162" i="3"/>
  <c r="CR162" i="3"/>
  <c r="CS162" i="3"/>
  <c r="CT162" i="3"/>
  <c r="CU162" i="3"/>
  <c r="CV162" i="3"/>
  <c r="CW162" i="3"/>
  <c r="CX162" i="3"/>
  <c r="CY162" i="3"/>
  <c r="CZ162" i="3"/>
  <c r="DA162" i="3"/>
  <c r="DB162" i="3"/>
  <c r="DC162" i="3"/>
  <c r="DD162" i="3"/>
  <c r="DE162" i="3"/>
  <c r="DF162" i="3"/>
  <c r="DG162" i="3"/>
  <c r="DH162" i="3"/>
  <c r="DI162" i="3"/>
  <c r="DJ162" i="3"/>
  <c r="DK162" i="3"/>
  <c r="DL162" i="3"/>
  <c r="DM162" i="3"/>
  <c r="DN162" i="3"/>
  <c r="DO162" i="3"/>
  <c r="DP162" i="3"/>
  <c r="DQ162" i="3"/>
  <c r="DR162" i="3"/>
  <c r="DS162" i="3"/>
  <c r="DT162" i="3"/>
  <c r="DU162" i="3"/>
  <c r="DV162" i="3"/>
  <c r="DW162" i="3"/>
  <c r="DX162" i="3"/>
  <c r="DY162" i="3"/>
  <c r="DZ162" i="3"/>
  <c r="EA162" i="3"/>
  <c r="EB162" i="3"/>
  <c r="EC162" i="3"/>
  <c r="ED162" i="3"/>
  <c r="EE162" i="3"/>
  <c r="EF162" i="3"/>
  <c r="EG162" i="3"/>
  <c r="EH162" i="3"/>
  <c r="EI162" i="3"/>
  <c r="EJ162" i="3"/>
  <c r="EK162" i="3"/>
  <c r="EL162" i="3"/>
  <c r="EM162" i="3"/>
  <c r="EN162" i="3"/>
  <c r="EO162" i="3"/>
  <c r="EP162" i="3"/>
  <c r="EQ162" i="3"/>
  <c r="ER162" i="3"/>
  <c r="ES162" i="3"/>
  <c r="ET162" i="3"/>
  <c r="EU162" i="3"/>
  <c r="EV162" i="3"/>
  <c r="EW162" i="3"/>
  <c r="EX162" i="3"/>
  <c r="EY162" i="3"/>
  <c r="EZ162" i="3"/>
  <c r="FA162" i="3"/>
  <c r="FB162" i="3"/>
  <c r="FC162" i="3"/>
  <c r="FD162" i="3"/>
  <c r="FE162" i="3"/>
  <c r="FF162" i="3"/>
  <c r="FG162" i="3"/>
  <c r="FH162" i="3"/>
  <c r="FI162" i="3"/>
  <c r="FJ162" i="3"/>
  <c r="FK162" i="3"/>
  <c r="FL162" i="3"/>
  <c r="FM162" i="3"/>
  <c r="FN162" i="3"/>
  <c r="FO162" i="3"/>
  <c r="FP162" i="3"/>
  <c r="FQ162" i="3"/>
  <c r="FR162" i="3"/>
  <c r="FS162" i="3"/>
  <c r="FT162" i="3"/>
  <c r="FU162" i="3"/>
  <c r="FV162" i="3"/>
  <c r="FW162" i="3"/>
  <c r="FX162" i="3"/>
  <c r="FY162" i="3"/>
  <c r="FZ162" i="3"/>
  <c r="GA162" i="3"/>
  <c r="GB162" i="3"/>
  <c r="GC162" i="3"/>
  <c r="GD162" i="3"/>
  <c r="GE162" i="3"/>
  <c r="GF162" i="3"/>
  <c r="GG162" i="3"/>
  <c r="GH162" i="3"/>
  <c r="GI162" i="3"/>
  <c r="GJ162" i="3"/>
  <c r="GK162" i="3"/>
  <c r="GL162" i="3"/>
  <c r="GM162" i="3"/>
  <c r="GN162" i="3"/>
  <c r="GO162" i="3"/>
  <c r="GP162" i="3"/>
  <c r="GQ162" i="3"/>
  <c r="GR162" i="3"/>
  <c r="GS162" i="3"/>
  <c r="GT162" i="3"/>
  <c r="GU162" i="3"/>
  <c r="GV162" i="3"/>
  <c r="GW162" i="3"/>
  <c r="GX162" i="3"/>
  <c r="GY162" i="3"/>
  <c r="GZ162" i="3"/>
  <c r="HA162" i="3"/>
  <c r="HB162" i="3"/>
  <c r="HC162" i="3"/>
  <c r="HD162" i="3"/>
  <c r="HE162" i="3"/>
  <c r="HF162" i="3"/>
  <c r="HG162" i="3"/>
  <c r="HH162" i="3"/>
  <c r="HI162" i="3"/>
  <c r="HJ162" i="3"/>
  <c r="HK162" i="3"/>
  <c r="HL162" i="3"/>
  <c r="HM162" i="3"/>
  <c r="HN162" i="3"/>
  <c r="HO162" i="3"/>
  <c r="HP162" i="3"/>
  <c r="HQ162" i="3"/>
  <c r="HR162" i="3"/>
  <c r="HS162" i="3"/>
  <c r="HT162" i="3"/>
  <c r="HU162" i="3"/>
  <c r="HV162" i="3"/>
  <c r="HW162" i="3"/>
  <c r="HX162" i="3"/>
  <c r="HY162" i="3"/>
  <c r="HZ162" i="3"/>
  <c r="IA162" i="3"/>
  <c r="IB162" i="3"/>
  <c r="IC162" i="3"/>
  <c r="ID162" i="3"/>
  <c r="IE162" i="3"/>
  <c r="IF162" i="3"/>
  <c r="IG162" i="3"/>
  <c r="IH162" i="3"/>
  <c r="II162" i="3"/>
  <c r="IJ162" i="3"/>
  <c r="IK162" i="3"/>
  <c r="IL162" i="3"/>
  <c r="IM162" i="3"/>
  <c r="IN162" i="3"/>
  <c r="IO162" i="3"/>
  <c r="IP162" i="3"/>
  <c r="IQ162" i="3"/>
  <c r="IR162" i="3"/>
  <c r="IS162" i="3"/>
  <c r="IT162" i="3"/>
  <c r="IU162" i="3"/>
  <c r="IV162" i="3"/>
  <c r="A161" i="3"/>
  <c r="B161" i="3"/>
  <c r="C161" i="3"/>
  <c r="D161" i="3"/>
  <c r="E161" i="3"/>
  <c r="F161" i="3"/>
  <c r="G161" i="3"/>
  <c r="H161" i="3"/>
  <c r="I161" i="3"/>
  <c r="J161" i="3"/>
  <c r="K161" i="3"/>
  <c r="L161" i="3"/>
  <c r="M161" i="3"/>
  <c r="N161" i="3"/>
  <c r="O161" i="3"/>
  <c r="P161" i="3"/>
  <c r="Q161" i="3"/>
  <c r="R161" i="3"/>
  <c r="S161" i="3"/>
  <c r="T161" i="3"/>
  <c r="U161" i="3"/>
  <c r="V161" i="3"/>
  <c r="W161" i="3"/>
  <c r="X161" i="3"/>
  <c r="Y161" i="3"/>
  <c r="Z161" i="3"/>
  <c r="AA161" i="3"/>
  <c r="AB161" i="3"/>
  <c r="AC161" i="3"/>
  <c r="AD161" i="3"/>
  <c r="AE161" i="3"/>
  <c r="AF161" i="3"/>
  <c r="AG161" i="3"/>
  <c r="AH161" i="3"/>
  <c r="AI161" i="3"/>
  <c r="AJ161" i="3"/>
  <c r="AK161" i="3"/>
  <c r="AL161" i="3"/>
  <c r="AM161" i="3"/>
  <c r="AN161" i="3"/>
  <c r="AO161" i="3"/>
  <c r="AP161" i="3"/>
  <c r="AQ161" i="3"/>
  <c r="AR161" i="3"/>
  <c r="AS161" i="3"/>
  <c r="AT161" i="3"/>
  <c r="AU161" i="3"/>
  <c r="AV161" i="3"/>
  <c r="AW161" i="3"/>
  <c r="AX161" i="3"/>
  <c r="AY161" i="3"/>
  <c r="AZ161" i="3"/>
  <c r="BA161" i="3"/>
  <c r="BB161" i="3"/>
  <c r="BC161" i="3"/>
  <c r="BD161" i="3"/>
  <c r="BE161" i="3"/>
  <c r="BF161" i="3"/>
  <c r="BG161" i="3"/>
  <c r="BH161" i="3"/>
  <c r="BI161" i="3"/>
  <c r="BJ161" i="3"/>
  <c r="BK161" i="3"/>
  <c r="BL161" i="3"/>
  <c r="BM161" i="3"/>
  <c r="BN161" i="3"/>
  <c r="BO161" i="3"/>
  <c r="BP161" i="3"/>
  <c r="BQ161" i="3"/>
  <c r="BR161" i="3"/>
  <c r="BS161" i="3"/>
  <c r="BT161" i="3"/>
  <c r="BU161" i="3"/>
  <c r="BV161" i="3"/>
  <c r="BW161" i="3"/>
  <c r="BX161" i="3"/>
  <c r="BY161" i="3"/>
  <c r="BZ161" i="3"/>
  <c r="CA161" i="3"/>
  <c r="CB161" i="3"/>
  <c r="CC161" i="3"/>
  <c r="CD161" i="3"/>
  <c r="CE161" i="3"/>
  <c r="CF161" i="3"/>
  <c r="CG161" i="3"/>
  <c r="CH161" i="3"/>
  <c r="CI161" i="3"/>
  <c r="CJ161" i="3"/>
  <c r="CK161" i="3"/>
  <c r="CL161" i="3"/>
  <c r="CM161" i="3"/>
  <c r="CN161" i="3"/>
  <c r="CO161" i="3"/>
  <c r="CP161" i="3"/>
  <c r="CQ161" i="3"/>
  <c r="CR161" i="3"/>
  <c r="CS161" i="3"/>
  <c r="CT161" i="3"/>
  <c r="CU161" i="3"/>
  <c r="CV161" i="3"/>
  <c r="CW161" i="3"/>
  <c r="CX161" i="3"/>
  <c r="CY161" i="3"/>
  <c r="CZ161" i="3"/>
  <c r="DA161" i="3"/>
  <c r="DB161" i="3"/>
  <c r="DC161" i="3"/>
  <c r="DD161" i="3"/>
  <c r="DE161" i="3"/>
  <c r="DF161" i="3"/>
  <c r="DG161" i="3"/>
  <c r="DH161" i="3"/>
  <c r="DI161" i="3"/>
  <c r="DJ161" i="3"/>
  <c r="DK161" i="3"/>
  <c r="DL161" i="3"/>
  <c r="DM161" i="3"/>
  <c r="DN161" i="3"/>
  <c r="DO161" i="3"/>
  <c r="DP161" i="3"/>
  <c r="DQ161" i="3"/>
  <c r="DR161" i="3"/>
  <c r="DS161" i="3"/>
  <c r="DT161" i="3"/>
  <c r="DU161" i="3"/>
  <c r="DV161" i="3"/>
  <c r="DW161" i="3"/>
  <c r="DX161" i="3"/>
  <c r="DY161" i="3"/>
  <c r="DZ161" i="3"/>
  <c r="EA161" i="3"/>
  <c r="EB161" i="3"/>
  <c r="EC161" i="3"/>
  <c r="ED161" i="3"/>
  <c r="EE161" i="3"/>
  <c r="EF161" i="3"/>
  <c r="EG161" i="3"/>
  <c r="EH161" i="3"/>
  <c r="EI161" i="3"/>
  <c r="EJ161" i="3"/>
  <c r="EK161" i="3"/>
  <c r="EL161" i="3"/>
  <c r="EM161" i="3"/>
  <c r="EN161" i="3"/>
  <c r="EO161" i="3"/>
  <c r="EP161" i="3"/>
  <c r="EQ161" i="3"/>
  <c r="ER161" i="3"/>
  <c r="ES161" i="3"/>
  <c r="ET161" i="3"/>
  <c r="EU161" i="3"/>
  <c r="EV161" i="3"/>
  <c r="EW161" i="3"/>
  <c r="EX161" i="3"/>
  <c r="EY161" i="3"/>
  <c r="EZ161" i="3"/>
  <c r="FA161" i="3"/>
  <c r="FB161" i="3"/>
  <c r="FC161" i="3"/>
  <c r="FD161" i="3"/>
  <c r="FE161" i="3"/>
  <c r="FF161" i="3"/>
  <c r="FG161" i="3"/>
  <c r="FH161" i="3"/>
  <c r="FI161" i="3"/>
  <c r="FJ161" i="3"/>
  <c r="FK161" i="3"/>
  <c r="FL161" i="3"/>
  <c r="FM161" i="3"/>
  <c r="FN161" i="3"/>
  <c r="FO161" i="3"/>
  <c r="FP161" i="3"/>
  <c r="FQ161" i="3"/>
  <c r="FR161" i="3"/>
  <c r="FS161" i="3"/>
  <c r="FT161" i="3"/>
  <c r="FU161" i="3"/>
  <c r="FV161" i="3"/>
  <c r="FW161" i="3"/>
  <c r="FX161" i="3"/>
  <c r="FY161" i="3"/>
  <c r="FZ161" i="3"/>
  <c r="GA161" i="3"/>
  <c r="GB161" i="3"/>
  <c r="GC161" i="3"/>
  <c r="GD161" i="3"/>
  <c r="GE161" i="3"/>
  <c r="GF161" i="3"/>
  <c r="GG161" i="3"/>
  <c r="GH161" i="3"/>
  <c r="GI161" i="3"/>
  <c r="GJ161" i="3"/>
  <c r="GK161" i="3"/>
  <c r="GL161" i="3"/>
  <c r="GM161" i="3"/>
  <c r="GN161" i="3"/>
  <c r="GO161" i="3"/>
  <c r="GP161" i="3"/>
  <c r="GQ161" i="3"/>
  <c r="GR161" i="3"/>
  <c r="GS161" i="3"/>
  <c r="GT161" i="3"/>
  <c r="GU161" i="3"/>
  <c r="GV161" i="3"/>
  <c r="GW161" i="3"/>
  <c r="GX161" i="3"/>
  <c r="GY161" i="3"/>
  <c r="GZ161" i="3"/>
  <c r="HA161" i="3"/>
  <c r="HB161" i="3"/>
  <c r="HC161" i="3"/>
  <c r="HD161" i="3"/>
  <c r="HE161" i="3"/>
  <c r="HF161" i="3"/>
  <c r="HG161" i="3"/>
  <c r="HH161" i="3"/>
  <c r="HI161" i="3"/>
  <c r="HJ161" i="3"/>
  <c r="HK161" i="3"/>
  <c r="HL161" i="3"/>
  <c r="HM161" i="3"/>
  <c r="HN161" i="3"/>
  <c r="HO161" i="3"/>
  <c r="HP161" i="3"/>
  <c r="HQ161" i="3"/>
  <c r="HR161" i="3"/>
  <c r="HS161" i="3"/>
  <c r="HT161" i="3"/>
  <c r="HU161" i="3"/>
  <c r="HV161" i="3"/>
  <c r="HW161" i="3"/>
  <c r="HX161" i="3"/>
  <c r="HY161" i="3"/>
  <c r="HZ161" i="3"/>
  <c r="IA161" i="3"/>
  <c r="IB161" i="3"/>
  <c r="IC161" i="3"/>
  <c r="ID161" i="3"/>
  <c r="IE161" i="3"/>
  <c r="IF161" i="3"/>
  <c r="IG161" i="3"/>
  <c r="IH161" i="3"/>
  <c r="II161" i="3"/>
  <c r="IJ161" i="3"/>
  <c r="IK161" i="3"/>
  <c r="IL161" i="3"/>
  <c r="IM161" i="3"/>
  <c r="IN161" i="3"/>
  <c r="IO161" i="3"/>
  <c r="IP161" i="3"/>
  <c r="IQ161" i="3"/>
  <c r="IR161" i="3"/>
  <c r="IS161" i="3"/>
  <c r="IT161" i="3"/>
  <c r="IU161" i="3"/>
  <c r="IV161" i="3"/>
  <c r="A160" i="3"/>
  <c r="B160" i="3"/>
  <c r="C160" i="3"/>
  <c r="D160" i="3"/>
  <c r="E160" i="3"/>
  <c r="F160" i="3"/>
  <c r="G160" i="3"/>
  <c r="H160" i="3"/>
  <c r="I160" i="3"/>
  <c r="J160" i="3"/>
  <c r="K160" i="3"/>
  <c r="L160" i="3"/>
  <c r="M160" i="3"/>
  <c r="N160" i="3"/>
  <c r="O160" i="3"/>
  <c r="P160" i="3"/>
  <c r="Q160" i="3"/>
  <c r="R160" i="3"/>
  <c r="S160" i="3"/>
  <c r="T160" i="3"/>
  <c r="U160" i="3"/>
  <c r="V160" i="3"/>
  <c r="W160" i="3"/>
  <c r="X160" i="3"/>
  <c r="Y160" i="3"/>
  <c r="Z160" i="3"/>
  <c r="AA160" i="3"/>
  <c r="AB160" i="3"/>
  <c r="AC160" i="3"/>
  <c r="AD160" i="3"/>
  <c r="AE160" i="3"/>
  <c r="AF160" i="3"/>
  <c r="AG160" i="3"/>
  <c r="AH160" i="3"/>
  <c r="AI160" i="3"/>
  <c r="AJ160" i="3"/>
  <c r="AK160" i="3"/>
  <c r="AL160" i="3"/>
  <c r="AM160" i="3"/>
  <c r="AN160" i="3"/>
  <c r="AO160" i="3"/>
  <c r="AP160" i="3"/>
  <c r="AQ160" i="3"/>
  <c r="AR160" i="3"/>
  <c r="AS160" i="3"/>
  <c r="AT160" i="3"/>
  <c r="AU160" i="3"/>
  <c r="AV160" i="3"/>
  <c r="AW160" i="3"/>
  <c r="AX160" i="3"/>
  <c r="AY160" i="3"/>
  <c r="AZ160" i="3"/>
  <c r="BA160" i="3"/>
  <c r="BB160" i="3"/>
  <c r="BC160" i="3"/>
  <c r="BD160" i="3"/>
  <c r="BE160" i="3"/>
  <c r="BF160" i="3"/>
  <c r="BG160" i="3"/>
  <c r="BH160" i="3"/>
  <c r="BI160" i="3"/>
  <c r="BJ160" i="3"/>
  <c r="BK160" i="3"/>
  <c r="BL160" i="3"/>
  <c r="BM160" i="3"/>
  <c r="BN160" i="3"/>
  <c r="BO160" i="3"/>
  <c r="BP160" i="3"/>
  <c r="BQ160" i="3"/>
  <c r="BR160" i="3"/>
  <c r="BS160" i="3"/>
  <c r="BT160" i="3"/>
  <c r="BU160" i="3"/>
  <c r="BV160" i="3"/>
  <c r="BW160" i="3"/>
  <c r="BX160" i="3"/>
  <c r="BY160" i="3"/>
  <c r="BZ160" i="3"/>
  <c r="CA160" i="3"/>
  <c r="CB160" i="3"/>
  <c r="CC160" i="3"/>
  <c r="CD160" i="3"/>
  <c r="CE160" i="3"/>
  <c r="CF160" i="3"/>
  <c r="CG160" i="3"/>
  <c r="CH160" i="3"/>
  <c r="CI160" i="3"/>
  <c r="CJ160" i="3"/>
  <c r="CK160" i="3"/>
  <c r="CL160" i="3"/>
  <c r="CM160" i="3"/>
  <c r="CN160" i="3"/>
  <c r="CO160" i="3"/>
  <c r="CP160" i="3"/>
  <c r="CQ160" i="3"/>
  <c r="CR160" i="3"/>
  <c r="CS160" i="3"/>
  <c r="CT160" i="3"/>
  <c r="CU160" i="3"/>
  <c r="CV160" i="3"/>
  <c r="CW160" i="3"/>
  <c r="CX160" i="3"/>
  <c r="CY160" i="3"/>
  <c r="CZ160" i="3"/>
  <c r="DA160" i="3"/>
  <c r="DB160" i="3"/>
  <c r="DC160" i="3"/>
  <c r="DD160" i="3"/>
  <c r="DE160" i="3"/>
  <c r="DF160" i="3"/>
  <c r="DG160" i="3"/>
  <c r="DH160" i="3"/>
  <c r="DI160" i="3"/>
  <c r="DJ160" i="3"/>
  <c r="DK160" i="3"/>
  <c r="DL160" i="3"/>
  <c r="DM160" i="3"/>
  <c r="DN160" i="3"/>
  <c r="DO160" i="3"/>
  <c r="DP160" i="3"/>
  <c r="DQ160" i="3"/>
  <c r="DR160" i="3"/>
  <c r="DS160" i="3"/>
  <c r="DT160" i="3"/>
  <c r="DU160" i="3"/>
  <c r="DV160" i="3"/>
  <c r="DW160" i="3"/>
  <c r="DX160" i="3"/>
  <c r="DY160" i="3"/>
  <c r="DZ160" i="3"/>
  <c r="EA160" i="3"/>
  <c r="EB160" i="3"/>
  <c r="EC160" i="3"/>
  <c r="ED160" i="3"/>
  <c r="EE160" i="3"/>
  <c r="EF160" i="3"/>
  <c r="EG160" i="3"/>
  <c r="EH160" i="3"/>
  <c r="EI160" i="3"/>
  <c r="EJ160" i="3"/>
  <c r="EK160" i="3"/>
  <c r="EL160" i="3"/>
  <c r="EM160" i="3"/>
  <c r="EN160" i="3"/>
  <c r="EO160" i="3"/>
  <c r="EP160" i="3"/>
  <c r="EQ160" i="3"/>
  <c r="ER160" i="3"/>
  <c r="ES160" i="3"/>
  <c r="ET160" i="3"/>
  <c r="EU160" i="3"/>
  <c r="EV160" i="3"/>
  <c r="EW160" i="3"/>
  <c r="EX160" i="3"/>
  <c r="EY160" i="3"/>
  <c r="EZ160" i="3"/>
  <c r="FA160" i="3"/>
  <c r="FB160" i="3"/>
  <c r="FC160" i="3"/>
  <c r="FD160" i="3"/>
  <c r="FE160" i="3"/>
  <c r="FF160" i="3"/>
  <c r="FG160" i="3"/>
  <c r="FH160" i="3"/>
  <c r="FI160" i="3"/>
  <c r="FJ160" i="3"/>
  <c r="FK160" i="3"/>
  <c r="FL160" i="3"/>
  <c r="FM160" i="3"/>
  <c r="FN160" i="3"/>
  <c r="FO160" i="3"/>
  <c r="FP160" i="3"/>
  <c r="FQ160" i="3"/>
  <c r="FR160" i="3"/>
  <c r="FS160" i="3"/>
  <c r="FT160" i="3"/>
  <c r="FU160" i="3"/>
  <c r="FV160" i="3"/>
  <c r="FW160" i="3"/>
  <c r="FX160" i="3"/>
  <c r="FY160" i="3"/>
  <c r="FZ160" i="3"/>
  <c r="GA160" i="3"/>
  <c r="GB160" i="3"/>
  <c r="GC160" i="3"/>
  <c r="GD160" i="3"/>
  <c r="GE160" i="3"/>
  <c r="GF160" i="3"/>
  <c r="GG160" i="3"/>
  <c r="GH160" i="3"/>
  <c r="GI160" i="3"/>
  <c r="GJ160" i="3"/>
  <c r="GK160" i="3"/>
  <c r="GL160" i="3"/>
  <c r="GM160" i="3"/>
  <c r="GN160" i="3"/>
  <c r="GO160" i="3"/>
  <c r="GP160" i="3"/>
  <c r="GQ160" i="3"/>
  <c r="GR160" i="3"/>
  <c r="GS160" i="3"/>
  <c r="GT160" i="3"/>
  <c r="GU160" i="3"/>
  <c r="GV160" i="3"/>
  <c r="GW160" i="3"/>
  <c r="GX160" i="3"/>
  <c r="GY160" i="3"/>
  <c r="GZ160" i="3"/>
  <c r="HA160" i="3"/>
  <c r="HB160" i="3"/>
  <c r="HC160" i="3"/>
  <c r="HD160" i="3"/>
  <c r="HE160" i="3"/>
  <c r="HF160" i="3"/>
  <c r="HG160" i="3"/>
  <c r="HH160" i="3"/>
  <c r="HI160" i="3"/>
  <c r="HJ160" i="3"/>
  <c r="HK160" i="3"/>
  <c r="HL160" i="3"/>
  <c r="HM160" i="3"/>
  <c r="HN160" i="3"/>
  <c r="HO160" i="3"/>
  <c r="HP160" i="3"/>
  <c r="HQ160" i="3"/>
  <c r="HR160" i="3"/>
  <c r="HS160" i="3"/>
  <c r="HT160" i="3"/>
  <c r="HU160" i="3"/>
  <c r="HV160" i="3"/>
  <c r="HW160" i="3"/>
  <c r="HX160" i="3"/>
  <c r="HY160" i="3"/>
  <c r="HZ160" i="3"/>
  <c r="IA160" i="3"/>
  <c r="IB160" i="3"/>
  <c r="IC160" i="3"/>
  <c r="ID160" i="3"/>
  <c r="IE160" i="3"/>
  <c r="IF160" i="3"/>
  <c r="IG160" i="3"/>
  <c r="IH160" i="3"/>
  <c r="II160" i="3"/>
  <c r="IJ160" i="3"/>
  <c r="IK160" i="3"/>
  <c r="IL160" i="3"/>
  <c r="IM160" i="3"/>
  <c r="IN160" i="3"/>
  <c r="IO160" i="3"/>
  <c r="IP160" i="3"/>
  <c r="IQ160" i="3"/>
  <c r="IR160" i="3"/>
  <c r="IS160" i="3"/>
  <c r="IT160" i="3"/>
  <c r="IU160" i="3"/>
  <c r="IV160" i="3"/>
  <c r="A159" i="3"/>
  <c r="B159" i="3"/>
  <c r="C159" i="3"/>
  <c r="D159" i="3"/>
  <c r="E159" i="3"/>
  <c r="F159" i="3"/>
  <c r="G159" i="3"/>
  <c r="H159" i="3"/>
  <c r="I159" i="3"/>
  <c r="J159" i="3"/>
  <c r="K159" i="3"/>
  <c r="L159" i="3"/>
  <c r="M159" i="3"/>
  <c r="N159" i="3"/>
  <c r="O159" i="3"/>
  <c r="P159" i="3"/>
  <c r="Q159" i="3"/>
  <c r="R159" i="3"/>
  <c r="S159" i="3"/>
  <c r="T159" i="3"/>
  <c r="U159" i="3"/>
  <c r="V159" i="3"/>
  <c r="W159" i="3"/>
  <c r="X159" i="3"/>
  <c r="Y159" i="3"/>
  <c r="Z159" i="3"/>
  <c r="AA159" i="3"/>
  <c r="AB159" i="3"/>
  <c r="AC159" i="3"/>
  <c r="AD159" i="3"/>
  <c r="AE159" i="3"/>
  <c r="AF159" i="3"/>
  <c r="AG159" i="3"/>
  <c r="AH159" i="3"/>
  <c r="AI159" i="3"/>
  <c r="AJ159" i="3"/>
  <c r="AK159" i="3"/>
  <c r="AL159" i="3"/>
  <c r="AM159" i="3"/>
  <c r="AN159" i="3"/>
  <c r="AO159" i="3"/>
  <c r="AP159" i="3"/>
  <c r="AQ159" i="3"/>
  <c r="AR159" i="3"/>
  <c r="AS159" i="3"/>
  <c r="AT159" i="3"/>
  <c r="AU159" i="3"/>
  <c r="AV159" i="3"/>
  <c r="AW159" i="3"/>
  <c r="AX159" i="3"/>
  <c r="AY159" i="3"/>
  <c r="AZ159" i="3"/>
  <c r="BA159" i="3"/>
  <c r="BB159" i="3"/>
  <c r="BC159" i="3"/>
  <c r="BD159" i="3"/>
  <c r="BE159" i="3"/>
  <c r="BF159" i="3"/>
  <c r="BG159" i="3"/>
  <c r="BH159" i="3"/>
  <c r="BI159" i="3"/>
  <c r="BJ159" i="3"/>
  <c r="BK159" i="3"/>
  <c r="BL159" i="3"/>
  <c r="BM159" i="3"/>
  <c r="BN159" i="3"/>
  <c r="BO159" i="3"/>
  <c r="BP159" i="3"/>
  <c r="BQ159" i="3"/>
  <c r="BR159" i="3"/>
  <c r="BS159" i="3"/>
  <c r="BT159" i="3"/>
  <c r="BU159" i="3"/>
  <c r="BV159" i="3"/>
  <c r="BW159" i="3"/>
  <c r="BX159" i="3"/>
  <c r="BY159" i="3"/>
  <c r="BZ159" i="3"/>
  <c r="CA159" i="3"/>
  <c r="CB159" i="3"/>
  <c r="CC159" i="3"/>
  <c r="CD159" i="3"/>
  <c r="CE159" i="3"/>
  <c r="CF159" i="3"/>
  <c r="CG159" i="3"/>
  <c r="CH159" i="3"/>
  <c r="CI159" i="3"/>
  <c r="CJ159" i="3"/>
  <c r="CK159" i="3"/>
  <c r="CL159" i="3"/>
  <c r="CM159" i="3"/>
  <c r="CN159" i="3"/>
  <c r="CO159" i="3"/>
  <c r="CP159" i="3"/>
  <c r="CQ159" i="3"/>
  <c r="CR159" i="3"/>
  <c r="CS159" i="3"/>
  <c r="CT159" i="3"/>
  <c r="CU159" i="3"/>
  <c r="CV159" i="3"/>
  <c r="CW159" i="3"/>
  <c r="CX159" i="3"/>
  <c r="CY159" i="3"/>
  <c r="CZ159" i="3"/>
  <c r="DA159" i="3"/>
  <c r="DB159" i="3"/>
  <c r="DC159" i="3"/>
  <c r="DD159" i="3"/>
  <c r="DE159" i="3"/>
  <c r="DF159" i="3"/>
  <c r="DG159" i="3"/>
  <c r="DH159" i="3"/>
  <c r="DI159" i="3"/>
  <c r="DJ159" i="3"/>
  <c r="DK159" i="3"/>
  <c r="DL159" i="3"/>
  <c r="DM159" i="3"/>
  <c r="DN159" i="3"/>
  <c r="DO159" i="3"/>
  <c r="DP159" i="3"/>
  <c r="DQ159" i="3"/>
  <c r="DR159" i="3"/>
  <c r="DS159" i="3"/>
  <c r="DT159" i="3"/>
  <c r="DU159" i="3"/>
  <c r="DV159" i="3"/>
  <c r="DW159" i="3"/>
  <c r="DX159" i="3"/>
  <c r="DY159" i="3"/>
  <c r="DZ159" i="3"/>
  <c r="EA159" i="3"/>
  <c r="EB159" i="3"/>
  <c r="EC159" i="3"/>
  <c r="ED159" i="3"/>
  <c r="EE159" i="3"/>
  <c r="EF159" i="3"/>
  <c r="EG159" i="3"/>
  <c r="EH159" i="3"/>
  <c r="EI159" i="3"/>
  <c r="EJ159" i="3"/>
  <c r="EK159" i="3"/>
  <c r="EL159" i="3"/>
  <c r="EM159" i="3"/>
  <c r="EN159" i="3"/>
  <c r="EO159" i="3"/>
  <c r="EP159" i="3"/>
  <c r="EQ159" i="3"/>
  <c r="ER159" i="3"/>
  <c r="ES159" i="3"/>
  <c r="ET159" i="3"/>
  <c r="EU159" i="3"/>
  <c r="EV159" i="3"/>
  <c r="EW159" i="3"/>
  <c r="EX159" i="3"/>
  <c r="EY159" i="3"/>
  <c r="EZ159" i="3"/>
  <c r="FA159" i="3"/>
  <c r="FB159" i="3"/>
  <c r="FC159" i="3"/>
  <c r="FD159" i="3"/>
  <c r="FE159" i="3"/>
  <c r="FF159" i="3"/>
  <c r="FG159" i="3"/>
  <c r="FH159" i="3"/>
  <c r="FI159" i="3"/>
  <c r="FJ159" i="3"/>
  <c r="FK159" i="3"/>
  <c r="FL159" i="3"/>
  <c r="FM159" i="3"/>
  <c r="FN159" i="3"/>
  <c r="FO159" i="3"/>
  <c r="FP159" i="3"/>
  <c r="FQ159" i="3"/>
  <c r="FR159" i="3"/>
  <c r="FS159" i="3"/>
  <c r="FT159" i="3"/>
  <c r="FU159" i="3"/>
  <c r="FV159" i="3"/>
  <c r="FW159" i="3"/>
  <c r="FX159" i="3"/>
  <c r="FY159" i="3"/>
  <c r="FZ159" i="3"/>
  <c r="GA159" i="3"/>
  <c r="GB159" i="3"/>
  <c r="GC159" i="3"/>
  <c r="GD159" i="3"/>
  <c r="GE159" i="3"/>
  <c r="GF159" i="3"/>
  <c r="GG159" i="3"/>
  <c r="GH159" i="3"/>
  <c r="GI159" i="3"/>
  <c r="GJ159" i="3"/>
  <c r="GK159" i="3"/>
  <c r="GL159" i="3"/>
  <c r="GM159" i="3"/>
  <c r="GN159" i="3"/>
  <c r="GO159" i="3"/>
  <c r="GP159" i="3"/>
  <c r="GQ159" i="3"/>
  <c r="GR159" i="3"/>
  <c r="GS159" i="3"/>
  <c r="GT159" i="3"/>
  <c r="GU159" i="3"/>
  <c r="GV159" i="3"/>
  <c r="GW159" i="3"/>
  <c r="GX159" i="3"/>
  <c r="GY159" i="3"/>
  <c r="GZ159" i="3"/>
  <c r="HA159" i="3"/>
  <c r="HB159" i="3"/>
  <c r="HC159" i="3"/>
  <c r="HD159" i="3"/>
  <c r="HE159" i="3"/>
  <c r="HF159" i="3"/>
  <c r="HG159" i="3"/>
  <c r="HH159" i="3"/>
  <c r="HI159" i="3"/>
  <c r="HJ159" i="3"/>
  <c r="HK159" i="3"/>
  <c r="HL159" i="3"/>
  <c r="HM159" i="3"/>
  <c r="HN159" i="3"/>
  <c r="HO159" i="3"/>
  <c r="HP159" i="3"/>
  <c r="HQ159" i="3"/>
  <c r="HR159" i="3"/>
  <c r="HS159" i="3"/>
  <c r="HT159" i="3"/>
  <c r="HU159" i="3"/>
  <c r="HV159" i="3"/>
  <c r="HW159" i="3"/>
  <c r="HX159" i="3"/>
  <c r="HY159" i="3"/>
  <c r="HZ159" i="3"/>
  <c r="IA159" i="3"/>
  <c r="IB159" i="3"/>
  <c r="IC159" i="3"/>
  <c r="ID159" i="3"/>
  <c r="IE159" i="3"/>
  <c r="IF159" i="3"/>
  <c r="IG159" i="3"/>
  <c r="IH159" i="3"/>
  <c r="II159" i="3"/>
  <c r="IJ159" i="3"/>
  <c r="IK159" i="3"/>
  <c r="IL159" i="3"/>
  <c r="IM159" i="3"/>
  <c r="IN159" i="3"/>
  <c r="IO159" i="3"/>
  <c r="IP159" i="3"/>
  <c r="IQ159" i="3"/>
  <c r="IR159" i="3"/>
  <c r="IS159" i="3"/>
  <c r="IT159" i="3"/>
  <c r="IU159" i="3"/>
  <c r="IV159" i="3"/>
  <c r="A158" i="3"/>
  <c r="B158" i="3"/>
  <c r="C158" i="3"/>
  <c r="D158" i="3"/>
  <c r="E158" i="3"/>
  <c r="F158" i="3"/>
  <c r="G158" i="3"/>
  <c r="H158" i="3"/>
  <c r="I158" i="3"/>
  <c r="J158" i="3"/>
  <c r="K158" i="3"/>
  <c r="L158" i="3"/>
  <c r="M158" i="3"/>
  <c r="N158" i="3"/>
  <c r="O158" i="3"/>
  <c r="P158" i="3"/>
  <c r="Q158" i="3"/>
  <c r="R158" i="3"/>
  <c r="S158" i="3"/>
  <c r="T158" i="3"/>
  <c r="U158" i="3"/>
  <c r="V158" i="3"/>
  <c r="W158" i="3"/>
  <c r="X158" i="3"/>
  <c r="Y158" i="3"/>
  <c r="Z158" i="3"/>
  <c r="AA158" i="3"/>
  <c r="AB158" i="3"/>
  <c r="AC158" i="3"/>
  <c r="AD158" i="3"/>
  <c r="AE158" i="3"/>
  <c r="AF158" i="3"/>
  <c r="AG158" i="3"/>
  <c r="AH158" i="3"/>
  <c r="AI158" i="3"/>
  <c r="AJ158" i="3"/>
  <c r="AK158" i="3"/>
  <c r="AL158" i="3"/>
  <c r="AM158" i="3"/>
  <c r="AN158" i="3"/>
  <c r="AO158" i="3"/>
  <c r="AP158" i="3"/>
  <c r="AQ158" i="3"/>
  <c r="AR158" i="3"/>
  <c r="AS158" i="3"/>
  <c r="AT158" i="3"/>
  <c r="AU158" i="3"/>
  <c r="AV158" i="3"/>
  <c r="AW158" i="3"/>
  <c r="AX158" i="3"/>
  <c r="AY158" i="3"/>
  <c r="AZ158" i="3"/>
  <c r="BA158" i="3"/>
  <c r="BB158" i="3"/>
  <c r="BC158" i="3"/>
  <c r="BD158" i="3"/>
  <c r="BE158" i="3"/>
  <c r="BF158" i="3"/>
  <c r="BG158" i="3"/>
  <c r="BH158" i="3"/>
  <c r="BI158" i="3"/>
  <c r="BJ158" i="3"/>
  <c r="BK158" i="3"/>
  <c r="BL158" i="3"/>
  <c r="BM158" i="3"/>
  <c r="BN158" i="3"/>
  <c r="BO158" i="3"/>
  <c r="BP158" i="3"/>
  <c r="BQ158" i="3"/>
  <c r="BR158" i="3"/>
  <c r="BS158" i="3"/>
  <c r="BT158" i="3"/>
  <c r="BU158" i="3"/>
  <c r="BV158" i="3"/>
  <c r="BW158" i="3"/>
  <c r="BX158" i="3"/>
  <c r="BY158" i="3"/>
  <c r="BZ158" i="3"/>
  <c r="CA158" i="3"/>
  <c r="CB158" i="3"/>
  <c r="CC158" i="3"/>
  <c r="CD158" i="3"/>
  <c r="CE158" i="3"/>
  <c r="CF158" i="3"/>
  <c r="CG158" i="3"/>
  <c r="CH158" i="3"/>
  <c r="CI158" i="3"/>
  <c r="CJ158" i="3"/>
  <c r="CK158" i="3"/>
  <c r="CL158" i="3"/>
  <c r="CM158" i="3"/>
  <c r="CN158" i="3"/>
  <c r="CO158" i="3"/>
  <c r="CP158" i="3"/>
  <c r="CQ158" i="3"/>
  <c r="CR158" i="3"/>
  <c r="CS158" i="3"/>
  <c r="CT158" i="3"/>
  <c r="CU158" i="3"/>
  <c r="CV158" i="3"/>
  <c r="CW158" i="3"/>
  <c r="CX158" i="3"/>
  <c r="CY158" i="3"/>
  <c r="CZ158" i="3"/>
  <c r="DA158" i="3"/>
  <c r="DB158" i="3"/>
  <c r="DC158" i="3"/>
  <c r="DD158" i="3"/>
  <c r="DE158" i="3"/>
  <c r="DF158" i="3"/>
  <c r="DG158" i="3"/>
  <c r="DH158" i="3"/>
  <c r="DI158" i="3"/>
  <c r="DJ158" i="3"/>
  <c r="DK158" i="3"/>
  <c r="DL158" i="3"/>
  <c r="DM158" i="3"/>
  <c r="DN158" i="3"/>
  <c r="DO158" i="3"/>
  <c r="DP158" i="3"/>
  <c r="DQ158" i="3"/>
  <c r="DR158" i="3"/>
  <c r="DS158" i="3"/>
  <c r="DT158" i="3"/>
  <c r="DU158" i="3"/>
  <c r="DV158" i="3"/>
  <c r="DW158" i="3"/>
  <c r="DX158" i="3"/>
  <c r="DY158" i="3"/>
  <c r="DZ158" i="3"/>
  <c r="EA158" i="3"/>
  <c r="EB158" i="3"/>
  <c r="EC158" i="3"/>
  <c r="ED158" i="3"/>
  <c r="EE158" i="3"/>
  <c r="EF158" i="3"/>
  <c r="EG158" i="3"/>
  <c r="EH158" i="3"/>
  <c r="EI158" i="3"/>
  <c r="EJ158" i="3"/>
  <c r="EK158" i="3"/>
  <c r="EL158" i="3"/>
  <c r="EM158" i="3"/>
  <c r="EN158" i="3"/>
  <c r="EO158" i="3"/>
  <c r="EP158" i="3"/>
  <c r="EQ158" i="3"/>
  <c r="ER158" i="3"/>
  <c r="ES158" i="3"/>
  <c r="ET158" i="3"/>
  <c r="EU158" i="3"/>
  <c r="EV158" i="3"/>
  <c r="EW158" i="3"/>
  <c r="EX158" i="3"/>
  <c r="EY158" i="3"/>
  <c r="EZ158" i="3"/>
  <c r="FA158" i="3"/>
  <c r="FB158" i="3"/>
  <c r="FC158" i="3"/>
  <c r="FD158" i="3"/>
  <c r="FE158" i="3"/>
  <c r="FF158" i="3"/>
  <c r="FG158" i="3"/>
  <c r="FH158" i="3"/>
  <c r="FI158" i="3"/>
  <c r="FJ158" i="3"/>
  <c r="FK158" i="3"/>
  <c r="FL158" i="3"/>
  <c r="FM158" i="3"/>
  <c r="FN158" i="3"/>
  <c r="FO158" i="3"/>
  <c r="FP158" i="3"/>
  <c r="FQ158" i="3"/>
  <c r="FR158" i="3"/>
  <c r="FS158" i="3"/>
  <c r="FT158" i="3"/>
  <c r="FU158" i="3"/>
  <c r="FV158" i="3"/>
  <c r="FW158" i="3"/>
  <c r="FX158" i="3"/>
  <c r="FY158" i="3"/>
  <c r="FZ158" i="3"/>
  <c r="GA158" i="3"/>
  <c r="GB158" i="3"/>
  <c r="GC158" i="3"/>
  <c r="GD158" i="3"/>
  <c r="GE158" i="3"/>
  <c r="GF158" i="3"/>
  <c r="GG158" i="3"/>
  <c r="GH158" i="3"/>
  <c r="GI158" i="3"/>
  <c r="GJ158" i="3"/>
  <c r="GK158" i="3"/>
  <c r="GL158" i="3"/>
  <c r="GM158" i="3"/>
  <c r="GN158" i="3"/>
  <c r="GO158" i="3"/>
  <c r="GP158" i="3"/>
  <c r="GQ158" i="3"/>
  <c r="GR158" i="3"/>
  <c r="GS158" i="3"/>
  <c r="GT158" i="3"/>
  <c r="GU158" i="3"/>
  <c r="GV158" i="3"/>
  <c r="GW158" i="3"/>
  <c r="GX158" i="3"/>
  <c r="GY158" i="3"/>
  <c r="GZ158" i="3"/>
  <c r="HA158" i="3"/>
  <c r="HB158" i="3"/>
  <c r="HC158" i="3"/>
  <c r="HD158" i="3"/>
  <c r="HE158" i="3"/>
  <c r="HF158" i="3"/>
  <c r="HG158" i="3"/>
  <c r="HH158" i="3"/>
  <c r="HI158" i="3"/>
  <c r="HJ158" i="3"/>
  <c r="HK158" i="3"/>
  <c r="HL158" i="3"/>
  <c r="HM158" i="3"/>
  <c r="HN158" i="3"/>
  <c r="HO158" i="3"/>
  <c r="HP158" i="3"/>
  <c r="HQ158" i="3"/>
  <c r="HR158" i="3"/>
  <c r="HS158" i="3"/>
  <c r="HT158" i="3"/>
  <c r="HU158" i="3"/>
  <c r="HV158" i="3"/>
  <c r="HW158" i="3"/>
  <c r="HX158" i="3"/>
  <c r="HY158" i="3"/>
  <c r="HZ158" i="3"/>
  <c r="IA158" i="3"/>
  <c r="IB158" i="3"/>
  <c r="IC158" i="3"/>
  <c r="ID158" i="3"/>
  <c r="IE158" i="3"/>
  <c r="IF158" i="3"/>
  <c r="IG158" i="3"/>
  <c r="IH158" i="3"/>
  <c r="II158" i="3"/>
  <c r="IJ158" i="3"/>
  <c r="IK158" i="3"/>
  <c r="IL158" i="3"/>
  <c r="IM158" i="3"/>
  <c r="IN158" i="3"/>
  <c r="IO158" i="3"/>
  <c r="IP158" i="3"/>
  <c r="IQ158" i="3"/>
  <c r="IR158" i="3"/>
  <c r="IS158" i="3"/>
  <c r="IT158" i="3"/>
  <c r="IU158" i="3"/>
  <c r="IV158" i="3"/>
  <c r="A157" i="3"/>
  <c r="B157" i="3"/>
  <c r="C157" i="3"/>
  <c r="D157" i="3"/>
  <c r="E157" i="3"/>
  <c r="F157" i="3"/>
  <c r="G157" i="3"/>
  <c r="H157" i="3"/>
  <c r="I157" i="3"/>
  <c r="J157" i="3"/>
  <c r="K157" i="3"/>
  <c r="L157" i="3"/>
  <c r="M157" i="3"/>
  <c r="N157" i="3"/>
  <c r="O157" i="3"/>
  <c r="P157" i="3"/>
  <c r="Q157" i="3"/>
  <c r="R157" i="3"/>
  <c r="S157" i="3"/>
  <c r="T157" i="3"/>
  <c r="U157" i="3"/>
  <c r="V157" i="3"/>
  <c r="W157" i="3"/>
  <c r="X157" i="3"/>
  <c r="Y157" i="3"/>
  <c r="Z157" i="3"/>
  <c r="AA157" i="3"/>
  <c r="AB157" i="3"/>
  <c r="AC157" i="3"/>
  <c r="AD157" i="3"/>
  <c r="AE157" i="3"/>
  <c r="AF157" i="3"/>
  <c r="AG157" i="3"/>
  <c r="AH157" i="3"/>
  <c r="AI157" i="3"/>
  <c r="AJ157" i="3"/>
  <c r="AK157" i="3"/>
  <c r="AL157" i="3"/>
  <c r="AM157" i="3"/>
  <c r="AN157" i="3"/>
  <c r="AO157" i="3"/>
  <c r="AP157" i="3"/>
  <c r="AQ157" i="3"/>
  <c r="AR157" i="3"/>
  <c r="AS157" i="3"/>
  <c r="AT157" i="3"/>
  <c r="AU157" i="3"/>
  <c r="AV157" i="3"/>
  <c r="AW157" i="3"/>
  <c r="AX157" i="3"/>
  <c r="AY157" i="3"/>
  <c r="AZ157" i="3"/>
  <c r="BA157" i="3"/>
  <c r="BB157" i="3"/>
  <c r="BC157" i="3"/>
  <c r="BD157" i="3"/>
  <c r="BE157" i="3"/>
  <c r="BF157" i="3"/>
  <c r="BG157" i="3"/>
  <c r="BH157" i="3"/>
  <c r="BI157" i="3"/>
  <c r="BJ157" i="3"/>
  <c r="BK157" i="3"/>
  <c r="BL157" i="3"/>
  <c r="BM157" i="3"/>
  <c r="BN157" i="3"/>
  <c r="BO157" i="3"/>
  <c r="BP157" i="3"/>
  <c r="BQ157" i="3"/>
  <c r="BR157" i="3"/>
  <c r="BS157" i="3"/>
  <c r="BT157" i="3"/>
  <c r="BU157" i="3"/>
  <c r="BV157" i="3"/>
  <c r="BW157" i="3"/>
  <c r="BX157" i="3"/>
  <c r="BY157" i="3"/>
  <c r="BZ157" i="3"/>
  <c r="CA157" i="3"/>
  <c r="CB157" i="3"/>
  <c r="CC157" i="3"/>
  <c r="CD157" i="3"/>
  <c r="CE157" i="3"/>
  <c r="CF157" i="3"/>
  <c r="CG157" i="3"/>
  <c r="CH157" i="3"/>
  <c r="CI157" i="3"/>
  <c r="CJ157" i="3"/>
  <c r="CK157" i="3"/>
  <c r="CL157" i="3"/>
  <c r="CM157" i="3"/>
  <c r="CN157" i="3"/>
  <c r="CO157" i="3"/>
  <c r="CP157" i="3"/>
  <c r="CQ157" i="3"/>
  <c r="CR157" i="3"/>
  <c r="CS157" i="3"/>
  <c r="CT157" i="3"/>
  <c r="CU157" i="3"/>
  <c r="CV157" i="3"/>
  <c r="CW157" i="3"/>
  <c r="CX157" i="3"/>
  <c r="CY157" i="3"/>
  <c r="CZ157" i="3"/>
  <c r="DA157" i="3"/>
  <c r="DB157" i="3"/>
  <c r="DC157" i="3"/>
  <c r="DD157" i="3"/>
  <c r="DE157" i="3"/>
  <c r="DF157" i="3"/>
  <c r="DG157" i="3"/>
  <c r="DH157" i="3"/>
  <c r="DI157" i="3"/>
  <c r="DJ157" i="3"/>
  <c r="DK157" i="3"/>
  <c r="DL157" i="3"/>
  <c r="DM157" i="3"/>
  <c r="DN157" i="3"/>
  <c r="DO157" i="3"/>
  <c r="DP157" i="3"/>
  <c r="DQ157" i="3"/>
  <c r="DR157" i="3"/>
  <c r="DS157" i="3"/>
  <c r="DT157" i="3"/>
  <c r="DU157" i="3"/>
  <c r="DV157" i="3"/>
  <c r="DW157" i="3"/>
  <c r="DX157" i="3"/>
  <c r="DY157" i="3"/>
  <c r="DZ157" i="3"/>
  <c r="EA157" i="3"/>
  <c r="EB157" i="3"/>
  <c r="EC157" i="3"/>
  <c r="ED157" i="3"/>
  <c r="EE157" i="3"/>
  <c r="EF157" i="3"/>
  <c r="EG157" i="3"/>
  <c r="EH157" i="3"/>
  <c r="EI157" i="3"/>
  <c r="EJ157" i="3"/>
  <c r="EK157" i="3"/>
  <c r="EL157" i="3"/>
  <c r="EM157" i="3"/>
  <c r="EN157" i="3"/>
  <c r="EO157" i="3"/>
  <c r="EP157" i="3"/>
  <c r="EQ157" i="3"/>
  <c r="ER157" i="3"/>
  <c r="ES157" i="3"/>
  <c r="ET157" i="3"/>
  <c r="EU157" i="3"/>
  <c r="EV157" i="3"/>
  <c r="EW157" i="3"/>
  <c r="EX157" i="3"/>
  <c r="EY157" i="3"/>
  <c r="EZ157" i="3"/>
  <c r="FA157" i="3"/>
  <c r="FB157" i="3"/>
  <c r="FC157" i="3"/>
  <c r="FD157" i="3"/>
  <c r="FE157" i="3"/>
  <c r="FF157" i="3"/>
  <c r="FG157" i="3"/>
  <c r="FH157" i="3"/>
  <c r="FI157" i="3"/>
  <c r="FJ157" i="3"/>
  <c r="FK157" i="3"/>
  <c r="FL157" i="3"/>
  <c r="FM157" i="3"/>
  <c r="FN157" i="3"/>
  <c r="FO157" i="3"/>
  <c r="FP157" i="3"/>
  <c r="FQ157" i="3"/>
  <c r="FR157" i="3"/>
  <c r="FS157" i="3"/>
  <c r="FT157" i="3"/>
  <c r="FU157" i="3"/>
  <c r="FV157" i="3"/>
  <c r="FW157" i="3"/>
  <c r="FX157" i="3"/>
  <c r="FY157" i="3"/>
  <c r="FZ157" i="3"/>
  <c r="GA157" i="3"/>
  <c r="GB157" i="3"/>
  <c r="GC157" i="3"/>
  <c r="GD157" i="3"/>
  <c r="GE157" i="3"/>
  <c r="GF157" i="3"/>
  <c r="GG157" i="3"/>
  <c r="GH157" i="3"/>
  <c r="GI157" i="3"/>
  <c r="GJ157" i="3"/>
  <c r="GK157" i="3"/>
  <c r="GL157" i="3"/>
  <c r="GM157" i="3"/>
  <c r="GN157" i="3"/>
  <c r="GO157" i="3"/>
  <c r="GP157" i="3"/>
  <c r="GQ157" i="3"/>
  <c r="GR157" i="3"/>
  <c r="GS157" i="3"/>
  <c r="GT157" i="3"/>
  <c r="GU157" i="3"/>
  <c r="GV157" i="3"/>
  <c r="GW157" i="3"/>
  <c r="GX157" i="3"/>
  <c r="GY157" i="3"/>
  <c r="GZ157" i="3"/>
  <c r="HA157" i="3"/>
  <c r="HB157" i="3"/>
  <c r="HC157" i="3"/>
  <c r="HD157" i="3"/>
  <c r="HE157" i="3"/>
  <c r="HF157" i="3"/>
  <c r="HG157" i="3"/>
  <c r="HH157" i="3"/>
  <c r="HI157" i="3"/>
  <c r="HJ157" i="3"/>
  <c r="HK157" i="3"/>
  <c r="HL157" i="3"/>
  <c r="HM157" i="3"/>
  <c r="HN157" i="3"/>
  <c r="HO157" i="3"/>
  <c r="HP157" i="3"/>
  <c r="HQ157" i="3"/>
  <c r="HR157" i="3"/>
  <c r="HS157" i="3"/>
  <c r="HT157" i="3"/>
  <c r="HU157" i="3"/>
  <c r="HV157" i="3"/>
  <c r="HW157" i="3"/>
  <c r="HX157" i="3"/>
  <c r="HY157" i="3"/>
  <c r="HZ157" i="3"/>
  <c r="IA157" i="3"/>
  <c r="IB157" i="3"/>
  <c r="IC157" i="3"/>
  <c r="ID157" i="3"/>
  <c r="IE157" i="3"/>
  <c r="IF157" i="3"/>
  <c r="IG157" i="3"/>
  <c r="IH157" i="3"/>
  <c r="II157" i="3"/>
  <c r="IJ157" i="3"/>
  <c r="IK157" i="3"/>
  <c r="IL157" i="3"/>
  <c r="IM157" i="3"/>
  <c r="IN157" i="3"/>
  <c r="IO157" i="3"/>
  <c r="IP157" i="3"/>
  <c r="IQ157" i="3"/>
  <c r="IR157" i="3"/>
  <c r="IS157" i="3"/>
  <c r="IT157" i="3"/>
  <c r="IU157" i="3"/>
  <c r="IV157" i="3"/>
  <c r="A156" i="3"/>
  <c r="B156" i="3"/>
  <c r="C156" i="3"/>
  <c r="D156" i="3"/>
  <c r="E156" i="3"/>
  <c r="F156" i="3"/>
  <c r="G156" i="3"/>
  <c r="H156" i="3"/>
  <c r="I156" i="3"/>
  <c r="J156" i="3"/>
  <c r="K156" i="3"/>
  <c r="L156" i="3"/>
  <c r="M156" i="3"/>
  <c r="N156" i="3"/>
  <c r="O156" i="3"/>
  <c r="P156" i="3"/>
  <c r="Q156" i="3"/>
  <c r="R156" i="3"/>
  <c r="S156" i="3"/>
  <c r="T156" i="3"/>
  <c r="U156" i="3"/>
  <c r="V156" i="3"/>
  <c r="W156" i="3"/>
  <c r="X156" i="3"/>
  <c r="Y156" i="3"/>
  <c r="Z156" i="3"/>
  <c r="AA156" i="3"/>
  <c r="AB156" i="3"/>
  <c r="AC156" i="3"/>
  <c r="AD156" i="3"/>
  <c r="AE156" i="3"/>
  <c r="AF156" i="3"/>
  <c r="AG156" i="3"/>
  <c r="AH156" i="3"/>
  <c r="AI156" i="3"/>
  <c r="AJ156" i="3"/>
  <c r="AK156" i="3"/>
  <c r="AL156" i="3"/>
  <c r="AM156" i="3"/>
  <c r="AN156" i="3"/>
  <c r="AO156" i="3"/>
  <c r="AP156" i="3"/>
  <c r="AQ156" i="3"/>
  <c r="AR156" i="3"/>
  <c r="AS156" i="3"/>
  <c r="AT156" i="3"/>
  <c r="AU156" i="3"/>
  <c r="AV156" i="3"/>
  <c r="AW156" i="3"/>
  <c r="AX156" i="3"/>
  <c r="AY156" i="3"/>
  <c r="AZ156" i="3"/>
  <c r="BA156" i="3"/>
  <c r="BB156" i="3"/>
  <c r="BC156" i="3"/>
  <c r="BD156" i="3"/>
  <c r="BE156" i="3"/>
  <c r="BF156" i="3"/>
  <c r="BG156" i="3"/>
  <c r="BH156" i="3"/>
  <c r="BI156" i="3"/>
  <c r="BJ156" i="3"/>
  <c r="BK156" i="3"/>
  <c r="BL156" i="3"/>
  <c r="BM156" i="3"/>
  <c r="BN156" i="3"/>
  <c r="BO156" i="3"/>
  <c r="BP156" i="3"/>
  <c r="BQ156" i="3"/>
  <c r="BR156" i="3"/>
  <c r="BS156" i="3"/>
  <c r="BT156" i="3"/>
  <c r="BU156" i="3"/>
  <c r="BV156" i="3"/>
  <c r="BW156" i="3"/>
  <c r="BX156" i="3"/>
  <c r="BY156" i="3"/>
  <c r="BZ156" i="3"/>
  <c r="CA156" i="3"/>
  <c r="CB156" i="3"/>
  <c r="CC156" i="3"/>
  <c r="CD156" i="3"/>
  <c r="CE156" i="3"/>
  <c r="CF156" i="3"/>
  <c r="CG156" i="3"/>
  <c r="CH156" i="3"/>
  <c r="CI156" i="3"/>
  <c r="CJ156" i="3"/>
  <c r="CK156" i="3"/>
  <c r="CL156" i="3"/>
  <c r="CM156" i="3"/>
  <c r="CN156" i="3"/>
  <c r="CO156" i="3"/>
  <c r="CP156" i="3"/>
  <c r="CQ156" i="3"/>
  <c r="CR156" i="3"/>
  <c r="CS156" i="3"/>
  <c r="CT156" i="3"/>
  <c r="CU156" i="3"/>
  <c r="CV156" i="3"/>
  <c r="CW156" i="3"/>
  <c r="CX156" i="3"/>
  <c r="CY156" i="3"/>
  <c r="CZ156" i="3"/>
  <c r="DA156" i="3"/>
  <c r="DB156" i="3"/>
  <c r="DC156" i="3"/>
  <c r="DD156" i="3"/>
  <c r="DE156" i="3"/>
  <c r="DF156" i="3"/>
  <c r="DG156" i="3"/>
  <c r="DH156" i="3"/>
  <c r="DI156" i="3"/>
  <c r="DJ156" i="3"/>
  <c r="DK156" i="3"/>
  <c r="DL156" i="3"/>
  <c r="DM156" i="3"/>
  <c r="DN156" i="3"/>
  <c r="DO156" i="3"/>
  <c r="DP156" i="3"/>
  <c r="DQ156" i="3"/>
  <c r="DR156" i="3"/>
  <c r="DS156" i="3"/>
  <c r="DT156" i="3"/>
  <c r="DU156" i="3"/>
  <c r="DV156" i="3"/>
  <c r="DW156" i="3"/>
  <c r="DX156" i="3"/>
  <c r="DY156" i="3"/>
  <c r="DZ156" i="3"/>
  <c r="EA156" i="3"/>
  <c r="EB156" i="3"/>
  <c r="EC156" i="3"/>
  <c r="ED156" i="3"/>
  <c r="EE156" i="3"/>
  <c r="EF156" i="3"/>
  <c r="EG156" i="3"/>
  <c r="EH156" i="3"/>
  <c r="EI156" i="3"/>
  <c r="EJ156" i="3"/>
  <c r="EK156" i="3"/>
  <c r="EL156" i="3"/>
  <c r="EM156" i="3"/>
  <c r="EN156" i="3"/>
  <c r="EO156" i="3"/>
  <c r="EP156" i="3"/>
  <c r="EQ156" i="3"/>
  <c r="ER156" i="3"/>
  <c r="ES156" i="3"/>
  <c r="ET156" i="3"/>
  <c r="EU156" i="3"/>
  <c r="EV156" i="3"/>
  <c r="EW156" i="3"/>
  <c r="EX156" i="3"/>
  <c r="EY156" i="3"/>
  <c r="EZ156" i="3"/>
  <c r="FA156" i="3"/>
  <c r="FB156" i="3"/>
  <c r="FC156" i="3"/>
  <c r="FD156" i="3"/>
  <c r="FE156" i="3"/>
  <c r="FF156" i="3"/>
  <c r="FG156" i="3"/>
  <c r="FH156" i="3"/>
  <c r="FI156" i="3"/>
  <c r="FJ156" i="3"/>
  <c r="FK156" i="3"/>
  <c r="FL156" i="3"/>
  <c r="FM156" i="3"/>
  <c r="FN156" i="3"/>
  <c r="FO156" i="3"/>
  <c r="FP156" i="3"/>
  <c r="FQ156" i="3"/>
  <c r="FR156" i="3"/>
  <c r="FS156" i="3"/>
  <c r="FT156" i="3"/>
  <c r="FU156" i="3"/>
  <c r="FV156" i="3"/>
  <c r="FW156" i="3"/>
  <c r="FX156" i="3"/>
  <c r="FY156" i="3"/>
  <c r="FZ156" i="3"/>
  <c r="GA156" i="3"/>
  <c r="GB156" i="3"/>
  <c r="GC156" i="3"/>
  <c r="GD156" i="3"/>
  <c r="GE156" i="3"/>
  <c r="GF156" i="3"/>
  <c r="GG156" i="3"/>
  <c r="GH156" i="3"/>
  <c r="GI156" i="3"/>
  <c r="GJ156" i="3"/>
  <c r="GK156" i="3"/>
  <c r="GL156" i="3"/>
  <c r="GM156" i="3"/>
  <c r="GN156" i="3"/>
  <c r="GO156" i="3"/>
  <c r="GP156" i="3"/>
  <c r="GQ156" i="3"/>
  <c r="GR156" i="3"/>
  <c r="GS156" i="3"/>
  <c r="GT156" i="3"/>
  <c r="GU156" i="3"/>
  <c r="GV156" i="3"/>
  <c r="GW156" i="3"/>
  <c r="GX156" i="3"/>
  <c r="GY156" i="3"/>
  <c r="GZ156" i="3"/>
  <c r="HA156" i="3"/>
  <c r="HB156" i="3"/>
  <c r="HC156" i="3"/>
  <c r="HD156" i="3"/>
  <c r="HE156" i="3"/>
  <c r="HF156" i="3"/>
  <c r="HG156" i="3"/>
  <c r="HH156" i="3"/>
  <c r="HI156" i="3"/>
  <c r="HJ156" i="3"/>
  <c r="HK156" i="3"/>
  <c r="HL156" i="3"/>
  <c r="HM156" i="3"/>
  <c r="HN156" i="3"/>
  <c r="HO156" i="3"/>
  <c r="HP156" i="3"/>
  <c r="HQ156" i="3"/>
  <c r="HR156" i="3"/>
  <c r="HS156" i="3"/>
  <c r="HT156" i="3"/>
  <c r="HU156" i="3"/>
  <c r="HV156" i="3"/>
  <c r="HW156" i="3"/>
  <c r="HX156" i="3"/>
  <c r="HY156" i="3"/>
  <c r="HZ156" i="3"/>
  <c r="IA156" i="3"/>
  <c r="IB156" i="3"/>
  <c r="IC156" i="3"/>
  <c r="ID156" i="3"/>
  <c r="IE156" i="3"/>
  <c r="IF156" i="3"/>
  <c r="IG156" i="3"/>
  <c r="IH156" i="3"/>
  <c r="II156" i="3"/>
  <c r="IJ156" i="3"/>
  <c r="IK156" i="3"/>
  <c r="IL156" i="3"/>
  <c r="IM156" i="3"/>
  <c r="IN156" i="3"/>
  <c r="IO156" i="3"/>
  <c r="IP156" i="3"/>
  <c r="IQ156" i="3"/>
  <c r="IR156" i="3"/>
  <c r="IS156" i="3"/>
  <c r="IT156" i="3"/>
  <c r="IU156" i="3"/>
  <c r="IV156" i="3"/>
  <c r="A155" i="3"/>
  <c r="B155" i="3"/>
  <c r="C155" i="3"/>
  <c r="D155" i="3"/>
  <c r="E155" i="3"/>
  <c r="F155" i="3"/>
  <c r="G155" i="3"/>
  <c r="H155" i="3"/>
  <c r="I155" i="3"/>
  <c r="J155" i="3"/>
  <c r="K155" i="3"/>
  <c r="L155" i="3"/>
  <c r="M155" i="3"/>
  <c r="N155" i="3"/>
  <c r="O155" i="3"/>
  <c r="P155" i="3"/>
  <c r="Q155" i="3"/>
  <c r="R155" i="3"/>
  <c r="S155" i="3"/>
  <c r="T155" i="3"/>
  <c r="U155" i="3"/>
  <c r="V155" i="3"/>
  <c r="W155" i="3"/>
  <c r="X155" i="3"/>
  <c r="Y155" i="3"/>
  <c r="Z155" i="3"/>
  <c r="AA155" i="3"/>
  <c r="AB155" i="3"/>
  <c r="AC155" i="3"/>
  <c r="AD155" i="3"/>
  <c r="AE155" i="3"/>
  <c r="AF155" i="3"/>
  <c r="AG155" i="3"/>
  <c r="AH155" i="3"/>
  <c r="AI155" i="3"/>
  <c r="AJ155" i="3"/>
  <c r="AK155" i="3"/>
  <c r="AL155" i="3"/>
  <c r="AM155" i="3"/>
  <c r="AN155" i="3"/>
  <c r="AO155" i="3"/>
  <c r="AP155" i="3"/>
  <c r="AQ155" i="3"/>
  <c r="AR155" i="3"/>
  <c r="AS155" i="3"/>
  <c r="AT155" i="3"/>
  <c r="AU155" i="3"/>
  <c r="AV155" i="3"/>
  <c r="AW155" i="3"/>
  <c r="AX155" i="3"/>
  <c r="AY155" i="3"/>
  <c r="AZ155" i="3"/>
  <c r="BA155" i="3"/>
  <c r="BB155" i="3"/>
  <c r="BC155" i="3"/>
  <c r="BD155" i="3"/>
  <c r="BE155" i="3"/>
  <c r="BF155" i="3"/>
  <c r="BG155" i="3"/>
  <c r="BH155" i="3"/>
  <c r="BI155" i="3"/>
  <c r="BJ155" i="3"/>
  <c r="BK155" i="3"/>
  <c r="BL155" i="3"/>
  <c r="BM155" i="3"/>
  <c r="BN155" i="3"/>
  <c r="BO155" i="3"/>
  <c r="BP155" i="3"/>
  <c r="BQ155" i="3"/>
  <c r="BR155" i="3"/>
  <c r="BS155" i="3"/>
  <c r="BT155" i="3"/>
  <c r="BU155" i="3"/>
  <c r="BV155" i="3"/>
  <c r="BW155" i="3"/>
  <c r="BX155" i="3"/>
  <c r="BY155" i="3"/>
  <c r="BZ155" i="3"/>
  <c r="CA155" i="3"/>
  <c r="CB155" i="3"/>
  <c r="CC155" i="3"/>
  <c r="CD155" i="3"/>
  <c r="CE155" i="3"/>
  <c r="CF155" i="3"/>
  <c r="CG155" i="3"/>
  <c r="CH155" i="3"/>
  <c r="CI155" i="3"/>
  <c r="CJ155" i="3"/>
  <c r="CK155" i="3"/>
  <c r="CL155" i="3"/>
  <c r="CM155" i="3"/>
  <c r="CN155" i="3"/>
  <c r="CO155" i="3"/>
  <c r="CP155" i="3"/>
  <c r="CQ155" i="3"/>
  <c r="CR155" i="3"/>
  <c r="CS155" i="3"/>
  <c r="CT155" i="3"/>
  <c r="CU155" i="3"/>
  <c r="CV155" i="3"/>
  <c r="CW155" i="3"/>
  <c r="CX155" i="3"/>
  <c r="CY155" i="3"/>
  <c r="CZ155" i="3"/>
  <c r="DA155" i="3"/>
  <c r="DB155" i="3"/>
  <c r="DC155" i="3"/>
  <c r="DD155" i="3"/>
  <c r="DE155" i="3"/>
  <c r="DF155" i="3"/>
  <c r="DG155" i="3"/>
  <c r="DH155" i="3"/>
  <c r="DI155" i="3"/>
  <c r="DJ155" i="3"/>
  <c r="DK155" i="3"/>
  <c r="DL155" i="3"/>
  <c r="DM155" i="3"/>
  <c r="DN155" i="3"/>
  <c r="DO155" i="3"/>
  <c r="DP155" i="3"/>
  <c r="DQ155" i="3"/>
  <c r="DR155" i="3"/>
  <c r="DS155" i="3"/>
  <c r="DT155" i="3"/>
  <c r="DU155" i="3"/>
  <c r="DV155" i="3"/>
  <c r="DW155" i="3"/>
  <c r="DX155" i="3"/>
  <c r="DY155" i="3"/>
  <c r="DZ155" i="3"/>
  <c r="EA155" i="3"/>
  <c r="EB155" i="3"/>
  <c r="EC155" i="3"/>
  <c r="ED155" i="3"/>
  <c r="EE155" i="3"/>
  <c r="EF155" i="3"/>
  <c r="EG155" i="3"/>
  <c r="EH155" i="3"/>
  <c r="EI155" i="3"/>
  <c r="EJ155" i="3"/>
  <c r="EK155" i="3"/>
  <c r="EL155" i="3"/>
  <c r="EM155" i="3"/>
  <c r="EN155" i="3"/>
  <c r="EO155" i="3"/>
  <c r="EP155" i="3"/>
  <c r="EQ155" i="3"/>
  <c r="ER155" i="3"/>
  <c r="ES155" i="3"/>
  <c r="ET155" i="3"/>
  <c r="EU155" i="3"/>
  <c r="EV155" i="3"/>
  <c r="EW155" i="3"/>
  <c r="EX155" i="3"/>
  <c r="EY155" i="3"/>
  <c r="EZ155" i="3"/>
  <c r="FA155" i="3"/>
  <c r="FB155" i="3"/>
  <c r="FC155" i="3"/>
  <c r="FD155" i="3"/>
  <c r="FE155" i="3"/>
  <c r="FF155" i="3"/>
  <c r="FG155" i="3"/>
  <c r="FH155" i="3"/>
  <c r="FI155" i="3"/>
  <c r="FJ155" i="3"/>
  <c r="FK155" i="3"/>
  <c r="FL155" i="3"/>
  <c r="FM155" i="3"/>
  <c r="FN155" i="3"/>
  <c r="FO155" i="3"/>
  <c r="FP155" i="3"/>
  <c r="FQ155" i="3"/>
  <c r="FR155" i="3"/>
  <c r="FS155" i="3"/>
  <c r="FT155" i="3"/>
  <c r="FU155" i="3"/>
  <c r="FV155" i="3"/>
  <c r="FW155" i="3"/>
  <c r="FX155" i="3"/>
  <c r="FY155" i="3"/>
  <c r="FZ155" i="3"/>
  <c r="GA155" i="3"/>
  <c r="GB155" i="3"/>
  <c r="GC155" i="3"/>
  <c r="GD155" i="3"/>
  <c r="GE155" i="3"/>
  <c r="GF155" i="3"/>
  <c r="GG155" i="3"/>
  <c r="GH155" i="3"/>
  <c r="GI155" i="3"/>
  <c r="GJ155" i="3"/>
  <c r="GK155" i="3"/>
  <c r="GL155" i="3"/>
  <c r="GM155" i="3"/>
  <c r="GN155" i="3"/>
  <c r="GO155" i="3"/>
  <c r="GP155" i="3"/>
  <c r="GQ155" i="3"/>
  <c r="GR155" i="3"/>
  <c r="GS155" i="3"/>
  <c r="GT155" i="3"/>
  <c r="GU155" i="3"/>
  <c r="GV155" i="3"/>
  <c r="GW155" i="3"/>
  <c r="GX155" i="3"/>
  <c r="GY155" i="3"/>
  <c r="GZ155" i="3"/>
  <c r="HA155" i="3"/>
  <c r="HB155" i="3"/>
  <c r="HC155" i="3"/>
  <c r="HD155" i="3"/>
  <c r="HE155" i="3"/>
  <c r="HF155" i="3"/>
  <c r="HG155" i="3"/>
  <c r="HH155" i="3"/>
  <c r="HI155" i="3"/>
  <c r="HJ155" i="3"/>
  <c r="HK155" i="3"/>
  <c r="HL155" i="3"/>
  <c r="HM155" i="3"/>
  <c r="HN155" i="3"/>
  <c r="HO155" i="3"/>
  <c r="HP155" i="3"/>
  <c r="HQ155" i="3"/>
  <c r="HR155" i="3"/>
  <c r="HS155" i="3"/>
  <c r="HT155" i="3"/>
  <c r="HU155" i="3"/>
  <c r="HV155" i="3"/>
  <c r="HW155" i="3"/>
  <c r="HX155" i="3"/>
  <c r="HY155" i="3"/>
  <c r="HZ155" i="3"/>
  <c r="IA155" i="3"/>
  <c r="IB155" i="3"/>
  <c r="IC155" i="3"/>
  <c r="ID155" i="3"/>
  <c r="IE155" i="3"/>
  <c r="IF155" i="3"/>
  <c r="IG155" i="3"/>
  <c r="IH155" i="3"/>
  <c r="II155" i="3"/>
  <c r="IJ155" i="3"/>
  <c r="IK155" i="3"/>
  <c r="IL155" i="3"/>
  <c r="IM155" i="3"/>
  <c r="IN155" i="3"/>
  <c r="IO155" i="3"/>
  <c r="IP155" i="3"/>
  <c r="IQ155" i="3"/>
  <c r="IR155" i="3"/>
  <c r="IS155" i="3"/>
  <c r="IT155" i="3"/>
  <c r="IU155" i="3"/>
  <c r="IV155" i="3"/>
  <c r="A154" i="3"/>
  <c r="B154" i="3"/>
  <c r="C154" i="3"/>
  <c r="D154" i="3"/>
  <c r="E154" i="3"/>
  <c r="F154" i="3"/>
  <c r="G154" i="3"/>
  <c r="H154" i="3"/>
  <c r="I154" i="3"/>
  <c r="J154" i="3"/>
  <c r="K154" i="3"/>
  <c r="L154" i="3"/>
  <c r="M154" i="3"/>
  <c r="N154" i="3"/>
  <c r="O154" i="3"/>
  <c r="P154" i="3"/>
  <c r="Q154" i="3"/>
  <c r="R154" i="3"/>
  <c r="S154" i="3"/>
  <c r="T154" i="3"/>
  <c r="U154" i="3"/>
  <c r="V154" i="3"/>
  <c r="W154" i="3"/>
  <c r="X154" i="3"/>
  <c r="Y154" i="3"/>
  <c r="Z154" i="3"/>
  <c r="AA154" i="3"/>
  <c r="AB154" i="3"/>
  <c r="AC154" i="3"/>
  <c r="AD154" i="3"/>
  <c r="AE154" i="3"/>
  <c r="AF154" i="3"/>
  <c r="AG154" i="3"/>
  <c r="AH154" i="3"/>
  <c r="AI154" i="3"/>
  <c r="AJ154" i="3"/>
  <c r="AK154" i="3"/>
  <c r="AL154" i="3"/>
  <c r="AM154" i="3"/>
  <c r="AN154" i="3"/>
  <c r="AO154" i="3"/>
  <c r="AP154" i="3"/>
  <c r="AQ154" i="3"/>
  <c r="AR154" i="3"/>
  <c r="AS154" i="3"/>
  <c r="AT154" i="3"/>
  <c r="AU154" i="3"/>
  <c r="AV154" i="3"/>
  <c r="AW154" i="3"/>
  <c r="AX154" i="3"/>
  <c r="AY154" i="3"/>
  <c r="AZ154" i="3"/>
  <c r="BA154" i="3"/>
  <c r="BB154" i="3"/>
  <c r="BC154" i="3"/>
  <c r="BD154" i="3"/>
  <c r="BE154" i="3"/>
  <c r="BF154" i="3"/>
  <c r="BG154" i="3"/>
  <c r="BH154" i="3"/>
  <c r="BI154" i="3"/>
  <c r="BJ154" i="3"/>
  <c r="BK154" i="3"/>
  <c r="BL154" i="3"/>
  <c r="BM154" i="3"/>
  <c r="BN154" i="3"/>
  <c r="BO154" i="3"/>
  <c r="BP154" i="3"/>
  <c r="BQ154" i="3"/>
  <c r="BR154" i="3"/>
  <c r="BS154" i="3"/>
  <c r="BT154" i="3"/>
  <c r="BU154" i="3"/>
  <c r="BV154" i="3"/>
  <c r="BW154" i="3"/>
  <c r="BX154" i="3"/>
  <c r="BY154" i="3"/>
  <c r="BZ154" i="3"/>
  <c r="CA154" i="3"/>
  <c r="CB154" i="3"/>
  <c r="CC154" i="3"/>
  <c r="CD154" i="3"/>
  <c r="CE154" i="3"/>
  <c r="CF154" i="3"/>
  <c r="CG154" i="3"/>
  <c r="CH154" i="3"/>
  <c r="CI154" i="3"/>
  <c r="CJ154" i="3"/>
  <c r="CK154" i="3"/>
  <c r="CL154" i="3"/>
  <c r="CM154" i="3"/>
  <c r="CN154" i="3"/>
  <c r="CO154" i="3"/>
  <c r="CP154" i="3"/>
  <c r="CQ154" i="3"/>
  <c r="CR154" i="3"/>
  <c r="CS154" i="3"/>
  <c r="CT154" i="3"/>
  <c r="CU154" i="3"/>
  <c r="CV154" i="3"/>
  <c r="CW154" i="3"/>
  <c r="CX154" i="3"/>
  <c r="CY154" i="3"/>
  <c r="CZ154" i="3"/>
  <c r="DA154" i="3"/>
  <c r="DB154" i="3"/>
  <c r="DC154" i="3"/>
  <c r="DD154" i="3"/>
  <c r="DE154" i="3"/>
  <c r="DF154" i="3"/>
  <c r="DG154" i="3"/>
  <c r="DH154" i="3"/>
  <c r="DI154" i="3"/>
  <c r="DJ154" i="3"/>
  <c r="DK154" i="3"/>
  <c r="DL154" i="3"/>
  <c r="DM154" i="3"/>
  <c r="DN154" i="3"/>
  <c r="DO154" i="3"/>
  <c r="DP154" i="3"/>
  <c r="DQ154" i="3"/>
  <c r="DR154" i="3"/>
  <c r="DS154" i="3"/>
  <c r="DT154" i="3"/>
  <c r="DU154" i="3"/>
  <c r="DV154" i="3"/>
  <c r="DW154" i="3"/>
  <c r="DX154" i="3"/>
  <c r="DY154" i="3"/>
  <c r="DZ154" i="3"/>
  <c r="EA154" i="3"/>
  <c r="EB154" i="3"/>
  <c r="EC154" i="3"/>
  <c r="ED154" i="3"/>
  <c r="EE154" i="3"/>
  <c r="EF154" i="3"/>
  <c r="EG154" i="3"/>
  <c r="EH154" i="3"/>
  <c r="EI154" i="3"/>
  <c r="EJ154" i="3"/>
  <c r="EK154" i="3"/>
  <c r="EL154" i="3"/>
  <c r="EM154" i="3"/>
  <c r="EN154" i="3"/>
  <c r="EO154" i="3"/>
  <c r="EP154" i="3"/>
  <c r="EQ154" i="3"/>
  <c r="ER154" i="3"/>
  <c r="ES154" i="3"/>
  <c r="ET154" i="3"/>
  <c r="EU154" i="3"/>
  <c r="EV154" i="3"/>
  <c r="EW154" i="3"/>
  <c r="EX154" i="3"/>
  <c r="EY154" i="3"/>
  <c r="EZ154" i="3"/>
  <c r="FA154" i="3"/>
  <c r="FB154" i="3"/>
  <c r="FC154" i="3"/>
  <c r="FD154" i="3"/>
  <c r="FE154" i="3"/>
  <c r="FF154" i="3"/>
  <c r="FG154" i="3"/>
  <c r="FH154" i="3"/>
  <c r="FI154" i="3"/>
  <c r="FJ154" i="3"/>
  <c r="FK154" i="3"/>
  <c r="FL154" i="3"/>
  <c r="FM154" i="3"/>
  <c r="FN154" i="3"/>
  <c r="FO154" i="3"/>
  <c r="FP154" i="3"/>
  <c r="FQ154" i="3"/>
  <c r="FR154" i="3"/>
  <c r="FS154" i="3"/>
  <c r="FT154" i="3"/>
  <c r="FU154" i="3"/>
  <c r="FV154" i="3"/>
  <c r="FW154" i="3"/>
  <c r="FX154" i="3"/>
  <c r="FY154" i="3"/>
  <c r="FZ154" i="3"/>
  <c r="GA154" i="3"/>
  <c r="GB154" i="3"/>
  <c r="GC154" i="3"/>
  <c r="GD154" i="3"/>
  <c r="GE154" i="3"/>
  <c r="GF154" i="3"/>
  <c r="GG154" i="3"/>
  <c r="GH154" i="3"/>
  <c r="GI154" i="3"/>
  <c r="GJ154" i="3"/>
  <c r="GK154" i="3"/>
  <c r="GL154" i="3"/>
  <c r="GM154" i="3"/>
  <c r="GN154" i="3"/>
  <c r="GO154" i="3"/>
  <c r="GP154" i="3"/>
  <c r="GQ154" i="3"/>
  <c r="GR154" i="3"/>
  <c r="GS154" i="3"/>
  <c r="GT154" i="3"/>
  <c r="GU154" i="3"/>
  <c r="GV154" i="3"/>
  <c r="GW154" i="3"/>
  <c r="GX154" i="3"/>
  <c r="GY154" i="3"/>
  <c r="GZ154" i="3"/>
  <c r="HA154" i="3"/>
  <c r="HB154" i="3"/>
  <c r="HC154" i="3"/>
  <c r="HD154" i="3"/>
  <c r="HE154" i="3"/>
  <c r="HF154" i="3"/>
  <c r="HG154" i="3"/>
  <c r="HH154" i="3"/>
  <c r="HI154" i="3"/>
  <c r="HJ154" i="3"/>
  <c r="HK154" i="3"/>
  <c r="HL154" i="3"/>
  <c r="HM154" i="3"/>
  <c r="HN154" i="3"/>
  <c r="HO154" i="3"/>
  <c r="HP154" i="3"/>
  <c r="HQ154" i="3"/>
  <c r="HR154" i="3"/>
  <c r="HS154" i="3"/>
  <c r="HT154" i="3"/>
  <c r="HU154" i="3"/>
  <c r="HV154" i="3"/>
  <c r="HW154" i="3"/>
  <c r="HX154" i="3"/>
  <c r="HY154" i="3"/>
  <c r="HZ154" i="3"/>
  <c r="IA154" i="3"/>
  <c r="IB154" i="3"/>
  <c r="IC154" i="3"/>
  <c r="ID154" i="3"/>
  <c r="IE154" i="3"/>
  <c r="IF154" i="3"/>
  <c r="IG154" i="3"/>
  <c r="IH154" i="3"/>
  <c r="II154" i="3"/>
  <c r="IJ154" i="3"/>
  <c r="IK154" i="3"/>
  <c r="IL154" i="3"/>
  <c r="IM154" i="3"/>
  <c r="IN154" i="3"/>
  <c r="IO154" i="3"/>
  <c r="IP154" i="3"/>
  <c r="IQ154" i="3"/>
  <c r="IR154" i="3"/>
  <c r="IS154" i="3"/>
  <c r="IT154" i="3"/>
  <c r="IU154" i="3"/>
  <c r="IV154" i="3"/>
  <c r="A153" i="3"/>
  <c r="B153" i="3"/>
  <c r="C153" i="3"/>
  <c r="D153" i="3"/>
  <c r="E153" i="3"/>
  <c r="F153" i="3"/>
  <c r="G153" i="3"/>
  <c r="H153" i="3"/>
  <c r="I153" i="3"/>
  <c r="J153" i="3"/>
  <c r="K153" i="3"/>
  <c r="L153" i="3"/>
  <c r="M153" i="3"/>
  <c r="N153" i="3"/>
  <c r="O153" i="3"/>
  <c r="P153" i="3"/>
  <c r="Q153" i="3"/>
  <c r="R153" i="3"/>
  <c r="S153" i="3"/>
  <c r="T153" i="3"/>
  <c r="U153" i="3"/>
  <c r="V153" i="3"/>
  <c r="W153" i="3"/>
  <c r="X153" i="3"/>
  <c r="Y153" i="3"/>
  <c r="Z153" i="3"/>
  <c r="AA153" i="3"/>
  <c r="AB153" i="3"/>
  <c r="AC153" i="3"/>
  <c r="AD153" i="3"/>
  <c r="AE153" i="3"/>
  <c r="AF153" i="3"/>
  <c r="AG153" i="3"/>
  <c r="AH153" i="3"/>
  <c r="AI153" i="3"/>
  <c r="AJ153" i="3"/>
  <c r="AK153" i="3"/>
  <c r="AL153" i="3"/>
  <c r="AM153" i="3"/>
  <c r="AN153" i="3"/>
  <c r="AO153" i="3"/>
  <c r="AP153" i="3"/>
  <c r="AQ153" i="3"/>
  <c r="AR153" i="3"/>
  <c r="AS153" i="3"/>
  <c r="AT153" i="3"/>
  <c r="AU153" i="3"/>
  <c r="AV153" i="3"/>
  <c r="AW153" i="3"/>
  <c r="AX153" i="3"/>
  <c r="AY153" i="3"/>
  <c r="AZ153" i="3"/>
  <c r="BA153" i="3"/>
  <c r="BB153" i="3"/>
  <c r="BC153" i="3"/>
  <c r="BD153" i="3"/>
  <c r="BE153" i="3"/>
  <c r="BF153" i="3"/>
  <c r="BG153" i="3"/>
  <c r="BH153" i="3"/>
  <c r="BI153" i="3"/>
  <c r="BJ153" i="3"/>
  <c r="BK153" i="3"/>
  <c r="BL153" i="3"/>
  <c r="BM153" i="3"/>
  <c r="BN153" i="3"/>
  <c r="BO153" i="3"/>
  <c r="BP153" i="3"/>
  <c r="BQ153" i="3"/>
  <c r="BR153" i="3"/>
  <c r="BS153" i="3"/>
  <c r="BT153" i="3"/>
  <c r="BU153" i="3"/>
  <c r="BV153" i="3"/>
  <c r="BW153" i="3"/>
  <c r="BX153" i="3"/>
  <c r="BY153" i="3"/>
  <c r="BZ153" i="3"/>
  <c r="CA153" i="3"/>
  <c r="CB153" i="3"/>
  <c r="CC153" i="3"/>
  <c r="CD153" i="3"/>
  <c r="CE153" i="3"/>
  <c r="CF153" i="3"/>
  <c r="CG153" i="3"/>
  <c r="CH153" i="3"/>
  <c r="CI153" i="3"/>
  <c r="CJ153" i="3"/>
  <c r="CK153" i="3"/>
  <c r="CL153" i="3"/>
  <c r="CM153" i="3"/>
  <c r="CN153" i="3"/>
  <c r="CO153" i="3"/>
  <c r="CP153" i="3"/>
  <c r="CQ153" i="3"/>
  <c r="CR153" i="3"/>
  <c r="CS153" i="3"/>
  <c r="CT153" i="3"/>
  <c r="CU153" i="3"/>
  <c r="CV153" i="3"/>
  <c r="CW153" i="3"/>
  <c r="CX153" i="3"/>
  <c r="CY153" i="3"/>
  <c r="CZ153" i="3"/>
  <c r="DA153" i="3"/>
  <c r="DB153" i="3"/>
  <c r="DC153" i="3"/>
  <c r="DD153" i="3"/>
  <c r="DE153" i="3"/>
  <c r="DF153" i="3"/>
  <c r="DG153" i="3"/>
  <c r="DH153" i="3"/>
  <c r="DI153" i="3"/>
  <c r="DJ153" i="3"/>
  <c r="DK153" i="3"/>
  <c r="DL153" i="3"/>
  <c r="DM153" i="3"/>
  <c r="DN153" i="3"/>
  <c r="DO153" i="3"/>
  <c r="DP153" i="3"/>
  <c r="DQ153" i="3"/>
  <c r="DR153" i="3"/>
  <c r="DS153" i="3"/>
  <c r="DT153" i="3"/>
  <c r="DU153" i="3"/>
  <c r="DV153" i="3"/>
  <c r="DW153" i="3"/>
  <c r="DX153" i="3"/>
  <c r="DY153" i="3"/>
  <c r="DZ153" i="3"/>
  <c r="EA153" i="3"/>
  <c r="EB153" i="3"/>
  <c r="EC153" i="3"/>
  <c r="ED153" i="3"/>
  <c r="EE153" i="3"/>
  <c r="EF153" i="3"/>
  <c r="EG153" i="3"/>
  <c r="EH153" i="3"/>
  <c r="EI153" i="3"/>
  <c r="EJ153" i="3"/>
  <c r="EK153" i="3"/>
  <c r="EL153" i="3"/>
  <c r="EM153" i="3"/>
  <c r="EN153" i="3"/>
  <c r="EO153" i="3"/>
  <c r="EP153" i="3"/>
  <c r="EQ153" i="3"/>
  <c r="ER153" i="3"/>
  <c r="ES153" i="3"/>
  <c r="ET153" i="3"/>
  <c r="EU153" i="3"/>
  <c r="EV153" i="3"/>
  <c r="EW153" i="3"/>
  <c r="EX153" i="3"/>
  <c r="EY153" i="3"/>
  <c r="EZ153" i="3"/>
  <c r="FA153" i="3"/>
  <c r="FB153" i="3"/>
  <c r="FC153" i="3"/>
  <c r="FD153" i="3"/>
  <c r="FE153" i="3"/>
  <c r="FF153" i="3"/>
  <c r="FG153" i="3"/>
  <c r="FH153" i="3"/>
  <c r="FI153" i="3"/>
  <c r="FJ153" i="3"/>
  <c r="FK153" i="3"/>
  <c r="FL153" i="3"/>
  <c r="FM153" i="3"/>
  <c r="FN153" i="3"/>
  <c r="FO153" i="3"/>
  <c r="FP153" i="3"/>
  <c r="FQ153" i="3"/>
  <c r="FR153" i="3"/>
  <c r="FS153" i="3"/>
  <c r="FT153" i="3"/>
  <c r="FU153" i="3"/>
  <c r="FV153" i="3"/>
  <c r="FW153" i="3"/>
  <c r="FX153" i="3"/>
  <c r="FY153" i="3"/>
  <c r="FZ153" i="3"/>
  <c r="GA153" i="3"/>
  <c r="GB153" i="3"/>
  <c r="GC153" i="3"/>
  <c r="GD153" i="3"/>
  <c r="GE153" i="3"/>
  <c r="GF153" i="3"/>
  <c r="GG153" i="3"/>
  <c r="GH153" i="3"/>
  <c r="GI153" i="3"/>
  <c r="GJ153" i="3"/>
  <c r="GK153" i="3"/>
  <c r="GL153" i="3"/>
  <c r="GM153" i="3"/>
  <c r="GN153" i="3"/>
  <c r="GO153" i="3"/>
  <c r="GP153" i="3"/>
  <c r="GQ153" i="3"/>
  <c r="GR153" i="3"/>
  <c r="GS153" i="3"/>
  <c r="GT153" i="3"/>
  <c r="GU153" i="3"/>
  <c r="GV153" i="3"/>
  <c r="GW153" i="3"/>
  <c r="GX153" i="3"/>
  <c r="GY153" i="3"/>
  <c r="GZ153" i="3"/>
  <c r="HA153" i="3"/>
  <c r="HB153" i="3"/>
  <c r="HC153" i="3"/>
  <c r="HD153" i="3"/>
  <c r="HE153" i="3"/>
  <c r="HF153" i="3"/>
  <c r="HG153" i="3"/>
  <c r="HH153" i="3"/>
  <c r="HI153" i="3"/>
  <c r="HJ153" i="3"/>
  <c r="HK153" i="3"/>
  <c r="HL153" i="3"/>
  <c r="HM153" i="3"/>
  <c r="HN153" i="3"/>
  <c r="HO153" i="3"/>
  <c r="HP153" i="3"/>
  <c r="HQ153" i="3"/>
  <c r="HR153" i="3"/>
  <c r="HS153" i="3"/>
  <c r="HT153" i="3"/>
  <c r="HU153" i="3"/>
  <c r="HV153" i="3"/>
  <c r="HW153" i="3"/>
  <c r="HX153" i="3"/>
  <c r="HY153" i="3"/>
  <c r="HZ153" i="3"/>
  <c r="IA153" i="3"/>
  <c r="IB153" i="3"/>
  <c r="IC153" i="3"/>
  <c r="ID153" i="3"/>
  <c r="IE153" i="3"/>
  <c r="IF153" i="3"/>
  <c r="IG153" i="3"/>
  <c r="IH153" i="3"/>
  <c r="II153" i="3"/>
  <c r="IJ153" i="3"/>
  <c r="IK153" i="3"/>
  <c r="IL153" i="3"/>
  <c r="IM153" i="3"/>
  <c r="IN153" i="3"/>
  <c r="IO153" i="3"/>
  <c r="IP153" i="3"/>
  <c r="IQ153" i="3"/>
  <c r="IR153" i="3"/>
  <c r="IS153" i="3"/>
  <c r="IT153" i="3"/>
  <c r="IU153" i="3"/>
  <c r="IV153" i="3"/>
  <c r="A152" i="3"/>
  <c r="B152" i="3"/>
  <c r="C152" i="3"/>
  <c r="D152" i="3"/>
  <c r="E152" i="3"/>
  <c r="F152" i="3"/>
  <c r="G152" i="3"/>
  <c r="H152" i="3"/>
  <c r="I152" i="3"/>
  <c r="J152" i="3"/>
  <c r="K152" i="3"/>
  <c r="L152" i="3"/>
  <c r="M152" i="3"/>
  <c r="N152" i="3"/>
  <c r="O152" i="3"/>
  <c r="P152" i="3"/>
  <c r="Q152" i="3"/>
  <c r="R152" i="3"/>
  <c r="S152" i="3"/>
  <c r="T152" i="3"/>
  <c r="U152" i="3"/>
  <c r="V152" i="3"/>
  <c r="W152" i="3"/>
  <c r="X152" i="3"/>
  <c r="Y152" i="3"/>
  <c r="Z152" i="3"/>
  <c r="AA152" i="3"/>
  <c r="AB152" i="3"/>
  <c r="AC152" i="3"/>
  <c r="AD152" i="3"/>
  <c r="AE152" i="3"/>
  <c r="AF152" i="3"/>
  <c r="AG152" i="3"/>
  <c r="AH152" i="3"/>
  <c r="AI152" i="3"/>
  <c r="AJ152" i="3"/>
  <c r="AK152" i="3"/>
  <c r="AL152" i="3"/>
  <c r="AM152" i="3"/>
  <c r="AN152" i="3"/>
  <c r="AO152" i="3"/>
  <c r="AP152" i="3"/>
  <c r="AQ152" i="3"/>
  <c r="AR152" i="3"/>
  <c r="AS152" i="3"/>
  <c r="AT152" i="3"/>
  <c r="AU152" i="3"/>
  <c r="AV152" i="3"/>
  <c r="AW152" i="3"/>
  <c r="AX152" i="3"/>
  <c r="AY152" i="3"/>
  <c r="AZ152" i="3"/>
  <c r="BA152" i="3"/>
  <c r="BB152" i="3"/>
  <c r="BC152" i="3"/>
  <c r="BD152" i="3"/>
  <c r="BE152" i="3"/>
  <c r="BF152" i="3"/>
  <c r="BG152" i="3"/>
  <c r="BH152" i="3"/>
  <c r="BI152" i="3"/>
  <c r="BJ152" i="3"/>
  <c r="BK152" i="3"/>
  <c r="BL152" i="3"/>
  <c r="BM152" i="3"/>
  <c r="BN152" i="3"/>
  <c r="BO152" i="3"/>
  <c r="BP152" i="3"/>
  <c r="BQ152" i="3"/>
  <c r="BR152" i="3"/>
  <c r="BS152" i="3"/>
  <c r="BT152" i="3"/>
  <c r="BU152" i="3"/>
  <c r="BV152" i="3"/>
  <c r="BW152" i="3"/>
  <c r="BX152" i="3"/>
  <c r="BY152" i="3"/>
  <c r="BZ152" i="3"/>
  <c r="CA152" i="3"/>
  <c r="CB152" i="3"/>
  <c r="CC152" i="3"/>
  <c r="CD152" i="3"/>
  <c r="CE152" i="3"/>
  <c r="CF152" i="3"/>
  <c r="CG152" i="3"/>
  <c r="CH152" i="3"/>
  <c r="CI152" i="3"/>
  <c r="CJ152" i="3"/>
  <c r="CK152" i="3"/>
  <c r="CL152" i="3"/>
  <c r="CM152" i="3"/>
  <c r="CN152" i="3"/>
  <c r="CO152" i="3"/>
  <c r="CP152" i="3"/>
  <c r="CQ152" i="3"/>
  <c r="CR152" i="3"/>
  <c r="CS152" i="3"/>
  <c r="CT152" i="3"/>
  <c r="CU152" i="3"/>
  <c r="CV152" i="3"/>
  <c r="CW152" i="3"/>
  <c r="CX152" i="3"/>
  <c r="CY152" i="3"/>
  <c r="CZ152" i="3"/>
  <c r="DA152" i="3"/>
  <c r="DB152" i="3"/>
  <c r="DC152" i="3"/>
  <c r="DD152" i="3"/>
  <c r="DE152" i="3"/>
  <c r="DF152" i="3"/>
  <c r="DG152" i="3"/>
  <c r="DH152" i="3"/>
  <c r="DI152" i="3"/>
  <c r="DJ152" i="3"/>
  <c r="DK152" i="3"/>
  <c r="DL152" i="3"/>
  <c r="DM152" i="3"/>
  <c r="DN152" i="3"/>
  <c r="DO152" i="3"/>
  <c r="DP152" i="3"/>
  <c r="DQ152" i="3"/>
  <c r="DR152" i="3"/>
  <c r="DS152" i="3"/>
  <c r="DT152" i="3"/>
  <c r="DU152" i="3"/>
  <c r="DV152" i="3"/>
  <c r="DW152" i="3"/>
  <c r="DX152" i="3"/>
  <c r="DY152" i="3"/>
  <c r="DZ152" i="3"/>
  <c r="EA152" i="3"/>
  <c r="EB152" i="3"/>
  <c r="EC152" i="3"/>
  <c r="ED152" i="3"/>
  <c r="EE152" i="3"/>
  <c r="EF152" i="3"/>
  <c r="EG152" i="3"/>
  <c r="EH152" i="3"/>
  <c r="EI152" i="3"/>
  <c r="EJ152" i="3"/>
  <c r="EK152" i="3"/>
  <c r="EL152" i="3"/>
  <c r="EM152" i="3"/>
  <c r="EN152" i="3"/>
  <c r="EO152" i="3"/>
  <c r="EP152" i="3"/>
  <c r="EQ152" i="3"/>
  <c r="ER152" i="3"/>
  <c r="ES152" i="3"/>
  <c r="ET152" i="3"/>
  <c r="EU152" i="3"/>
  <c r="EV152" i="3"/>
  <c r="EW152" i="3"/>
  <c r="EX152" i="3"/>
  <c r="EY152" i="3"/>
  <c r="EZ152" i="3"/>
  <c r="FA152" i="3"/>
  <c r="FB152" i="3"/>
  <c r="FC152" i="3"/>
  <c r="FD152" i="3"/>
  <c r="FE152" i="3"/>
  <c r="FF152" i="3"/>
  <c r="FG152" i="3"/>
  <c r="FH152" i="3"/>
  <c r="FI152" i="3"/>
  <c r="FJ152" i="3"/>
  <c r="FK152" i="3"/>
  <c r="FL152" i="3"/>
  <c r="FM152" i="3"/>
  <c r="FN152" i="3"/>
  <c r="FO152" i="3"/>
  <c r="FP152" i="3"/>
  <c r="FQ152" i="3"/>
  <c r="FR152" i="3"/>
  <c r="FS152" i="3"/>
  <c r="FT152" i="3"/>
  <c r="FU152" i="3"/>
  <c r="FV152" i="3"/>
  <c r="FW152" i="3"/>
  <c r="FX152" i="3"/>
  <c r="FY152" i="3"/>
  <c r="FZ152" i="3"/>
  <c r="GA152" i="3"/>
  <c r="GB152" i="3"/>
  <c r="GC152" i="3"/>
  <c r="GD152" i="3"/>
  <c r="GE152" i="3"/>
  <c r="GF152" i="3"/>
  <c r="GG152" i="3"/>
  <c r="GH152" i="3"/>
  <c r="GI152" i="3"/>
  <c r="GJ152" i="3"/>
  <c r="GK152" i="3"/>
  <c r="GL152" i="3"/>
  <c r="GM152" i="3"/>
  <c r="GN152" i="3"/>
  <c r="GO152" i="3"/>
  <c r="GP152" i="3"/>
  <c r="GQ152" i="3"/>
  <c r="GR152" i="3"/>
  <c r="GS152" i="3"/>
  <c r="GT152" i="3"/>
  <c r="GU152" i="3"/>
  <c r="GV152" i="3"/>
  <c r="GW152" i="3"/>
  <c r="GX152" i="3"/>
  <c r="GY152" i="3"/>
  <c r="GZ152" i="3"/>
  <c r="HA152" i="3"/>
  <c r="HB152" i="3"/>
  <c r="HC152" i="3"/>
  <c r="HD152" i="3"/>
  <c r="HE152" i="3"/>
  <c r="HF152" i="3"/>
  <c r="HG152" i="3"/>
  <c r="HH152" i="3"/>
  <c r="HI152" i="3"/>
  <c r="HJ152" i="3"/>
  <c r="HK152" i="3"/>
  <c r="HL152" i="3"/>
  <c r="HM152" i="3"/>
  <c r="HN152" i="3"/>
  <c r="HO152" i="3"/>
  <c r="HP152" i="3"/>
  <c r="HQ152" i="3"/>
  <c r="HR152" i="3"/>
  <c r="HS152" i="3"/>
  <c r="HT152" i="3"/>
  <c r="HU152" i="3"/>
  <c r="HV152" i="3"/>
  <c r="HW152" i="3"/>
  <c r="HX152" i="3"/>
  <c r="HY152" i="3"/>
  <c r="HZ152" i="3"/>
  <c r="IA152" i="3"/>
  <c r="IB152" i="3"/>
  <c r="IC152" i="3"/>
  <c r="ID152" i="3"/>
  <c r="IE152" i="3"/>
  <c r="IF152" i="3"/>
  <c r="IG152" i="3"/>
  <c r="IH152" i="3"/>
  <c r="II152" i="3"/>
  <c r="IJ152" i="3"/>
  <c r="IK152" i="3"/>
  <c r="IL152" i="3"/>
  <c r="IM152" i="3"/>
  <c r="IN152" i="3"/>
  <c r="IO152" i="3"/>
  <c r="IP152" i="3"/>
  <c r="IQ152" i="3"/>
  <c r="IR152" i="3"/>
  <c r="IS152" i="3"/>
  <c r="IT152" i="3"/>
  <c r="IU152" i="3"/>
  <c r="IV152" i="3"/>
  <c r="A151" i="3"/>
  <c r="B151" i="3"/>
  <c r="C151" i="3"/>
  <c r="D151" i="3"/>
  <c r="E151" i="3"/>
  <c r="F151" i="3"/>
  <c r="G151" i="3"/>
  <c r="H151" i="3"/>
  <c r="I151" i="3"/>
  <c r="J151" i="3"/>
  <c r="K151" i="3"/>
  <c r="L151" i="3"/>
  <c r="M151" i="3"/>
  <c r="N151" i="3"/>
  <c r="O151" i="3"/>
  <c r="P151" i="3"/>
  <c r="Q151" i="3"/>
  <c r="R151" i="3"/>
  <c r="S151" i="3"/>
  <c r="T151" i="3"/>
  <c r="U151" i="3"/>
  <c r="V151" i="3"/>
  <c r="W151" i="3"/>
  <c r="X151" i="3"/>
  <c r="Y151" i="3"/>
  <c r="Z151" i="3"/>
  <c r="AA151" i="3"/>
  <c r="AB151" i="3"/>
  <c r="AC151" i="3"/>
  <c r="AD151" i="3"/>
  <c r="AE151" i="3"/>
  <c r="AF151" i="3"/>
  <c r="AG151" i="3"/>
  <c r="AH151" i="3"/>
  <c r="AI151" i="3"/>
  <c r="AJ151" i="3"/>
  <c r="AK151" i="3"/>
  <c r="AL151" i="3"/>
  <c r="AM151" i="3"/>
  <c r="AN151" i="3"/>
  <c r="AO151" i="3"/>
  <c r="AP151" i="3"/>
  <c r="AQ151" i="3"/>
  <c r="AR151" i="3"/>
  <c r="AS151" i="3"/>
  <c r="AT151" i="3"/>
  <c r="AU151" i="3"/>
  <c r="AV151" i="3"/>
  <c r="AW151" i="3"/>
  <c r="AX151" i="3"/>
  <c r="AY151" i="3"/>
  <c r="AZ151" i="3"/>
  <c r="BA151" i="3"/>
  <c r="BB151" i="3"/>
  <c r="BC151" i="3"/>
  <c r="BD151" i="3"/>
  <c r="BE151" i="3"/>
  <c r="BF151" i="3"/>
  <c r="BG151" i="3"/>
  <c r="BH151" i="3"/>
  <c r="BI151" i="3"/>
  <c r="BJ151" i="3"/>
  <c r="BK151" i="3"/>
  <c r="BL151" i="3"/>
  <c r="BM151" i="3"/>
  <c r="BN151" i="3"/>
  <c r="BO151" i="3"/>
  <c r="BP151" i="3"/>
  <c r="BQ151" i="3"/>
  <c r="BR151" i="3"/>
  <c r="BS151" i="3"/>
  <c r="BT151" i="3"/>
  <c r="BU151" i="3"/>
  <c r="BV151" i="3"/>
  <c r="BW151" i="3"/>
  <c r="BX151" i="3"/>
  <c r="BY151" i="3"/>
  <c r="BZ151" i="3"/>
  <c r="CA151" i="3"/>
  <c r="CB151" i="3"/>
  <c r="CC151" i="3"/>
  <c r="CD151" i="3"/>
  <c r="CE151" i="3"/>
  <c r="CF151" i="3"/>
  <c r="CG151" i="3"/>
  <c r="CH151" i="3"/>
  <c r="CI151" i="3"/>
  <c r="CJ151" i="3"/>
  <c r="CK151" i="3"/>
  <c r="CL151" i="3"/>
  <c r="CM151" i="3"/>
  <c r="CN151" i="3"/>
  <c r="CO151" i="3"/>
  <c r="CP151" i="3"/>
  <c r="CQ151" i="3"/>
  <c r="CR151" i="3"/>
  <c r="CS151" i="3"/>
  <c r="CT151" i="3"/>
  <c r="CU151" i="3"/>
  <c r="CV151" i="3"/>
  <c r="CW151" i="3"/>
  <c r="CX151" i="3"/>
  <c r="CY151" i="3"/>
  <c r="CZ151" i="3"/>
  <c r="DA151" i="3"/>
  <c r="DB151" i="3"/>
  <c r="DC151" i="3"/>
  <c r="DD151" i="3"/>
  <c r="DE151" i="3"/>
  <c r="DF151" i="3"/>
  <c r="DG151" i="3"/>
  <c r="DH151" i="3"/>
  <c r="DI151" i="3"/>
  <c r="DJ151" i="3"/>
  <c r="DK151" i="3"/>
  <c r="DL151" i="3"/>
  <c r="DM151" i="3"/>
  <c r="DN151" i="3"/>
  <c r="DO151" i="3"/>
  <c r="DP151" i="3"/>
  <c r="DQ151" i="3"/>
  <c r="DR151" i="3"/>
  <c r="DS151" i="3"/>
  <c r="DT151" i="3"/>
  <c r="DU151" i="3"/>
  <c r="DV151" i="3"/>
  <c r="DW151" i="3"/>
  <c r="DX151" i="3"/>
  <c r="DY151" i="3"/>
  <c r="DZ151" i="3"/>
  <c r="EA151" i="3"/>
  <c r="EB151" i="3"/>
  <c r="EC151" i="3"/>
  <c r="ED151" i="3"/>
  <c r="EE151" i="3"/>
  <c r="EF151" i="3"/>
  <c r="EG151" i="3"/>
  <c r="EH151" i="3"/>
  <c r="EI151" i="3"/>
  <c r="EJ151" i="3"/>
  <c r="EK151" i="3"/>
  <c r="EL151" i="3"/>
  <c r="EM151" i="3"/>
  <c r="EN151" i="3"/>
  <c r="EO151" i="3"/>
  <c r="EP151" i="3"/>
  <c r="EQ151" i="3"/>
  <c r="ER151" i="3"/>
  <c r="ES151" i="3"/>
  <c r="ET151" i="3"/>
  <c r="EU151" i="3"/>
  <c r="EV151" i="3"/>
  <c r="EW151" i="3"/>
  <c r="EX151" i="3"/>
  <c r="EY151" i="3"/>
  <c r="EZ151" i="3"/>
  <c r="FA151" i="3"/>
  <c r="FB151" i="3"/>
  <c r="FC151" i="3"/>
  <c r="FD151" i="3"/>
  <c r="FE151" i="3"/>
  <c r="FF151" i="3"/>
  <c r="FG151" i="3"/>
  <c r="FH151" i="3"/>
  <c r="FI151" i="3"/>
  <c r="FJ151" i="3"/>
  <c r="FK151" i="3"/>
  <c r="FL151" i="3"/>
  <c r="FM151" i="3"/>
  <c r="FN151" i="3"/>
  <c r="FO151" i="3"/>
  <c r="FP151" i="3"/>
  <c r="FQ151" i="3"/>
  <c r="FR151" i="3"/>
  <c r="FS151" i="3"/>
  <c r="FT151" i="3"/>
  <c r="FU151" i="3"/>
  <c r="FV151" i="3"/>
  <c r="FW151" i="3"/>
  <c r="FX151" i="3"/>
  <c r="FY151" i="3"/>
  <c r="FZ151" i="3"/>
  <c r="GA151" i="3"/>
  <c r="GB151" i="3"/>
  <c r="GC151" i="3"/>
  <c r="GD151" i="3"/>
  <c r="GE151" i="3"/>
  <c r="GF151" i="3"/>
  <c r="GG151" i="3"/>
  <c r="GH151" i="3"/>
  <c r="GI151" i="3"/>
  <c r="GJ151" i="3"/>
  <c r="GK151" i="3"/>
  <c r="GL151" i="3"/>
  <c r="GM151" i="3"/>
  <c r="GN151" i="3"/>
  <c r="GO151" i="3"/>
  <c r="GP151" i="3"/>
  <c r="GQ151" i="3"/>
  <c r="GR151" i="3"/>
  <c r="GS151" i="3"/>
  <c r="GT151" i="3"/>
  <c r="GU151" i="3"/>
  <c r="GV151" i="3"/>
  <c r="GW151" i="3"/>
  <c r="GX151" i="3"/>
  <c r="GY151" i="3"/>
  <c r="GZ151" i="3"/>
  <c r="HA151" i="3"/>
  <c r="HB151" i="3"/>
  <c r="HC151" i="3"/>
  <c r="HD151" i="3"/>
  <c r="HE151" i="3"/>
  <c r="HF151" i="3"/>
  <c r="HG151" i="3"/>
  <c r="HH151" i="3"/>
  <c r="HI151" i="3"/>
  <c r="HJ151" i="3"/>
  <c r="HK151" i="3"/>
  <c r="HL151" i="3"/>
  <c r="HM151" i="3"/>
  <c r="HN151" i="3"/>
  <c r="HO151" i="3"/>
  <c r="HP151" i="3"/>
  <c r="HQ151" i="3"/>
  <c r="HR151" i="3"/>
  <c r="HS151" i="3"/>
  <c r="HT151" i="3"/>
  <c r="HU151" i="3"/>
  <c r="HV151" i="3"/>
  <c r="HW151" i="3"/>
  <c r="HX151" i="3"/>
  <c r="HY151" i="3"/>
  <c r="HZ151" i="3"/>
  <c r="IA151" i="3"/>
  <c r="IB151" i="3"/>
  <c r="IC151" i="3"/>
  <c r="ID151" i="3"/>
  <c r="IE151" i="3"/>
  <c r="IF151" i="3"/>
  <c r="IG151" i="3"/>
  <c r="IH151" i="3"/>
  <c r="II151" i="3"/>
  <c r="IJ151" i="3"/>
  <c r="IK151" i="3"/>
  <c r="IL151" i="3"/>
  <c r="IM151" i="3"/>
  <c r="IN151" i="3"/>
  <c r="IO151" i="3"/>
  <c r="IP151" i="3"/>
  <c r="IQ151" i="3"/>
  <c r="IR151" i="3"/>
  <c r="IS151" i="3"/>
  <c r="IT151" i="3"/>
  <c r="IU151" i="3"/>
  <c r="IV151" i="3"/>
  <c r="A150" i="3"/>
  <c r="B150" i="3"/>
  <c r="C150" i="3"/>
  <c r="D150" i="3"/>
  <c r="E150" i="3"/>
  <c r="F150" i="3"/>
  <c r="G150" i="3"/>
  <c r="H150" i="3"/>
  <c r="I150" i="3"/>
  <c r="J150" i="3"/>
  <c r="K150" i="3"/>
  <c r="L150" i="3"/>
  <c r="M150" i="3"/>
  <c r="N150" i="3"/>
  <c r="O150" i="3"/>
  <c r="P150" i="3"/>
  <c r="Q150" i="3"/>
  <c r="R150" i="3"/>
  <c r="S150" i="3"/>
  <c r="T150" i="3"/>
  <c r="U150" i="3"/>
  <c r="V150" i="3"/>
  <c r="W150" i="3"/>
  <c r="X150" i="3"/>
  <c r="Y150" i="3"/>
  <c r="Z150" i="3"/>
  <c r="AA150" i="3"/>
  <c r="AB150" i="3"/>
  <c r="AC150" i="3"/>
  <c r="AD150" i="3"/>
  <c r="AE150" i="3"/>
  <c r="AF150" i="3"/>
  <c r="AG150" i="3"/>
  <c r="AH150" i="3"/>
  <c r="AI150" i="3"/>
  <c r="AJ150" i="3"/>
  <c r="AK150" i="3"/>
  <c r="AL150" i="3"/>
  <c r="AM150" i="3"/>
  <c r="AN150" i="3"/>
  <c r="AO150" i="3"/>
  <c r="AP150" i="3"/>
  <c r="AQ150" i="3"/>
  <c r="AR150" i="3"/>
  <c r="AS150" i="3"/>
  <c r="AT150" i="3"/>
  <c r="AU150" i="3"/>
  <c r="AV150" i="3"/>
  <c r="AW150" i="3"/>
  <c r="AX150" i="3"/>
  <c r="AY150" i="3"/>
  <c r="AZ150" i="3"/>
  <c r="BA150" i="3"/>
  <c r="BB150" i="3"/>
  <c r="BC150" i="3"/>
  <c r="BD150" i="3"/>
  <c r="BE150" i="3"/>
  <c r="BF150" i="3"/>
  <c r="BG150" i="3"/>
  <c r="BH150" i="3"/>
  <c r="BI150" i="3"/>
  <c r="BJ150" i="3"/>
  <c r="BK150" i="3"/>
  <c r="BL150" i="3"/>
  <c r="BM150" i="3"/>
  <c r="BN150" i="3"/>
  <c r="BO150" i="3"/>
  <c r="BP150" i="3"/>
  <c r="BQ150" i="3"/>
  <c r="BR150" i="3"/>
  <c r="BS150" i="3"/>
  <c r="BT150" i="3"/>
  <c r="BU150" i="3"/>
  <c r="BV150" i="3"/>
  <c r="BW150" i="3"/>
  <c r="BX150" i="3"/>
  <c r="BY150" i="3"/>
  <c r="BZ150" i="3"/>
  <c r="CA150" i="3"/>
  <c r="CB150" i="3"/>
  <c r="CC150" i="3"/>
  <c r="CD150" i="3"/>
  <c r="CE150" i="3"/>
  <c r="CF150" i="3"/>
  <c r="CG150" i="3"/>
  <c r="CH150" i="3"/>
  <c r="CI150" i="3"/>
  <c r="CJ150" i="3"/>
  <c r="CK150" i="3"/>
  <c r="CL150" i="3"/>
  <c r="CM150" i="3"/>
  <c r="CN150" i="3"/>
  <c r="CO150" i="3"/>
  <c r="CP150" i="3"/>
  <c r="CQ150" i="3"/>
  <c r="CR150" i="3"/>
  <c r="CS150" i="3"/>
  <c r="CT150" i="3"/>
  <c r="CU150" i="3"/>
  <c r="CV150" i="3"/>
  <c r="CW150" i="3"/>
  <c r="CX150" i="3"/>
  <c r="CY150" i="3"/>
  <c r="CZ150" i="3"/>
  <c r="DA150" i="3"/>
  <c r="DB150" i="3"/>
  <c r="DC150" i="3"/>
  <c r="DD150" i="3"/>
  <c r="DE150" i="3"/>
  <c r="DF150" i="3"/>
  <c r="DG150" i="3"/>
  <c r="DH150" i="3"/>
  <c r="DI150" i="3"/>
  <c r="DJ150" i="3"/>
  <c r="DK150" i="3"/>
  <c r="DL150" i="3"/>
  <c r="DM150" i="3"/>
  <c r="DN150" i="3"/>
  <c r="DO150" i="3"/>
  <c r="DP150" i="3"/>
  <c r="DQ150" i="3"/>
  <c r="DR150" i="3"/>
  <c r="DS150" i="3"/>
  <c r="DT150" i="3"/>
  <c r="DU150" i="3"/>
  <c r="DV150" i="3"/>
  <c r="DW150" i="3"/>
  <c r="DX150" i="3"/>
  <c r="DY150" i="3"/>
  <c r="DZ150" i="3"/>
  <c r="EA150" i="3"/>
  <c r="EB150" i="3"/>
  <c r="EC150" i="3"/>
  <c r="ED150" i="3"/>
  <c r="EE150" i="3"/>
  <c r="EF150" i="3"/>
  <c r="EG150" i="3"/>
  <c r="EH150" i="3"/>
  <c r="EI150" i="3"/>
  <c r="EJ150" i="3"/>
  <c r="EK150" i="3"/>
  <c r="EL150" i="3"/>
  <c r="EM150" i="3"/>
  <c r="EN150" i="3"/>
  <c r="EO150" i="3"/>
  <c r="EP150" i="3"/>
  <c r="EQ150" i="3"/>
  <c r="ER150" i="3"/>
  <c r="ES150" i="3"/>
  <c r="ET150" i="3"/>
  <c r="EU150" i="3"/>
  <c r="EV150" i="3"/>
  <c r="EW150" i="3"/>
  <c r="EX150" i="3"/>
  <c r="EY150" i="3"/>
  <c r="EZ150" i="3"/>
  <c r="FA150" i="3"/>
  <c r="FB150" i="3"/>
  <c r="FC150" i="3"/>
  <c r="FD150" i="3"/>
  <c r="FE150" i="3"/>
  <c r="FF150" i="3"/>
  <c r="FG150" i="3"/>
  <c r="FH150" i="3"/>
  <c r="FI150" i="3"/>
  <c r="FJ150" i="3"/>
  <c r="FK150" i="3"/>
  <c r="FL150" i="3"/>
  <c r="FM150" i="3"/>
  <c r="FN150" i="3"/>
  <c r="FO150" i="3"/>
  <c r="FP150" i="3"/>
  <c r="FQ150" i="3"/>
  <c r="FR150" i="3"/>
  <c r="FS150" i="3"/>
  <c r="FT150" i="3"/>
  <c r="FU150" i="3"/>
  <c r="FV150" i="3"/>
  <c r="FW150" i="3"/>
  <c r="FX150" i="3"/>
  <c r="FY150" i="3"/>
  <c r="FZ150" i="3"/>
  <c r="GA150" i="3"/>
  <c r="GB150" i="3"/>
  <c r="GC150" i="3"/>
  <c r="GD150" i="3"/>
  <c r="GE150" i="3"/>
  <c r="GF150" i="3"/>
  <c r="GG150" i="3"/>
  <c r="GH150" i="3"/>
  <c r="GI150" i="3"/>
  <c r="GJ150" i="3"/>
  <c r="GK150" i="3"/>
  <c r="GL150" i="3"/>
  <c r="GM150" i="3"/>
  <c r="GN150" i="3"/>
  <c r="GO150" i="3"/>
  <c r="GP150" i="3"/>
  <c r="GQ150" i="3"/>
  <c r="GR150" i="3"/>
  <c r="GS150" i="3"/>
  <c r="GT150" i="3"/>
  <c r="GU150" i="3"/>
  <c r="GV150" i="3"/>
  <c r="GW150" i="3"/>
  <c r="GX150" i="3"/>
  <c r="GY150" i="3"/>
  <c r="GZ150" i="3"/>
  <c r="HA150" i="3"/>
  <c r="HB150" i="3"/>
  <c r="HC150" i="3"/>
  <c r="HD150" i="3"/>
  <c r="HE150" i="3"/>
  <c r="HF150" i="3"/>
  <c r="HG150" i="3"/>
  <c r="HH150" i="3"/>
  <c r="HI150" i="3"/>
  <c r="HJ150" i="3"/>
  <c r="HK150" i="3"/>
  <c r="HL150" i="3"/>
  <c r="HM150" i="3"/>
  <c r="HN150" i="3"/>
  <c r="HO150" i="3"/>
  <c r="HP150" i="3"/>
  <c r="HQ150" i="3"/>
  <c r="HR150" i="3"/>
  <c r="HS150" i="3"/>
  <c r="HT150" i="3"/>
  <c r="HU150" i="3"/>
  <c r="HV150" i="3"/>
  <c r="HW150" i="3"/>
  <c r="HX150" i="3"/>
  <c r="HY150" i="3"/>
  <c r="HZ150" i="3"/>
  <c r="IA150" i="3"/>
  <c r="IB150" i="3"/>
  <c r="IC150" i="3"/>
  <c r="ID150" i="3"/>
  <c r="IE150" i="3"/>
  <c r="IF150" i="3"/>
  <c r="IG150" i="3"/>
  <c r="IH150" i="3"/>
  <c r="II150" i="3"/>
  <c r="IJ150" i="3"/>
  <c r="IK150" i="3"/>
  <c r="IL150" i="3"/>
  <c r="IM150" i="3"/>
  <c r="IN150" i="3"/>
  <c r="IO150" i="3"/>
  <c r="IP150" i="3"/>
  <c r="IQ150" i="3"/>
  <c r="IR150" i="3"/>
  <c r="IS150" i="3"/>
  <c r="IT150" i="3"/>
  <c r="IU150" i="3"/>
  <c r="IV150" i="3"/>
  <c r="A149" i="3"/>
  <c r="B149" i="3"/>
  <c r="C149" i="3"/>
  <c r="D149" i="3"/>
  <c r="E149" i="3"/>
  <c r="F149" i="3"/>
  <c r="G149" i="3"/>
  <c r="H149" i="3"/>
  <c r="I149" i="3"/>
  <c r="J149" i="3"/>
  <c r="K149" i="3"/>
  <c r="L149" i="3"/>
  <c r="M149" i="3"/>
  <c r="N149" i="3"/>
  <c r="O149" i="3"/>
  <c r="P149" i="3"/>
  <c r="Q149" i="3"/>
  <c r="R149" i="3"/>
  <c r="S149" i="3"/>
  <c r="T149" i="3"/>
  <c r="U149" i="3"/>
  <c r="V149" i="3"/>
  <c r="W149" i="3"/>
  <c r="X149" i="3"/>
  <c r="Y149" i="3"/>
  <c r="Z149" i="3"/>
  <c r="AA149" i="3"/>
  <c r="AB149" i="3"/>
  <c r="AC149" i="3"/>
  <c r="AD149" i="3"/>
  <c r="AE149" i="3"/>
  <c r="AF149" i="3"/>
  <c r="AG149" i="3"/>
  <c r="AH149" i="3"/>
  <c r="AI149" i="3"/>
  <c r="AJ149" i="3"/>
  <c r="AK149" i="3"/>
  <c r="AL149" i="3"/>
  <c r="AM149" i="3"/>
  <c r="AN149" i="3"/>
  <c r="AO149" i="3"/>
  <c r="AP149" i="3"/>
  <c r="AQ149" i="3"/>
  <c r="AR149" i="3"/>
  <c r="AS149" i="3"/>
  <c r="AT149" i="3"/>
  <c r="AU149" i="3"/>
  <c r="AV149" i="3"/>
  <c r="AW149" i="3"/>
  <c r="AX149" i="3"/>
  <c r="AY149" i="3"/>
  <c r="AZ149" i="3"/>
  <c r="BA149" i="3"/>
  <c r="BB149" i="3"/>
  <c r="BC149" i="3"/>
  <c r="BD149" i="3"/>
  <c r="BE149" i="3"/>
  <c r="BF149" i="3"/>
  <c r="BG149" i="3"/>
  <c r="BH149" i="3"/>
  <c r="BI149" i="3"/>
  <c r="BJ149" i="3"/>
  <c r="BK149" i="3"/>
  <c r="BL149" i="3"/>
  <c r="BM149" i="3"/>
  <c r="BN149" i="3"/>
  <c r="BO149" i="3"/>
  <c r="BP149" i="3"/>
  <c r="BQ149" i="3"/>
  <c r="BR149" i="3"/>
  <c r="BS149" i="3"/>
  <c r="BT149" i="3"/>
  <c r="BU149" i="3"/>
  <c r="BV149" i="3"/>
  <c r="BW149" i="3"/>
  <c r="BX149" i="3"/>
  <c r="BY149" i="3"/>
  <c r="BZ149" i="3"/>
  <c r="CA149" i="3"/>
  <c r="CB149" i="3"/>
  <c r="CC149" i="3"/>
  <c r="CD149" i="3"/>
  <c r="CE149" i="3"/>
  <c r="CF149" i="3"/>
  <c r="CG149" i="3"/>
  <c r="CH149" i="3"/>
  <c r="CI149" i="3"/>
  <c r="CJ149" i="3"/>
  <c r="CK149" i="3"/>
  <c r="CL149" i="3"/>
  <c r="CM149" i="3"/>
  <c r="CN149" i="3"/>
  <c r="CO149" i="3"/>
  <c r="CP149" i="3"/>
  <c r="CQ149" i="3"/>
  <c r="CR149" i="3"/>
  <c r="CS149" i="3"/>
  <c r="CT149" i="3"/>
  <c r="CU149" i="3"/>
  <c r="CV149" i="3"/>
  <c r="CW149" i="3"/>
  <c r="CX149" i="3"/>
  <c r="CY149" i="3"/>
  <c r="CZ149" i="3"/>
  <c r="DA149" i="3"/>
  <c r="DB149" i="3"/>
  <c r="DC149" i="3"/>
  <c r="DD149" i="3"/>
  <c r="DE149" i="3"/>
  <c r="DF149" i="3"/>
  <c r="DG149" i="3"/>
  <c r="DH149" i="3"/>
  <c r="DI149" i="3"/>
  <c r="DJ149" i="3"/>
  <c r="DK149" i="3"/>
  <c r="DL149" i="3"/>
  <c r="DM149" i="3"/>
  <c r="DN149" i="3"/>
  <c r="DO149" i="3"/>
  <c r="DP149" i="3"/>
  <c r="DQ149" i="3"/>
  <c r="DR149" i="3"/>
  <c r="DS149" i="3"/>
  <c r="DT149" i="3"/>
  <c r="DU149" i="3"/>
  <c r="DV149" i="3"/>
  <c r="DW149" i="3"/>
  <c r="DX149" i="3"/>
  <c r="DY149" i="3"/>
  <c r="DZ149" i="3"/>
  <c r="EA149" i="3"/>
  <c r="EB149" i="3"/>
  <c r="EC149" i="3"/>
  <c r="ED149" i="3"/>
  <c r="EE149" i="3"/>
  <c r="EF149" i="3"/>
  <c r="EG149" i="3"/>
  <c r="EH149" i="3"/>
  <c r="EI149" i="3"/>
  <c r="EJ149" i="3"/>
  <c r="EK149" i="3"/>
  <c r="EL149" i="3"/>
  <c r="EM149" i="3"/>
  <c r="EN149" i="3"/>
  <c r="EO149" i="3"/>
  <c r="EP149" i="3"/>
  <c r="EQ149" i="3"/>
  <c r="ER149" i="3"/>
  <c r="ES149" i="3"/>
  <c r="ET149" i="3"/>
  <c r="EU149" i="3"/>
  <c r="EV149" i="3"/>
  <c r="EW149" i="3"/>
  <c r="EX149" i="3"/>
  <c r="EY149" i="3"/>
  <c r="EZ149" i="3"/>
  <c r="FA149" i="3"/>
  <c r="FB149" i="3"/>
  <c r="FC149" i="3"/>
  <c r="FD149" i="3"/>
  <c r="FE149" i="3"/>
  <c r="FF149" i="3"/>
  <c r="FG149" i="3"/>
  <c r="FH149" i="3"/>
  <c r="FI149" i="3"/>
  <c r="FJ149" i="3"/>
  <c r="FK149" i="3"/>
  <c r="FL149" i="3"/>
  <c r="FM149" i="3"/>
  <c r="FN149" i="3"/>
  <c r="FO149" i="3"/>
  <c r="FP149" i="3"/>
  <c r="FQ149" i="3"/>
  <c r="FR149" i="3"/>
  <c r="FS149" i="3"/>
  <c r="FT149" i="3"/>
  <c r="FU149" i="3"/>
  <c r="FV149" i="3"/>
  <c r="FW149" i="3"/>
  <c r="FX149" i="3"/>
  <c r="FY149" i="3"/>
  <c r="FZ149" i="3"/>
  <c r="GA149" i="3"/>
  <c r="GB149" i="3"/>
  <c r="GC149" i="3"/>
  <c r="GD149" i="3"/>
  <c r="GE149" i="3"/>
  <c r="GF149" i="3"/>
  <c r="GG149" i="3"/>
  <c r="GH149" i="3"/>
  <c r="GI149" i="3"/>
  <c r="GJ149" i="3"/>
  <c r="GK149" i="3"/>
  <c r="GL149" i="3"/>
  <c r="GM149" i="3"/>
  <c r="GN149" i="3"/>
  <c r="GO149" i="3"/>
  <c r="GP149" i="3"/>
  <c r="GQ149" i="3"/>
  <c r="GR149" i="3"/>
  <c r="GS149" i="3"/>
  <c r="GT149" i="3"/>
  <c r="GU149" i="3"/>
  <c r="GV149" i="3"/>
  <c r="GW149" i="3"/>
  <c r="GX149" i="3"/>
  <c r="GY149" i="3"/>
  <c r="GZ149" i="3"/>
  <c r="HA149" i="3"/>
  <c r="HB149" i="3"/>
  <c r="HC149" i="3"/>
  <c r="HD149" i="3"/>
  <c r="HE149" i="3"/>
  <c r="HF149" i="3"/>
  <c r="HG149" i="3"/>
  <c r="HH149" i="3"/>
  <c r="HI149" i="3"/>
  <c r="HJ149" i="3"/>
  <c r="HK149" i="3"/>
  <c r="HL149" i="3"/>
  <c r="HM149" i="3"/>
  <c r="HN149" i="3"/>
  <c r="HO149" i="3"/>
  <c r="HP149" i="3"/>
  <c r="HQ149" i="3"/>
  <c r="HR149" i="3"/>
  <c r="HS149" i="3"/>
  <c r="HT149" i="3"/>
  <c r="HU149" i="3"/>
  <c r="HV149" i="3"/>
  <c r="HW149" i="3"/>
  <c r="HX149" i="3"/>
  <c r="HY149" i="3"/>
  <c r="HZ149" i="3"/>
  <c r="IA149" i="3"/>
  <c r="IB149" i="3"/>
  <c r="IC149" i="3"/>
  <c r="ID149" i="3"/>
  <c r="IE149" i="3"/>
  <c r="IF149" i="3"/>
  <c r="IG149" i="3"/>
  <c r="IH149" i="3"/>
  <c r="II149" i="3"/>
  <c r="IJ149" i="3"/>
  <c r="IK149" i="3"/>
  <c r="IL149" i="3"/>
  <c r="IM149" i="3"/>
  <c r="IN149" i="3"/>
  <c r="IO149" i="3"/>
  <c r="IP149" i="3"/>
  <c r="IQ149" i="3"/>
  <c r="IR149" i="3"/>
  <c r="IS149" i="3"/>
  <c r="IT149" i="3"/>
  <c r="IU149" i="3"/>
  <c r="IV149" i="3"/>
  <c r="A148" i="3"/>
  <c r="B148" i="3"/>
  <c r="C148" i="3"/>
  <c r="D148" i="3"/>
  <c r="E148" i="3"/>
  <c r="F148" i="3"/>
  <c r="G148" i="3"/>
  <c r="H148" i="3"/>
  <c r="I148" i="3"/>
  <c r="J148" i="3"/>
  <c r="K148" i="3"/>
  <c r="L148" i="3"/>
  <c r="M148" i="3"/>
  <c r="N148" i="3"/>
  <c r="O148" i="3"/>
  <c r="P148" i="3"/>
  <c r="Q148" i="3"/>
  <c r="R148" i="3"/>
  <c r="S148" i="3"/>
  <c r="T148" i="3"/>
  <c r="U148" i="3"/>
  <c r="V148" i="3"/>
  <c r="W148" i="3"/>
  <c r="X148" i="3"/>
  <c r="Y148" i="3"/>
  <c r="Z148" i="3"/>
  <c r="AA148" i="3"/>
  <c r="AB148" i="3"/>
  <c r="AC148" i="3"/>
  <c r="AD148" i="3"/>
  <c r="AE148" i="3"/>
  <c r="AF148" i="3"/>
  <c r="AG148" i="3"/>
  <c r="AH148" i="3"/>
  <c r="AI148" i="3"/>
  <c r="AJ148" i="3"/>
  <c r="AK148" i="3"/>
  <c r="AL148" i="3"/>
  <c r="AM148" i="3"/>
  <c r="AN148" i="3"/>
  <c r="AO148" i="3"/>
  <c r="AP148" i="3"/>
  <c r="AQ148" i="3"/>
  <c r="AR148" i="3"/>
  <c r="AS148" i="3"/>
  <c r="AT148" i="3"/>
  <c r="AU148" i="3"/>
  <c r="AV148" i="3"/>
  <c r="AW148" i="3"/>
  <c r="AX148" i="3"/>
  <c r="AY148" i="3"/>
  <c r="AZ148" i="3"/>
  <c r="BA148" i="3"/>
  <c r="BB148" i="3"/>
  <c r="BC148" i="3"/>
  <c r="BD148" i="3"/>
  <c r="BE148" i="3"/>
  <c r="BF148" i="3"/>
  <c r="BG148" i="3"/>
  <c r="BH148" i="3"/>
  <c r="BI148" i="3"/>
  <c r="BJ148" i="3"/>
  <c r="BK148" i="3"/>
  <c r="BL148" i="3"/>
  <c r="BM148" i="3"/>
  <c r="BN148" i="3"/>
  <c r="BO148" i="3"/>
  <c r="BP148" i="3"/>
  <c r="BQ148" i="3"/>
  <c r="BR148" i="3"/>
  <c r="BS148" i="3"/>
  <c r="BT148" i="3"/>
  <c r="BU148" i="3"/>
  <c r="BV148" i="3"/>
  <c r="BW148" i="3"/>
  <c r="BX148" i="3"/>
  <c r="BY148" i="3"/>
  <c r="BZ148" i="3"/>
  <c r="CA148" i="3"/>
  <c r="CB148" i="3"/>
  <c r="CC148" i="3"/>
  <c r="CD148" i="3"/>
  <c r="CE148" i="3"/>
  <c r="CF148" i="3"/>
  <c r="CG148" i="3"/>
  <c r="CH148" i="3"/>
  <c r="CI148" i="3"/>
  <c r="CJ148" i="3"/>
  <c r="CK148" i="3"/>
  <c r="CL148" i="3"/>
  <c r="CM148" i="3"/>
  <c r="CN148" i="3"/>
  <c r="CO148" i="3"/>
  <c r="CP148" i="3"/>
  <c r="CQ148" i="3"/>
  <c r="CR148" i="3"/>
  <c r="CS148" i="3"/>
  <c r="CT148" i="3"/>
  <c r="CU148" i="3"/>
  <c r="CV148" i="3"/>
  <c r="CW148" i="3"/>
  <c r="CX148" i="3"/>
  <c r="CY148" i="3"/>
  <c r="CZ148" i="3"/>
  <c r="DA148" i="3"/>
  <c r="DB148" i="3"/>
  <c r="DC148" i="3"/>
  <c r="DD148" i="3"/>
  <c r="DE148" i="3"/>
  <c r="DF148" i="3"/>
  <c r="DG148" i="3"/>
  <c r="DH148" i="3"/>
  <c r="DI148" i="3"/>
  <c r="DJ148" i="3"/>
  <c r="DK148" i="3"/>
  <c r="DL148" i="3"/>
  <c r="DM148" i="3"/>
  <c r="DN148" i="3"/>
  <c r="DO148" i="3"/>
  <c r="DP148" i="3"/>
  <c r="DQ148" i="3"/>
  <c r="DR148" i="3"/>
  <c r="DS148" i="3"/>
  <c r="DT148" i="3"/>
  <c r="DU148" i="3"/>
  <c r="DV148" i="3"/>
  <c r="DW148" i="3"/>
  <c r="DX148" i="3"/>
  <c r="DY148" i="3"/>
  <c r="DZ148" i="3"/>
  <c r="EA148" i="3"/>
  <c r="EB148" i="3"/>
  <c r="EC148" i="3"/>
  <c r="ED148" i="3"/>
  <c r="EE148" i="3"/>
  <c r="EF148" i="3"/>
  <c r="EG148" i="3"/>
  <c r="EH148" i="3"/>
  <c r="EI148" i="3"/>
  <c r="EJ148" i="3"/>
  <c r="EK148" i="3"/>
  <c r="EL148" i="3"/>
  <c r="EM148" i="3"/>
  <c r="EN148" i="3"/>
  <c r="EO148" i="3"/>
  <c r="EP148" i="3"/>
  <c r="EQ148" i="3"/>
  <c r="ER148" i="3"/>
  <c r="ES148" i="3"/>
  <c r="ET148" i="3"/>
  <c r="EU148" i="3"/>
  <c r="EV148" i="3"/>
  <c r="EW148" i="3"/>
  <c r="EX148" i="3"/>
  <c r="EY148" i="3"/>
  <c r="EZ148" i="3"/>
  <c r="FA148" i="3"/>
  <c r="FB148" i="3"/>
  <c r="FC148" i="3"/>
  <c r="FD148" i="3"/>
  <c r="FE148" i="3"/>
  <c r="FF148" i="3"/>
  <c r="FG148" i="3"/>
  <c r="FH148" i="3"/>
  <c r="FI148" i="3"/>
  <c r="FJ148" i="3"/>
  <c r="FK148" i="3"/>
  <c r="FL148" i="3"/>
  <c r="FM148" i="3"/>
  <c r="FN148" i="3"/>
  <c r="FO148" i="3"/>
  <c r="FP148" i="3"/>
  <c r="FQ148" i="3"/>
  <c r="FR148" i="3"/>
  <c r="FS148" i="3"/>
  <c r="FT148" i="3"/>
  <c r="FU148" i="3"/>
  <c r="FV148" i="3"/>
  <c r="FW148" i="3"/>
  <c r="FX148" i="3"/>
  <c r="FY148" i="3"/>
  <c r="FZ148" i="3"/>
  <c r="GA148" i="3"/>
  <c r="GB148" i="3"/>
  <c r="GC148" i="3"/>
  <c r="GD148" i="3"/>
  <c r="GE148" i="3"/>
  <c r="GF148" i="3"/>
  <c r="GG148" i="3"/>
  <c r="GH148" i="3"/>
  <c r="GI148" i="3"/>
  <c r="GJ148" i="3"/>
  <c r="GK148" i="3"/>
  <c r="GL148" i="3"/>
  <c r="GM148" i="3"/>
  <c r="GN148" i="3"/>
  <c r="GO148" i="3"/>
  <c r="GP148" i="3"/>
  <c r="GQ148" i="3"/>
  <c r="GR148" i="3"/>
  <c r="GS148" i="3"/>
  <c r="GT148" i="3"/>
  <c r="GU148" i="3"/>
  <c r="GV148" i="3"/>
  <c r="GW148" i="3"/>
  <c r="GX148" i="3"/>
  <c r="GY148" i="3"/>
  <c r="GZ148" i="3"/>
  <c r="HA148" i="3"/>
  <c r="HB148" i="3"/>
  <c r="HC148" i="3"/>
  <c r="HD148" i="3"/>
  <c r="HE148" i="3"/>
  <c r="HF148" i="3"/>
  <c r="HG148" i="3"/>
  <c r="HH148" i="3"/>
  <c r="HI148" i="3"/>
  <c r="HJ148" i="3"/>
  <c r="HK148" i="3"/>
  <c r="HL148" i="3"/>
  <c r="HM148" i="3"/>
  <c r="HN148" i="3"/>
  <c r="HO148" i="3"/>
  <c r="HP148" i="3"/>
  <c r="HQ148" i="3"/>
  <c r="HR148" i="3"/>
  <c r="HS148" i="3"/>
  <c r="HT148" i="3"/>
  <c r="HU148" i="3"/>
  <c r="HV148" i="3"/>
  <c r="HW148" i="3"/>
  <c r="HX148" i="3"/>
  <c r="HY148" i="3"/>
  <c r="HZ148" i="3"/>
  <c r="IA148" i="3"/>
  <c r="IB148" i="3"/>
  <c r="IC148" i="3"/>
  <c r="ID148" i="3"/>
  <c r="IE148" i="3"/>
  <c r="IF148" i="3"/>
  <c r="IG148" i="3"/>
  <c r="IH148" i="3"/>
  <c r="II148" i="3"/>
  <c r="IJ148" i="3"/>
  <c r="IK148" i="3"/>
  <c r="IL148" i="3"/>
  <c r="IM148" i="3"/>
  <c r="IN148" i="3"/>
  <c r="IO148" i="3"/>
  <c r="IP148" i="3"/>
  <c r="IQ148" i="3"/>
  <c r="IR148" i="3"/>
  <c r="IS148" i="3"/>
  <c r="IT148" i="3"/>
  <c r="IU148" i="3"/>
  <c r="IV148" i="3"/>
  <c r="A147" i="3"/>
  <c r="B147" i="3"/>
  <c r="C147" i="3"/>
  <c r="D147" i="3"/>
  <c r="E147" i="3"/>
  <c r="F147" i="3"/>
  <c r="G147" i="3"/>
  <c r="H147" i="3"/>
  <c r="I147" i="3"/>
  <c r="J147" i="3"/>
  <c r="K147" i="3"/>
  <c r="L147" i="3"/>
  <c r="M147" i="3"/>
  <c r="N147" i="3"/>
  <c r="O147" i="3"/>
  <c r="P147" i="3"/>
  <c r="Q147" i="3"/>
  <c r="R147" i="3"/>
  <c r="S147" i="3"/>
  <c r="T147" i="3"/>
  <c r="U147" i="3"/>
  <c r="V147" i="3"/>
  <c r="W147" i="3"/>
  <c r="X147" i="3"/>
  <c r="Y147" i="3"/>
  <c r="Z147" i="3"/>
  <c r="AA147" i="3"/>
  <c r="AB147" i="3"/>
  <c r="AC147" i="3"/>
  <c r="AD147" i="3"/>
  <c r="AE147" i="3"/>
  <c r="AF147" i="3"/>
  <c r="AG147" i="3"/>
  <c r="AH147" i="3"/>
  <c r="AI147" i="3"/>
  <c r="AJ147" i="3"/>
  <c r="AK147" i="3"/>
  <c r="AL147" i="3"/>
  <c r="AM147" i="3"/>
  <c r="AN147" i="3"/>
  <c r="AO147" i="3"/>
  <c r="AP147" i="3"/>
  <c r="AQ147" i="3"/>
  <c r="AR147" i="3"/>
  <c r="AS147" i="3"/>
  <c r="AT147" i="3"/>
  <c r="AU147" i="3"/>
  <c r="AV147" i="3"/>
  <c r="AW147" i="3"/>
  <c r="AX147" i="3"/>
  <c r="AY147" i="3"/>
  <c r="AZ147" i="3"/>
  <c r="BA147" i="3"/>
  <c r="BB147" i="3"/>
  <c r="BC147" i="3"/>
  <c r="BD147" i="3"/>
  <c r="BE147" i="3"/>
  <c r="BF147" i="3"/>
  <c r="BG147" i="3"/>
  <c r="BH147" i="3"/>
  <c r="BI147" i="3"/>
  <c r="BJ147" i="3"/>
  <c r="BK147" i="3"/>
  <c r="BL147" i="3"/>
  <c r="BM147" i="3"/>
  <c r="BN147" i="3"/>
  <c r="BO147" i="3"/>
  <c r="BP147" i="3"/>
  <c r="BQ147" i="3"/>
  <c r="BR147" i="3"/>
  <c r="BS147" i="3"/>
  <c r="BT147" i="3"/>
  <c r="BU147" i="3"/>
  <c r="BV147" i="3"/>
  <c r="BW147" i="3"/>
  <c r="BX147" i="3"/>
  <c r="BY147" i="3"/>
  <c r="BZ147" i="3"/>
  <c r="CA147" i="3"/>
  <c r="CB147" i="3"/>
  <c r="CC147" i="3"/>
  <c r="CD147" i="3"/>
  <c r="CE147" i="3"/>
  <c r="CF147" i="3"/>
  <c r="CG147" i="3"/>
  <c r="CH147" i="3"/>
  <c r="CI147" i="3"/>
  <c r="CJ147" i="3"/>
  <c r="CK147" i="3"/>
  <c r="CL147" i="3"/>
  <c r="CM147" i="3"/>
  <c r="CN147" i="3"/>
  <c r="CO147" i="3"/>
  <c r="CP147" i="3"/>
  <c r="CQ147" i="3"/>
  <c r="CR147" i="3"/>
  <c r="CS147" i="3"/>
  <c r="CT147" i="3"/>
  <c r="CU147" i="3"/>
  <c r="CV147" i="3"/>
  <c r="CW147" i="3"/>
  <c r="CX147" i="3"/>
  <c r="CY147" i="3"/>
  <c r="CZ147" i="3"/>
  <c r="DA147" i="3"/>
  <c r="DB147" i="3"/>
  <c r="DC147" i="3"/>
  <c r="DD147" i="3"/>
  <c r="DE147" i="3"/>
  <c r="DF147" i="3"/>
  <c r="DG147" i="3"/>
  <c r="DH147" i="3"/>
  <c r="DI147" i="3"/>
  <c r="DJ147" i="3"/>
  <c r="DK147" i="3"/>
  <c r="DL147" i="3"/>
  <c r="DM147" i="3"/>
  <c r="DN147" i="3"/>
  <c r="DO147" i="3"/>
  <c r="DP147" i="3"/>
  <c r="DQ147" i="3"/>
  <c r="DR147" i="3"/>
  <c r="DS147" i="3"/>
  <c r="DT147" i="3"/>
  <c r="DU147" i="3"/>
  <c r="DV147" i="3"/>
  <c r="DW147" i="3"/>
  <c r="DX147" i="3"/>
  <c r="DY147" i="3"/>
  <c r="DZ147" i="3"/>
  <c r="EA147" i="3"/>
  <c r="EB147" i="3"/>
  <c r="EC147" i="3"/>
  <c r="ED147" i="3"/>
  <c r="EE147" i="3"/>
  <c r="EF147" i="3"/>
  <c r="EG147" i="3"/>
  <c r="EH147" i="3"/>
  <c r="EI147" i="3"/>
  <c r="EJ147" i="3"/>
  <c r="EK147" i="3"/>
  <c r="EL147" i="3"/>
  <c r="EM147" i="3"/>
  <c r="EN147" i="3"/>
  <c r="EO147" i="3"/>
  <c r="EP147" i="3"/>
  <c r="EQ147" i="3"/>
  <c r="ER147" i="3"/>
  <c r="ES147" i="3"/>
  <c r="ET147" i="3"/>
  <c r="EU147" i="3"/>
  <c r="EV147" i="3"/>
  <c r="EW147" i="3"/>
  <c r="EX147" i="3"/>
  <c r="EY147" i="3"/>
  <c r="EZ147" i="3"/>
  <c r="FA147" i="3"/>
  <c r="FB147" i="3"/>
  <c r="FC147" i="3"/>
  <c r="FD147" i="3"/>
  <c r="FE147" i="3"/>
  <c r="FF147" i="3"/>
  <c r="FG147" i="3"/>
  <c r="FH147" i="3"/>
  <c r="FI147" i="3"/>
  <c r="FJ147" i="3"/>
  <c r="FK147" i="3"/>
  <c r="FL147" i="3"/>
  <c r="FM147" i="3"/>
  <c r="FN147" i="3"/>
  <c r="FO147" i="3"/>
  <c r="FP147" i="3"/>
  <c r="FQ147" i="3"/>
  <c r="FR147" i="3"/>
  <c r="FS147" i="3"/>
  <c r="FT147" i="3"/>
  <c r="FU147" i="3"/>
  <c r="FV147" i="3"/>
  <c r="FW147" i="3"/>
  <c r="FX147" i="3"/>
  <c r="FY147" i="3"/>
  <c r="FZ147" i="3"/>
  <c r="GA147" i="3"/>
  <c r="GB147" i="3"/>
  <c r="GC147" i="3"/>
  <c r="GD147" i="3"/>
  <c r="GE147" i="3"/>
  <c r="GF147" i="3"/>
  <c r="GG147" i="3"/>
  <c r="GH147" i="3"/>
  <c r="GI147" i="3"/>
  <c r="GJ147" i="3"/>
  <c r="GK147" i="3"/>
  <c r="GL147" i="3"/>
  <c r="GM147" i="3"/>
  <c r="GN147" i="3"/>
  <c r="GO147" i="3"/>
  <c r="GP147" i="3"/>
  <c r="GQ147" i="3"/>
  <c r="GR147" i="3"/>
  <c r="GS147" i="3"/>
  <c r="GT147" i="3"/>
  <c r="GU147" i="3"/>
  <c r="GV147" i="3"/>
  <c r="GW147" i="3"/>
  <c r="GX147" i="3"/>
  <c r="GY147" i="3"/>
  <c r="GZ147" i="3"/>
  <c r="HA147" i="3"/>
  <c r="HB147" i="3"/>
  <c r="HC147" i="3"/>
  <c r="HD147" i="3"/>
  <c r="HE147" i="3"/>
  <c r="HF147" i="3"/>
  <c r="HG147" i="3"/>
  <c r="HH147" i="3"/>
  <c r="HI147" i="3"/>
  <c r="HJ147" i="3"/>
  <c r="HK147" i="3"/>
  <c r="HL147" i="3"/>
  <c r="HM147" i="3"/>
  <c r="HN147" i="3"/>
  <c r="HO147" i="3"/>
  <c r="HP147" i="3"/>
  <c r="HQ147" i="3"/>
  <c r="HR147" i="3"/>
  <c r="HS147" i="3"/>
  <c r="HT147" i="3"/>
  <c r="HU147" i="3"/>
  <c r="HV147" i="3"/>
  <c r="HW147" i="3"/>
  <c r="HX147" i="3"/>
  <c r="HY147" i="3"/>
  <c r="HZ147" i="3"/>
  <c r="IA147" i="3"/>
  <c r="IB147" i="3"/>
  <c r="IC147" i="3"/>
  <c r="ID147" i="3"/>
  <c r="IE147" i="3"/>
  <c r="IF147" i="3"/>
  <c r="IG147" i="3"/>
  <c r="IH147" i="3"/>
  <c r="II147" i="3"/>
  <c r="IJ147" i="3"/>
  <c r="IK147" i="3"/>
  <c r="IL147" i="3"/>
  <c r="IM147" i="3"/>
  <c r="IN147" i="3"/>
  <c r="IO147" i="3"/>
  <c r="IP147" i="3"/>
  <c r="IQ147" i="3"/>
  <c r="IR147" i="3"/>
  <c r="IS147" i="3"/>
  <c r="IT147" i="3"/>
  <c r="IU147" i="3"/>
  <c r="IV147" i="3"/>
  <c r="A146" i="3"/>
  <c r="B146" i="3"/>
  <c r="C146" i="3"/>
  <c r="D146" i="3"/>
  <c r="E146" i="3"/>
  <c r="F146" i="3"/>
  <c r="G146" i="3"/>
  <c r="H146" i="3"/>
  <c r="I146" i="3"/>
  <c r="J146" i="3"/>
  <c r="K146" i="3"/>
  <c r="L146" i="3"/>
  <c r="M146" i="3"/>
  <c r="N146" i="3"/>
  <c r="O146" i="3"/>
  <c r="P146" i="3"/>
  <c r="Q146" i="3"/>
  <c r="R146" i="3"/>
  <c r="S146" i="3"/>
  <c r="T146" i="3"/>
  <c r="U146" i="3"/>
  <c r="V146" i="3"/>
  <c r="W146" i="3"/>
  <c r="X146" i="3"/>
  <c r="Y146" i="3"/>
  <c r="Z146" i="3"/>
  <c r="AA146" i="3"/>
  <c r="AB146" i="3"/>
  <c r="AC146" i="3"/>
  <c r="AD146" i="3"/>
  <c r="AE146" i="3"/>
  <c r="AF146" i="3"/>
  <c r="AG146" i="3"/>
  <c r="AH146" i="3"/>
  <c r="AI146" i="3"/>
  <c r="AJ146" i="3"/>
  <c r="AK146" i="3"/>
  <c r="AL146" i="3"/>
  <c r="AM146" i="3"/>
  <c r="AN146" i="3"/>
  <c r="AO146" i="3"/>
  <c r="AP146" i="3"/>
  <c r="AQ146" i="3"/>
  <c r="AR146" i="3"/>
  <c r="AS146" i="3"/>
  <c r="AT146" i="3"/>
  <c r="AU146" i="3"/>
  <c r="AV146" i="3"/>
  <c r="AW146" i="3"/>
  <c r="AX146" i="3"/>
  <c r="AY146" i="3"/>
  <c r="AZ146" i="3"/>
  <c r="BA146" i="3"/>
  <c r="BB146" i="3"/>
  <c r="BC146" i="3"/>
  <c r="BD146" i="3"/>
  <c r="BE146" i="3"/>
  <c r="BF146" i="3"/>
  <c r="BG146" i="3"/>
  <c r="BH146" i="3"/>
  <c r="BI146" i="3"/>
  <c r="BJ146" i="3"/>
  <c r="BK146" i="3"/>
  <c r="BL146" i="3"/>
  <c r="BM146" i="3"/>
  <c r="BN146" i="3"/>
  <c r="BO146" i="3"/>
  <c r="BP146" i="3"/>
  <c r="BQ146" i="3"/>
  <c r="BR146" i="3"/>
  <c r="BS146" i="3"/>
  <c r="BT146" i="3"/>
  <c r="BU146" i="3"/>
  <c r="BV146" i="3"/>
  <c r="BW146" i="3"/>
  <c r="BX146" i="3"/>
  <c r="BY146" i="3"/>
  <c r="BZ146" i="3"/>
  <c r="CA146" i="3"/>
  <c r="CB146" i="3"/>
  <c r="CC146" i="3"/>
  <c r="CD146" i="3"/>
  <c r="CE146" i="3"/>
  <c r="CF146" i="3"/>
  <c r="CG146" i="3"/>
  <c r="CH146" i="3"/>
  <c r="CI146" i="3"/>
  <c r="CJ146" i="3"/>
  <c r="CK146" i="3"/>
  <c r="CL146" i="3"/>
  <c r="CM146" i="3"/>
  <c r="CN146" i="3"/>
  <c r="CO146" i="3"/>
  <c r="CP146" i="3"/>
  <c r="CQ146" i="3"/>
  <c r="CR146" i="3"/>
  <c r="CS146" i="3"/>
  <c r="CT146" i="3"/>
  <c r="CU146" i="3"/>
  <c r="CV146" i="3"/>
  <c r="CW146" i="3"/>
  <c r="CX146" i="3"/>
  <c r="CY146" i="3"/>
  <c r="CZ146" i="3"/>
  <c r="DA146" i="3"/>
  <c r="DB146" i="3"/>
  <c r="DC146" i="3"/>
  <c r="DD146" i="3"/>
  <c r="DE146" i="3"/>
  <c r="DF146" i="3"/>
  <c r="DG146" i="3"/>
  <c r="DH146" i="3"/>
  <c r="DI146" i="3"/>
  <c r="DJ146" i="3"/>
  <c r="DK146" i="3"/>
  <c r="DL146" i="3"/>
  <c r="DM146" i="3"/>
  <c r="DN146" i="3"/>
  <c r="DO146" i="3"/>
  <c r="DP146" i="3"/>
  <c r="DQ146" i="3"/>
  <c r="DR146" i="3"/>
  <c r="DS146" i="3"/>
  <c r="DT146" i="3"/>
  <c r="DU146" i="3"/>
  <c r="DV146" i="3"/>
  <c r="DW146" i="3"/>
  <c r="DX146" i="3"/>
  <c r="DY146" i="3"/>
  <c r="DZ146" i="3"/>
  <c r="EA146" i="3"/>
  <c r="EB146" i="3"/>
  <c r="EC146" i="3"/>
  <c r="ED146" i="3"/>
  <c r="EE146" i="3"/>
  <c r="EF146" i="3"/>
  <c r="EG146" i="3"/>
  <c r="EH146" i="3"/>
  <c r="EI146" i="3"/>
  <c r="EJ146" i="3"/>
  <c r="EK146" i="3"/>
  <c r="EL146" i="3"/>
  <c r="EM146" i="3"/>
  <c r="EN146" i="3"/>
  <c r="EO146" i="3"/>
  <c r="EP146" i="3"/>
  <c r="EQ146" i="3"/>
  <c r="ER146" i="3"/>
  <c r="ES146" i="3"/>
  <c r="ET146" i="3"/>
  <c r="EU146" i="3"/>
  <c r="EV146" i="3"/>
  <c r="EW146" i="3"/>
  <c r="EX146" i="3"/>
  <c r="EY146" i="3"/>
  <c r="EZ146" i="3"/>
  <c r="FA146" i="3"/>
  <c r="FB146" i="3"/>
  <c r="FC146" i="3"/>
  <c r="FD146" i="3"/>
  <c r="FE146" i="3"/>
  <c r="FF146" i="3"/>
  <c r="FG146" i="3"/>
  <c r="FH146" i="3"/>
  <c r="FI146" i="3"/>
  <c r="FJ146" i="3"/>
  <c r="FK146" i="3"/>
  <c r="FL146" i="3"/>
  <c r="FM146" i="3"/>
  <c r="FN146" i="3"/>
  <c r="FO146" i="3"/>
  <c r="FP146" i="3"/>
  <c r="FQ146" i="3"/>
  <c r="FR146" i="3"/>
  <c r="FS146" i="3"/>
  <c r="FT146" i="3"/>
  <c r="FU146" i="3"/>
  <c r="FV146" i="3"/>
  <c r="FW146" i="3"/>
  <c r="FX146" i="3"/>
  <c r="FY146" i="3"/>
  <c r="FZ146" i="3"/>
  <c r="GA146" i="3"/>
  <c r="GB146" i="3"/>
  <c r="GC146" i="3"/>
  <c r="GD146" i="3"/>
  <c r="GE146" i="3"/>
  <c r="GF146" i="3"/>
  <c r="GG146" i="3"/>
  <c r="GH146" i="3"/>
  <c r="GI146" i="3"/>
  <c r="GJ146" i="3"/>
  <c r="GK146" i="3"/>
  <c r="GL146" i="3"/>
  <c r="GM146" i="3"/>
  <c r="GN146" i="3"/>
  <c r="GO146" i="3"/>
  <c r="GP146" i="3"/>
  <c r="GQ146" i="3"/>
  <c r="GR146" i="3"/>
  <c r="GS146" i="3"/>
  <c r="GT146" i="3"/>
  <c r="GU146" i="3"/>
  <c r="GV146" i="3"/>
  <c r="GW146" i="3"/>
  <c r="GX146" i="3"/>
  <c r="GY146" i="3"/>
  <c r="GZ146" i="3"/>
  <c r="HA146" i="3"/>
  <c r="HB146" i="3"/>
  <c r="HC146" i="3"/>
  <c r="HD146" i="3"/>
  <c r="HE146" i="3"/>
  <c r="HF146" i="3"/>
  <c r="HG146" i="3"/>
  <c r="HH146" i="3"/>
  <c r="HI146" i="3"/>
  <c r="HJ146" i="3"/>
  <c r="HK146" i="3"/>
  <c r="HL146" i="3"/>
  <c r="HM146" i="3"/>
  <c r="HN146" i="3"/>
  <c r="HO146" i="3"/>
  <c r="HP146" i="3"/>
  <c r="HQ146" i="3"/>
  <c r="HR146" i="3"/>
  <c r="HS146" i="3"/>
  <c r="HT146" i="3"/>
  <c r="HU146" i="3"/>
  <c r="HV146" i="3"/>
  <c r="HW146" i="3"/>
  <c r="HX146" i="3"/>
  <c r="HY146" i="3"/>
  <c r="HZ146" i="3"/>
  <c r="IA146" i="3"/>
  <c r="IB146" i="3"/>
  <c r="IC146" i="3"/>
  <c r="ID146" i="3"/>
  <c r="IE146" i="3"/>
  <c r="IF146" i="3"/>
  <c r="IG146" i="3"/>
  <c r="IH146" i="3"/>
  <c r="II146" i="3"/>
  <c r="IJ146" i="3"/>
  <c r="IK146" i="3"/>
  <c r="IL146" i="3"/>
  <c r="IM146" i="3"/>
  <c r="IN146" i="3"/>
  <c r="IO146" i="3"/>
  <c r="IP146" i="3"/>
  <c r="IQ146" i="3"/>
  <c r="IR146" i="3"/>
  <c r="IS146" i="3"/>
  <c r="IT146" i="3"/>
  <c r="IU146" i="3"/>
  <c r="IV146" i="3"/>
  <c r="A145" i="3"/>
  <c r="B145" i="3"/>
  <c r="C145" i="3"/>
  <c r="D145" i="3"/>
  <c r="E145" i="3"/>
  <c r="F145" i="3"/>
  <c r="G145" i="3"/>
  <c r="H145" i="3"/>
  <c r="I145" i="3"/>
  <c r="J145" i="3"/>
  <c r="K145" i="3"/>
  <c r="L145" i="3"/>
  <c r="M145" i="3"/>
  <c r="N145" i="3"/>
  <c r="O145" i="3"/>
  <c r="P145" i="3"/>
  <c r="Q145" i="3"/>
  <c r="R145" i="3"/>
  <c r="S145" i="3"/>
  <c r="T145" i="3"/>
  <c r="U145" i="3"/>
  <c r="V145" i="3"/>
  <c r="W145" i="3"/>
  <c r="X145" i="3"/>
  <c r="Y145" i="3"/>
  <c r="Z145" i="3"/>
  <c r="AA145" i="3"/>
  <c r="AB145" i="3"/>
  <c r="AC145" i="3"/>
  <c r="AD145" i="3"/>
  <c r="AE145" i="3"/>
  <c r="AF145" i="3"/>
  <c r="AG145" i="3"/>
  <c r="AH145" i="3"/>
  <c r="AI145" i="3"/>
  <c r="AJ145" i="3"/>
  <c r="AK145" i="3"/>
  <c r="AL145" i="3"/>
  <c r="AM145" i="3"/>
  <c r="AN145" i="3"/>
  <c r="AO145" i="3"/>
  <c r="AP145" i="3"/>
  <c r="AQ145" i="3"/>
  <c r="AR145" i="3"/>
  <c r="AS145" i="3"/>
  <c r="AT145" i="3"/>
  <c r="AU145" i="3"/>
  <c r="AV145" i="3"/>
  <c r="AW145" i="3"/>
  <c r="AX145" i="3"/>
  <c r="AY145" i="3"/>
  <c r="AZ145" i="3"/>
  <c r="BA145" i="3"/>
  <c r="BB145" i="3"/>
  <c r="BC145" i="3"/>
  <c r="BD145" i="3"/>
  <c r="BE145" i="3"/>
  <c r="BF145" i="3"/>
  <c r="BG145" i="3"/>
  <c r="BH145" i="3"/>
  <c r="BI145" i="3"/>
  <c r="BJ145" i="3"/>
  <c r="BK145" i="3"/>
  <c r="BL145" i="3"/>
  <c r="BM145" i="3"/>
  <c r="BN145" i="3"/>
  <c r="BO145" i="3"/>
  <c r="BP145" i="3"/>
  <c r="BQ145" i="3"/>
  <c r="BR145" i="3"/>
  <c r="BS145" i="3"/>
  <c r="BT145" i="3"/>
  <c r="BU145" i="3"/>
  <c r="BV145" i="3"/>
  <c r="BW145" i="3"/>
  <c r="BX145" i="3"/>
  <c r="BY145" i="3"/>
  <c r="BZ145" i="3"/>
  <c r="CA145" i="3"/>
  <c r="CB145" i="3"/>
  <c r="CC145" i="3"/>
  <c r="CD145" i="3"/>
  <c r="CE145" i="3"/>
  <c r="CF145" i="3"/>
  <c r="CG145" i="3"/>
  <c r="CH145" i="3"/>
  <c r="CI145" i="3"/>
  <c r="CJ145" i="3"/>
  <c r="CK145" i="3"/>
  <c r="CL145" i="3"/>
  <c r="CM145" i="3"/>
  <c r="CN145" i="3"/>
  <c r="CO145" i="3"/>
  <c r="CP145" i="3"/>
  <c r="CQ145" i="3"/>
  <c r="CR145" i="3"/>
  <c r="CS145" i="3"/>
  <c r="CT145" i="3"/>
  <c r="CU145" i="3"/>
  <c r="CV145" i="3"/>
  <c r="CW145" i="3"/>
  <c r="CX145" i="3"/>
  <c r="CY145" i="3"/>
  <c r="CZ145" i="3"/>
  <c r="DA145" i="3"/>
  <c r="DB145" i="3"/>
  <c r="DC145" i="3"/>
  <c r="DD145" i="3"/>
  <c r="DE145" i="3"/>
  <c r="DF145" i="3"/>
  <c r="DG145" i="3"/>
  <c r="DH145" i="3"/>
  <c r="DI145" i="3"/>
  <c r="DJ145" i="3"/>
  <c r="DK145" i="3"/>
  <c r="DL145" i="3"/>
  <c r="DM145" i="3"/>
  <c r="DN145" i="3"/>
  <c r="DO145" i="3"/>
  <c r="DP145" i="3"/>
  <c r="DQ145" i="3"/>
  <c r="DR145" i="3"/>
  <c r="DS145" i="3"/>
  <c r="DT145" i="3"/>
  <c r="DU145" i="3"/>
  <c r="DV145" i="3"/>
  <c r="DW145" i="3"/>
  <c r="DX145" i="3"/>
  <c r="DY145" i="3"/>
  <c r="DZ145" i="3"/>
  <c r="EA145" i="3"/>
  <c r="EB145" i="3"/>
  <c r="EC145" i="3"/>
  <c r="ED145" i="3"/>
  <c r="EE145" i="3"/>
  <c r="EF145" i="3"/>
  <c r="EG145" i="3"/>
  <c r="EH145" i="3"/>
  <c r="EI145" i="3"/>
  <c r="EJ145" i="3"/>
  <c r="EK145" i="3"/>
  <c r="EL145" i="3"/>
  <c r="EM145" i="3"/>
  <c r="EN145" i="3"/>
  <c r="EO145" i="3"/>
  <c r="EP145" i="3"/>
  <c r="EQ145" i="3"/>
  <c r="ER145" i="3"/>
  <c r="ES145" i="3"/>
  <c r="ET145" i="3"/>
  <c r="EU145" i="3"/>
  <c r="EV145" i="3"/>
  <c r="EW145" i="3"/>
  <c r="EX145" i="3"/>
  <c r="EY145" i="3"/>
  <c r="EZ145" i="3"/>
  <c r="FA145" i="3"/>
  <c r="FB145" i="3"/>
  <c r="FC145" i="3"/>
  <c r="FD145" i="3"/>
  <c r="FE145" i="3"/>
  <c r="FF145" i="3"/>
  <c r="FG145" i="3"/>
  <c r="FH145" i="3"/>
  <c r="FI145" i="3"/>
  <c r="FJ145" i="3"/>
  <c r="FK145" i="3"/>
  <c r="FL145" i="3"/>
  <c r="FM145" i="3"/>
  <c r="FN145" i="3"/>
  <c r="FO145" i="3"/>
  <c r="FP145" i="3"/>
  <c r="FQ145" i="3"/>
  <c r="FR145" i="3"/>
  <c r="FS145" i="3"/>
  <c r="FT145" i="3"/>
  <c r="FU145" i="3"/>
  <c r="FV145" i="3"/>
  <c r="FW145" i="3"/>
  <c r="FX145" i="3"/>
  <c r="FY145" i="3"/>
  <c r="FZ145" i="3"/>
  <c r="GA145" i="3"/>
  <c r="GB145" i="3"/>
  <c r="GC145" i="3"/>
  <c r="GD145" i="3"/>
  <c r="GE145" i="3"/>
  <c r="GF145" i="3"/>
  <c r="GG145" i="3"/>
  <c r="GH145" i="3"/>
  <c r="GI145" i="3"/>
  <c r="GJ145" i="3"/>
  <c r="GK145" i="3"/>
  <c r="GL145" i="3"/>
  <c r="GM145" i="3"/>
  <c r="GN145" i="3"/>
  <c r="GO145" i="3"/>
  <c r="GP145" i="3"/>
  <c r="GQ145" i="3"/>
  <c r="GR145" i="3"/>
  <c r="GS145" i="3"/>
  <c r="GT145" i="3"/>
  <c r="GU145" i="3"/>
  <c r="GV145" i="3"/>
  <c r="GW145" i="3"/>
  <c r="GX145" i="3"/>
  <c r="GY145" i="3"/>
  <c r="GZ145" i="3"/>
  <c r="HA145" i="3"/>
  <c r="HB145" i="3"/>
  <c r="HC145" i="3"/>
  <c r="HD145" i="3"/>
  <c r="HE145" i="3"/>
  <c r="HF145" i="3"/>
  <c r="HG145" i="3"/>
  <c r="HH145" i="3"/>
  <c r="HI145" i="3"/>
  <c r="HJ145" i="3"/>
  <c r="HK145" i="3"/>
  <c r="HL145" i="3"/>
  <c r="HM145" i="3"/>
  <c r="HN145" i="3"/>
  <c r="HO145" i="3"/>
  <c r="HP145" i="3"/>
  <c r="HQ145" i="3"/>
  <c r="HR145" i="3"/>
  <c r="HS145" i="3"/>
  <c r="HT145" i="3"/>
  <c r="HU145" i="3"/>
  <c r="HV145" i="3"/>
  <c r="HW145" i="3"/>
  <c r="HX145" i="3"/>
  <c r="HY145" i="3"/>
  <c r="HZ145" i="3"/>
  <c r="IA145" i="3"/>
  <c r="IB145" i="3"/>
  <c r="IC145" i="3"/>
  <c r="ID145" i="3"/>
  <c r="IE145" i="3"/>
  <c r="IF145" i="3"/>
  <c r="IG145" i="3"/>
  <c r="IH145" i="3"/>
  <c r="II145" i="3"/>
  <c r="IJ145" i="3"/>
  <c r="IK145" i="3"/>
  <c r="IL145" i="3"/>
  <c r="IM145" i="3"/>
  <c r="IN145" i="3"/>
  <c r="IO145" i="3"/>
  <c r="IP145" i="3"/>
  <c r="IQ145" i="3"/>
  <c r="IR145" i="3"/>
  <c r="IS145" i="3"/>
  <c r="IT145" i="3"/>
  <c r="IU145" i="3"/>
  <c r="IV145" i="3"/>
  <c r="A144" i="3"/>
  <c r="B144" i="3"/>
  <c r="C144" i="3"/>
  <c r="D144" i="3"/>
  <c r="E144" i="3"/>
  <c r="F144" i="3"/>
  <c r="G144" i="3"/>
  <c r="H144" i="3"/>
  <c r="I144" i="3"/>
  <c r="J144" i="3"/>
  <c r="K144" i="3"/>
  <c r="L144" i="3"/>
  <c r="M144" i="3"/>
  <c r="N144" i="3"/>
  <c r="O144" i="3"/>
  <c r="P144" i="3"/>
  <c r="Q144" i="3"/>
  <c r="R144" i="3"/>
  <c r="S144" i="3"/>
  <c r="T144" i="3"/>
  <c r="U144" i="3"/>
  <c r="V144" i="3"/>
  <c r="W144" i="3"/>
  <c r="X144" i="3"/>
  <c r="Y144" i="3"/>
  <c r="Z144" i="3"/>
  <c r="AA144" i="3"/>
  <c r="AB144" i="3"/>
  <c r="AC144" i="3"/>
  <c r="AD144" i="3"/>
  <c r="AE144" i="3"/>
  <c r="AF144" i="3"/>
  <c r="AG144" i="3"/>
  <c r="AH144" i="3"/>
  <c r="AI144" i="3"/>
  <c r="AJ144" i="3"/>
  <c r="AK144" i="3"/>
  <c r="AL144" i="3"/>
  <c r="AM144" i="3"/>
  <c r="AN144" i="3"/>
  <c r="AO144" i="3"/>
  <c r="AP144" i="3"/>
  <c r="AQ144" i="3"/>
  <c r="AR144" i="3"/>
  <c r="AS144" i="3"/>
  <c r="AT144" i="3"/>
  <c r="AU144" i="3"/>
  <c r="AV144" i="3"/>
  <c r="AW144" i="3"/>
  <c r="AX144" i="3"/>
  <c r="AY144" i="3"/>
  <c r="AZ144" i="3"/>
  <c r="BA144" i="3"/>
  <c r="BB144" i="3"/>
  <c r="BC144" i="3"/>
  <c r="BD144" i="3"/>
  <c r="BE144" i="3"/>
  <c r="BF144" i="3"/>
  <c r="BG144" i="3"/>
  <c r="BH144" i="3"/>
  <c r="BI144" i="3"/>
  <c r="BJ144" i="3"/>
  <c r="BK144" i="3"/>
  <c r="BL144" i="3"/>
  <c r="BM144" i="3"/>
  <c r="BN144" i="3"/>
  <c r="BO144" i="3"/>
  <c r="BP144" i="3"/>
  <c r="BQ144" i="3"/>
  <c r="BR144" i="3"/>
  <c r="BS144" i="3"/>
  <c r="BT144" i="3"/>
  <c r="BU144" i="3"/>
  <c r="BV144" i="3"/>
  <c r="BW144" i="3"/>
  <c r="BX144" i="3"/>
  <c r="BY144" i="3"/>
  <c r="BZ144" i="3"/>
  <c r="CA144" i="3"/>
  <c r="CB144" i="3"/>
  <c r="CC144" i="3"/>
  <c r="CD144" i="3"/>
  <c r="CE144" i="3"/>
  <c r="CF144" i="3"/>
  <c r="CG144" i="3"/>
  <c r="CH144" i="3"/>
  <c r="CI144" i="3"/>
  <c r="CJ144" i="3"/>
  <c r="CK144" i="3"/>
  <c r="CL144" i="3"/>
  <c r="CM144" i="3"/>
  <c r="CN144" i="3"/>
  <c r="CO144" i="3"/>
  <c r="CP144" i="3"/>
  <c r="CQ144" i="3"/>
  <c r="CR144" i="3"/>
  <c r="CS144" i="3"/>
  <c r="CT144" i="3"/>
  <c r="CU144" i="3"/>
  <c r="CV144" i="3"/>
  <c r="CW144" i="3"/>
  <c r="CX144" i="3"/>
  <c r="CY144" i="3"/>
  <c r="CZ144" i="3"/>
  <c r="DA144" i="3"/>
  <c r="DB144" i="3"/>
  <c r="DC144" i="3"/>
  <c r="DD144" i="3"/>
  <c r="DE144" i="3"/>
  <c r="DF144" i="3"/>
  <c r="DG144" i="3"/>
  <c r="DH144" i="3"/>
  <c r="DI144" i="3"/>
  <c r="DJ144" i="3"/>
  <c r="DK144" i="3"/>
  <c r="DL144" i="3"/>
  <c r="DM144" i="3"/>
  <c r="DN144" i="3"/>
  <c r="DO144" i="3"/>
  <c r="DP144" i="3"/>
  <c r="DQ144" i="3"/>
  <c r="DR144" i="3"/>
  <c r="DS144" i="3"/>
  <c r="DT144" i="3"/>
  <c r="DU144" i="3"/>
  <c r="DV144" i="3"/>
  <c r="DW144" i="3"/>
  <c r="DX144" i="3"/>
  <c r="DY144" i="3"/>
  <c r="DZ144" i="3"/>
  <c r="EA144" i="3"/>
  <c r="EB144" i="3"/>
  <c r="EC144" i="3"/>
  <c r="ED144" i="3"/>
  <c r="EE144" i="3"/>
  <c r="EF144" i="3"/>
  <c r="EG144" i="3"/>
  <c r="EH144" i="3"/>
  <c r="EI144" i="3"/>
  <c r="EJ144" i="3"/>
  <c r="EK144" i="3"/>
  <c r="EL144" i="3"/>
  <c r="EM144" i="3"/>
  <c r="EN144" i="3"/>
  <c r="EO144" i="3"/>
  <c r="EP144" i="3"/>
  <c r="EQ144" i="3"/>
  <c r="ER144" i="3"/>
  <c r="ES144" i="3"/>
  <c r="ET144" i="3"/>
  <c r="EU144" i="3"/>
  <c r="EV144" i="3"/>
  <c r="EW144" i="3"/>
  <c r="EX144" i="3"/>
  <c r="EY144" i="3"/>
  <c r="EZ144" i="3"/>
  <c r="FA144" i="3"/>
  <c r="FB144" i="3"/>
  <c r="FC144" i="3"/>
  <c r="FD144" i="3"/>
  <c r="FE144" i="3"/>
  <c r="FF144" i="3"/>
  <c r="FG144" i="3"/>
  <c r="FH144" i="3"/>
  <c r="FI144" i="3"/>
  <c r="FJ144" i="3"/>
  <c r="FK144" i="3"/>
  <c r="FL144" i="3"/>
  <c r="FM144" i="3"/>
  <c r="FN144" i="3"/>
  <c r="FO144" i="3"/>
  <c r="FP144" i="3"/>
  <c r="FQ144" i="3"/>
  <c r="FR144" i="3"/>
  <c r="FS144" i="3"/>
  <c r="FT144" i="3"/>
  <c r="FU144" i="3"/>
  <c r="FV144" i="3"/>
  <c r="FW144" i="3"/>
  <c r="FX144" i="3"/>
  <c r="FY144" i="3"/>
  <c r="FZ144" i="3"/>
  <c r="GA144" i="3"/>
  <c r="GB144" i="3"/>
  <c r="GC144" i="3"/>
  <c r="GD144" i="3"/>
  <c r="GE144" i="3"/>
  <c r="GF144" i="3"/>
  <c r="GG144" i="3"/>
  <c r="GH144" i="3"/>
  <c r="GI144" i="3"/>
  <c r="GJ144" i="3"/>
  <c r="GK144" i="3"/>
  <c r="GL144" i="3"/>
  <c r="GM144" i="3"/>
  <c r="GN144" i="3"/>
  <c r="GO144" i="3"/>
  <c r="GP144" i="3"/>
  <c r="GQ144" i="3"/>
  <c r="GR144" i="3"/>
  <c r="GS144" i="3"/>
  <c r="GT144" i="3"/>
  <c r="GU144" i="3"/>
  <c r="GV144" i="3"/>
  <c r="GW144" i="3"/>
  <c r="GX144" i="3"/>
  <c r="GY144" i="3"/>
  <c r="GZ144" i="3"/>
  <c r="HA144" i="3"/>
  <c r="HB144" i="3"/>
  <c r="HC144" i="3"/>
  <c r="HD144" i="3"/>
  <c r="HE144" i="3"/>
  <c r="HF144" i="3"/>
  <c r="HG144" i="3"/>
  <c r="HH144" i="3"/>
  <c r="HI144" i="3"/>
  <c r="HJ144" i="3"/>
  <c r="HK144" i="3"/>
  <c r="HL144" i="3"/>
  <c r="HM144" i="3"/>
  <c r="HN144" i="3"/>
  <c r="HO144" i="3"/>
  <c r="HP144" i="3"/>
  <c r="HQ144" i="3"/>
  <c r="HR144" i="3"/>
  <c r="HS144" i="3"/>
  <c r="HT144" i="3"/>
  <c r="HU144" i="3"/>
  <c r="HV144" i="3"/>
  <c r="HW144" i="3"/>
  <c r="HX144" i="3"/>
  <c r="HY144" i="3"/>
  <c r="HZ144" i="3"/>
  <c r="IA144" i="3"/>
  <c r="IB144" i="3"/>
  <c r="IC144" i="3"/>
  <c r="ID144" i="3"/>
  <c r="IE144" i="3"/>
  <c r="IF144" i="3"/>
  <c r="IG144" i="3"/>
  <c r="IH144" i="3"/>
  <c r="II144" i="3"/>
  <c r="IJ144" i="3"/>
  <c r="IK144" i="3"/>
  <c r="IL144" i="3"/>
  <c r="IM144" i="3"/>
  <c r="IN144" i="3"/>
  <c r="IO144" i="3"/>
  <c r="IP144" i="3"/>
  <c r="IQ144" i="3"/>
  <c r="IR144" i="3"/>
  <c r="IS144" i="3"/>
  <c r="IT144" i="3"/>
  <c r="IU144" i="3"/>
  <c r="IV144" i="3"/>
  <c r="A143" i="3"/>
  <c r="B143" i="3"/>
  <c r="C143" i="3"/>
  <c r="D143" i="3"/>
  <c r="E143" i="3"/>
  <c r="F143" i="3"/>
  <c r="G143" i="3"/>
  <c r="H143" i="3"/>
  <c r="I143" i="3"/>
  <c r="J143" i="3"/>
  <c r="K143" i="3"/>
  <c r="L143" i="3"/>
  <c r="M143" i="3"/>
  <c r="N143" i="3"/>
  <c r="O143" i="3"/>
  <c r="P143" i="3"/>
  <c r="Q143" i="3"/>
  <c r="R143" i="3"/>
  <c r="S143" i="3"/>
  <c r="T143" i="3"/>
  <c r="U143" i="3"/>
  <c r="V143" i="3"/>
  <c r="W143" i="3"/>
  <c r="X143" i="3"/>
  <c r="Y143" i="3"/>
  <c r="Z143" i="3"/>
  <c r="AA143" i="3"/>
  <c r="AB143" i="3"/>
  <c r="AC143" i="3"/>
  <c r="AD143" i="3"/>
  <c r="AE143" i="3"/>
  <c r="AF143" i="3"/>
  <c r="AG143" i="3"/>
  <c r="AH143" i="3"/>
  <c r="AI143" i="3"/>
  <c r="AJ143" i="3"/>
  <c r="AK143" i="3"/>
  <c r="AL143" i="3"/>
  <c r="AM143" i="3"/>
  <c r="AN143" i="3"/>
  <c r="AO143" i="3"/>
  <c r="AP143" i="3"/>
  <c r="AQ143" i="3"/>
  <c r="AR143" i="3"/>
  <c r="AS143" i="3"/>
  <c r="AT143" i="3"/>
  <c r="AU143" i="3"/>
  <c r="AV143" i="3"/>
  <c r="AW143" i="3"/>
  <c r="AX143" i="3"/>
  <c r="AY143" i="3"/>
  <c r="AZ143" i="3"/>
  <c r="BA143" i="3"/>
  <c r="BB143" i="3"/>
  <c r="BC143" i="3"/>
  <c r="BD143" i="3"/>
  <c r="BE143" i="3"/>
  <c r="BF143" i="3"/>
  <c r="BG143" i="3"/>
  <c r="BH143" i="3"/>
  <c r="BI143" i="3"/>
  <c r="BJ143" i="3"/>
  <c r="BK143" i="3"/>
  <c r="BL143" i="3"/>
  <c r="BM143" i="3"/>
  <c r="BN143" i="3"/>
  <c r="BO143" i="3"/>
  <c r="BP143" i="3"/>
  <c r="BQ143" i="3"/>
  <c r="BR143" i="3"/>
  <c r="BS143" i="3"/>
  <c r="BT143" i="3"/>
  <c r="BU143" i="3"/>
  <c r="BV143" i="3"/>
  <c r="BW143" i="3"/>
  <c r="BX143" i="3"/>
  <c r="BY143" i="3"/>
  <c r="BZ143" i="3"/>
  <c r="CA143" i="3"/>
  <c r="CB143" i="3"/>
  <c r="CC143" i="3"/>
  <c r="CD143" i="3"/>
  <c r="CE143" i="3"/>
  <c r="CF143" i="3"/>
  <c r="CG143" i="3"/>
  <c r="CH143" i="3"/>
  <c r="CI143" i="3"/>
  <c r="CJ143" i="3"/>
  <c r="CK143" i="3"/>
  <c r="CL143" i="3"/>
  <c r="CM143" i="3"/>
  <c r="CN143" i="3"/>
  <c r="CO143" i="3"/>
  <c r="CP143" i="3"/>
  <c r="CQ143" i="3"/>
  <c r="CR143" i="3"/>
  <c r="CS143" i="3"/>
  <c r="CT143" i="3"/>
  <c r="CU143" i="3"/>
  <c r="CV143" i="3"/>
  <c r="CW143" i="3"/>
  <c r="CX143" i="3"/>
  <c r="CY143" i="3"/>
  <c r="CZ143" i="3"/>
  <c r="DA143" i="3"/>
  <c r="DB143" i="3"/>
  <c r="DC143" i="3"/>
  <c r="DD143" i="3"/>
  <c r="DE143" i="3"/>
  <c r="DF143" i="3"/>
  <c r="DG143" i="3"/>
  <c r="DH143" i="3"/>
  <c r="DI143" i="3"/>
  <c r="DJ143" i="3"/>
  <c r="DK143" i="3"/>
  <c r="DL143" i="3"/>
  <c r="DM143" i="3"/>
  <c r="DN143" i="3"/>
  <c r="DO143" i="3"/>
  <c r="DP143" i="3"/>
  <c r="DQ143" i="3"/>
  <c r="DR143" i="3"/>
  <c r="DS143" i="3"/>
  <c r="DT143" i="3"/>
  <c r="DU143" i="3"/>
  <c r="DV143" i="3"/>
  <c r="DW143" i="3"/>
  <c r="DX143" i="3"/>
  <c r="DY143" i="3"/>
  <c r="DZ143" i="3"/>
  <c r="EA143" i="3"/>
  <c r="EB143" i="3"/>
  <c r="EC143" i="3"/>
  <c r="ED143" i="3"/>
  <c r="EE143" i="3"/>
  <c r="EF143" i="3"/>
  <c r="EG143" i="3"/>
  <c r="EH143" i="3"/>
  <c r="EI143" i="3"/>
  <c r="EJ143" i="3"/>
  <c r="EK143" i="3"/>
  <c r="EL143" i="3"/>
  <c r="EM143" i="3"/>
  <c r="EN143" i="3"/>
  <c r="EO143" i="3"/>
  <c r="EP143" i="3"/>
  <c r="EQ143" i="3"/>
  <c r="ER143" i="3"/>
  <c r="ES143" i="3"/>
  <c r="ET143" i="3"/>
  <c r="EU143" i="3"/>
  <c r="EV143" i="3"/>
  <c r="EW143" i="3"/>
  <c r="EX143" i="3"/>
  <c r="EY143" i="3"/>
  <c r="EZ143" i="3"/>
  <c r="FA143" i="3"/>
  <c r="FB143" i="3"/>
  <c r="FC143" i="3"/>
  <c r="FD143" i="3"/>
  <c r="FE143" i="3"/>
  <c r="FF143" i="3"/>
  <c r="FG143" i="3"/>
  <c r="FH143" i="3"/>
  <c r="FI143" i="3"/>
  <c r="FJ143" i="3"/>
  <c r="FK143" i="3"/>
  <c r="FL143" i="3"/>
  <c r="FM143" i="3"/>
  <c r="FN143" i="3"/>
  <c r="FO143" i="3"/>
  <c r="FP143" i="3"/>
  <c r="FQ143" i="3"/>
  <c r="FR143" i="3"/>
  <c r="FS143" i="3"/>
  <c r="FT143" i="3"/>
  <c r="FU143" i="3"/>
  <c r="FV143" i="3"/>
  <c r="FW143" i="3"/>
  <c r="FX143" i="3"/>
  <c r="FY143" i="3"/>
  <c r="FZ143" i="3"/>
  <c r="GA143" i="3"/>
  <c r="GB143" i="3"/>
  <c r="GC143" i="3"/>
  <c r="GD143" i="3"/>
  <c r="GE143" i="3"/>
  <c r="GF143" i="3"/>
  <c r="GG143" i="3"/>
  <c r="GH143" i="3"/>
  <c r="GI143" i="3"/>
  <c r="GJ143" i="3"/>
  <c r="GK143" i="3"/>
  <c r="GL143" i="3"/>
  <c r="GM143" i="3"/>
  <c r="GN143" i="3"/>
  <c r="GO143" i="3"/>
  <c r="GP143" i="3"/>
  <c r="GQ143" i="3"/>
  <c r="GR143" i="3"/>
  <c r="GS143" i="3"/>
  <c r="GT143" i="3"/>
  <c r="GU143" i="3"/>
  <c r="GV143" i="3"/>
  <c r="GW143" i="3"/>
  <c r="GX143" i="3"/>
  <c r="GY143" i="3"/>
  <c r="GZ143" i="3"/>
  <c r="HA143" i="3"/>
  <c r="HB143" i="3"/>
  <c r="HC143" i="3"/>
  <c r="HD143" i="3"/>
  <c r="HE143" i="3"/>
  <c r="HF143" i="3"/>
  <c r="HG143" i="3"/>
  <c r="HH143" i="3"/>
  <c r="HI143" i="3"/>
  <c r="HJ143" i="3"/>
  <c r="HK143" i="3"/>
  <c r="HL143" i="3"/>
  <c r="HM143" i="3"/>
  <c r="HN143" i="3"/>
  <c r="HO143" i="3"/>
  <c r="HP143" i="3"/>
  <c r="HQ143" i="3"/>
  <c r="HR143" i="3"/>
  <c r="HS143" i="3"/>
  <c r="HT143" i="3"/>
  <c r="HU143" i="3"/>
  <c r="HV143" i="3"/>
  <c r="HW143" i="3"/>
  <c r="HX143" i="3"/>
  <c r="HY143" i="3"/>
  <c r="HZ143" i="3"/>
  <c r="IA143" i="3"/>
  <c r="IB143" i="3"/>
  <c r="IC143" i="3"/>
  <c r="ID143" i="3"/>
  <c r="IE143" i="3"/>
  <c r="IF143" i="3"/>
  <c r="IG143" i="3"/>
  <c r="IH143" i="3"/>
  <c r="II143" i="3"/>
  <c r="IJ143" i="3"/>
  <c r="IK143" i="3"/>
  <c r="IL143" i="3"/>
  <c r="IM143" i="3"/>
  <c r="IN143" i="3"/>
  <c r="IO143" i="3"/>
  <c r="IP143" i="3"/>
  <c r="IQ143" i="3"/>
  <c r="IR143" i="3"/>
  <c r="IS143" i="3"/>
  <c r="IT143" i="3"/>
  <c r="IU143" i="3"/>
  <c r="IV143" i="3"/>
  <c r="A142" i="3"/>
  <c r="B142" i="3"/>
  <c r="C142" i="3"/>
  <c r="D142" i="3"/>
  <c r="E142" i="3"/>
  <c r="F142" i="3"/>
  <c r="G142" i="3"/>
  <c r="H142" i="3"/>
  <c r="I142" i="3"/>
  <c r="J142" i="3"/>
  <c r="K142" i="3"/>
  <c r="L142" i="3"/>
  <c r="M142" i="3"/>
  <c r="N142" i="3"/>
  <c r="O142" i="3"/>
  <c r="P142" i="3"/>
  <c r="Q142" i="3"/>
  <c r="R142" i="3"/>
  <c r="S142" i="3"/>
  <c r="T142" i="3"/>
  <c r="U142" i="3"/>
  <c r="V142" i="3"/>
  <c r="W142" i="3"/>
  <c r="X142" i="3"/>
  <c r="Y142" i="3"/>
  <c r="Z142" i="3"/>
  <c r="AA142" i="3"/>
  <c r="AB142" i="3"/>
  <c r="AC142" i="3"/>
  <c r="AD142" i="3"/>
  <c r="AE142" i="3"/>
  <c r="AF142" i="3"/>
  <c r="AG142" i="3"/>
  <c r="AH142" i="3"/>
  <c r="AI142" i="3"/>
  <c r="AJ142" i="3"/>
  <c r="AK142" i="3"/>
  <c r="AL142" i="3"/>
  <c r="AM142" i="3"/>
  <c r="AN142" i="3"/>
  <c r="AO142" i="3"/>
  <c r="AP142" i="3"/>
  <c r="AQ142" i="3"/>
  <c r="AR142" i="3"/>
  <c r="AS142" i="3"/>
  <c r="AT142" i="3"/>
  <c r="AU142" i="3"/>
  <c r="AV142" i="3"/>
  <c r="AW142" i="3"/>
  <c r="AX142" i="3"/>
  <c r="AY142" i="3"/>
  <c r="AZ142" i="3"/>
  <c r="BA142" i="3"/>
  <c r="BB142" i="3"/>
  <c r="BC142" i="3"/>
  <c r="BD142" i="3"/>
  <c r="BE142" i="3"/>
  <c r="BF142" i="3"/>
  <c r="BG142" i="3"/>
  <c r="BH142" i="3"/>
  <c r="BI142" i="3"/>
  <c r="BJ142" i="3"/>
  <c r="BK142" i="3"/>
  <c r="BL142" i="3"/>
  <c r="BM142" i="3"/>
  <c r="BN142" i="3"/>
  <c r="BO142" i="3"/>
  <c r="BP142" i="3"/>
  <c r="BQ142" i="3"/>
  <c r="BR142" i="3"/>
  <c r="BS142" i="3"/>
  <c r="BT142" i="3"/>
  <c r="BU142" i="3"/>
  <c r="BV142" i="3"/>
  <c r="BW142" i="3"/>
  <c r="BX142" i="3"/>
  <c r="BY142" i="3"/>
  <c r="BZ142" i="3"/>
  <c r="CA142" i="3"/>
  <c r="CB142" i="3"/>
  <c r="CC142" i="3"/>
  <c r="CD142" i="3"/>
  <c r="CE142" i="3"/>
  <c r="CF142" i="3"/>
  <c r="CG142" i="3"/>
  <c r="CH142" i="3"/>
  <c r="CI142" i="3"/>
  <c r="CJ142" i="3"/>
  <c r="CK142" i="3"/>
  <c r="CL142" i="3"/>
  <c r="CM142" i="3"/>
  <c r="CN142" i="3"/>
  <c r="CO142" i="3"/>
  <c r="CP142" i="3"/>
  <c r="CQ142" i="3"/>
  <c r="CR142" i="3"/>
  <c r="CS142" i="3"/>
  <c r="CT142" i="3"/>
  <c r="CU142" i="3"/>
  <c r="CV142" i="3"/>
  <c r="CW142" i="3"/>
  <c r="CX142" i="3"/>
  <c r="CY142" i="3"/>
  <c r="CZ142" i="3"/>
  <c r="DA142" i="3"/>
  <c r="DB142" i="3"/>
  <c r="DC142" i="3"/>
  <c r="DD142" i="3"/>
  <c r="DE142" i="3"/>
  <c r="DF142" i="3"/>
  <c r="DG142" i="3"/>
  <c r="DH142" i="3"/>
  <c r="DI142" i="3"/>
  <c r="DJ142" i="3"/>
  <c r="DK142" i="3"/>
  <c r="DL142" i="3"/>
  <c r="DM142" i="3"/>
  <c r="DN142" i="3"/>
  <c r="DO142" i="3"/>
  <c r="DP142" i="3"/>
  <c r="DQ142" i="3"/>
  <c r="DR142" i="3"/>
  <c r="DS142" i="3"/>
  <c r="DT142" i="3"/>
  <c r="DU142" i="3"/>
  <c r="DV142" i="3"/>
  <c r="DW142" i="3"/>
  <c r="DX142" i="3"/>
  <c r="DY142" i="3"/>
  <c r="DZ142" i="3"/>
  <c r="EA142" i="3"/>
  <c r="EB142" i="3"/>
  <c r="EC142" i="3"/>
  <c r="ED142" i="3"/>
  <c r="EE142" i="3"/>
  <c r="EF142" i="3"/>
  <c r="EG142" i="3"/>
  <c r="EH142" i="3"/>
  <c r="EI142" i="3"/>
  <c r="EJ142" i="3"/>
  <c r="EK142" i="3"/>
  <c r="EL142" i="3"/>
  <c r="EM142" i="3"/>
  <c r="EN142" i="3"/>
  <c r="EO142" i="3"/>
  <c r="EP142" i="3"/>
  <c r="EQ142" i="3"/>
  <c r="ER142" i="3"/>
  <c r="ES142" i="3"/>
  <c r="ET142" i="3"/>
  <c r="EU142" i="3"/>
  <c r="EV142" i="3"/>
  <c r="EW142" i="3"/>
  <c r="EX142" i="3"/>
  <c r="EY142" i="3"/>
  <c r="EZ142" i="3"/>
  <c r="FA142" i="3"/>
  <c r="FB142" i="3"/>
  <c r="FC142" i="3"/>
  <c r="FD142" i="3"/>
  <c r="FE142" i="3"/>
  <c r="FF142" i="3"/>
  <c r="FG142" i="3"/>
  <c r="FH142" i="3"/>
  <c r="FI142" i="3"/>
  <c r="FJ142" i="3"/>
  <c r="FK142" i="3"/>
  <c r="FL142" i="3"/>
  <c r="FM142" i="3"/>
  <c r="FN142" i="3"/>
  <c r="FO142" i="3"/>
  <c r="FP142" i="3"/>
  <c r="FQ142" i="3"/>
  <c r="FR142" i="3"/>
  <c r="FS142" i="3"/>
  <c r="FT142" i="3"/>
  <c r="FU142" i="3"/>
  <c r="FV142" i="3"/>
  <c r="FW142" i="3"/>
  <c r="FX142" i="3"/>
  <c r="FY142" i="3"/>
  <c r="FZ142" i="3"/>
  <c r="GA142" i="3"/>
  <c r="GB142" i="3"/>
  <c r="GC142" i="3"/>
  <c r="GD142" i="3"/>
  <c r="GE142" i="3"/>
  <c r="GF142" i="3"/>
  <c r="GG142" i="3"/>
  <c r="GH142" i="3"/>
  <c r="GI142" i="3"/>
  <c r="GJ142" i="3"/>
  <c r="GK142" i="3"/>
  <c r="GL142" i="3"/>
  <c r="GM142" i="3"/>
  <c r="GN142" i="3"/>
  <c r="GO142" i="3"/>
  <c r="GP142" i="3"/>
  <c r="GQ142" i="3"/>
  <c r="GR142" i="3"/>
  <c r="GS142" i="3"/>
  <c r="GT142" i="3"/>
  <c r="GU142" i="3"/>
  <c r="GV142" i="3"/>
  <c r="GW142" i="3"/>
  <c r="GX142" i="3"/>
  <c r="GY142" i="3"/>
  <c r="GZ142" i="3"/>
  <c r="HA142" i="3"/>
  <c r="HB142" i="3"/>
  <c r="HC142" i="3"/>
  <c r="HD142" i="3"/>
  <c r="HE142" i="3"/>
  <c r="HF142" i="3"/>
  <c r="HG142" i="3"/>
  <c r="HH142" i="3"/>
  <c r="HI142" i="3"/>
  <c r="HJ142" i="3"/>
  <c r="HK142" i="3"/>
  <c r="HL142" i="3"/>
  <c r="HM142" i="3"/>
  <c r="HN142" i="3"/>
  <c r="HO142" i="3"/>
  <c r="HP142" i="3"/>
  <c r="HQ142" i="3"/>
  <c r="HR142" i="3"/>
  <c r="HS142" i="3"/>
  <c r="HT142" i="3"/>
  <c r="HU142" i="3"/>
  <c r="HV142" i="3"/>
  <c r="HW142" i="3"/>
  <c r="HX142" i="3"/>
  <c r="HY142" i="3"/>
  <c r="HZ142" i="3"/>
  <c r="IA142" i="3"/>
  <c r="IB142" i="3"/>
  <c r="IC142" i="3"/>
  <c r="ID142" i="3"/>
  <c r="IE142" i="3"/>
  <c r="IF142" i="3"/>
  <c r="IG142" i="3"/>
  <c r="IH142" i="3"/>
  <c r="II142" i="3"/>
  <c r="IJ142" i="3"/>
  <c r="IK142" i="3"/>
  <c r="IL142" i="3"/>
  <c r="IM142" i="3"/>
  <c r="IN142" i="3"/>
  <c r="IO142" i="3"/>
  <c r="IP142" i="3"/>
  <c r="IQ142" i="3"/>
  <c r="IR142" i="3"/>
  <c r="IS142" i="3"/>
  <c r="IT142" i="3"/>
  <c r="IU142" i="3"/>
  <c r="IV142" i="3"/>
  <c r="A141" i="3"/>
  <c r="B141" i="3"/>
  <c r="C141" i="3"/>
  <c r="D141" i="3"/>
  <c r="E141" i="3"/>
  <c r="F141" i="3"/>
  <c r="G141" i="3"/>
  <c r="H141" i="3"/>
  <c r="I141" i="3"/>
  <c r="J141" i="3"/>
  <c r="K141" i="3"/>
  <c r="L141" i="3"/>
  <c r="M141" i="3"/>
  <c r="N141" i="3"/>
  <c r="O141" i="3"/>
  <c r="P141" i="3"/>
  <c r="Q141" i="3"/>
  <c r="R141" i="3"/>
  <c r="S141" i="3"/>
  <c r="T141" i="3"/>
  <c r="U141" i="3"/>
  <c r="V141" i="3"/>
  <c r="W141" i="3"/>
  <c r="X141" i="3"/>
  <c r="Y141" i="3"/>
  <c r="Z141" i="3"/>
  <c r="AA141" i="3"/>
  <c r="AB141" i="3"/>
  <c r="AC141" i="3"/>
  <c r="AD141" i="3"/>
  <c r="AE141" i="3"/>
  <c r="AF141" i="3"/>
  <c r="AG141" i="3"/>
  <c r="AH141" i="3"/>
  <c r="AI141" i="3"/>
  <c r="AJ141" i="3"/>
  <c r="AK141" i="3"/>
  <c r="AL141" i="3"/>
  <c r="AM141" i="3"/>
  <c r="AN141" i="3"/>
  <c r="AO141" i="3"/>
  <c r="AP141" i="3"/>
  <c r="AQ141" i="3"/>
  <c r="AR141" i="3"/>
  <c r="AS141" i="3"/>
  <c r="AT141" i="3"/>
  <c r="AU141" i="3"/>
  <c r="AV141" i="3"/>
  <c r="AW141" i="3"/>
  <c r="AX141" i="3"/>
  <c r="AY141" i="3"/>
  <c r="AZ141" i="3"/>
  <c r="BA141" i="3"/>
  <c r="BB141" i="3"/>
  <c r="BC141" i="3"/>
  <c r="BD141" i="3"/>
  <c r="BE141" i="3"/>
  <c r="BF141" i="3"/>
  <c r="BG141" i="3"/>
  <c r="BH141" i="3"/>
  <c r="BI141" i="3"/>
  <c r="BJ141" i="3"/>
  <c r="BK141" i="3"/>
  <c r="BL141" i="3"/>
  <c r="BM141" i="3"/>
  <c r="BN141" i="3"/>
  <c r="BO141" i="3"/>
  <c r="BP141" i="3"/>
  <c r="BQ141" i="3"/>
  <c r="BR141" i="3"/>
  <c r="BS141" i="3"/>
  <c r="BT141" i="3"/>
  <c r="BU141" i="3"/>
  <c r="BV141" i="3"/>
  <c r="BW141" i="3"/>
  <c r="BX141" i="3"/>
  <c r="BY141" i="3"/>
  <c r="BZ141" i="3"/>
  <c r="CA141" i="3"/>
  <c r="CB141" i="3"/>
  <c r="CC141" i="3"/>
  <c r="CD141" i="3"/>
  <c r="CE141" i="3"/>
  <c r="CF141" i="3"/>
  <c r="CG141" i="3"/>
  <c r="CH141" i="3"/>
  <c r="CI141" i="3"/>
  <c r="CJ141" i="3"/>
  <c r="CK141" i="3"/>
  <c r="CL141" i="3"/>
  <c r="CM141" i="3"/>
  <c r="CN141" i="3"/>
  <c r="CO141" i="3"/>
  <c r="CP141" i="3"/>
  <c r="CQ141" i="3"/>
  <c r="CR141" i="3"/>
  <c r="CS141" i="3"/>
  <c r="CT141" i="3"/>
  <c r="CU141" i="3"/>
  <c r="CV141" i="3"/>
  <c r="CW141" i="3"/>
  <c r="CX141" i="3"/>
  <c r="CY141" i="3"/>
  <c r="CZ141" i="3"/>
  <c r="DA141" i="3"/>
  <c r="DB141" i="3"/>
  <c r="DC141" i="3"/>
  <c r="DD141" i="3"/>
  <c r="DE141" i="3"/>
  <c r="DF141" i="3"/>
  <c r="DG141" i="3"/>
  <c r="DH141" i="3"/>
  <c r="DI141" i="3"/>
  <c r="DJ141" i="3"/>
  <c r="DK141" i="3"/>
  <c r="DL141" i="3"/>
  <c r="DM141" i="3"/>
  <c r="DN141" i="3"/>
  <c r="DO141" i="3"/>
  <c r="DP141" i="3"/>
  <c r="DQ141" i="3"/>
  <c r="DR141" i="3"/>
  <c r="DS141" i="3"/>
  <c r="DT141" i="3"/>
  <c r="DU141" i="3"/>
  <c r="DV141" i="3"/>
  <c r="DW141" i="3"/>
  <c r="DX141" i="3"/>
  <c r="DY141" i="3"/>
  <c r="DZ141" i="3"/>
  <c r="EA141" i="3"/>
  <c r="EB141" i="3"/>
  <c r="EC141" i="3"/>
  <c r="ED141" i="3"/>
  <c r="EE141" i="3"/>
  <c r="EF141" i="3"/>
  <c r="EG141" i="3"/>
  <c r="EH141" i="3"/>
  <c r="EI141" i="3"/>
  <c r="EJ141" i="3"/>
  <c r="EK141" i="3"/>
  <c r="EL141" i="3"/>
  <c r="EM141" i="3"/>
  <c r="EN141" i="3"/>
  <c r="EO141" i="3"/>
  <c r="EP141" i="3"/>
  <c r="EQ141" i="3"/>
  <c r="ER141" i="3"/>
  <c r="ES141" i="3"/>
  <c r="ET141" i="3"/>
  <c r="EU141" i="3"/>
  <c r="EV141" i="3"/>
  <c r="EW141" i="3"/>
  <c r="EX141" i="3"/>
  <c r="EY141" i="3"/>
  <c r="EZ141" i="3"/>
  <c r="FA141" i="3"/>
  <c r="FB141" i="3"/>
  <c r="FC141" i="3"/>
  <c r="FD141" i="3"/>
  <c r="FE141" i="3"/>
  <c r="FF141" i="3"/>
  <c r="FG141" i="3"/>
  <c r="FH141" i="3"/>
  <c r="FI141" i="3"/>
  <c r="FJ141" i="3"/>
  <c r="FK141" i="3"/>
  <c r="FL141" i="3"/>
  <c r="FM141" i="3"/>
  <c r="FN141" i="3"/>
  <c r="FO141" i="3"/>
  <c r="FP141" i="3"/>
  <c r="FQ141" i="3"/>
  <c r="FR141" i="3"/>
  <c r="FS141" i="3"/>
  <c r="FT141" i="3"/>
  <c r="FU141" i="3"/>
  <c r="FV141" i="3"/>
  <c r="FW141" i="3"/>
  <c r="FX141" i="3"/>
  <c r="FY141" i="3"/>
  <c r="FZ141" i="3"/>
  <c r="GA141" i="3"/>
  <c r="GB141" i="3"/>
  <c r="GC141" i="3"/>
  <c r="GD141" i="3"/>
  <c r="GE141" i="3"/>
  <c r="GF141" i="3"/>
  <c r="GG141" i="3"/>
  <c r="GH141" i="3"/>
  <c r="GI141" i="3"/>
  <c r="GJ141" i="3"/>
  <c r="GK141" i="3"/>
  <c r="GL141" i="3"/>
  <c r="GM141" i="3"/>
  <c r="GN141" i="3"/>
  <c r="GO141" i="3"/>
  <c r="GP141" i="3"/>
  <c r="GQ141" i="3"/>
  <c r="GR141" i="3"/>
  <c r="GS141" i="3"/>
  <c r="GT141" i="3"/>
  <c r="GU141" i="3"/>
  <c r="GV141" i="3"/>
  <c r="GW141" i="3"/>
  <c r="GX141" i="3"/>
  <c r="GY141" i="3"/>
  <c r="GZ141" i="3"/>
  <c r="HA141" i="3"/>
  <c r="HB141" i="3"/>
  <c r="HC141" i="3"/>
  <c r="HD141" i="3"/>
  <c r="HE141" i="3"/>
  <c r="HF141" i="3"/>
  <c r="HG141" i="3"/>
  <c r="HH141" i="3"/>
  <c r="HI141" i="3"/>
  <c r="HJ141" i="3"/>
  <c r="HK141" i="3"/>
  <c r="HL141" i="3"/>
  <c r="HM141" i="3"/>
  <c r="HN141" i="3"/>
  <c r="HO141" i="3"/>
  <c r="HP141" i="3"/>
  <c r="HQ141" i="3"/>
  <c r="HR141" i="3"/>
  <c r="HS141" i="3"/>
  <c r="HT141" i="3"/>
  <c r="HU141" i="3"/>
  <c r="HV141" i="3"/>
  <c r="HW141" i="3"/>
  <c r="HX141" i="3"/>
  <c r="HY141" i="3"/>
  <c r="HZ141" i="3"/>
  <c r="IA141" i="3"/>
  <c r="IB141" i="3"/>
  <c r="IC141" i="3"/>
  <c r="ID141" i="3"/>
  <c r="IE141" i="3"/>
  <c r="IF141" i="3"/>
  <c r="IG141" i="3"/>
  <c r="IH141" i="3"/>
  <c r="II141" i="3"/>
  <c r="IJ141" i="3"/>
  <c r="IK141" i="3"/>
  <c r="IL141" i="3"/>
  <c r="IM141" i="3"/>
  <c r="IN141" i="3"/>
  <c r="IO141" i="3"/>
  <c r="IP141" i="3"/>
  <c r="IQ141" i="3"/>
  <c r="IR141" i="3"/>
  <c r="IS141" i="3"/>
  <c r="IT141" i="3"/>
  <c r="IU141" i="3"/>
  <c r="IV141" i="3"/>
  <c r="A140" i="3"/>
  <c r="B140" i="3"/>
  <c r="C140" i="3"/>
  <c r="D140" i="3"/>
  <c r="E140" i="3"/>
  <c r="F140" i="3"/>
  <c r="G140" i="3"/>
  <c r="H140" i="3"/>
  <c r="I140" i="3"/>
  <c r="J140" i="3"/>
  <c r="K140" i="3"/>
  <c r="L140" i="3"/>
  <c r="M140" i="3"/>
  <c r="N140" i="3"/>
  <c r="O140" i="3"/>
  <c r="P140" i="3"/>
  <c r="Q140" i="3"/>
  <c r="R140" i="3"/>
  <c r="S140" i="3"/>
  <c r="T140" i="3"/>
  <c r="U140" i="3"/>
  <c r="V140" i="3"/>
  <c r="W140" i="3"/>
  <c r="X140" i="3"/>
  <c r="Y140" i="3"/>
  <c r="Z140" i="3"/>
  <c r="AA140" i="3"/>
  <c r="AB140" i="3"/>
  <c r="AC140" i="3"/>
  <c r="AD140" i="3"/>
  <c r="AE140" i="3"/>
  <c r="AF140" i="3"/>
  <c r="AG140" i="3"/>
  <c r="AH140" i="3"/>
  <c r="AI140" i="3"/>
  <c r="AJ140" i="3"/>
  <c r="AK140" i="3"/>
  <c r="AL140" i="3"/>
  <c r="AM140" i="3"/>
  <c r="AN140" i="3"/>
  <c r="AO140" i="3"/>
  <c r="AP140" i="3"/>
  <c r="AQ140" i="3"/>
  <c r="AR140" i="3"/>
  <c r="AS140" i="3"/>
  <c r="AT140" i="3"/>
  <c r="AU140" i="3"/>
  <c r="AV140" i="3"/>
  <c r="AW140" i="3"/>
  <c r="AX140" i="3"/>
  <c r="AY140" i="3"/>
  <c r="AZ140" i="3"/>
  <c r="BA140" i="3"/>
  <c r="BB140" i="3"/>
  <c r="BC140" i="3"/>
  <c r="BD140" i="3"/>
  <c r="BE140" i="3"/>
  <c r="BF140" i="3"/>
  <c r="BG140" i="3"/>
  <c r="BH140" i="3"/>
  <c r="BI140" i="3"/>
  <c r="BJ140" i="3"/>
  <c r="BK140" i="3"/>
  <c r="BL140" i="3"/>
  <c r="BM140" i="3"/>
  <c r="BN140" i="3"/>
  <c r="BO140" i="3"/>
  <c r="BP140" i="3"/>
  <c r="BQ140" i="3"/>
  <c r="BR140" i="3"/>
  <c r="BS140" i="3"/>
  <c r="BT140" i="3"/>
  <c r="BU140" i="3"/>
  <c r="BV140" i="3"/>
  <c r="BW140" i="3"/>
  <c r="BX140" i="3"/>
  <c r="BY140" i="3"/>
  <c r="BZ140" i="3"/>
  <c r="CA140" i="3"/>
  <c r="CB140" i="3"/>
  <c r="CC140" i="3"/>
  <c r="CD140" i="3"/>
  <c r="CE140" i="3"/>
  <c r="CF140" i="3"/>
  <c r="CG140" i="3"/>
  <c r="CH140" i="3"/>
  <c r="CI140" i="3"/>
  <c r="CJ140" i="3"/>
  <c r="CK140" i="3"/>
  <c r="CL140" i="3"/>
  <c r="CM140" i="3"/>
  <c r="CN140" i="3"/>
  <c r="CO140" i="3"/>
  <c r="CP140" i="3"/>
  <c r="CQ140" i="3"/>
  <c r="CR140" i="3"/>
  <c r="CS140" i="3"/>
  <c r="CT140" i="3"/>
  <c r="CU140" i="3"/>
  <c r="CV140" i="3"/>
  <c r="CW140" i="3"/>
  <c r="CX140" i="3"/>
  <c r="CY140" i="3"/>
  <c r="CZ140" i="3"/>
  <c r="DA140" i="3"/>
  <c r="DB140" i="3"/>
  <c r="DC140" i="3"/>
  <c r="DD140" i="3"/>
  <c r="DE140" i="3"/>
  <c r="DF140" i="3"/>
  <c r="DG140" i="3"/>
  <c r="DH140" i="3"/>
  <c r="DI140" i="3"/>
  <c r="DJ140" i="3"/>
  <c r="DK140" i="3"/>
  <c r="DL140" i="3"/>
  <c r="DM140" i="3"/>
  <c r="DN140" i="3"/>
  <c r="DO140" i="3"/>
  <c r="DP140" i="3"/>
  <c r="DQ140" i="3"/>
  <c r="DR140" i="3"/>
  <c r="DS140" i="3"/>
  <c r="DT140" i="3"/>
  <c r="DU140" i="3"/>
  <c r="DV140" i="3"/>
  <c r="DW140" i="3"/>
  <c r="DX140" i="3"/>
  <c r="DY140" i="3"/>
  <c r="DZ140" i="3"/>
  <c r="EA140" i="3"/>
  <c r="EB140" i="3"/>
  <c r="EC140" i="3"/>
  <c r="ED140" i="3"/>
  <c r="EE140" i="3"/>
  <c r="EF140" i="3"/>
  <c r="EG140" i="3"/>
  <c r="EH140" i="3"/>
  <c r="EI140" i="3"/>
  <c r="EJ140" i="3"/>
  <c r="EK140" i="3"/>
  <c r="EL140" i="3"/>
  <c r="EM140" i="3"/>
  <c r="EN140" i="3"/>
  <c r="EO140" i="3"/>
  <c r="EP140" i="3"/>
  <c r="EQ140" i="3"/>
  <c r="ER140" i="3"/>
  <c r="ES140" i="3"/>
  <c r="ET140" i="3"/>
  <c r="EU140" i="3"/>
  <c r="EV140" i="3"/>
  <c r="EW140" i="3"/>
  <c r="EX140" i="3"/>
  <c r="EY140" i="3"/>
  <c r="EZ140" i="3"/>
  <c r="FA140" i="3"/>
  <c r="FB140" i="3"/>
  <c r="FC140" i="3"/>
  <c r="FD140" i="3"/>
  <c r="FE140" i="3"/>
  <c r="FF140" i="3"/>
  <c r="FG140" i="3"/>
  <c r="FH140" i="3"/>
  <c r="FI140" i="3"/>
  <c r="FJ140" i="3"/>
  <c r="FK140" i="3"/>
  <c r="FL140" i="3"/>
  <c r="FM140" i="3"/>
  <c r="FN140" i="3"/>
  <c r="FO140" i="3"/>
  <c r="FP140" i="3"/>
  <c r="FQ140" i="3"/>
  <c r="FR140" i="3"/>
  <c r="FS140" i="3"/>
  <c r="FT140" i="3"/>
  <c r="FU140" i="3"/>
  <c r="FV140" i="3"/>
  <c r="FW140" i="3"/>
  <c r="FX140" i="3"/>
  <c r="FY140" i="3"/>
  <c r="FZ140" i="3"/>
  <c r="GA140" i="3"/>
  <c r="GB140" i="3"/>
  <c r="GC140" i="3"/>
  <c r="GD140" i="3"/>
  <c r="GE140" i="3"/>
  <c r="GF140" i="3"/>
  <c r="GG140" i="3"/>
  <c r="GH140" i="3"/>
  <c r="GI140" i="3"/>
  <c r="GJ140" i="3"/>
  <c r="GK140" i="3"/>
  <c r="GL140" i="3"/>
  <c r="GM140" i="3"/>
  <c r="GN140" i="3"/>
  <c r="GO140" i="3"/>
  <c r="GP140" i="3"/>
  <c r="GQ140" i="3"/>
  <c r="GR140" i="3"/>
  <c r="GS140" i="3"/>
  <c r="GT140" i="3"/>
  <c r="GU140" i="3"/>
  <c r="GV140" i="3"/>
  <c r="GW140" i="3"/>
  <c r="GX140" i="3"/>
  <c r="GY140" i="3"/>
  <c r="GZ140" i="3"/>
  <c r="HA140" i="3"/>
  <c r="HB140" i="3"/>
  <c r="HC140" i="3"/>
  <c r="HD140" i="3"/>
  <c r="HE140" i="3"/>
  <c r="HF140" i="3"/>
  <c r="HG140" i="3"/>
  <c r="HH140" i="3"/>
  <c r="HI140" i="3"/>
  <c r="HJ140" i="3"/>
  <c r="HK140" i="3"/>
  <c r="HL140" i="3"/>
  <c r="HM140" i="3"/>
  <c r="HN140" i="3"/>
  <c r="HO140" i="3"/>
  <c r="HP140" i="3"/>
  <c r="HQ140" i="3"/>
  <c r="HR140" i="3"/>
  <c r="HS140" i="3"/>
  <c r="HT140" i="3"/>
  <c r="HU140" i="3"/>
  <c r="HV140" i="3"/>
  <c r="HW140" i="3"/>
  <c r="HX140" i="3"/>
  <c r="HY140" i="3"/>
  <c r="HZ140" i="3"/>
  <c r="IA140" i="3"/>
  <c r="IB140" i="3"/>
  <c r="IC140" i="3"/>
  <c r="ID140" i="3"/>
  <c r="IE140" i="3"/>
  <c r="IF140" i="3"/>
  <c r="IG140" i="3"/>
  <c r="IH140" i="3"/>
  <c r="II140" i="3"/>
  <c r="IJ140" i="3"/>
  <c r="IK140" i="3"/>
  <c r="IL140" i="3"/>
  <c r="IM140" i="3"/>
  <c r="IN140" i="3"/>
  <c r="IO140" i="3"/>
  <c r="IP140" i="3"/>
  <c r="IQ140" i="3"/>
  <c r="IR140" i="3"/>
  <c r="IS140" i="3"/>
  <c r="IT140" i="3"/>
  <c r="IU140" i="3"/>
  <c r="IV140" i="3"/>
  <c r="A139" i="3"/>
  <c r="B139" i="3"/>
  <c r="C139" i="3"/>
  <c r="D139" i="3"/>
  <c r="E139" i="3"/>
  <c r="F139" i="3"/>
  <c r="G139" i="3"/>
  <c r="H139" i="3"/>
  <c r="I139" i="3"/>
  <c r="J139" i="3"/>
  <c r="K139" i="3"/>
  <c r="L139" i="3"/>
  <c r="M139" i="3"/>
  <c r="N139" i="3"/>
  <c r="O139" i="3"/>
  <c r="P139" i="3"/>
  <c r="Q139" i="3"/>
  <c r="R139" i="3"/>
  <c r="S139" i="3"/>
  <c r="T139" i="3"/>
  <c r="U139" i="3"/>
  <c r="V139" i="3"/>
  <c r="W139" i="3"/>
  <c r="X139" i="3"/>
  <c r="Y139" i="3"/>
  <c r="Z139" i="3"/>
  <c r="AA139" i="3"/>
  <c r="AB139" i="3"/>
  <c r="AC139" i="3"/>
  <c r="AD139" i="3"/>
  <c r="AE139" i="3"/>
  <c r="AF139" i="3"/>
  <c r="AG139" i="3"/>
  <c r="AH139" i="3"/>
  <c r="AI139" i="3"/>
  <c r="AJ139" i="3"/>
  <c r="AK139" i="3"/>
  <c r="AL139" i="3"/>
  <c r="AM139" i="3"/>
  <c r="AN139" i="3"/>
  <c r="AO139" i="3"/>
  <c r="AP139" i="3"/>
  <c r="AQ139" i="3"/>
  <c r="AR139" i="3"/>
  <c r="AS139" i="3"/>
  <c r="AT139" i="3"/>
  <c r="AU139" i="3"/>
  <c r="AV139" i="3"/>
  <c r="AW139" i="3"/>
  <c r="AX139" i="3"/>
  <c r="AY139" i="3"/>
  <c r="AZ139" i="3"/>
  <c r="BA139" i="3"/>
  <c r="BB139" i="3"/>
  <c r="BC139" i="3"/>
  <c r="BD139" i="3"/>
  <c r="BE139" i="3"/>
  <c r="BF139" i="3"/>
  <c r="BG139" i="3"/>
  <c r="BH139" i="3"/>
  <c r="BI139" i="3"/>
  <c r="BJ139" i="3"/>
  <c r="BK139" i="3"/>
  <c r="BL139" i="3"/>
  <c r="BM139" i="3"/>
  <c r="BN139" i="3"/>
  <c r="BO139" i="3"/>
  <c r="BP139" i="3"/>
  <c r="BQ139" i="3"/>
  <c r="BR139" i="3"/>
  <c r="BS139" i="3"/>
  <c r="BT139" i="3"/>
  <c r="BU139" i="3"/>
  <c r="BV139" i="3"/>
  <c r="BW139" i="3"/>
  <c r="BX139" i="3"/>
  <c r="BY139" i="3"/>
  <c r="BZ139" i="3"/>
  <c r="CA139" i="3"/>
  <c r="CB139" i="3"/>
  <c r="CC139" i="3"/>
  <c r="CD139" i="3"/>
  <c r="CE139" i="3"/>
  <c r="CF139" i="3"/>
  <c r="CG139" i="3"/>
  <c r="CH139" i="3"/>
  <c r="CI139" i="3"/>
  <c r="CJ139" i="3"/>
  <c r="CK139" i="3"/>
  <c r="CL139" i="3"/>
  <c r="CM139" i="3"/>
  <c r="CN139" i="3"/>
  <c r="CO139" i="3"/>
  <c r="CP139" i="3"/>
  <c r="CQ139" i="3"/>
  <c r="CR139" i="3"/>
  <c r="CS139" i="3"/>
  <c r="CT139" i="3"/>
  <c r="CU139" i="3"/>
  <c r="CV139" i="3"/>
  <c r="CW139" i="3"/>
  <c r="CX139" i="3"/>
  <c r="CY139" i="3"/>
  <c r="CZ139" i="3"/>
  <c r="DA139" i="3"/>
  <c r="DB139" i="3"/>
  <c r="DC139" i="3"/>
  <c r="DD139" i="3"/>
  <c r="DE139" i="3"/>
  <c r="DF139" i="3"/>
  <c r="DG139" i="3"/>
  <c r="DH139" i="3"/>
  <c r="DI139" i="3"/>
  <c r="DJ139" i="3"/>
  <c r="DK139" i="3"/>
  <c r="DL139" i="3"/>
  <c r="DM139" i="3"/>
  <c r="DN139" i="3"/>
  <c r="DO139" i="3"/>
  <c r="DP139" i="3"/>
  <c r="DQ139" i="3"/>
  <c r="DR139" i="3"/>
  <c r="DS139" i="3"/>
  <c r="DT139" i="3"/>
  <c r="DU139" i="3"/>
  <c r="DV139" i="3"/>
  <c r="DW139" i="3"/>
  <c r="DX139" i="3"/>
  <c r="DY139" i="3"/>
  <c r="DZ139" i="3"/>
  <c r="EA139" i="3"/>
  <c r="EB139" i="3"/>
  <c r="EC139" i="3"/>
  <c r="ED139" i="3"/>
  <c r="EE139" i="3"/>
  <c r="EF139" i="3"/>
  <c r="EG139" i="3"/>
  <c r="EH139" i="3"/>
  <c r="EI139" i="3"/>
  <c r="EJ139" i="3"/>
  <c r="EK139" i="3"/>
  <c r="EL139" i="3"/>
  <c r="EM139" i="3"/>
  <c r="EN139" i="3"/>
  <c r="EO139" i="3"/>
  <c r="EP139" i="3"/>
  <c r="EQ139" i="3"/>
  <c r="ER139" i="3"/>
  <c r="ES139" i="3"/>
  <c r="ET139" i="3"/>
  <c r="EU139" i="3"/>
  <c r="EV139" i="3"/>
  <c r="EW139" i="3"/>
  <c r="EX139" i="3"/>
  <c r="EY139" i="3"/>
  <c r="EZ139" i="3"/>
  <c r="FA139" i="3"/>
  <c r="FB139" i="3"/>
  <c r="FC139" i="3"/>
  <c r="FD139" i="3"/>
  <c r="FE139" i="3"/>
  <c r="FF139" i="3"/>
  <c r="FG139" i="3"/>
  <c r="FH139" i="3"/>
  <c r="FI139" i="3"/>
  <c r="FJ139" i="3"/>
  <c r="FK139" i="3"/>
  <c r="FL139" i="3"/>
  <c r="FM139" i="3"/>
  <c r="FN139" i="3"/>
  <c r="FO139" i="3"/>
  <c r="FP139" i="3"/>
  <c r="FQ139" i="3"/>
  <c r="FR139" i="3"/>
  <c r="FS139" i="3"/>
  <c r="FT139" i="3"/>
  <c r="FU139" i="3"/>
  <c r="FV139" i="3"/>
  <c r="FW139" i="3"/>
  <c r="FX139" i="3"/>
  <c r="FY139" i="3"/>
  <c r="FZ139" i="3"/>
  <c r="GA139" i="3"/>
  <c r="GB139" i="3"/>
  <c r="GC139" i="3"/>
  <c r="GD139" i="3"/>
  <c r="GE139" i="3"/>
  <c r="GF139" i="3"/>
  <c r="GG139" i="3"/>
  <c r="GH139" i="3"/>
  <c r="GI139" i="3"/>
  <c r="GJ139" i="3"/>
  <c r="GK139" i="3"/>
  <c r="GL139" i="3"/>
  <c r="GM139" i="3"/>
  <c r="GN139" i="3"/>
  <c r="GO139" i="3"/>
  <c r="GP139" i="3"/>
  <c r="GQ139" i="3"/>
  <c r="GR139" i="3"/>
  <c r="GS139" i="3"/>
  <c r="GT139" i="3"/>
  <c r="GU139" i="3"/>
  <c r="GV139" i="3"/>
  <c r="GW139" i="3"/>
  <c r="GX139" i="3"/>
  <c r="GY139" i="3"/>
  <c r="GZ139" i="3"/>
  <c r="HA139" i="3"/>
  <c r="HB139" i="3"/>
  <c r="HC139" i="3"/>
  <c r="HD139" i="3"/>
  <c r="HE139" i="3"/>
  <c r="HF139" i="3"/>
  <c r="HG139" i="3"/>
  <c r="HH139" i="3"/>
  <c r="HI139" i="3"/>
  <c r="HJ139" i="3"/>
  <c r="HK139" i="3"/>
  <c r="HL139" i="3"/>
  <c r="HM139" i="3"/>
  <c r="HN139" i="3"/>
  <c r="HO139" i="3"/>
  <c r="HP139" i="3"/>
  <c r="HQ139" i="3"/>
  <c r="HR139" i="3"/>
  <c r="HS139" i="3"/>
  <c r="HT139" i="3"/>
  <c r="HU139" i="3"/>
  <c r="HV139" i="3"/>
  <c r="HW139" i="3"/>
  <c r="HX139" i="3"/>
  <c r="HY139" i="3"/>
  <c r="HZ139" i="3"/>
  <c r="IA139" i="3"/>
  <c r="IB139" i="3"/>
  <c r="IC139" i="3"/>
  <c r="ID139" i="3"/>
  <c r="IE139" i="3"/>
  <c r="IF139" i="3"/>
  <c r="IG139" i="3"/>
  <c r="IH139" i="3"/>
  <c r="II139" i="3"/>
  <c r="IJ139" i="3"/>
  <c r="IK139" i="3"/>
  <c r="IL139" i="3"/>
  <c r="IM139" i="3"/>
  <c r="IN139" i="3"/>
  <c r="IO139" i="3"/>
  <c r="IP139" i="3"/>
  <c r="IQ139" i="3"/>
  <c r="IR139" i="3"/>
  <c r="IS139" i="3"/>
  <c r="IT139" i="3"/>
  <c r="IU139" i="3"/>
  <c r="IV139" i="3"/>
  <c r="A138" i="3"/>
  <c r="B138" i="3"/>
  <c r="C138" i="3"/>
  <c r="D138" i="3"/>
  <c r="E138" i="3"/>
  <c r="F138" i="3"/>
  <c r="G138" i="3"/>
  <c r="H138" i="3"/>
  <c r="I138" i="3"/>
  <c r="J138" i="3"/>
  <c r="K138" i="3"/>
  <c r="L138" i="3"/>
  <c r="M138" i="3"/>
  <c r="N138" i="3"/>
  <c r="O138" i="3"/>
  <c r="P138" i="3"/>
  <c r="Q138" i="3"/>
  <c r="R138" i="3"/>
  <c r="S138" i="3"/>
  <c r="T138" i="3"/>
  <c r="U138" i="3"/>
  <c r="V138" i="3"/>
  <c r="W138" i="3"/>
  <c r="X138" i="3"/>
  <c r="Y138" i="3"/>
  <c r="Z138" i="3"/>
  <c r="AA138" i="3"/>
  <c r="AB138" i="3"/>
  <c r="AC138" i="3"/>
  <c r="AD138" i="3"/>
  <c r="AE138" i="3"/>
  <c r="AF138" i="3"/>
  <c r="AG138" i="3"/>
  <c r="AH138" i="3"/>
  <c r="AI138" i="3"/>
  <c r="AJ138" i="3"/>
  <c r="AK138" i="3"/>
  <c r="AL138" i="3"/>
  <c r="AM138" i="3"/>
  <c r="AN138" i="3"/>
  <c r="AO138" i="3"/>
  <c r="AP138" i="3"/>
  <c r="AQ138" i="3"/>
  <c r="AR138" i="3"/>
  <c r="AS138" i="3"/>
  <c r="AT138" i="3"/>
  <c r="AU138" i="3"/>
  <c r="AV138" i="3"/>
  <c r="AW138" i="3"/>
  <c r="AX138" i="3"/>
  <c r="AY138" i="3"/>
  <c r="AZ138" i="3"/>
  <c r="BA138" i="3"/>
  <c r="BB138" i="3"/>
  <c r="BC138" i="3"/>
  <c r="BD138" i="3"/>
  <c r="BE138" i="3"/>
  <c r="BF138" i="3"/>
  <c r="BG138" i="3"/>
  <c r="BH138" i="3"/>
  <c r="BI138" i="3"/>
  <c r="BJ138" i="3"/>
  <c r="BK138" i="3"/>
  <c r="BL138" i="3"/>
  <c r="BM138" i="3"/>
  <c r="BN138" i="3"/>
  <c r="BO138" i="3"/>
  <c r="BP138" i="3"/>
  <c r="BQ138" i="3"/>
  <c r="BR138" i="3"/>
  <c r="BS138" i="3"/>
  <c r="BT138" i="3"/>
  <c r="BU138" i="3"/>
  <c r="BV138" i="3"/>
  <c r="BW138" i="3"/>
  <c r="BX138" i="3"/>
  <c r="BY138" i="3"/>
  <c r="BZ138" i="3"/>
  <c r="CA138" i="3"/>
  <c r="CB138" i="3"/>
  <c r="CC138" i="3"/>
  <c r="CD138" i="3"/>
  <c r="CE138" i="3"/>
  <c r="CF138" i="3"/>
  <c r="CG138" i="3"/>
  <c r="CH138" i="3"/>
  <c r="CI138" i="3"/>
  <c r="CJ138" i="3"/>
  <c r="CK138" i="3"/>
  <c r="CL138" i="3"/>
  <c r="CM138" i="3"/>
  <c r="CN138" i="3"/>
  <c r="CO138" i="3"/>
  <c r="CP138" i="3"/>
  <c r="CQ138" i="3"/>
  <c r="CR138" i="3"/>
  <c r="CS138" i="3"/>
  <c r="CT138" i="3"/>
  <c r="CU138" i="3"/>
  <c r="CV138" i="3"/>
  <c r="CW138" i="3"/>
  <c r="CX138" i="3"/>
  <c r="CY138" i="3"/>
  <c r="CZ138" i="3"/>
  <c r="DA138" i="3"/>
  <c r="DB138" i="3"/>
  <c r="DC138" i="3"/>
  <c r="DD138" i="3"/>
  <c r="DE138" i="3"/>
  <c r="DF138" i="3"/>
  <c r="DG138" i="3"/>
  <c r="DH138" i="3"/>
  <c r="DI138" i="3"/>
  <c r="DJ138" i="3"/>
  <c r="DK138" i="3"/>
  <c r="DL138" i="3"/>
  <c r="DM138" i="3"/>
  <c r="DN138" i="3"/>
  <c r="DO138" i="3"/>
  <c r="DP138" i="3"/>
  <c r="DQ138" i="3"/>
  <c r="DR138" i="3"/>
  <c r="DS138" i="3"/>
  <c r="DT138" i="3"/>
  <c r="DU138" i="3"/>
  <c r="DV138" i="3"/>
  <c r="DW138" i="3"/>
  <c r="DX138" i="3"/>
  <c r="DY138" i="3"/>
  <c r="DZ138" i="3"/>
  <c r="EA138" i="3"/>
  <c r="EB138" i="3"/>
  <c r="EC138" i="3"/>
  <c r="ED138" i="3"/>
  <c r="EE138" i="3"/>
  <c r="EF138" i="3"/>
  <c r="EG138" i="3"/>
  <c r="EH138" i="3"/>
  <c r="EI138" i="3"/>
  <c r="EJ138" i="3"/>
  <c r="EK138" i="3"/>
  <c r="EL138" i="3"/>
  <c r="EM138" i="3"/>
  <c r="EN138" i="3"/>
  <c r="EO138" i="3"/>
  <c r="EP138" i="3"/>
  <c r="EQ138" i="3"/>
  <c r="ER138" i="3"/>
  <c r="ES138" i="3"/>
  <c r="ET138" i="3"/>
  <c r="EU138" i="3"/>
  <c r="EV138" i="3"/>
  <c r="EW138" i="3"/>
  <c r="EX138" i="3"/>
  <c r="EY138" i="3"/>
  <c r="EZ138" i="3"/>
  <c r="FA138" i="3"/>
  <c r="FB138" i="3"/>
  <c r="FC138" i="3"/>
  <c r="FD138" i="3"/>
  <c r="FE138" i="3"/>
  <c r="FF138" i="3"/>
  <c r="FG138" i="3"/>
  <c r="FH138" i="3"/>
  <c r="FI138" i="3"/>
  <c r="FJ138" i="3"/>
  <c r="FK138" i="3"/>
  <c r="FL138" i="3"/>
  <c r="FM138" i="3"/>
  <c r="FN138" i="3"/>
  <c r="FO138" i="3"/>
  <c r="FP138" i="3"/>
  <c r="FQ138" i="3"/>
  <c r="FR138" i="3"/>
  <c r="FS138" i="3"/>
  <c r="FT138" i="3"/>
  <c r="FU138" i="3"/>
  <c r="FV138" i="3"/>
  <c r="FW138" i="3"/>
  <c r="FX138" i="3"/>
  <c r="FY138" i="3"/>
  <c r="FZ138" i="3"/>
  <c r="GA138" i="3"/>
  <c r="GB138" i="3"/>
  <c r="GC138" i="3"/>
  <c r="GD138" i="3"/>
  <c r="GE138" i="3"/>
  <c r="GF138" i="3"/>
  <c r="GG138" i="3"/>
  <c r="GH138" i="3"/>
  <c r="GI138" i="3"/>
  <c r="GJ138" i="3"/>
  <c r="GK138" i="3"/>
  <c r="GL138" i="3"/>
  <c r="GM138" i="3"/>
  <c r="GN138" i="3"/>
  <c r="GO138" i="3"/>
  <c r="GP138" i="3"/>
  <c r="GQ138" i="3"/>
  <c r="GR138" i="3"/>
  <c r="GS138" i="3"/>
  <c r="GT138" i="3"/>
  <c r="GU138" i="3"/>
  <c r="GV138" i="3"/>
  <c r="GW138" i="3"/>
  <c r="GX138" i="3"/>
  <c r="GY138" i="3"/>
  <c r="GZ138" i="3"/>
  <c r="HA138" i="3"/>
  <c r="HB138" i="3"/>
  <c r="HC138" i="3"/>
  <c r="HD138" i="3"/>
  <c r="HE138" i="3"/>
  <c r="HF138" i="3"/>
  <c r="HG138" i="3"/>
  <c r="HH138" i="3"/>
  <c r="HI138" i="3"/>
  <c r="HJ138" i="3"/>
  <c r="HK138" i="3"/>
  <c r="HL138" i="3"/>
  <c r="HM138" i="3"/>
  <c r="HN138" i="3"/>
  <c r="HO138" i="3"/>
  <c r="HP138" i="3"/>
  <c r="HQ138" i="3"/>
  <c r="HR138" i="3"/>
  <c r="HS138" i="3"/>
  <c r="HT138" i="3"/>
  <c r="HU138" i="3"/>
  <c r="HV138" i="3"/>
  <c r="HW138" i="3"/>
  <c r="HX138" i="3"/>
  <c r="HY138" i="3"/>
  <c r="HZ138" i="3"/>
  <c r="IA138" i="3"/>
  <c r="IB138" i="3"/>
  <c r="IC138" i="3"/>
  <c r="ID138" i="3"/>
  <c r="IE138" i="3"/>
  <c r="IF138" i="3"/>
  <c r="IG138" i="3"/>
  <c r="IH138" i="3"/>
  <c r="II138" i="3"/>
  <c r="IJ138" i="3"/>
  <c r="IK138" i="3"/>
  <c r="IL138" i="3"/>
  <c r="IM138" i="3"/>
  <c r="IN138" i="3"/>
  <c r="IO138" i="3"/>
  <c r="IP138" i="3"/>
  <c r="IQ138" i="3"/>
  <c r="IR138" i="3"/>
  <c r="IS138" i="3"/>
  <c r="IT138" i="3"/>
  <c r="IU138" i="3"/>
  <c r="IV138" i="3"/>
  <c r="A137" i="3"/>
  <c r="B137" i="3"/>
  <c r="C137" i="3"/>
  <c r="D137" i="3"/>
  <c r="E137" i="3"/>
  <c r="F137" i="3"/>
  <c r="G137" i="3"/>
  <c r="H137" i="3"/>
  <c r="I137" i="3"/>
  <c r="J137" i="3"/>
  <c r="K137" i="3"/>
  <c r="L137" i="3"/>
  <c r="M137" i="3"/>
  <c r="N137" i="3"/>
  <c r="O137" i="3"/>
  <c r="P137" i="3"/>
  <c r="Q137" i="3"/>
  <c r="R137" i="3"/>
  <c r="S137" i="3"/>
  <c r="T137" i="3"/>
  <c r="U137" i="3"/>
  <c r="V137" i="3"/>
  <c r="W137" i="3"/>
  <c r="X137" i="3"/>
  <c r="Y137" i="3"/>
  <c r="Z137" i="3"/>
  <c r="AA137" i="3"/>
  <c r="AB137" i="3"/>
  <c r="AC137" i="3"/>
  <c r="AD137" i="3"/>
  <c r="AE137" i="3"/>
  <c r="AF137" i="3"/>
  <c r="AG137" i="3"/>
  <c r="AH137" i="3"/>
  <c r="AI137" i="3"/>
  <c r="AJ137" i="3"/>
  <c r="AK137" i="3"/>
  <c r="AL137" i="3"/>
  <c r="AM137" i="3"/>
  <c r="AN137" i="3"/>
  <c r="AO137" i="3"/>
  <c r="AP137" i="3"/>
  <c r="AQ137" i="3"/>
  <c r="AR137" i="3"/>
  <c r="AS137" i="3"/>
  <c r="AT137" i="3"/>
  <c r="AU137" i="3"/>
  <c r="AV137" i="3"/>
  <c r="AW137" i="3"/>
  <c r="AX137" i="3"/>
  <c r="AY137" i="3"/>
  <c r="AZ137" i="3"/>
  <c r="BA137" i="3"/>
  <c r="BB137" i="3"/>
  <c r="BC137" i="3"/>
  <c r="BD137" i="3"/>
  <c r="BE137" i="3"/>
  <c r="BF137" i="3"/>
  <c r="BG137" i="3"/>
  <c r="BH137" i="3"/>
  <c r="BI137" i="3"/>
  <c r="BJ137" i="3"/>
  <c r="BK137" i="3"/>
  <c r="BL137" i="3"/>
  <c r="BM137" i="3"/>
  <c r="BN137" i="3"/>
  <c r="BO137" i="3"/>
  <c r="BP137" i="3"/>
  <c r="BQ137" i="3"/>
  <c r="BR137" i="3"/>
  <c r="BS137" i="3"/>
  <c r="BT137" i="3"/>
  <c r="BU137" i="3"/>
  <c r="BV137" i="3"/>
  <c r="BW137" i="3"/>
  <c r="BX137" i="3"/>
  <c r="BY137" i="3"/>
  <c r="BZ137" i="3"/>
  <c r="CA137" i="3"/>
  <c r="CB137" i="3"/>
  <c r="CC137" i="3"/>
  <c r="CD137" i="3"/>
  <c r="CE137" i="3"/>
  <c r="CF137" i="3"/>
  <c r="CG137" i="3"/>
  <c r="CH137" i="3"/>
  <c r="CI137" i="3"/>
  <c r="CJ137" i="3"/>
  <c r="CK137" i="3"/>
  <c r="CL137" i="3"/>
  <c r="CM137" i="3"/>
  <c r="CN137" i="3"/>
  <c r="CO137" i="3"/>
  <c r="CP137" i="3"/>
  <c r="CQ137" i="3"/>
  <c r="CR137" i="3"/>
  <c r="CS137" i="3"/>
  <c r="CT137" i="3"/>
  <c r="CU137" i="3"/>
  <c r="CV137" i="3"/>
  <c r="CW137" i="3"/>
  <c r="CX137" i="3"/>
  <c r="CY137" i="3"/>
  <c r="CZ137" i="3"/>
  <c r="DA137" i="3"/>
  <c r="DB137" i="3"/>
  <c r="DC137" i="3"/>
  <c r="DD137" i="3"/>
  <c r="DE137" i="3"/>
  <c r="DF137" i="3"/>
  <c r="DG137" i="3"/>
  <c r="DH137" i="3"/>
  <c r="DI137" i="3"/>
  <c r="DJ137" i="3"/>
  <c r="DK137" i="3"/>
  <c r="DL137" i="3"/>
  <c r="DM137" i="3"/>
  <c r="DN137" i="3"/>
  <c r="DO137" i="3"/>
  <c r="DP137" i="3"/>
  <c r="DQ137" i="3"/>
  <c r="DR137" i="3"/>
  <c r="DS137" i="3"/>
  <c r="DT137" i="3"/>
  <c r="DU137" i="3"/>
  <c r="DV137" i="3"/>
  <c r="DW137" i="3"/>
  <c r="DX137" i="3"/>
  <c r="DY137" i="3"/>
  <c r="DZ137" i="3"/>
  <c r="EA137" i="3"/>
  <c r="EB137" i="3"/>
  <c r="EC137" i="3"/>
  <c r="ED137" i="3"/>
  <c r="EE137" i="3"/>
  <c r="EF137" i="3"/>
  <c r="EG137" i="3"/>
  <c r="EH137" i="3"/>
  <c r="EI137" i="3"/>
  <c r="EJ137" i="3"/>
  <c r="EK137" i="3"/>
  <c r="EL137" i="3"/>
  <c r="EM137" i="3"/>
  <c r="EN137" i="3"/>
  <c r="EO137" i="3"/>
  <c r="EP137" i="3"/>
  <c r="EQ137" i="3"/>
  <c r="ER137" i="3"/>
  <c r="ES137" i="3"/>
  <c r="ET137" i="3"/>
  <c r="EU137" i="3"/>
  <c r="EV137" i="3"/>
  <c r="EW137" i="3"/>
  <c r="EX137" i="3"/>
  <c r="EY137" i="3"/>
  <c r="EZ137" i="3"/>
  <c r="FA137" i="3"/>
  <c r="FB137" i="3"/>
  <c r="FC137" i="3"/>
  <c r="FD137" i="3"/>
  <c r="FE137" i="3"/>
  <c r="FF137" i="3"/>
  <c r="FG137" i="3"/>
  <c r="FH137" i="3"/>
  <c r="FI137" i="3"/>
  <c r="FJ137" i="3"/>
  <c r="FK137" i="3"/>
  <c r="FL137" i="3"/>
  <c r="FM137" i="3"/>
  <c r="FN137" i="3"/>
  <c r="FO137" i="3"/>
  <c r="FP137" i="3"/>
  <c r="FQ137" i="3"/>
  <c r="FR137" i="3"/>
  <c r="FS137" i="3"/>
  <c r="FT137" i="3"/>
  <c r="FU137" i="3"/>
  <c r="FV137" i="3"/>
  <c r="FW137" i="3"/>
  <c r="FX137" i="3"/>
  <c r="FY137" i="3"/>
  <c r="FZ137" i="3"/>
  <c r="GA137" i="3"/>
  <c r="GB137" i="3"/>
  <c r="GC137" i="3"/>
  <c r="GD137" i="3"/>
  <c r="GE137" i="3"/>
  <c r="GF137" i="3"/>
  <c r="GG137" i="3"/>
  <c r="GH137" i="3"/>
  <c r="GI137" i="3"/>
  <c r="GJ137" i="3"/>
  <c r="GK137" i="3"/>
  <c r="GL137" i="3"/>
  <c r="GM137" i="3"/>
  <c r="GN137" i="3"/>
  <c r="GO137" i="3"/>
  <c r="GP137" i="3"/>
  <c r="GQ137" i="3"/>
  <c r="GR137" i="3"/>
  <c r="GS137" i="3"/>
  <c r="GT137" i="3"/>
  <c r="GU137" i="3"/>
  <c r="GV137" i="3"/>
  <c r="GW137" i="3"/>
  <c r="GX137" i="3"/>
  <c r="GY137" i="3"/>
  <c r="GZ137" i="3"/>
  <c r="HA137" i="3"/>
  <c r="HB137" i="3"/>
  <c r="HC137" i="3"/>
  <c r="HD137" i="3"/>
  <c r="HE137" i="3"/>
  <c r="HF137" i="3"/>
  <c r="HG137" i="3"/>
  <c r="HH137" i="3"/>
  <c r="HI137" i="3"/>
  <c r="HJ137" i="3"/>
  <c r="HK137" i="3"/>
  <c r="HL137" i="3"/>
  <c r="HM137" i="3"/>
  <c r="HN137" i="3"/>
  <c r="HO137" i="3"/>
  <c r="HP137" i="3"/>
  <c r="HQ137" i="3"/>
  <c r="HR137" i="3"/>
  <c r="HS137" i="3"/>
  <c r="HT137" i="3"/>
  <c r="HU137" i="3"/>
  <c r="HV137" i="3"/>
  <c r="HW137" i="3"/>
  <c r="HX137" i="3"/>
  <c r="HY137" i="3"/>
  <c r="HZ137" i="3"/>
  <c r="IA137" i="3"/>
  <c r="IB137" i="3"/>
  <c r="IC137" i="3"/>
  <c r="ID137" i="3"/>
  <c r="IE137" i="3"/>
  <c r="IF137" i="3"/>
  <c r="IG137" i="3"/>
  <c r="IH137" i="3"/>
  <c r="II137" i="3"/>
  <c r="IJ137" i="3"/>
  <c r="IK137" i="3"/>
  <c r="IL137" i="3"/>
  <c r="IM137" i="3"/>
  <c r="IN137" i="3"/>
  <c r="IO137" i="3"/>
  <c r="IP137" i="3"/>
  <c r="IQ137" i="3"/>
  <c r="IR137" i="3"/>
  <c r="IS137" i="3"/>
  <c r="IT137" i="3"/>
  <c r="IU137" i="3"/>
  <c r="IV137" i="3"/>
  <c r="A136" i="3"/>
  <c r="B136" i="3"/>
  <c r="C136" i="3"/>
  <c r="D136" i="3"/>
  <c r="E136" i="3"/>
  <c r="F136" i="3"/>
  <c r="G136" i="3"/>
  <c r="H136" i="3"/>
  <c r="I136" i="3"/>
  <c r="J136" i="3"/>
  <c r="K136" i="3"/>
  <c r="L136" i="3"/>
  <c r="M136" i="3"/>
  <c r="N136" i="3"/>
  <c r="O136" i="3"/>
  <c r="P136" i="3"/>
  <c r="Q136" i="3"/>
  <c r="R136" i="3"/>
  <c r="S136" i="3"/>
  <c r="T136" i="3"/>
  <c r="U136" i="3"/>
  <c r="V136" i="3"/>
  <c r="W136" i="3"/>
  <c r="X136" i="3"/>
  <c r="Y136" i="3"/>
  <c r="Z136" i="3"/>
  <c r="AA136" i="3"/>
  <c r="AB136" i="3"/>
  <c r="AC136" i="3"/>
  <c r="AD136" i="3"/>
  <c r="AE136" i="3"/>
  <c r="AF136" i="3"/>
  <c r="AG136" i="3"/>
  <c r="AH136" i="3"/>
  <c r="AI136" i="3"/>
  <c r="AJ136" i="3"/>
  <c r="AK136" i="3"/>
  <c r="AL136" i="3"/>
  <c r="AM136" i="3"/>
  <c r="AN136" i="3"/>
  <c r="AO136" i="3"/>
  <c r="AP136" i="3"/>
  <c r="AQ136" i="3"/>
  <c r="AR136" i="3"/>
  <c r="AS136" i="3"/>
  <c r="AT136" i="3"/>
  <c r="AU136" i="3"/>
  <c r="AV136" i="3"/>
  <c r="AW136" i="3"/>
  <c r="AX136" i="3"/>
  <c r="AY136" i="3"/>
  <c r="AZ136" i="3"/>
  <c r="BA136" i="3"/>
  <c r="BB136" i="3"/>
  <c r="BC136" i="3"/>
  <c r="BD136" i="3"/>
  <c r="BE136" i="3"/>
  <c r="BF136" i="3"/>
  <c r="BG136" i="3"/>
  <c r="BH136" i="3"/>
  <c r="BI136" i="3"/>
  <c r="BJ136" i="3"/>
  <c r="BK136" i="3"/>
  <c r="BL136" i="3"/>
  <c r="BM136" i="3"/>
  <c r="BN136" i="3"/>
  <c r="BO136" i="3"/>
  <c r="BP136" i="3"/>
  <c r="BQ136" i="3"/>
  <c r="BR136" i="3"/>
  <c r="BS136" i="3"/>
  <c r="BT136" i="3"/>
  <c r="BU136" i="3"/>
  <c r="BV136" i="3"/>
  <c r="BW136" i="3"/>
  <c r="BX136" i="3"/>
  <c r="BY136" i="3"/>
  <c r="BZ136" i="3"/>
  <c r="CA136" i="3"/>
  <c r="CB136" i="3"/>
  <c r="CC136" i="3"/>
  <c r="CD136" i="3"/>
  <c r="CE136" i="3"/>
  <c r="CF136" i="3"/>
  <c r="CG136" i="3"/>
  <c r="CH136" i="3"/>
  <c r="CI136" i="3"/>
  <c r="CJ136" i="3"/>
  <c r="CK136" i="3"/>
  <c r="CL136" i="3"/>
  <c r="CM136" i="3"/>
  <c r="CN136" i="3"/>
  <c r="CO136" i="3"/>
  <c r="CP136" i="3"/>
  <c r="CQ136" i="3"/>
  <c r="CR136" i="3"/>
  <c r="CS136" i="3"/>
  <c r="CT136" i="3"/>
  <c r="CU136" i="3"/>
  <c r="CV136" i="3"/>
  <c r="CW136" i="3"/>
  <c r="CX136" i="3"/>
  <c r="CY136" i="3"/>
  <c r="CZ136" i="3"/>
  <c r="DA136" i="3"/>
  <c r="DB136" i="3"/>
  <c r="DC136" i="3"/>
  <c r="DD136" i="3"/>
  <c r="DE136" i="3"/>
  <c r="DF136" i="3"/>
  <c r="DG136" i="3"/>
  <c r="DH136" i="3"/>
  <c r="DI136" i="3"/>
  <c r="DJ136" i="3"/>
  <c r="DK136" i="3"/>
  <c r="DL136" i="3"/>
  <c r="DM136" i="3"/>
  <c r="DN136" i="3"/>
  <c r="DO136" i="3"/>
  <c r="DP136" i="3"/>
  <c r="DQ136" i="3"/>
  <c r="DR136" i="3"/>
  <c r="DS136" i="3"/>
  <c r="DT136" i="3"/>
  <c r="DU136" i="3"/>
  <c r="DV136" i="3"/>
  <c r="DW136" i="3"/>
  <c r="DX136" i="3"/>
  <c r="DY136" i="3"/>
  <c r="DZ136" i="3"/>
  <c r="EA136" i="3"/>
  <c r="EB136" i="3"/>
  <c r="EC136" i="3"/>
  <c r="ED136" i="3"/>
  <c r="EE136" i="3"/>
  <c r="EF136" i="3"/>
  <c r="EG136" i="3"/>
  <c r="EH136" i="3"/>
  <c r="EI136" i="3"/>
  <c r="EJ136" i="3"/>
  <c r="EK136" i="3"/>
  <c r="EL136" i="3"/>
  <c r="EM136" i="3"/>
  <c r="EN136" i="3"/>
  <c r="EO136" i="3"/>
  <c r="EP136" i="3"/>
  <c r="EQ136" i="3"/>
  <c r="ER136" i="3"/>
  <c r="ES136" i="3"/>
  <c r="ET136" i="3"/>
  <c r="EU136" i="3"/>
  <c r="EV136" i="3"/>
  <c r="EW136" i="3"/>
  <c r="EX136" i="3"/>
  <c r="EY136" i="3"/>
  <c r="EZ136" i="3"/>
  <c r="FA136" i="3"/>
  <c r="FB136" i="3"/>
  <c r="FC136" i="3"/>
  <c r="FD136" i="3"/>
  <c r="FE136" i="3"/>
  <c r="FF136" i="3"/>
  <c r="FG136" i="3"/>
  <c r="FH136" i="3"/>
  <c r="FI136" i="3"/>
  <c r="FJ136" i="3"/>
  <c r="FK136" i="3"/>
  <c r="FL136" i="3"/>
  <c r="FM136" i="3"/>
  <c r="FN136" i="3"/>
  <c r="FO136" i="3"/>
  <c r="FP136" i="3"/>
  <c r="FQ136" i="3"/>
  <c r="FR136" i="3"/>
  <c r="FS136" i="3"/>
  <c r="FT136" i="3"/>
  <c r="FU136" i="3"/>
  <c r="FV136" i="3"/>
  <c r="FW136" i="3"/>
  <c r="FX136" i="3"/>
  <c r="FY136" i="3"/>
  <c r="FZ136" i="3"/>
  <c r="GA136" i="3"/>
  <c r="GB136" i="3"/>
  <c r="GC136" i="3"/>
  <c r="GD136" i="3"/>
  <c r="GE136" i="3"/>
  <c r="GF136" i="3"/>
  <c r="GG136" i="3"/>
  <c r="GH136" i="3"/>
  <c r="GI136" i="3"/>
  <c r="GJ136" i="3"/>
  <c r="GK136" i="3"/>
  <c r="GL136" i="3"/>
  <c r="GM136" i="3"/>
  <c r="GN136" i="3"/>
  <c r="GO136" i="3"/>
  <c r="GP136" i="3"/>
  <c r="GQ136" i="3"/>
  <c r="GR136" i="3"/>
  <c r="GS136" i="3"/>
  <c r="GT136" i="3"/>
  <c r="GU136" i="3"/>
  <c r="GV136" i="3"/>
  <c r="GW136" i="3"/>
  <c r="GX136" i="3"/>
  <c r="GY136" i="3"/>
  <c r="GZ136" i="3"/>
  <c r="HA136" i="3"/>
  <c r="HB136" i="3"/>
  <c r="HC136" i="3"/>
  <c r="HD136" i="3"/>
  <c r="HE136" i="3"/>
  <c r="HF136" i="3"/>
  <c r="HG136" i="3"/>
  <c r="HH136" i="3"/>
  <c r="HI136" i="3"/>
  <c r="HJ136" i="3"/>
  <c r="HK136" i="3"/>
  <c r="HL136" i="3"/>
  <c r="HM136" i="3"/>
  <c r="HN136" i="3"/>
  <c r="HO136" i="3"/>
  <c r="HP136" i="3"/>
  <c r="HQ136" i="3"/>
  <c r="HR136" i="3"/>
  <c r="HS136" i="3"/>
  <c r="HT136" i="3"/>
  <c r="HU136" i="3"/>
  <c r="HV136" i="3"/>
  <c r="HW136" i="3"/>
  <c r="HX136" i="3"/>
  <c r="HY136" i="3"/>
  <c r="HZ136" i="3"/>
  <c r="IA136" i="3"/>
  <c r="IB136" i="3"/>
  <c r="IC136" i="3"/>
  <c r="ID136" i="3"/>
  <c r="IE136" i="3"/>
  <c r="IF136" i="3"/>
  <c r="IG136" i="3"/>
  <c r="IH136" i="3"/>
  <c r="II136" i="3"/>
  <c r="IJ136" i="3"/>
  <c r="IK136" i="3"/>
  <c r="IL136" i="3"/>
  <c r="IM136" i="3"/>
  <c r="IN136" i="3"/>
  <c r="IO136" i="3"/>
  <c r="IP136" i="3"/>
  <c r="IQ136" i="3"/>
  <c r="IR136" i="3"/>
  <c r="IS136" i="3"/>
  <c r="IT136" i="3"/>
  <c r="IU136" i="3"/>
  <c r="IV136" i="3"/>
  <c r="A135" i="3"/>
  <c r="B135" i="3"/>
  <c r="C135" i="3"/>
  <c r="D135" i="3"/>
  <c r="E135" i="3"/>
  <c r="F135" i="3"/>
  <c r="G135" i="3"/>
  <c r="H135" i="3"/>
  <c r="I135" i="3"/>
  <c r="J135" i="3"/>
  <c r="K135" i="3"/>
  <c r="L135" i="3"/>
  <c r="M135" i="3"/>
  <c r="N135" i="3"/>
  <c r="O135" i="3"/>
  <c r="P135" i="3"/>
  <c r="Q135" i="3"/>
  <c r="R135" i="3"/>
  <c r="S135" i="3"/>
  <c r="T135" i="3"/>
  <c r="U135" i="3"/>
  <c r="V135" i="3"/>
  <c r="W135" i="3"/>
  <c r="X135" i="3"/>
  <c r="Y135" i="3"/>
  <c r="Z135" i="3"/>
  <c r="AA135" i="3"/>
  <c r="AB135" i="3"/>
  <c r="AC135" i="3"/>
  <c r="AD135" i="3"/>
  <c r="AE135" i="3"/>
  <c r="AF135" i="3"/>
  <c r="AG135" i="3"/>
  <c r="AH135" i="3"/>
  <c r="AI135" i="3"/>
  <c r="AJ135" i="3"/>
  <c r="AK135" i="3"/>
  <c r="AL135" i="3"/>
  <c r="AM135" i="3"/>
  <c r="AN135" i="3"/>
  <c r="AO135" i="3"/>
  <c r="AP135" i="3"/>
  <c r="AQ135" i="3"/>
  <c r="AR135" i="3"/>
  <c r="AS135" i="3"/>
  <c r="AT135" i="3"/>
  <c r="AU135" i="3"/>
  <c r="AV135" i="3"/>
  <c r="AW135" i="3"/>
  <c r="AX135" i="3"/>
  <c r="AY135" i="3"/>
  <c r="AZ135" i="3"/>
  <c r="BA135" i="3"/>
  <c r="BB135" i="3"/>
  <c r="BC135" i="3"/>
  <c r="BD135" i="3"/>
  <c r="BE135" i="3"/>
  <c r="BF135" i="3"/>
  <c r="BG135" i="3"/>
  <c r="BH135" i="3"/>
  <c r="BI135" i="3"/>
  <c r="BJ135" i="3"/>
  <c r="BK135" i="3"/>
  <c r="BL135" i="3"/>
  <c r="BM135" i="3"/>
  <c r="BN135" i="3"/>
  <c r="BO135" i="3"/>
  <c r="BP135" i="3"/>
  <c r="BQ135" i="3"/>
  <c r="BR135" i="3"/>
  <c r="BS135" i="3"/>
  <c r="BT135" i="3"/>
  <c r="BU135" i="3"/>
  <c r="BV135" i="3"/>
  <c r="BW135" i="3"/>
  <c r="BX135" i="3"/>
  <c r="BY135" i="3"/>
  <c r="BZ135" i="3"/>
  <c r="CA135" i="3"/>
  <c r="CB135" i="3"/>
  <c r="CC135" i="3"/>
  <c r="CD135" i="3"/>
  <c r="CE135" i="3"/>
  <c r="CF135" i="3"/>
  <c r="CG135" i="3"/>
  <c r="CH135" i="3"/>
  <c r="CI135" i="3"/>
  <c r="CJ135" i="3"/>
  <c r="CK135" i="3"/>
  <c r="CL135" i="3"/>
  <c r="CM135" i="3"/>
  <c r="CN135" i="3"/>
  <c r="CO135" i="3"/>
  <c r="CP135" i="3"/>
  <c r="CQ135" i="3"/>
  <c r="CR135" i="3"/>
  <c r="CS135" i="3"/>
  <c r="CT135" i="3"/>
  <c r="CU135" i="3"/>
  <c r="CV135" i="3"/>
  <c r="CW135" i="3"/>
  <c r="CX135" i="3"/>
  <c r="CY135" i="3"/>
  <c r="CZ135" i="3"/>
  <c r="DA135" i="3"/>
  <c r="DB135" i="3"/>
  <c r="DC135" i="3"/>
  <c r="DD135" i="3"/>
  <c r="DE135" i="3"/>
  <c r="DF135" i="3"/>
  <c r="DG135" i="3"/>
  <c r="DH135" i="3"/>
  <c r="DI135" i="3"/>
  <c r="DJ135" i="3"/>
  <c r="DK135" i="3"/>
  <c r="DL135" i="3"/>
  <c r="DM135" i="3"/>
  <c r="DN135" i="3"/>
  <c r="DO135" i="3"/>
  <c r="DP135" i="3"/>
  <c r="DQ135" i="3"/>
  <c r="DR135" i="3"/>
  <c r="DS135" i="3"/>
  <c r="DT135" i="3"/>
  <c r="DU135" i="3"/>
  <c r="DV135" i="3"/>
  <c r="DW135" i="3"/>
  <c r="DX135" i="3"/>
  <c r="DY135" i="3"/>
  <c r="DZ135" i="3"/>
  <c r="EA135" i="3"/>
  <c r="EB135" i="3"/>
  <c r="EC135" i="3"/>
  <c r="ED135" i="3"/>
  <c r="EE135" i="3"/>
  <c r="EF135" i="3"/>
  <c r="EG135" i="3"/>
  <c r="EH135" i="3"/>
  <c r="EI135" i="3"/>
  <c r="EJ135" i="3"/>
  <c r="EK135" i="3"/>
  <c r="EL135" i="3"/>
  <c r="EM135" i="3"/>
  <c r="EN135" i="3"/>
  <c r="EO135" i="3"/>
  <c r="EP135" i="3"/>
  <c r="EQ135" i="3"/>
  <c r="ER135" i="3"/>
  <c r="ES135" i="3"/>
  <c r="ET135" i="3"/>
  <c r="EU135" i="3"/>
  <c r="EV135" i="3"/>
  <c r="EW135" i="3"/>
  <c r="EX135" i="3"/>
  <c r="EY135" i="3"/>
  <c r="EZ135" i="3"/>
  <c r="FA135" i="3"/>
  <c r="FB135" i="3"/>
  <c r="FC135" i="3"/>
  <c r="FD135" i="3"/>
  <c r="FE135" i="3"/>
  <c r="FF135" i="3"/>
  <c r="FG135" i="3"/>
  <c r="FH135" i="3"/>
  <c r="FI135" i="3"/>
  <c r="FJ135" i="3"/>
  <c r="FK135" i="3"/>
  <c r="FL135" i="3"/>
  <c r="FM135" i="3"/>
  <c r="FN135" i="3"/>
  <c r="FO135" i="3"/>
  <c r="FP135" i="3"/>
  <c r="FQ135" i="3"/>
  <c r="FR135" i="3"/>
  <c r="FS135" i="3"/>
  <c r="FT135" i="3"/>
  <c r="FU135" i="3"/>
  <c r="FV135" i="3"/>
  <c r="FW135" i="3"/>
  <c r="FX135" i="3"/>
  <c r="FY135" i="3"/>
  <c r="FZ135" i="3"/>
  <c r="GA135" i="3"/>
  <c r="GB135" i="3"/>
  <c r="GC135" i="3"/>
  <c r="GD135" i="3"/>
  <c r="GE135" i="3"/>
  <c r="GF135" i="3"/>
  <c r="GG135" i="3"/>
  <c r="GH135" i="3"/>
  <c r="GI135" i="3"/>
  <c r="GJ135" i="3"/>
  <c r="GK135" i="3"/>
  <c r="GL135" i="3"/>
  <c r="GM135" i="3"/>
  <c r="GN135" i="3"/>
  <c r="GO135" i="3"/>
  <c r="GP135" i="3"/>
  <c r="GQ135" i="3"/>
  <c r="GR135" i="3"/>
  <c r="GS135" i="3"/>
  <c r="GT135" i="3"/>
  <c r="GU135" i="3"/>
  <c r="GV135" i="3"/>
  <c r="GW135" i="3"/>
  <c r="GX135" i="3"/>
  <c r="GY135" i="3"/>
  <c r="GZ135" i="3"/>
  <c r="HA135" i="3"/>
  <c r="HB135" i="3"/>
  <c r="HC135" i="3"/>
  <c r="HD135" i="3"/>
  <c r="HE135" i="3"/>
  <c r="HF135" i="3"/>
  <c r="HG135" i="3"/>
  <c r="HH135" i="3"/>
  <c r="HI135" i="3"/>
  <c r="HJ135" i="3"/>
  <c r="HK135" i="3"/>
  <c r="HL135" i="3"/>
  <c r="HM135" i="3"/>
  <c r="HN135" i="3"/>
  <c r="HO135" i="3"/>
  <c r="HP135" i="3"/>
  <c r="HQ135" i="3"/>
  <c r="HR135" i="3"/>
  <c r="HS135" i="3"/>
  <c r="HT135" i="3"/>
  <c r="HU135" i="3"/>
  <c r="HV135" i="3"/>
  <c r="HW135" i="3"/>
  <c r="HX135" i="3"/>
  <c r="HY135" i="3"/>
  <c r="HZ135" i="3"/>
  <c r="IA135" i="3"/>
  <c r="IB135" i="3"/>
  <c r="IC135" i="3"/>
  <c r="ID135" i="3"/>
  <c r="IE135" i="3"/>
  <c r="IF135" i="3"/>
  <c r="IG135" i="3"/>
  <c r="IH135" i="3"/>
  <c r="II135" i="3"/>
  <c r="IJ135" i="3"/>
  <c r="IK135" i="3"/>
  <c r="IL135" i="3"/>
  <c r="IM135" i="3"/>
  <c r="IN135" i="3"/>
  <c r="IO135" i="3"/>
  <c r="IP135" i="3"/>
  <c r="IQ135" i="3"/>
  <c r="IR135" i="3"/>
  <c r="IS135" i="3"/>
  <c r="IT135" i="3"/>
  <c r="IU135" i="3"/>
  <c r="IV135" i="3"/>
  <c r="A134" i="3"/>
  <c r="B134" i="3"/>
  <c r="C134" i="3"/>
  <c r="D134" i="3"/>
  <c r="E134" i="3"/>
  <c r="F134" i="3"/>
  <c r="G134" i="3"/>
  <c r="H134" i="3"/>
  <c r="I134" i="3"/>
  <c r="J134" i="3"/>
  <c r="K134" i="3"/>
  <c r="L134" i="3"/>
  <c r="M134" i="3"/>
  <c r="N134" i="3"/>
  <c r="O134" i="3"/>
  <c r="P134" i="3"/>
  <c r="Q134" i="3"/>
  <c r="R134" i="3"/>
  <c r="S134" i="3"/>
  <c r="T134" i="3"/>
  <c r="U134" i="3"/>
  <c r="V134" i="3"/>
  <c r="W134" i="3"/>
  <c r="X134" i="3"/>
  <c r="Y134" i="3"/>
  <c r="Z134" i="3"/>
  <c r="AA134" i="3"/>
  <c r="AB134" i="3"/>
  <c r="AC134" i="3"/>
  <c r="AD134" i="3"/>
  <c r="AE134" i="3"/>
  <c r="AF134" i="3"/>
  <c r="AG134" i="3"/>
  <c r="AH134" i="3"/>
  <c r="AI134" i="3"/>
  <c r="AJ134" i="3"/>
  <c r="AK134" i="3"/>
  <c r="AL134" i="3"/>
  <c r="AM134" i="3"/>
  <c r="AN134" i="3"/>
  <c r="AO134" i="3"/>
  <c r="AP134" i="3"/>
  <c r="AQ134" i="3"/>
  <c r="AR134" i="3"/>
  <c r="AS134" i="3"/>
  <c r="AT134" i="3"/>
  <c r="AU134" i="3"/>
  <c r="AV134" i="3"/>
  <c r="AW134" i="3"/>
  <c r="AX134" i="3"/>
  <c r="AY134" i="3"/>
  <c r="AZ134" i="3"/>
  <c r="BA134" i="3"/>
  <c r="BB134" i="3"/>
  <c r="BC134" i="3"/>
  <c r="BD134" i="3"/>
  <c r="BE134" i="3"/>
  <c r="BF134" i="3"/>
  <c r="BG134" i="3"/>
  <c r="BH134" i="3"/>
  <c r="BI134" i="3"/>
  <c r="BJ134" i="3"/>
  <c r="BK134" i="3"/>
  <c r="BL134" i="3"/>
  <c r="BM134" i="3"/>
  <c r="BN134" i="3"/>
  <c r="BO134" i="3"/>
  <c r="BP134" i="3"/>
  <c r="BQ134" i="3"/>
  <c r="BR134" i="3"/>
  <c r="BS134" i="3"/>
  <c r="BT134" i="3"/>
  <c r="BU134" i="3"/>
  <c r="BV134" i="3"/>
  <c r="BW134" i="3"/>
  <c r="BX134" i="3"/>
  <c r="BY134" i="3"/>
  <c r="BZ134" i="3"/>
  <c r="CA134" i="3"/>
  <c r="CB134" i="3"/>
  <c r="CC134" i="3"/>
  <c r="CD134" i="3"/>
  <c r="CE134" i="3"/>
  <c r="CF134" i="3"/>
  <c r="CG134" i="3"/>
  <c r="CH134" i="3"/>
  <c r="CI134" i="3"/>
  <c r="CJ134" i="3"/>
  <c r="CK134" i="3"/>
  <c r="CL134" i="3"/>
  <c r="CM134" i="3"/>
  <c r="CN134" i="3"/>
  <c r="CO134" i="3"/>
  <c r="CP134" i="3"/>
  <c r="CQ134" i="3"/>
  <c r="CR134" i="3"/>
  <c r="CS134" i="3"/>
  <c r="CT134" i="3"/>
  <c r="CU134" i="3"/>
  <c r="CV134" i="3"/>
  <c r="CW134" i="3"/>
  <c r="CX134" i="3"/>
  <c r="CY134" i="3"/>
  <c r="CZ134" i="3"/>
  <c r="DA134" i="3"/>
  <c r="DB134" i="3"/>
  <c r="DC134" i="3"/>
  <c r="DD134" i="3"/>
  <c r="DE134" i="3"/>
  <c r="DF134" i="3"/>
  <c r="DG134" i="3"/>
  <c r="DH134" i="3"/>
  <c r="DI134" i="3"/>
  <c r="DJ134" i="3"/>
  <c r="DK134" i="3"/>
  <c r="DL134" i="3"/>
  <c r="DM134" i="3"/>
  <c r="DN134" i="3"/>
  <c r="DO134" i="3"/>
  <c r="DP134" i="3"/>
  <c r="DQ134" i="3"/>
  <c r="DR134" i="3"/>
  <c r="DS134" i="3"/>
  <c r="DT134" i="3"/>
  <c r="DU134" i="3"/>
  <c r="DV134" i="3"/>
  <c r="DW134" i="3"/>
  <c r="DX134" i="3"/>
  <c r="DY134" i="3"/>
  <c r="DZ134" i="3"/>
  <c r="EA134" i="3"/>
  <c r="EB134" i="3"/>
  <c r="EC134" i="3"/>
  <c r="ED134" i="3"/>
  <c r="EE134" i="3"/>
  <c r="EF134" i="3"/>
  <c r="EG134" i="3"/>
  <c r="EH134" i="3"/>
  <c r="EI134" i="3"/>
  <c r="EJ134" i="3"/>
  <c r="EK134" i="3"/>
  <c r="EL134" i="3"/>
  <c r="EM134" i="3"/>
  <c r="EN134" i="3"/>
  <c r="EO134" i="3"/>
  <c r="EP134" i="3"/>
  <c r="EQ134" i="3"/>
  <c r="ER134" i="3"/>
  <c r="ES134" i="3"/>
  <c r="ET134" i="3"/>
  <c r="EU134" i="3"/>
  <c r="EV134" i="3"/>
  <c r="EW134" i="3"/>
  <c r="EX134" i="3"/>
  <c r="EY134" i="3"/>
  <c r="EZ134" i="3"/>
  <c r="FA134" i="3"/>
  <c r="FB134" i="3"/>
  <c r="FC134" i="3"/>
  <c r="FD134" i="3"/>
  <c r="FE134" i="3"/>
  <c r="FF134" i="3"/>
  <c r="FG134" i="3"/>
  <c r="FH134" i="3"/>
  <c r="FI134" i="3"/>
  <c r="FJ134" i="3"/>
  <c r="FK134" i="3"/>
  <c r="FL134" i="3"/>
  <c r="FM134" i="3"/>
  <c r="FN134" i="3"/>
  <c r="FO134" i="3"/>
  <c r="FP134" i="3"/>
  <c r="FQ134" i="3"/>
  <c r="FR134" i="3"/>
  <c r="FS134" i="3"/>
  <c r="FT134" i="3"/>
  <c r="FU134" i="3"/>
  <c r="FV134" i="3"/>
  <c r="FW134" i="3"/>
  <c r="FX134" i="3"/>
  <c r="FY134" i="3"/>
  <c r="FZ134" i="3"/>
  <c r="GA134" i="3"/>
  <c r="GB134" i="3"/>
  <c r="GC134" i="3"/>
  <c r="GD134" i="3"/>
  <c r="GE134" i="3"/>
  <c r="GF134" i="3"/>
  <c r="GG134" i="3"/>
  <c r="GH134" i="3"/>
  <c r="GI134" i="3"/>
  <c r="GJ134" i="3"/>
  <c r="GK134" i="3"/>
  <c r="GL134" i="3"/>
  <c r="GM134" i="3"/>
  <c r="GN134" i="3"/>
  <c r="GO134" i="3"/>
  <c r="GP134" i="3"/>
  <c r="GQ134" i="3"/>
  <c r="GR134" i="3"/>
  <c r="GS134" i="3"/>
  <c r="GT134" i="3"/>
  <c r="GU134" i="3"/>
  <c r="GV134" i="3"/>
  <c r="GW134" i="3"/>
  <c r="GX134" i="3"/>
  <c r="GY134" i="3"/>
  <c r="GZ134" i="3"/>
  <c r="HA134" i="3"/>
  <c r="HB134" i="3"/>
  <c r="HC134" i="3"/>
  <c r="HD134" i="3"/>
  <c r="HE134" i="3"/>
  <c r="HF134" i="3"/>
  <c r="HG134" i="3"/>
  <c r="HH134" i="3"/>
  <c r="HI134" i="3"/>
  <c r="HJ134" i="3"/>
  <c r="HK134" i="3"/>
  <c r="HL134" i="3"/>
  <c r="HM134" i="3"/>
  <c r="HN134" i="3"/>
  <c r="HO134" i="3"/>
  <c r="HP134" i="3"/>
  <c r="HQ134" i="3"/>
  <c r="HR134" i="3"/>
  <c r="HS134" i="3"/>
  <c r="HT134" i="3"/>
  <c r="HU134" i="3"/>
  <c r="HV134" i="3"/>
  <c r="HW134" i="3"/>
  <c r="HX134" i="3"/>
  <c r="HY134" i="3"/>
  <c r="HZ134" i="3"/>
  <c r="IA134" i="3"/>
  <c r="IB134" i="3"/>
  <c r="IC134" i="3"/>
  <c r="ID134" i="3"/>
  <c r="IE134" i="3"/>
  <c r="IF134" i="3"/>
  <c r="IG134" i="3"/>
  <c r="IH134" i="3"/>
  <c r="II134" i="3"/>
  <c r="IJ134" i="3"/>
  <c r="IK134" i="3"/>
  <c r="IL134" i="3"/>
  <c r="IM134" i="3"/>
  <c r="IN134" i="3"/>
  <c r="IO134" i="3"/>
  <c r="IP134" i="3"/>
  <c r="IQ134" i="3"/>
  <c r="IR134" i="3"/>
  <c r="IS134" i="3"/>
  <c r="IT134" i="3"/>
  <c r="IU134" i="3"/>
  <c r="IV134" i="3"/>
  <c r="A133" i="3"/>
  <c r="B133" i="3"/>
  <c r="C133" i="3"/>
  <c r="D133" i="3"/>
  <c r="E133" i="3"/>
  <c r="F133" i="3"/>
  <c r="G133" i="3"/>
  <c r="H133" i="3"/>
  <c r="I133" i="3"/>
  <c r="J133" i="3"/>
  <c r="K133" i="3"/>
  <c r="L133" i="3"/>
  <c r="M133" i="3"/>
  <c r="N133" i="3"/>
  <c r="O133" i="3"/>
  <c r="P133" i="3"/>
  <c r="Q133" i="3"/>
  <c r="R133" i="3"/>
  <c r="S133" i="3"/>
  <c r="T133" i="3"/>
  <c r="U133" i="3"/>
  <c r="V133" i="3"/>
  <c r="W133" i="3"/>
  <c r="X133" i="3"/>
  <c r="Y133" i="3"/>
  <c r="Z133" i="3"/>
  <c r="AA133" i="3"/>
  <c r="AB133" i="3"/>
  <c r="AC133" i="3"/>
  <c r="AD133" i="3"/>
  <c r="AE133" i="3"/>
  <c r="AF133" i="3"/>
  <c r="AG133" i="3"/>
  <c r="AH133" i="3"/>
  <c r="AI133" i="3"/>
  <c r="AJ133" i="3"/>
  <c r="AK133" i="3"/>
  <c r="AL133" i="3"/>
  <c r="AM133" i="3"/>
  <c r="AN133" i="3"/>
  <c r="AO133" i="3"/>
  <c r="AP133" i="3"/>
  <c r="AQ133" i="3"/>
  <c r="AR133" i="3"/>
  <c r="AS133" i="3"/>
  <c r="AT133" i="3"/>
  <c r="AU133" i="3"/>
  <c r="AV133" i="3"/>
  <c r="AW133" i="3"/>
  <c r="AX133" i="3"/>
  <c r="AY133" i="3"/>
  <c r="AZ133" i="3"/>
  <c r="BA133" i="3"/>
  <c r="BB133" i="3"/>
  <c r="BC133" i="3"/>
  <c r="BD133" i="3"/>
  <c r="BE133" i="3"/>
  <c r="BF133" i="3"/>
  <c r="BG133" i="3"/>
  <c r="BH133" i="3"/>
  <c r="BI133" i="3"/>
  <c r="BJ133" i="3"/>
  <c r="BK133" i="3"/>
  <c r="BL133" i="3"/>
  <c r="BM133" i="3"/>
  <c r="BN133" i="3"/>
  <c r="BO133" i="3"/>
  <c r="BP133" i="3"/>
  <c r="BQ133" i="3"/>
  <c r="BR133" i="3"/>
  <c r="BS133" i="3"/>
  <c r="BT133" i="3"/>
  <c r="BU133" i="3"/>
  <c r="BV133" i="3"/>
  <c r="BW133" i="3"/>
  <c r="BX133" i="3"/>
  <c r="BY133" i="3"/>
  <c r="BZ133" i="3"/>
  <c r="CA133" i="3"/>
  <c r="CB133" i="3"/>
  <c r="CC133" i="3"/>
  <c r="CD133" i="3"/>
  <c r="CE133" i="3"/>
  <c r="CF133" i="3"/>
  <c r="CG133" i="3"/>
  <c r="CH133" i="3"/>
  <c r="CI133" i="3"/>
  <c r="CJ133" i="3"/>
  <c r="CK133" i="3"/>
  <c r="CL133" i="3"/>
  <c r="CM133" i="3"/>
  <c r="CN133" i="3"/>
  <c r="CO133" i="3"/>
  <c r="CP133" i="3"/>
  <c r="CQ133" i="3"/>
  <c r="CR133" i="3"/>
  <c r="CS133" i="3"/>
  <c r="CT133" i="3"/>
  <c r="CU133" i="3"/>
  <c r="CV133" i="3"/>
  <c r="CW133" i="3"/>
  <c r="CX133" i="3"/>
  <c r="CY133" i="3"/>
  <c r="CZ133" i="3"/>
  <c r="DA133" i="3"/>
  <c r="DB133" i="3"/>
  <c r="DC133" i="3"/>
  <c r="DD133" i="3"/>
  <c r="DE133" i="3"/>
  <c r="DF133" i="3"/>
  <c r="DG133" i="3"/>
  <c r="DH133" i="3"/>
  <c r="DI133" i="3"/>
  <c r="DJ133" i="3"/>
  <c r="DK133" i="3"/>
  <c r="DL133" i="3"/>
  <c r="DM133" i="3"/>
  <c r="DN133" i="3"/>
  <c r="DO133" i="3"/>
  <c r="DP133" i="3"/>
  <c r="DQ133" i="3"/>
  <c r="DR133" i="3"/>
  <c r="DS133" i="3"/>
  <c r="DT133" i="3"/>
  <c r="DU133" i="3"/>
  <c r="DV133" i="3"/>
  <c r="DW133" i="3"/>
  <c r="DX133" i="3"/>
  <c r="DY133" i="3"/>
  <c r="DZ133" i="3"/>
  <c r="EA133" i="3"/>
  <c r="EB133" i="3"/>
  <c r="EC133" i="3"/>
  <c r="ED133" i="3"/>
  <c r="EE133" i="3"/>
  <c r="EF133" i="3"/>
  <c r="EG133" i="3"/>
  <c r="EH133" i="3"/>
  <c r="EI133" i="3"/>
  <c r="EJ133" i="3"/>
  <c r="EK133" i="3"/>
  <c r="EL133" i="3"/>
  <c r="EM133" i="3"/>
  <c r="EN133" i="3"/>
  <c r="EO133" i="3"/>
  <c r="EP133" i="3"/>
  <c r="EQ133" i="3"/>
  <c r="ER133" i="3"/>
  <c r="ES133" i="3"/>
  <c r="ET133" i="3"/>
  <c r="EU133" i="3"/>
  <c r="EV133" i="3"/>
  <c r="EW133" i="3"/>
  <c r="EX133" i="3"/>
  <c r="EY133" i="3"/>
  <c r="EZ133" i="3"/>
  <c r="FA133" i="3"/>
  <c r="FB133" i="3"/>
  <c r="FC133" i="3"/>
  <c r="FD133" i="3"/>
  <c r="FE133" i="3"/>
  <c r="FF133" i="3"/>
  <c r="FG133" i="3"/>
  <c r="FH133" i="3"/>
  <c r="FI133" i="3"/>
  <c r="FJ133" i="3"/>
  <c r="FK133" i="3"/>
  <c r="FL133" i="3"/>
  <c r="FM133" i="3"/>
  <c r="FN133" i="3"/>
  <c r="FO133" i="3"/>
  <c r="FP133" i="3"/>
  <c r="FQ133" i="3"/>
  <c r="FR133" i="3"/>
  <c r="FS133" i="3"/>
  <c r="FT133" i="3"/>
  <c r="FU133" i="3"/>
  <c r="FV133" i="3"/>
  <c r="FW133" i="3"/>
  <c r="FX133" i="3"/>
  <c r="FY133" i="3"/>
  <c r="FZ133" i="3"/>
  <c r="GA133" i="3"/>
  <c r="GB133" i="3"/>
  <c r="GC133" i="3"/>
  <c r="GD133" i="3"/>
  <c r="GE133" i="3"/>
  <c r="GF133" i="3"/>
  <c r="GG133" i="3"/>
  <c r="GH133" i="3"/>
  <c r="GI133" i="3"/>
  <c r="GJ133" i="3"/>
  <c r="GK133" i="3"/>
  <c r="GL133" i="3"/>
  <c r="GM133" i="3"/>
  <c r="GN133" i="3"/>
  <c r="GO133" i="3"/>
  <c r="GP133" i="3"/>
  <c r="GQ133" i="3"/>
  <c r="GR133" i="3"/>
  <c r="GS133" i="3"/>
  <c r="GT133" i="3"/>
  <c r="GU133" i="3"/>
  <c r="GV133" i="3"/>
  <c r="GW133" i="3"/>
  <c r="GX133" i="3"/>
  <c r="GY133" i="3"/>
  <c r="GZ133" i="3"/>
  <c r="HA133" i="3"/>
  <c r="HB133" i="3"/>
  <c r="HC133" i="3"/>
  <c r="HD133" i="3"/>
  <c r="HE133" i="3"/>
  <c r="HF133" i="3"/>
  <c r="HG133" i="3"/>
  <c r="HH133" i="3"/>
  <c r="HI133" i="3"/>
  <c r="HJ133" i="3"/>
  <c r="HK133" i="3"/>
  <c r="HL133" i="3"/>
  <c r="HM133" i="3"/>
  <c r="HN133" i="3"/>
  <c r="HO133" i="3"/>
  <c r="HP133" i="3"/>
  <c r="HQ133" i="3"/>
  <c r="HR133" i="3"/>
  <c r="HS133" i="3"/>
  <c r="HT133" i="3"/>
  <c r="HU133" i="3"/>
  <c r="HV133" i="3"/>
  <c r="HW133" i="3"/>
  <c r="HX133" i="3"/>
  <c r="HY133" i="3"/>
  <c r="HZ133" i="3"/>
  <c r="IA133" i="3"/>
  <c r="IB133" i="3"/>
  <c r="IC133" i="3"/>
  <c r="ID133" i="3"/>
  <c r="IE133" i="3"/>
  <c r="IF133" i="3"/>
  <c r="IG133" i="3"/>
  <c r="IH133" i="3"/>
  <c r="II133" i="3"/>
  <c r="IJ133" i="3"/>
  <c r="IK133" i="3"/>
  <c r="IL133" i="3"/>
  <c r="IM133" i="3"/>
  <c r="IN133" i="3"/>
  <c r="IO133" i="3"/>
  <c r="IP133" i="3"/>
  <c r="IQ133" i="3"/>
  <c r="IR133" i="3"/>
  <c r="IS133" i="3"/>
  <c r="IT133" i="3"/>
  <c r="IU133" i="3"/>
  <c r="IV133" i="3"/>
  <c r="A132" i="3"/>
  <c r="B132" i="3"/>
  <c r="C132" i="3"/>
  <c r="D132" i="3"/>
  <c r="E132" i="3"/>
  <c r="F132" i="3"/>
  <c r="G132" i="3"/>
  <c r="H132" i="3"/>
  <c r="I132" i="3"/>
  <c r="J132" i="3"/>
  <c r="K132" i="3"/>
  <c r="L132" i="3"/>
  <c r="M132" i="3"/>
  <c r="N132" i="3"/>
  <c r="O132" i="3"/>
  <c r="P132" i="3"/>
  <c r="Q132" i="3"/>
  <c r="R132" i="3"/>
  <c r="S132" i="3"/>
  <c r="T132" i="3"/>
  <c r="U132" i="3"/>
  <c r="V132" i="3"/>
  <c r="W132" i="3"/>
  <c r="X132" i="3"/>
  <c r="Y132" i="3"/>
  <c r="Z132" i="3"/>
  <c r="AA132" i="3"/>
  <c r="AB132" i="3"/>
  <c r="AC132" i="3"/>
  <c r="AD132" i="3"/>
  <c r="AE132" i="3"/>
  <c r="AF132" i="3"/>
  <c r="AG132" i="3"/>
  <c r="AH132" i="3"/>
  <c r="AI132" i="3"/>
  <c r="AJ132" i="3"/>
  <c r="AK132" i="3"/>
  <c r="AL132" i="3"/>
  <c r="AM132" i="3"/>
  <c r="AN132" i="3"/>
  <c r="AO132" i="3"/>
  <c r="AP132" i="3"/>
  <c r="AQ132" i="3"/>
  <c r="AR132" i="3"/>
  <c r="AS132" i="3"/>
  <c r="AT132" i="3"/>
  <c r="AU132" i="3"/>
  <c r="AV132" i="3"/>
  <c r="AW132" i="3"/>
  <c r="AX132" i="3"/>
  <c r="AY132" i="3"/>
  <c r="AZ132" i="3"/>
  <c r="BA132" i="3"/>
  <c r="BB132" i="3"/>
  <c r="BC132" i="3"/>
  <c r="BD132" i="3"/>
  <c r="BE132" i="3"/>
  <c r="BF132" i="3"/>
  <c r="BG132" i="3"/>
  <c r="BH132" i="3"/>
  <c r="BI132" i="3"/>
  <c r="BJ132" i="3"/>
  <c r="BK132" i="3"/>
  <c r="BL132" i="3"/>
  <c r="BM132" i="3"/>
  <c r="BN132" i="3"/>
  <c r="BO132" i="3"/>
  <c r="BP132" i="3"/>
  <c r="BQ132" i="3"/>
  <c r="BR132" i="3"/>
  <c r="BS132" i="3"/>
  <c r="BT132" i="3"/>
  <c r="BU132" i="3"/>
  <c r="BV132" i="3"/>
  <c r="BW132" i="3"/>
  <c r="BX132" i="3"/>
  <c r="BY132" i="3"/>
  <c r="BZ132" i="3"/>
  <c r="CA132" i="3"/>
  <c r="CB132" i="3"/>
  <c r="CC132" i="3"/>
  <c r="CD132" i="3"/>
  <c r="CE132" i="3"/>
  <c r="CF132" i="3"/>
  <c r="CG132" i="3"/>
  <c r="CH132" i="3"/>
  <c r="CI132" i="3"/>
  <c r="CJ132" i="3"/>
  <c r="CK132" i="3"/>
  <c r="CL132" i="3"/>
  <c r="CM132" i="3"/>
  <c r="CN132" i="3"/>
  <c r="CO132" i="3"/>
  <c r="CP132" i="3"/>
  <c r="CQ132" i="3"/>
  <c r="CR132" i="3"/>
  <c r="CS132" i="3"/>
  <c r="CT132" i="3"/>
  <c r="CU132" i="3"/>
  <c r="CV132" i="3"/>
  <c r="CW132" i="3"/>
  <c r="CX132" i="3"/>
  <c r="CY132" i="3"/>
  <c r="CZ132" i="3"/>
  <c r="DA132" i="3"/>
  <c r="DB132" i="3"/>
  <c r="DC132" i="3"/>
  <c r="DD132" i="3"/>
  <c r="DE132" i="3"/>
  <c r="DF132" i="3"/>
  <c r="DG132" i="3"/>
  <c r="DH132" i="3"/>
  <c r="DI132" i="3"/>
  <c r="DJ132" i="3"/>
  <c r="DK132" i="3"/>
  <c r="DL132" i="3"/>
  <c r="DM132" i="3"/>
  <c r="DN132" i="3"/>
  <c r="DO132" i="3"/>
  <c r="DP132" i="3"/>
  <c r="DQ132" i="3"/>
  <c r="DR132" i="3"/>
  <c r="DS132" i="3"/>
  <c r="DT132" i="3"/>
  <c r="DU132" i="3"/>
  <c r="DV132" i="3"/>
  <c r="DW132" i="3"/>
  <c r="DX132" i="3"/>
  <c r="DY132" i="3"/>
  <c r="DZ132" i="3"/>
  <c r="EA132" i="3"/>
  <c r="EB132" i="3"/>
  <c r="EC132" i="3"/>
  <c r="ED132" i="3"/>
  <c r="EE132" i="3"/>
  <c r="EF132" i="3"/>
  <c r="EG132" i="3"/>
  <c r="EH132" i="3"/>
  <c r="EI132" i="3"/>
  <c r="EJ132" i="3"/>
  <c r="EK132" i="3"/>
  <c r="EL132" i="3"/>
  <c r="EM132" i="3"/>
  <c r="EN132" i="3"/>
  <c r="EO132" i="3"/>
  <c r="EP132" i="3"/>
  <c r="EQ132" i="3"/>
  <c r="ER132" i="3"/>
  <c r="ES132" i="3"/>
  <c r="ET132" i="3"/>
  <c r="EU132" i="3"/>
  <c r="EV132" i="3"/>
  <c r="EW132" i="3"/>
  <c r="EX132" i="3"/>
  <c r="EY132" i="3"/>
  <c r="EZ132" i="3"/>
  <c r="FA132" i="3"/>
  <c r="FB132" i="3"/>
  <c r="FC132" i="3"/>
  <c r="FD132" i="3"/>
  <c r="FE132" i="3"/>
  <c r="FF132" i="3"/>
  <c r="FG132" i="3"/>
  <c r="FH132" i="3"/>
  <c r="FI132" i="3"/>
  <c r="FJ132" i="3"/>
  <c r="FK132" i="3"/>
  <c r="FL132" i="3"/>
  <c r="FM132" i="3"/>
  <c r="FN132" i="3"/>
  <c r="FO132" i="3"/>
  <c r="FP132" i="3"/>
  <c r="FQ132" i="3"/>
  <c r="FR132" i="3"/>
  <c r="FS132" i="3"/>
  <c r="FT132" i="3"/>
  <c r="FU132" i="3"/>
  <c r="FV132" i="3"/>
  <c r="FW132" i="3"/>
  <c r="FX132" i="3"/>
  <c r="FY132" i="3"/>
  <c r="FZ132" i="3"/>
  <c r="GA132" i="3"/>
  <c r="GB132" i="3"/>
  <c r="GC132" i="3"/>
  <c r="GD132" i="3"/>
  <c r="GE132" i="3"/>
  <c r="GF132" i="3"/>
  <c r="GG132" i="3"/>
  <c r="GH132" i="3"/>
  <c r="GI132" i="3"/>
  <c r="GJ132" i="3"/>
  <c r="GK132" i="3"/>
  <c r="GL132" i="3"/>
  <c r="GM132" i="3"/>
  <c r="GN132" i="3"/>
  <c r="GO132" i="3"/>
  <c r="GP132" i="3"/>
  <c r="GQ132" i="3"/>
  <c r="GR132" i="3"/>
  <c r="GS132" i="3"/>
  <c r="GT132" i="3"/>
  <c r="GU132" i="3"/>
  <c r="GV132" i="3"/>
  <c r="GW132" i="3"/>
  <c r="GX132" i="3"/>
  <c r="GY132" i="3"/>
  <c r="GZ132" i="3"/>
  <c r="HA132" i="3"/>
  <c r="HB132" i="3"/>
  <c r="HC132" i="3"/>
  <c r="HD132" i="3"/>
  <c r="HE132" i="3"/>
  <c r="HF132" i="3"/>
  <c r="HG132" i="3"/>
  <c r="HH132" i="3"/>
  <c r="HI132" i="3"/>
  <c r="HJ132" i="3"/>
  <c r="HK132" i="3"/>
  <c r="HL132" i="3"/>
  <c r="HM132" i="3"/>
  <c r="HN132" i="3"/>
  <c r="HO132" i="3"/>
  <c r="HP132" i="3"/>
  <c r="HQ132" i="3"/>
  <c r="HR132" i="3"/>
  <c r="HS132" i="3"/>
  <c r="HT132" i="3"/>
  <c r="HU132" i="3"/>
  <c r="HV132" i="3"/>
  <c r="HW132" i="3"/>
  <c r="HX132" i="3"/>
  <c r="HY132" i="3"/>
  <c r="HZ132" i="3"/>
  <c r="IA132" i="3"/>
  <c r="IB132" i="3"/>
  <c r="IC132" i="3"/>
  <c r="ID132" i="3"/>
  <c r="IE132" i="3"/>
  <c r="IF132" i="3"/>
  <c r="IG132" i="3"/>
  <c r="IH132" i="3"/>
  <c r="II132" i="3"/>
  <c r="IJ132" i="3"/>
  <c r="IK132" i="3"/>
  <c r="IL132" i="3"/>
  <c r="IM132" i="3"/>
  <c r="IN132" i="3"/>
  <c r="IO132" i="3"/>
  <c r="IP132" i="3"/>
  <c r="IQ132" i="3"/>
  <c r="IR132" i="3"/>
  <c r="IS132" i="3"/>
  <c r="IT132" i="3"/>
  <c r="IU132" i="3"/>
  <c r="IV132" i="3"/>
  <c r="A131" i="3"/>
  <c r="B131" i="3"/>
  <c r="C131" i="3"/>
  <c r="D131" i="3"/>
  <c r="E131" i="3"/>
  <c r="F131" i="3"/>
  <c r="G131" i="3"/>
  <c r="H131" i="3"/>
  <c r="I131" i="3"/>
  <c r="J131" i="3"/>
  <c r="K131" i="3"/>
  <c r="L131" i="3"/>
  <c r="M131" i="3"/>
  <c r="N131" i="3"/>
  <c r="O131" i="3"/>
  <c r="P131" i="3"/>
  <c r="Q131" i="3"/>
  <c r="R131" i="3"/>
  <c r="S131" i="3"/>
  <c r="T131" i="3"/>
  <c r="U131" i="3"/>
  <c r="V131" i="3"/>
  <c r="W131" i="3"/>
  <c r="X131" i="3"/>
  <c r="Y131" i="3"/>
  <c r="Z131" i="3"/>
  <c r="AA131" i="3"/>
  <c r="AB131" i="3"/>
  <c r="AC131" i="3"/>
  <c r="AD131" i="3"/>
  <c r="AE131" i="3"/>
  <c r="AF131" i="3"/>
  <c r="AG131" i="3"/>
  <c r="AH131" i="3"/>
  <c r="AI131" i="3"/>
  <c r="AJ131" i="3"/>
  <c r="AK131" i="3"/>
  <c r="AL131" i="3"/>
  <c r="AM131" i="3"/>
  <c r="AN131" i="3"/>
  <c r="AO131" i="3"/>
  <c r="AP131" i="3"/>
  <c r="AQ131" i="3"/>
  <c r="AR131" i="3"/>
  <c r="AS131" i="3"/>
  <c r="AT131" i="3"/>
  <c r="AU131" i="3"/>
  <c r="AV131" i="3"/>
  <c r="AW131" i="3"/>
  <c r="AX131" i="3"/>
  <c r="AY131" i="3"/>
  <c r="AZ131" i="3"/>
  <c r="BA131" i="3"/>
  <c r="BB131" i="3"/>
  <c r="BC131" i="3"/>
  <c r="BD131" i="3"/>
  <c r="BE131" i="3"/>
  <c r="BF131" i="3"/>
  <c r="BG131" i="3"/>
  <c r="BH131" i="3"/>
  <c r="BI131" i="3"/>
  <c r="BJ131" i="3"/>
  <c r="BK131" i="3"/>
  <c r="BL131" i="3"/>
  <c r="BM131" i="3"/>
  <c r="BN131" i="3"/>
  <c r="BO131" i="3"/>
  <c r="BP131" i="3"/>
  <c r="BQ131" i="3"/>
  <c r="BR131" i="3"/>
  <c r="BS131" i="3"/>
  <c r="BT131" i="3"/>
  <c r="BU131" i="3"/>
  <c r="BV131" i="3"/>
  <c r="BW131" i="3"/>
  <c r="BX131" i="3"/>
  <c r="BY131" i="3"/>
  <c r="BZ131" i="3"/>
  <c r="CA131" i="3"/>
  <c r="CB131" i="3"/>
  <c r="CC131" i="3"/>
  <c r="CD131" i="3"/>
  <c r="CE131" i="3"/>
  <c r="CF131" i="3"/>
  <c r="CG131" i="3"/>
  <c r="CH131" i="3"/>
  <c r="CI131" i="3"/>
  <c r="CJ131" i="3"/>
  <c r="CK131" i="3"/>
  <c r="CL131" i="3"/>
  <c r="CM131" i="3"/>
  <c r="CN131" i="3"/>
  <c r="CO131" i="3"/>
  <c r="CP131" i="3"/>
  <c r="CQ131" i="3"/>
  <c r="CR131" i="3"/>
  <c r="CS131" i="3"/>
  <c r="CT131" i="3"/>
  <c r="CU131" i="3"/>
  <c r="CV131" i="3"/>
  <c r="CW131" i="3"/>
  <c r="CX131" i="3"/>
  <c r="CY131" i="3"/>
  <c r="CZ131" i="3"/>
  <c r="DA131" i="3"/>
  <c r="DB131" i="3"/>
  <c r="DC131" i="3"/>
  <c r="DD131" i="3"/>
  <c r="DE131" i="3"/>
  <c r="DF131" i="3"/>
  <c r="DG131" i="3"/>
  <c r="DH131" i="3"/>
  <c r="DI131" i="3"/>
  <c r="DJ131" i="3"/>
  <c r="DK131" i="3"/>
  <c r="DL131" i="3"/>
  <c r="DM131" i="3"/>
  <c r="DN131" i="3"/>
  <c r="DO131" i="3"/>
  <c r="DP131" i="3"/>
  <c r="DQ131" i="3"/>
  <c r="DR131" i="3"/>
  <c r="DS131" i="3"/>
  <c r="DT131" i="3"/>
  <c r="DU131" i="3"/>
  <c r="DV131" i="3"/>
  <c r="DW131" i="3"/>
  <c r="DX131" i="3"/>
  <c r="DY131" i="3"/>
  <c r="DZ131" i="3"/>
  <c r="EA131" i="3"/>
  <c r="EB131" i="3"/>
  <c r="EC131" i="3"/>
  <c r="ED131" i="3"/>
  <c r="EE131" i="3"/>
  <c r="EF131" i="3"/>
  <c r="EG131" i="3"/>
  <c r="EH131" i="3"/>
  <c r="EI131" i="3"/>
  <c r="EJ131" i="3"/>
  <c r="EK131" i="3"/>
  <c r="EL131" i="3"/>
  <c r="EM131" i="3"/>
  <c r="EN131" i="3"/>
  <c r="EO131" i="3"/>
  <c r="EP131" i="3"/>
  <c r="EQ131" i="3"/>
  <c r="ER131" i="3"/>
  <c r="ES131" i="3"/>
  <c r="ET131" i="3"/>
  <c r="EU131" i="3"/>
  <c r="EV131" i="3"/>
  <c r="EW131" i="3"/>
  <c r="EX131" i="3"/>
  <c r="EY131" i="3"/>
  <c r="EZ131" i="3"/>
  <c r="FA131" i="3"/>
  <c r="FB131" i="3"/>
  <c r="FC131" i="3"/>
  <c r="FD131" i="3"/>
  <c r="FE131" i="3"/>
  <c r="FF131" i="3"/>
  <c r="FG131" i="3"/>
  <c r="FH131" i="3"/>
  <c r="FI131" i="3"/>
  <c r="FJ131" i="3"/>
  <c r="FK131" i="3"/>
  <c r="FL131" i="3"/>
  <c r="FM131" i="3"/>
  <c r="FN131" i="3"/>
  <c r="FO131" i="3"/>
  <c r="FP131" i="3"/>
  <c r="FQ131" i="3"/>
  <c r="FR131" i="3"/>
  <c r="FS131" i="3"/>
  <c r="FT131" i="3"/>
  <c r="FU131" i="3"/>
  <c r="FV131" i="3"/>
  <c r="FW131" i="3"/>
  <c r="FX131" i="3"/>
  <c r="FY131" i="3"/>
  <c r="FZ131" i="3"/>
  <c r="GA131" i="3"/>
  <c r="GB131" i="3"/>
  <c r="GC131" i="3"/>
  <c r="GD131" i="3"/>
  <c r="GE131" i="3"/>
  <c r="GF131" i="3"/>
  <c r="GG131" i="3"/>
  <c r="GH131" i="3"/>
  <c r="GI131" i="3"/>
  <c r="GJ131" i="3"/>
  <c r="GK131" i="3"/>
  <c r="GL131" i="3"/>
  <c r="GM131" i="3"/>
  <c r="GN131" i="3"/>
  <c r="GO131" i="3"/>
  <c r="GP131" i="3"/>
  <c r="GQ131" i="3"/>
  <c r="GR131" i="3"/>
  <c r="GS131" i="3"/>
  <c r="GT131" i="3"/>
  <c r="GU131" i="3"/>
  <c r="GV131" i="3"/>
  <c r="GW131" i="3"/>
  <c r="GX131" i="3"/>
  <c r="GY131" i="3"/>
  <c r="GZ131" i="3"/>
  <c r="HA131" i="3"/>
  <c r="HB131" i="3"/>
  <c r="HC131" i="3"/>
  <c r="HD131" i="3"/>
  <c r="HE131" i="3"/>
  <c r="HF131" i="3"/>
  <c r="HG131" i="3"/>
  <c r="HH131" i="3"/>
  <c r="HI131" i="3"/>
  <c r="HJ131" i="3"/>
  <c r="HK131" i="3"/>
  <c r="HL131" i="3"/>
  <c r="HM131" i="3"/>
  <c r="HN131" i="3"/>
  <c r="HO131" i="3"/>
  <c r="HP131" i="3"/>
  <c r="HQ131" i="3"/>
  <c r="HR131" i="3"/>
  <c r="HS131" i="3"/>
  <c r="HT131" i="3"/>
  <c r="HU131" i="3"/>
  <c r="HV131" i="3"/>
  <c r="HW131" i="3"/>
  <c r="HX131" i="3"/>
  <c r="HY131" i="3"/>
  <c r="HZ131" i="3"/>
  <c r="IA131" i="3"/>
  <c r="IB131" i="3"/>
  <c r="IC131" i="3"/>
  <c r="ID131" i="3"/>
  <c r="IE131" i="3"/>
  <c r="IF131" i="3"/>
  <c r="IG131" i="3"/>
  <c r="IH131" i="3"/>
  <c r="II131" i="3"/>
  <c r="IJ131" i="3"/>
  <c r="IK131" i="3"/>
  <c r="IL131" i="3"/>
  <c r="IM131" i="3"/>
  <c r="IN131" i="3"/>
  <c r="IO131" i="3"/>
  <c r="IP131" i="3"/>
  <c r="IQ131" i="3"/>
  <c r="IR131" i="3"/>
  <c r="IS131" i="3"/>
  <c r="IT131" i="3"/>
  <c r="IU131" i="3"/>
  <c r="IV131" i="3"/>
  <c r="A130" i="3"/>
  <c r="B130" i="3"/>
  <c r="C130" i="3"/>
  <c r="D130" i="3"/>
  <c r="E130" i="3"/>
  <c r="F130" i="3"/>
  <c r="G130" i="3"/>
  <c r="H130" i="3"/>
  <c r="I130" i="3"/>
  <c r="J130" i="3"/>
  <c r="K130" i="3"/>
  <c r="L130" i="3"/>
  <c r="M130" i="3"/>
  <c r="N130" i="3"/>
  <c r="O130" i="3"/>
  <c r="P130" i="3"/>
  <c r="Q130" i="3"/>
  <c r="R130" i="3"/>
  <c r="S130" i="3"/>
  <c r="T130" i="3"/>
  <c r="U130" i="3"/>
  <c r="V130" i="3"/>
  <c r="W130" i="3"/>
  <c r="X130" i="3"/>
  <c r="Y130" i="3"/>
  <c r="Z130" i="3"/>
  <c r="AA130" i="3"/>
  <c r="AB130" i="3"/>
  <c r="AC130" i="3"/>
  <c r="AD130" i="3"/>
  <c r="AE130" i="3"/>
  <c r="AF130" i="3"/>
  <c r="AG130" i="3"/>
  <c r="AH130" i="3"/>
  <c r="AI130" i="3"/>
  <c r="AJ130" i="3"/>
  <c r="AK130" i="3"/>
  <c r="AL130" i="3"/>
  <c r="AM130" i="3"/>
  <c r="AN130" i="3"/>
  <c r="AO130" i="3"/>
  <c r="AP130" i="3"/>
  <c r="AQ130" i="3"/>
  <c r="AR130" i="3"/>
  <c r="AS130" i="3"/>
  <c r="AT130" i="3"/>
  <c r="AU130" i="3"/>
  <c r="AV130" i="3"/>
  <c r="AW130" i="3"/>
  <c r="AX130" i="3"/>
  <c r="AY130" i="3"/>
  <c r="AZ130" i="3"/>
  <c r="BA130" i="3"/>
  <c r="BB130" i="3"/>
  <c r="BC130" i="3"/>
  <c r="BD130" i="3"/>
  <c r="BE130" i="3"/>
  <c r="BF130" i="3"/>
  <c r="BG130" i="3"/>
  <c r="BH130" i="3"/>
  <c r="BI130" i="3"/>
  <c r="BJ130" i="3"/>
  <c r="BK130" i="3"/>
  <c r="BL130" i="3"/>
  <c r="BM130" i="3"/>
  <c r="BN130" i="3"/>
  <c r="BO130" i="3"/>
  <c r="BP130" i="3"/>
  <c r="BQ130" i="3"/>
  <c r="BR130" i="3"/>
  <c r="BS130" i="3"/>
  <c r="BT130" i="3"/>
  <c r="BU130" i="3"/>
  <c r="BV130" i="3"/>
  <c r="BW130" i="3"/>
  <c r="BX130" i="3"/>
  <c r="BY130" i="3"/>
  <c r="BZ130" i="3"/>
  <c r="CA130" i="3"/>
  <c r="CB130" i="3"/>
  <c r="CC130" i="3"/>
  <c r="CD130" i="3"/>
  <c r="CE130" i="3"/>
  <c r="CF130" i="3"/>
  <c r="CG130" i="3"/>
  <c r="CH130" i="3"/>
  <c r="CI130" i="3"/>
  <c r="CJ130" i="3"/>
  <c r="CK130" i="3"/>
  <c r="CL130" i="3"/>
  <c r="CM130" i="3"/>
  <c r="CN130" i="3"/>
  <c r="CO130" i="3"/>
  <c r="CP130" i="3"/>
  <c r="CQ130" i="3"/>
  <c r="CR130" i="3"/>
  <c r="CS130" i="3"/>
  <c r="CT130" i="3"/>
  <c r="CU130" i="3"/>
  <c r="CV130" i="3"/>
  <c r="CW130" i="3"/>
  <c r="CX130" i="3"/>
  <c r="CY130" i="3"/>
  <c r="CZ130" i="3"/>
  <c r="DA130" i="3"/>
  <c r="DB130" i="3"/>
  <c r="DC130" i="3"/>
  <c r="DD130" i="3"/>
  <c r="DE130" i="3"/>
  <c r="DF130" i="3"/>
  <c r="DG130" i="3"/>
  <c r="DH130" i="3"/>
  <c r="DI130" i="3"/>
  <c r="DJ130" i="3"/>
  <c r="DK130" i="3"/>
  <c r="DL130" i="3"/>
  <c r="DM130" i="3"/>
  <c r="DN130" i="3"/>
  <c r="DO130" i="3"/>
  <c r="DP130" i="3"/>
  <c r="DQ130" i="3"/>
  <c r="DR130" i="3"/>
  <c r="DS130" i="3"/>
  <c r="DT130" i="3"/>
  <c r="DU130" i="3"/>
  <c r="DV130" i="3"/>
  <c r="DW130" i="3"/>
  <c r="DX130" i="3"/>
  <c r="DY130" i="3"/>
  <c r="DZ130" i="3"/>
  <c r="EA130" i="3"/>
  <c r="EB130" i="3"/>
  <c r="EC130" i="3"/>
  <c r="ED130" i="3"/>
  <c r="EE130" i="3"/>
  <c r="EF130" i="3"/>
  <c r="EG130" i="3"/>
  <c r="EH130" i="3"/>
  <c r="EI130" i="3"/>
  <c r="EJ130" i="3"/>
  <c r="EK130" i="3"/>
  <c r="EL130" i="3"/>
  <c r="EM130" i="3"/>
  <c r="EN130" i="3"/>
  <c r="EO130" i="3"/>
  <c r="EP130" i="3"/>
  <c r="EQ130" i="3"/>
  <c r="ER130" i="3"/>
  <c r="ES130" i="3"/>
  <c r="ET130" i="3"/>
  <c r="EU130" i="3"/>
  <c r="EV130" i="3"/>
  <c r="EW130" i="3"/>
  <c r="EX130" i="3"/>
  <c r="EY130" i="3"/>
  <c r="EZ130" i="3"/>
  <c r="FA130" i="3"/>
  <c r="FB130" i="3"/>
  <c r="FC130" i="3"/>
  <c r="FD130" i="3"/>
  <c r="FE130" i="3"/>
  <c r="FF130" i="3"/>
  <c r="FG130" i="3"/>
  <c r="FH130" i="3"/>
  <c r="FI130" i="3"/>
  <c r="FJ130" i="3"/>
  <c r="FK130" i="3"/>
  <c r="FL130" i="3"/>
  <c r="FM130" i="3"/>
  <c r="FN130" i="3"/>
  <c r="FO130" i="3"/>
  <c r="FP130" i="3"/>
  <c r="FQ130" i="3"/>
  <c r="FR130" i="3"/>
  <c r="FS130" i="3"/>
  <c r="FT130" i="3"/>
  <c r="FU130" i="3"/>
  <c r="FV130" i="3"/>
  <c r="FW130" i="3"/>
  <c r="FX130" i="3"/>
  <c r="FY130" i="3"/>
  <c r="FZ130" i="3"/>
  <c r="GA130" i="3"/>
  <c r="GB130" i="3"/>
  <c r="GC130" i="3"/>
  <c r="GD130" i="3"/>
  <c r="GE130" i="3"/>
  <c r="GF130" i="3"/>
  <c r="GG130" i="3"/>
  <c r="GH130" i="3"/>
  <c r="GI130" i="3"/>
  <c r="GJ130" i="3"/>
  <c r="GK130" i="3"/>
  <c r="GL130" i="3"/>
  <c r="GM130" i="3"/>
  <c r="GN130" i="3"/>
  <c r="GO130" i="3"/>
  <c r="GP130" i="3"/>
  <c r="GQ130" i="3"/>
  <c r="GR130" i="3"/>
  <c r="GS130" i="3"/>
  <c r="GT130" i="3"/>
  <c r="GU130" i="3"/>
  <c r="GV130" i="3"/>
  <c r="GW130" i="3"/>
  <c r="GX130" i="3"/>
  <c r="GY130" i="3"/>
  <c r="GZ130" i="3"/>
  <c r="HA130" i="3"/>
  <c r="HB130" i="3"/>
  <c r="HC130" i="3"/>
  <c r="HD130" i="3"/>
  <c r="HE130" i="3"/>
  <c r="HF130" i="3"/>
  <c r="HG130" i="3"/>
  <c r="HH130" i="3"/>
  <c r="HI130" i="3"/>
  <c r="HJ130" i="3"/>
  <c r="HK130" i="3"/>
  <c r="HL130" i="3"/>
  <c r="HM130" i="3"/>
  <c r="HN130" i="3"/>
  <c r="HO130" i="3"/>
  <c r="HP130" i="3"/>
  <c r="HQ130" i="3"/>
  <c r="HR130" i="3"/>
  <c r="HS130" i="3"/>
  <c r="HT130" i="3"/>
  <c r="HU130" i="3"/>
  <c r="HV130" i="3"/>
  <c r="HW130" i="3"/>
  <c r="HX130" i="3"/>
  <c r="HY130" i="3"/>
  <c r="HZ130" i="3"/>
  <c r="IA130" i="3"/>
  <c r="IB130" i="3"/>
  <c r="IC130" i="3"/>
  <c r="ID130" i="3"/>
  <c r="IE130" i="3"/>
  <c r="IF130" i="3"/>
  <c r="IG130" i="3"/>
  <c r="IH130" i="3"/>
  <c r="II130" i="3"/>
  <c r="IJ130" i="3"/>
  <c r="IK130" i="3"/>
  <c r="IL130" i="3"/>
  <c r="IM130" i="3"/>
  <c r="IN130" i="3"/>
  <c r="IO130" i="3"/>
  <c r="IP130" i="3"/>
  <c r="IQ130" i="3"/>
  <c r="IR130" i="3"/>
  <c r="IS130" i="3"/>
  <c r="IT130" i="3"/>
  <c r="IU130" i="3"/>
  <c r="IV130" i="3"/>
  <c r="A129" i="3"/>
  <c r="B129" i="3"/>
  <c r="C129" i="3"/>
  <c r="D129" i="3"/>
  <c r="E129" i="3"/>
  <c r="F129" i="3"/>
  <c r="G129" i="3"/>
  <c r="H129" i="3"/>
  <c r="I129" i="3"/>
  <c r="J129" i="3"/>
  <c r="K129" i="3"/>
  <c r="L129" i="3"/>
  <c r="M129" i="3"/>
  <c r="N129" i="3"/>
  <c r="O129" i="3"/>
  <c r="P129" i="3"/>
  <c r="Q129" i="3"/>
  <c r="R129" i="3"/>
  <c r="S129" i="3"/>
  <c r="T129" i="3"/>
  <c r="U129" i="3"/>
  <c r="V129" i="3"/>
  <c r="W129" i="3"/>
  <c r="X129" i="3"/>
  <c r="Y129" i="3"/>
  <c r="Z129" i="3"/>
  <c r="AA129" i="3"/>
  <c r="AB129" i="3"/>
  <c r="AC129" i="3"/>
  <c r="AD129" i="3"/>
  <c r="AE129" i="3"/>
  <c r="AF129" i="3"/>
  <c r="AG129" i="3"/>
  <c r="AH129" i="3"/>
  <c r="AI129" i="3"/>
  <c r="AJ129" i="3"/>
  <c r="AK129" i="3"/>
  <c r="AL129" i="3"/>
  <c r="AM129" i="3"/>
  <c r="AN129" i="3"/>
  <c r="AO129" i="3"/>
  <c r="AP129" i="3"/>
  <c r="AQ129" i="3"/>
  <c r="AR129" i="3"/>
  <c r="AS129" i="3"/>
  <c r="AT129" i="3"/>
  <c r="AU129" i="3"/>
  <c r="AV129" i="3"/>
  <c r="AW129" i="3"/>
  <c r="AX129" i="3"/>
  <c r="AY129" i="3"/>
  <c r="AZ129" i="3"/>
  <c r="BA129" i="3"/>
  <c r="BB129" i="3"/>
  <c r="BC129" i="3"/>
  <c r="BD129" i="3"/>
  <c r="BE129" i="3"/>
  <c r="BF129" i="3"/>
  <c r="BG129" i="3"/>
  <c r="BH129" i="3"/>
  <c r="BI129" i="3"/>
  <c r="BJ129" i="3"/>
  <c r="BK129" i="3"/>
  <c r="BL129" i="3"/>
  <c r="BM129" i="3"/>
  <c r="BN129" i="3"/>
  <c r="BO129" i="3"/>
  <c r="BP129" i="3"/>
  <c r="BQ129" i="3"/>
  <c r="BR129" i="3"/>
  <c r="BS129" i="3"/>
  <c r="BT129" i="3"/>
  <c r="BU129" i="3"/>
  <c r="BV129" i="3"/>
  <c r="BW129" i="3"/>
  <c r="BX129" i="3"/>
  <c r="BY129" i="3"/>
  <c r="BZ129" i="3"/>
  <c r="CA129" i="3"/>
  <c r="CB129" i="3"/>
  <c r="CC129" i="3"/>
  <c r="CD129" i="3"/>
  <c r="CE129" i="3"/>
  <c r="CF129" i="3"/>
  <c r="CG129" i="3"/>
  <c r="CH129" i="3"/>
  <c r="CI129" i="3"/>
  <c r="CJ129" i="3"/>
  <c r="CK129" i="3"/>
  <c r="CL129" i="3"/>
  <c r="CM129" i="3"/>
  <c r="CN129" i="3"/>
  <c r="CO129" i="3"/>
  <c r="CP129" i="3"/>
  <c r="CQ129" i="3"/>
  <c r="CR129" i="3"/>
  <c r="CS129" i="3"/>
  <c r="CT129" i="3"/>
  <c r="CU129" i="3"/>
  <c r="CV129" i="3"/>
  <c r="CW129" i="3"/>
  <c r="CX129" i="3"/>
  <c r="CY129" i="3"/>
  <c r="CZ129" i="3"/>
  <c r="DA129" i="3"/>
  <c r="DB129" i="3"/>
  <c r="DC129" i="3"/>
  <c r="DD129" i="3"/>
  <c r="DE129" i="3"/>
  <c r="DF129" i="3"/>
  <c r="DG129" i="3"/>
  <c r="DH129" i="3"/>
  <c r="DI129" i="3"/>
  <c r="DJ129" i="3"/>
  <c r="DK129" i="3"/>
  <c r="DL129" i="3"/>
  <c r="DM129" i="3"/>
  <c r="DN129" i="3"/>
  <c r="DO129" i="3"/>
  <c r="DP129" i="3"/>
  <c r="DQ129" i="3"/>
  <c r="DR129" i="3"/>
  <c r="DS129" i="3"/>
  <c r="DT129" i="3"/>
  <c r="DU129" i="3"/>
  <c r="DV129" i="3"/>
  <c r="DW129" i="3"/>
  <c r="DX129" i="3"/>
  <c r="DY129" i="3"/>
  <c r="DZ129" i="3"/>
  <c r="EA129" i="3"/>
  <c r="EB129" i="3"/>
  <c r="EC129" i="3"/>
  <c r="ED129" i="3"/>
  <c r="EE129" i="3"/>
  <c r="EF129" i="3"/>
  <c r="EG129" i="3"/>
  <c r="EH129" i="3"/>
  <c r="EI129" i="3"/>
  <c r="EJ129" i="3"/>
  <c r="EK129" i="3"/>
  <c r="EL129" i="3"/>
  <c r="EM129" i="3"/>
  <c r="EN129" i="3"/>
  <c r="EO129" i="3"/>
  <c r="EP129" i="3"/>
  <c r="EQ129" i="3"/>
  <c r="ER129" i="3"/>
  <c r="ES129" i="3"/>
  <c r="ET129" i="3"/>
  <c r="EU129" i="3"/>
  <c r="EV129" i="3"/>
  <c r="EW129" i="3"/>
  <c r="EX129" i="3"/>
  <c r="EY129" i="3"/>
  <c r="EZ129" i="3"/>
  <c r="FA129" i="3"/>
  <c r="FB129" i="3"/>
  <c r="FC129" i="3"/>
  <c r="FD129" i="3"/>
  <c r="FE129" i="3"/>
  <c r="FF129" i="3"/>
  <c r="FG129" i="3"/>
  <c r="FH129" i="3"/>
  <c r="FI129" i="3"/>
  <c r="FJ129" i="3"/>
  <c r="FK129" i="3"/>
  <c r="FL129" i="3"/>
  <c r="FM129" i="3"/>
  <c r="FN129" i="3"/>
  <c r="FO129" i="3"/>
  <c r="FP129" i="3"/>
  <c r="FQ129" i="3"/>
  <c r="FR129" i="3"/>
  <c r="FS129" i="3"/>
  <c r="FT129" i="3"/>
  <c r="FU129" i="3"/>
  <c r="FV129" i="3"/>
  <c r="FW129" i="3"/>
  <c r="FX129" i="3"/>
  <c r="FY129" i="3"/>
  <c r="FZ129" i="3"/>
  <c r="GA129" i="3"/>
  <c r="GB129" i="3"/>
  <c r="GC129" i="3"/>
  <c r="GD129" i="3"/>
  <c r="GE129" i="3"/>
  <c r="GF129" i="3"/>
  <c r="GG129" i="3"/>
  <c r="GH129" i="3"/>
  <c r="GI129" i="3"/>
  <c r="GJ129" i="3"/>
  <c r="GK129" i="3"/>
  <c r="GL129" i="3"/>
  <c r="GM129" i="3"/>
  <c r="GN129" i="3"/>
  <c r="GO129" i="3"/>
  <c r="GP129" i="3"/>
  <c r="GQ129" i="3"/>
  <c r="GR129" i="3"/>
  <c r="GS129" i="3"/>
  <c r="GT129" i="3"/>
  <c r="GU129" i="3"/>
  <c r="GV129" i="3"/>
  <c r="GW129" i="3"/>
  <c r="GX129" i="3"/>
  <c r="GY129" i="3"/>
  <c r="GZ129" i="3"/>
  <c r="HA129" i="3"/>
  <c r="HB129" i="3"/>
  <c r="HC129" i="3"/>
  <c r="HD129" i="3"/>
  <c r="HE129" i="3"/>
  <c r="HF129" i="3"/>
  <c r="HG129" i="3"/>
  <c r="HH129" i="3"/>
  <c r="HI129" i="3"/>
  <c r="HJ129" i="3"/>
  <c r="HK129" i="3"/>
  <c r="HL129" i="3"/>
  <c r="HM129" i="3"/>
  <c r="HN129" i="3"/>
  <c r="HO129" i="3"/>
  <c r="HP129" i="3"/>
  <c r="HQ129" i="3"/>
  <c r="HR129" i="3"/>
  <c r="HS129" i="3"/>
  <c r="HT129" i="3"/>
  <c r="HU129" i="3"/>
  <c r="HV129" i="3"/>
  <c r="HW129" i="3"/>
  <c r="HX129" i="3"/>
  <c r="HY129" i="3"/>
  <c r="HZ129" i="3"/>
  <c r="IA129" i="3"/>
  <c r="IB129" i="3"/>
  <c r="IC129" i="3"/>
  <c r="ID129" i="3"/>
  <c r="IE129" i="3"/>
  <c r="IF129" i="3"/>
  <c r="IG129" i="3"/>
  <c r="IH129" i="3"/>
  <c r="II129" i="3"/>
  <c r="IJ129" i="3"/>
  <c r="IK129" i="3"/>
  <c r="IL129" i="3"/>
  <c r="IM129" i="3"/>
  <c r="IN129" i="3"/>
  <c r="IO129" i="3"/>
  <c r="IP129" i="3"/>
  <c r="IQ129" i="3"/>
  <c r="IR129" i="3"/>
  <c r="IS129" i="3"/>
  <c r="IT129" i="3"/>
  <c r="IU129" i="3"/>
  <c r="IV129" i="3"/>
  <c r="A128" i="3"/>
  <c r="B128" i="3"/>
  <c r="C128" i="3"/>
  <c r="D128" i="3"/>
  <c r="E128" i="3"/>
  <c r="F128" i="3"/>
  <c r="G128" i="3"/>
  <c r="H128" i="3"/>
  <c r="I128" i="3"/>
  <c r="J128" i="3"/>
  <c r="K128" i="3"/>
  <c r="L128" i="3"/>
  <c r="M128" i="3"/>
  <c r="N128" i="3"/>
  <c r="O128" i="3"/>
  <c r="P128" i="3"/>
  <c r="Q128" i="3"/>
  <c r="R128" i="3"/>
  <c r="S128" i="3"/>
  <c r="T128" i="3"/>
  <c r="U128" i="3"/>
  <c r="V128" i="3"/>
  <c r="W128" i="3"/>
  <c r="X128" i="3"/>
  <c r="Y128" i="3"/>
  <c r="Z128" i="3"/>
  <c r="AA128" i="3"/>
  <c r="AB128" i="3"/>
  <c r="AC128" i="3"/>
  <c r="AD128" i="3"/>
  <c r="AE128" i="3"/>
  <c r="AF128" i="3"/>
  <c r="AG128" i="3"/>
  <c r="AH128" i="3"/>
  <c r="AI128" i="3"/>
  <c r="AJ128" i="3"/>
  <c r="AK128" i="3"/>
  <c r="AL128" i="3"/>
  <c r="AM128" i="3"/>
  <c r="AN128" i="3"/>
  <c r="AO128" i="3"/>
  <c r="AP128" i="3"/>
  <c r="AQ128" i="3"/>
  <c r="AR128" i="3"/>
  <c r="AS128" i="3"/>
  <c r="AT128" i="3"/>
  <c r="AU128" i="3"/>
  <c r="AV128" i="3"/>
  <c r="AW128" i="3"/>
  <c r="AX128" i="3"/>
  <c r="AY128" i="3"/>
  <c r="AZ128" i="3"/>
  <c r="BA128" i="3"/>
  <c r="BB128" i="3"/>
  <c r="BC128" i="3"/>
  <c r="BD128" i="3"/>
  <c r="BE128" i="3"/>
  <c r="BF128" i="3"/>
  <c r="BG128" i="3"/>
  <c r="BH128" i="3"/>
  <c r="BI128" i="3"/>
  <c r="BJ128" i="3"/>
  <c r="BK128" i="3"/>
  <c r="BL128" i="3"/>
  <c r="BM128" i="3"/>
  <c r="BN128" i="3"/>
  <c r="BO128" i="3"/>
  <c r="BP128" i="3"/>
  <c r="BQ128" i="3"/>
  <c r="BR128" i="3"/>
  <c r="BS128" i="3"/>
  <c r="BT128" i="3"/>
  <c r="BU128" i="3"/>
  <c r="BV128" i="3"/>
  <c r="BW128" i="3"/>
  <c r="BX128" i="3"/>
  <c r="BY128" i="3"/>
  <c r="BZ128" i="3"/>
  <c r="CA128" i="3"/>
  <c r="CB128" i="3"/>
  <c r="CC128" i="3"/>
  <c r="CD128" i="3"/>
  <c r="CE128" i="3"/>
  <c r="CF128" i="3"/>
  <c r="CG128" i="3"/>
  <c r="CH128" i="3"/>
  <c r="CI128" i="3"/>
  <c r="CJ128" i="3"/>
  <c r="CK128" i="3"/>
  <c r="CL128" i="3"/>
  <c r="CM128" i="3"/>
  <c r="CN128" i="3"/>
  <c r="CO128" i="3"/>
  <c r="CP128" i="3"/>
  <c r="CQ128" i="3"/>
  <c r="CR128" i="3"/>
  <c r="CS128" i="3"/>
  <c r="CT128" i="3"/>
  <c r="CU128" i="3"/>
  <c r="CV128" i="3"/>
  <c r="CW128" i="3"/>
  <c r="CX128" i="3"/>
  <c r="CY128" i="3"/>
  <c r="CZ128" i="3"/>
  <c r="DA128" i="3"/>
  <c r="DB128" i="3"/>
  <c r="DC128" i="3"/>
  <c r="DD128" i="3"/>
  <c r="DE128" i="3"/>
  <c r="DF128" i="3"/>
  <c r="DG128" i="3"/>
  <c r="DH128" i="3"/>
  <c r="DI128" i="3"/>
  <c r="DJ128" i="3"/>
  <c r="DK128" i="3"/>
  <c r="DL128" i="3"/>
  <c r="DM128" i="3"/>
  <c r="DN128" i="3"/>
  <c r="DO128" i="3"/>
  <c r="DP128" i="3"/>
  <c r="DQ128" i="3"/>
  <c r="DR128" i="3"/>
  <c r="DS128" i="3"/>
  <c r="DT128" i="3"/>
  <c r="DU128" i="3"/>
  <c r="DV128" i="3"/>
  <c r="DW128" i="3"/>
  <c r="DX128" i="3"/>
  <c r="DY128" i="3"/>
  <c r="DZ128" i="3"/>
  <c r="EA128" i="3"/>
  <c r="EB128" i="3"/>
  <c r="EC128" i="3"/>
  <c r="ED128" i="3"/>
  <c r="EE128" i="3"/>
  <c r="EF128" i="3"/>
  <c r="EG128" i="3"/>
  <c r="EH128" i="3"/>
  <c r="EI128" i="3"/>
  <c r="EJ128" i="3"/>
  <c r="EK128" i="3"/>
  <c r="EL128" i="3"/>
  <c r="EM128" i="3"/>
  <c r="EN128" i="3"/>
  <c r="EO128" i="3"/>
  <c r="EP128" i="3"/>
  <c r="EQ128" i="3"/>
  <c r="ER128" i="3"/>
  <c r="ES128" i="3"/>
  <c r="ET128" i="3"/>
  <c r="EU128" i="3"/>
  <c r="EV128" i="3"/>
  <c r="EW128" i="3"/>
  <c r="EX128" i="3"/>
  <c r="EY128" i="3"/>
  <c r="EZ128" i="3"/>
  <c r="FA128" i="3"/>
  <c r="FB128" i="3"/>
  <c r="FC128" i="3"/>
  <c r="FD128" i="3"/>
  <c r="FE128" i="3"/>
  <c r="FF128" i="3"/>
  <c r="FG128" i="3"/>
  <c r="FH128" i="3"/>
  <c r="FI128" i="3"/>
  <c r="FJ128" i="3"/>
  <c r="FK128" i="3"/>
  <c r="FL128" i="3"/>
  <c r="FM128" i="3"/>
  <c r="FN128" i="3"/>
  <c r="FO128" i="3"/>
  <c r="FP128" i="3"/>
  <c r="FQ128" i="3"/>
  <c r="FR128" i="3"/>
  <c r="FS128" i="3"/>
  <c r="FT128" i="3"/>
  <c r="FU128" i="3"/>
  <c r="FV128" i="3"/>
  <c r="FW128" i="3"/>
  <c r="FX128" i="3"/>
  <c r="FY128" i="3"/>
  <c r="FZ128" i="3"/>
  <c r="GA128" i="3"/>
  <c r="GB128" i="3"/>
  <c r="GC128" i="3"/>
  <c r="GD128" i="3"/>
  <c r="GE128" i="3"/>
  <c r="GF128" i="3"/>
  <c r="GG128" i="3"/>
  <c r="GH128" i="3"/>
  <c r="GI128" i="3"/>
  <c r="GJ128" i="3"/>
  <c r="GK128" i="3"/>
  <c r="GL128" i="3"/>
  <c r="GM128" i="3"/>
  <c r="GN128" i="3"/>
  <c r="GO128" i="3"/>
  <c r="GP128" i="3"/>
  <c r="GQ128" i="3"/>
  <c r="GR128" i="3"/>
  <c r="GS128" i="3"/>
  <c r="GT128" i="3"/>
  <c r="GU128" i="3"/>
  <c r="GV128" i="3"/>
  <c r="GW128" i="3"/>
  <c r="GX128" i="3"/>
  <c r="GY128" i="3"/>
  <c r="GZ128" i="3"/>
  <c r="HA128" i="3"/>
  <c r="HB128" i="3"/>
  <c r="HC128" i="3"/>
  <c r="HD128" i="3"/>
  <c r="HE128" i="3"/>
  <c r="HF128" i="3"/>
  <c r="HG128" i="3"/>
  <c r="HH128" i="3"/>
  <c r="HI128" i="3"/>
  <c r="HJ128" i="3"/>
  <c r="HK128" i="3"/>
  <c r="HL128" i="3"/>
  <c r="HM128" i="3"/>
  <c r="HN128" i="3"/>
  <c r="HO128" i="3"/>
  <c r="HP128" i="3"/>
  <c r="HQ128" i="3"/>
  <c r="HR128" i="3"/>
  <c r="HS128" i="3"/>
  <c r="HT128" i="3"/>
  <c r="HU128" i="3"/>
  <c r="HV128" i="3"/>
  <c r="HW128" i="3"/>
  <c r="HX128" i="3"/>
  <c r="HY128" i="3"/>
  <c r="HZ128" i="3"/>
  <c r="IA128" i="3"/>
  <c r="IB128" i="3"/>
  <c r="IC128" i="3"/>
  <c r="ID128" i="3"/>
  <c r="IE128" i="3"/>
  <c r="IF128" i="3"/>
  <c r="IG128" i="3"/>
  <c r="IH128" i="3"/>
  <c r="II128" i="3"/>
  <c r="IJ128" i="3"/>
  <c r="IK128" i="3"/>
  <c r="IL128" i="3"/>
  <c r="IM128" i="3"/>
  <c r="IN128" i="3"/>
  <c r="IO128" i="3"/>
  <c r="IP128" i="3"/>
  <c r="IQ128" i="3"/>
  <c r="IR128" i="3"/>
  <c r="IS128" i="3"/>
  <c r="IT128" i="3"/>
  <c r="IU128" i="3"/>
  <c r="IV128" i="3"/>
  <c r="A127" i="3"/>
  <c r="B127" i="3"/>
  <c r="C127" i="3"/>
  <c r="D127" i="3"/>
  <c r="E127" i="3"/>
  <c r="F127" i="3"/>
  <c r="G127" i="3"/>
  <c r="H127" i="3"/>
  <c r="I127" i="3"/>
  <c r="J127" i="3"/>
  <c r="K127" i="3"/>
  <c r="L127" i="3"/>
  <c r="M127" i="3"/>
  <c r="N127" i="3"/>
  <c r="O127" i="3"/>
  <c r="P127" i="3"/>
  <c r="Q127" i="3"/>
  <c r="R127" i="3"/>
  <c r="S127" i="3"/>
  <c r="T127" i="3"/>
  <c r="U127" i="3"/>
  <c r="V127" i="3"/>
  <c r="W127" i="3"/>
  <c r="X127" i="3"/>
  <c r="Y127" i="3"/>
  <c r="Z127" i="3"/>
  <c r="AA127" i="3"/>
  <c r="AB127" i="3"/>
  <c r="AC127" i="3"/>
  <c r="AD127" i="3"/>
  <c r="AE127" i="3"/>
  <c r="AF127" i="3"/>
  <c r="AG127" i="3"/>
  <c r="AH127" i="3"/>
  <c r="AI127" i="3"/>
  <c r="AJ127" i="3"/>
  <c r="AK127" i="3"/>
  <c r="AL127" i="3"/>
  <c r="AM127" i="3"/>
  <c r="AN127" i="3"/>
  <c r="AO127" i="3"/>
  <c r="AP127" i="3"/>
  <c r="AQ127" i="3"/>
  <c r="AR127" i="3"/>
  <c r="AS127" i="3"/>
  <c r="AT127" i="3"/>
  <c r="AU127" i="3"/>
  <c r="AV127" i="3"/>
  <c r="AW127" i="3"/>
  <c r="AX127" i="3"/>
  <c r="AY127" i="3"/>
  <c r="AZ127" i="3"/>
  <c r="BA127" i="3"/>
  <c r="BB127" i="3"/>
  <c r="BC127" i="3"/>
  <c r="BD127" i="3"/>
  <c r="BE127" i="3"/>
  <c r="BF127" i="3"/>
  <c r="BG127" i="3"/>
  <c r="BH127" i="3"/>
  <c r="BI127" i="3"/>
  <c r="BJ127" i="3"/>
  <c r="BK127" i="3"/>
  <c r="BL127" i="3"/>
  <c r="BM127" i="3"/>
  <c r="BN127" i="3"/>
  <c r="BO127" i="3"/>
  <c r="BP127" i="3"/>
  <c r="BQ127" i="3"/>
  <c r="BR127" i="3"/>
  <c r="BS127" i="3"/>
  <c r="BT127" i="3"/>
  <c r="BU127" i="3"/>
  <c r="BV127" i="3"/>
  <c r="BW127" i="3"/>
  <c r="BX127" i="3"/>
  <c r="BY127" i="3"/>
  <c r="BZ127" i="3"/>
  <c r="CA127" i="3"/>
  <c r="CB127" i="3"/>
  <c r="CC127" i="3"/>
  <c r="CD127" i="3"/>
  <c r="CE127" i="3"/>
  <c r="CF127" i="3"/>
  <c r="CG127" i="3"/>
  <c r="CH127" i="3"/>
  <c r="CI127" i="3"/>
  <c r="CJ127" i="3"/>
  <c r="CK127" i="3"/>
  <c r="CL127" i="3"/>
  <c r="CM127" i="3"/>
  <c r="CN127" i="3"/>
  <c r="CO127" i="3"/>
  <c r="CP127" i="3"/>
  <c r="CQ127" i="3"/>
  <c r="CR127" i="3"/>
  <c r="CS127" i="3"/>
  <c r="CT127" i="3"/>
  <c r="CU127" i="3"/>
  <c r="CV127" i="3"/>
  <c r="CW127" i="3"/>
  <c r="CX127" i="3"/>
  <c r="CY127" i="3"/>
  <c r="CZ127" i="3"/>
  <c r="DA127" i="3"/>
  <c r="DB127" i="3"/>
  <c r="DC127" i="3"/>
  <c r="DD127" i="3"/>
  <c r="DE127" i="3"/>
  <c r="DF127" i="3"/>
  <c r="DG127" i="3"/>
  <c r="DH127" i="3"/>
  <c r="DI127" i="3"/>
  <c r="DJ127" i="3"/>
  <c r="DK127" i="3"/>
  <c r="DL127" i="3"/>
  <c r="DM127" i="3"/>
  <c r="DN127" i="3"/>
  <c r="DO127" i="3"/>
  <c r="DP127" i="3"/>
  <c r="DQ127" i="3"/>
  <c r="DR127" i="3"/>
  <c r="DS127" i="3"/>
  <c r="DT127" i="3"/>
  <c r="DU127" i="3"/>
  <c r="DV127" i="3"/>
  <c r="DW127" i="3"/>
  <c r="DX127" i="3"/>
  <c r="DY127" i="3"/>
  <c r="DZ127" i="3"/>
  <c r="EA127" i="3"/>
  <c r="EB127" i="3"/>
  <c r="EC127" i="3"/>
  <c r="ED127" i="3"/>
  <c r="EE127" i="3"/>
  <c r="EF127" i="3"/>
  <c r="EG127" i="3"/>
  <c r="EH127" i="3"/>
  <c r="EI127" i="3"/>
  <c r="EJ127" i="3"/>
  <c r="EK127" i="3"/>
  <c r="EL127" i="3"/>
  <c r="EM127" i="3"/>
  <c r="EN127" i="3"/>
  <c r="EO127" i="3"/>
  <c r="EP127" i="3"/>
  <c r="EQ127" i="3"/>
  <c r="ER127" i="3"/>
  <c r="ES127" i="3"/>
  <c r="ET127" i="3"/>
  <c r="EU127" i="3"/>
  <c r="EV127" i="3"/>
  <c r="EW127" i="3"/>
  <c r="EX127" i="3"/>
  <c r="EY127" i="3"/>
  <c r="EZ127" i="3"/>
  <c r="FA127" i="3"/>
  <c r="FB127" i="3"/>
  <c r="FC127" i="3"/>
  <c r="FD127" i="3"/>
  <c r="FE127" i="3"/>
  <c r="FF127" i="3"/>
  <c r="FG127" i="3"/>
  <c r="FH127" i="3"/>
  <c r="FI127" i="3"/>
  <c r="FJ127" i="3"/>
  <c r="FK127" i="3"/>
  <c r="FL127" i="3"/>
  <c r="FM127" i="3"/>
  <c r="FN127" i="3"/>
  <c r="FO127" i="3"/>
  <c r="FP127" i="3"/>
  <c r="FQ127" i="3"/>
  <c r="FR127" i="3"/>
  <c r="FS127" i="3"/>
  <c r="FT127" i="3"/>
  <c r="FU127" i="3"/>
  <c r="FV127" i="3"/>
  <c r="FW127" i="3"/>
  <c r="FX127" i="3"/>
  <c r="FY127" i="3"/>
  <c r="FZ127" i="3"/>
  <c r="GA127" i="3"/>
  <c r="GB127" i="3"/>
  <c r="GC127" i="3"/>
  <c r="GD127" i="3"/>
  <c r="GE127" i="3"/>
  <c r="GF127" i="3"/>
  <c r="GG127" i="3"/>
  <c r="GH127" i="3"/>
  <c r="GI127" i="3"/>
  <c r="GJ127" i="3"/>
  <c r="GK127" i="3"/>
  <c r="GL127" i="3"/>
  <c r="GM127" i="3"/>
  <c r="GN127" i="3"/>
  <c r="GO127" i="3"/>
  <c r="GP127" i="3"/>
  <c r="GQ127" i="3"/>
  <c r="GR127" i="3"/>
  <c r="GS127" i="3"/>
  <c r="GT127" i="3"/>
  <c r="GU127" i="3"/>
  <c r="GV127" i="3"/>
  <c r="GW127" i="3"/>
  <c r="GX127" i="3"/>
  <c r="GY127" i="3"/>
  <c r="GZ127" i="3"/>
  <c r="HA127" i="3"/>
  <c r="HB127" i="3"/>
  <c r="HC127" i="3"/>
  <c r="HD127" i="3"/>
  <c r="HE127" i="3"/>
  <c r="HF127" i="3"/>
  <c r="HG127" i="3"/>
  <c r="HH127" i="3"/>
  <c r="HI127" i="3"/>
  <c r="HJ127" i="3"/>
  <c r="HK127" i="3"/>
  <c r="HL127" i="3"/>
  <c r="HM127" i="3"/>
  <c r="HN127" i="3"/>
  <c r="HO127" i="3"/>
  <c r="HP127" i="3"/>
  <c r="HQ127" i="3"/>
  <c r="HR127" i="3"/>
  <c r="HS127" i="3"/>
  <c r="HT127" i="3"/>
  <c r="HU127" i="3"/>
  <c r="HV127" i="3"/>
  <c r="HW127" i="3"/>
  <c r="HX127" i="3"/>
  <c r="HY127" i="3"/>
  <c r="HZ127" i="3"/>
  <c r="IA127" i="3"/>
  <c r="IB127" i="3"/>
  <c r="IC127" i="3"/>
  <c r="ID127" i="3"/>
  <c r="IE127" i="3"/>
  <c r="IF127" i="3"/>
  <c r="IG127" i="3"/>
  <c r="IH127" i="3"/>
  <c r="II127" i="3"/>
  <c r="IJ127" i="3"/>
  <c r="IK127" i="3"/>
  <c r="IL127" i="3"/>
  <c r="IM127" i="3"/>
  <c r="IN127" i="3"/>
  <c r="IO127" i="3"/>
  <c r="IP127" i="3"/>
  <c r="IQ127" i="3"/>
  <c r="IR127" i="3"/>
  <c r="IS127" i="3"/>
  <c r="IT127" i="3"/>
  <c r="IU127" i="3"/>
  <c r="IV127" i="3"/>
  <c r="A126" i="3"/>
  <c r="B126" i="3"/>
  <c r="C126" i="3"/>
  <c r="D126" i="3"/>
  <c r="E126" i="3"/>
  <c r="F126" i="3"/>
  <c r="G126" i="3"/>
  <c r="H126" i="3"/>
  <c r="I126" i="3"/>
  <c r="J126" i="3"/>
  <c r="K126" i="3"/>
  <c r="L126" i="3"/>
  <c r="M126" i="3"/>
  <c r="N126" i="3"/>
  <c r="O126" i="3"/>
  <c r="P126" i="3"/>
  <c r="Q126" i="3"/>
  <c r="R126" i="3"/>
  <c r="S126" i="3"/>
  <c r="T126" i="3"/>
  <c r="U126" i="3"/>
  <c r="V126" i="3"/>
  <c r="W126" i="3"/>
  <c r="X126" i="3"/>
  <c r="Y126" i="3"/>
  <c r="Z126" i="3"/>
  <c r="AA126" i="3"/>
  <c r="AB126" i="3"/>
  <c r="AC126" i="3"/>
  <c r="AD126" i="3"/>
  <c r="AE126" i="3"/>
  <c r="AF126" i="3"/>
  <c r="AG126" i="3"/>
  <c r="AH126" i="3"/>
  <c r="AI126" i="3"/>
  <c r="AJ126" i="3"/>
  <c r="AK126" i="3"/>
  <c r="AL126" i="3"/>
  <c r="AM126" i="3"/>
  <c r="AN126" i="3"/>
  <c r="AO126" i="3"/>
  <c r="AP126" i="3"/>
  <c r="AQ126" i="3"/>
  <c r="AR126" i="3"/>
  <c r="AS126" i="3"/>
  <c r="AT126" i="3"/>
  <c r="AU126" i="3"/>
  <c r="AV126" i="3"/>
  <c r="AW126" i="3"/>
  <c r="AX126" i="3"/>
  <c r="AY126" i="3"/>
  <c r="AZ126" i="3"/>
  <c r="BA126" i="3"/>
  <c r="BB126" i="3"/>
  <c r="BC126" i="3"/>
  <c r="BD126" i="3"/>
  <c r="BE126" i="3"/>
  <c r="BF126" i="3"/>
  <c r="BG126" i="3"/>
  <c r="BH126" i="3"/>
  <c r="BI126" i="3"/>
  <c r="BJ126" i="3"/>
  <c r="BK126" i="3"/>
  <c r="BL126" i="3"/>
  <c r="BM126" i="3"/>
  <c r="BN126" i="3"/>
  <c r="BO126" i="3"/>
  <c r="BP126" i="3"/>
  <c r="BQ126" i="3"/>
  <c r="BR126" i="3"/>
  <c r="BS126" i="3"/>
  <c r="BT126" i="3"/>
  <c r="BU126" i="3"/>
  <c r="BV126" i="3"/>
  <c r="BW126" i="3"/>
  <c r="BX126" i="3"/>
  <c r="BY126" i="3"/>
  <c r="BZ126" i="3"/>
  <c r="CA126" i="3"/>
  <c r="CB126" i="3"/>
  <c r="CC126" i="3"/>
  <c r="CD126" i="3"/>
  <c r="CE126" i="3"/>
  <c r="CF126" i="3"/>
  <c r="CG126" i="3"/>
  <c r="CH126" i="3"/>
  <c r="CI126" i="3"/>
  <c r="CJ126" i="3"/>
  <c r="CK126" i="3"/>
  <c r="CL126" i="3"/>
  <c r="CM126" i="3"/>
  <c r="CN126" i="3"/>
  <c r="CO126" i="3"/>
  <c r="CP126" i="3"/>
  <c r="CQ126" i="3"/>
  <c r="CR126" i="3"/>
  <c r="CS126" i="3"/>
  <c r="CT126" i="3"/>
  <c r="CU126" i="3"/>
  <c r="CV126" i="3"/>
  <c r="CW126" i="3"/>
  <c r="CX126" i="3"/>
  <c r="CY126" i="3"/>
  <c r="CZ126" i="3"/>
  <c r="DA126" i="3"/>
  <c r="DB126" i="3"/>
  <c r="DC126" i="3"/>
  <c r="DD126" i="3"/>
  <c r="DE126" i="3"/>
  <c r="DF126" i="3"/>
  <c r="DG126" i="3"/>
  <c r="DH126" i="3"/>
  <c r="DI126" i="3"/>
  <c r="DJ126" i="3"/>
  <c r="DK126" i="3"/>
  <c r="DL126" i="3"/>
  <c r="DM126" i="3"/>
  <c r="DN126" i="3"/>
  <c r="DO126" i="3"/>
  <c r="DP126" i="3"/>
  <c r="DQ126" i="3"/>
  <c r="DR126" i="3"/>
  <c r="DS126" i="3"/>
  <c r="DT126" i="3"/>
  <c r="DU126" i="3"/>
  <c r="DV126" i="3"/>
  <c r="DW126" i="3"/>
  <c r="DX126" i="3"/>
  <c r="DY126" i="3"/>
  <c r="DZ126" i="3"/>
  <c r="EA126" i="3"/>
  <c r="EB126" i="3"/>
  <c r="EC126" i="3"/>
  <c r="ED126" i="3"/>
  <c r="EE126" i="3"/>
  <c r="EF126" i="3"/>
  <c r="EG126" i="3"/>
  <c r="EH126" i="3"/>
  <c r="EI126" i="3"/>
  <c r="EJ126" i="3"/>
  <c r="EK126" i="3"/>
  <c r="EL126" i="3"/>
  <c r="EM126" i="3"/>
  <c r="EN126" i="3"/>
  <c r="EO126" i="3"/>
  <c r="EP126" i="3"/>
  <c r="EQ126" i="3"/>
  <c r="ER126" i="3"/>
  <c r="ES126" i="3"/>
  <c r="ET126" i="3"/>
  <c r="EU126" i="3"/>
  <c r="EV126" i="3"/>
  <c r="EW126" i="3"/>
  <c r="EX126" i="3"/>
  <c r="EY126" i="3"/>
  <c r="EZ126" i="3"/>
  <c r="FA126" i="3"/>
  <c r="FB126" i="3"/>
  <c r="FC126" i="3"/>
  <c r="FD126" i="3"/>
  <c r="FE126" i="3"/>
  <c r="FF126" i="3"/>
  <c r="FG126" i="3"/>
  <c r="FH126" i="3"/>
  <c r="FI126" i="3"/>
  <c r="FJ126" i="3"/>
  <c r="FK126" i="3"/>
  <c r="FL126" i="3"/>
  <c r="FM126" i="3"/>
  <c r="FN126" i="3"/>
  <c r="FO126" i="3"/>
  <c r="FP126" i="3"/>
  <c r="FQ126" i="3"/>
  <c r="FR126" i="3"/>
  <c r="FS126" i="3"/>
  <c r="FT126" i="3"/>
  <c r="FU126" i="3"/>
  <c r="FV126" i="3"/>
  <c r="FW126" i="3"/>
  <c r="FX126" i="3"/>
  <c r="FY126" i="3"/>
  <c r="FZ126" i="3"/>
  <c r="GA126" i="3"/>
  <c r="GB126" i="3"/>
  <c r="GC126" i="3"/>
  <c r="GD126" i="3"/>
  <c r="GE126" i="3"/>
  <c r="GF126" i="3"/>
  <c r="GG126" i="3"/>
  <c r="GH126" i="3"/>
  <c r="GI126" i="3"/>
  <c r="GJ126" i="3"/>
  <c r="GK126" i="3"/>
  <c r="GL126" i="3"/>
  <c r="GM126" i="3"/>
  <c r="GN126" i="3"/>
  <c r="GO126" i="3"/>
  <c r="GP126" i="3"/>
  <c r="GQ126" i="3"/>
  <c r="GR126" i="3"/>
  <c r="GS126" i="3"/>
  <c r="GT126" i="3"/>
  <c r="GU126" i="3"/>
  <c r="GV126" i="3"/>
  <c r="GW126" i="3"/>
  <c r="GX126" i="3"/>
  <c r="GY126" i="3"/>
  <c r="GZ126" i="3"/>
  <c r="HA126" i="3"/>
  <c r="HB126" i="3"/>
  <c r="HC126" i="3"/>
  <c r="HD126" i="3"/>
  <c r="HE126" i="3"/>
  <c r="HF126" i="3"/>
  <c r="HG126" i="3"/>
  <c r="HH126" i="3"/>
  <c r="HI126" i="3"/>
  <c r="HJ126" i="3"/>
  <c r="HK126" i="3"/>
  <c r="HL126" i="3"/>
  <c r="HM126" i="3"/>
  <c r="HN126" i="3"/>
  <c r="HO126" i="3"/>
  <c r="HP126" i="3"/>
  <c r="HQ126" i="3"/>
  <c r="HR126" i="3"/>
  <c r="HS126" i="3"/>
  <c r="HT126" i="3"/>
  <c r="HU126" i="3"/>
  <c r="HV126" i="3"/>
  <c r="HW126" i="3"/>
  <c r="HX126" i="3"/>
  <c r="HY126" i="3"/>
  <c r="HZ126" i="3"/>
  <c r="IA126" i="3"/>
  <c r="IB126" i="3"/>
  <c r="IC126" i="3"/>
  <c r="ID126" i="3"/>
  <c r="IE126" i="3"/>
  <c r="IF126" i="3"/>
  <c r="IG126" i="3"/>
  <c r="IH126" i="3"/>
  <c r="II126" i="3"/>
  <c r="IJ126" i="3"/>
  <c r="IK126" i="3"/>
  <c r="IL126" i="3"/>
  <c r="IM126" i="3"/>
  <c r="IN126" i="3"/>
  <c r="IO126" i="3"/>
  <c r="IP126" i="3"/>
  <c r="IQ126" i="3"/>
  <c r="IR126" i="3"/>
  <c r="IS126" i="3"/>
  <c r="IT126" i="3"/>
  <c r="IU126" i="3"/>
  <c r="IV126" i="3"/>
  <c r="A125" i="3"/>
  <c r="B125" i="3"/>
  <c r="C125" i="3"/>
  <c r="D125" i="3"/>
  <c r="E125" i="3"/>
  <c r="F125" i="3"/>
  <c r="G125" i="3"/>
  <c r="H125" i="3"/>
  <c r="I125" i="3"/>
  <c r="J125" i="3"/>
  <c r="K125" i="3"/>
  <c r="L125" i="3"/>
  <c r="M125" i="3"/>
  <c r="N125" i="3"/>
  <c r="O125" i="3"/>
  <c r="P125" i="3"/>
  <c r="Q125" i="3"/>
  <c r="R125" i="3"/>
  <c r="S125" i="3"/>
  <c r="T125" i="3"/>
  <c r="U125" i="3"/>
  <c r="V125" i="3"/>
  <c r="W125" i="3"/>
  <c r="X125" i="3"/>
  <c r="Y125" i="3"/>
  <c r="Z125" i="3"/>
  <c r="AA125" i="3"/>
  <c r="AB125" i="3"/>
  <c r="AC125" i="3"/>
  <c r="AD125" i="3"/>
  <c r="AE125" i="3"/>
  <c r="AF125" i="3"/>
  <c r="AG125" i="3"/>
  <c r="AH125" i="3"/>
  <c r="AI125" i="3"/>
  <c r="AJ125" i="3"/>
  <c r="AK125" i="3"/>
  <c r="AL125" i="3"/>
  <c r="AM125" i="3"/>
  <c r="AN125" i="3"/>
  <c r="AO125" i="3"/>
  <c r="AP125" i="3"/>
  <c r="AQ125" i="3"/>
  <c r="AR125" i="3"/>
  <c r="AS125" i="3"/>
  <c r="AT125" i="3"/>
  <c r="AU125" i="3"/>
  <c r="AV125" i="3"/>
  <c r="AW125" i="3"/>
  <c r="AX125" i="3"/>
  <c r="AY125" i="3"/>
  <c r="AZ125" i="3"/>
  <c r="BA125" i="3"/>
  <c r="BB125" i="3"/>
  <c r="BC125" i="3"/>
  <c r="BD125" i="3"/>
  <c r="BE125" i="3"/>
  <c r="BF125" i="3"/>
  <c r="BG125" i="3"/>
  <c r="BH125" i="3"/>
  <c r="BI125" i="3"/>
  <c r="BJ125" i="3"/>
  <c r="BK125" i="3"/>
  <c r="BL125" i="3"/>
  <c r="BM125" i="3"/>
  <c r="BN125" i="3"/>
  <c r="BO125" i="3"/>
  <c r="BP125" i="3"/>
  <c r="BQ125" i="3"/>
  <c r="BR125" i="3"/>
  <c r="BS125" i="3"/>
  <c r="BT125" i="3"/>
  <c r="BU125" i="3"/>
  <c r="BV125" i="3"/>
  <c r="BW125" i="3"/>
  <c r="BX125" i="3"/>
  <c r="BY125" i="3"/>
  <c r="BZ125" i="3"/>
  <c r="CA125" i="3"/>
  <c r="CB125" i="3"/>
  <c r="CC125" i="3"/>
  <c r="CD125" i="3"/>
  <c r="CE125" i="3"/>
  <c r="CF125" i="3"/>
  <c r="CG125" i="3"/>
  <c r="CH125" i="3"/>
  <c r="CI125" i="3"/>
  <c r="CJ125" i="3"/>
  <c r="CK125" i="3"/>
  <c r="CL125" i="3"/>
  <c r="CM125" i="3"/>
  <c r="CN125" i="3"/>
  <c r="CO125" i="3"/>
  <c r="CP125" i="3"/>
  <c r="CQ125" i="3"/>
  <c r="CR125" i="3"/>
  <c r="CS125" i="3"/>
  <c r="CT125" i="3"/>
  <c r="CU125" i="3"/>
  <c r="CV125" i="3"/>
  <c r="CW125" i="3"/>
  <c r="CX125" i="3"/>
  <c r="CY125" i="3"/>
  <c r="CZ125" i="3"/>
  <c r="DA125" i="3"/>
  <c r="DB125" i="3"/>
  <c r="DC125" i="3"/>
  <c r="DD125" i="3"/>
  <c r="DE125" i="3"/>
  <c r="DF125" i="3"/>
  <c r="DG125" i="3"/>
  <c r="DH125" i="3"/>
  <c r="DI125" i="3"/>
  <c r="DJ125" i="3"/>
  <c r="DK125" i="3"/>
  <c r="DL125" i="3"/>
  <c r="DM125" i="3"/>
  <c r="DN125" i="3"/>
  <c r="DO125" i="3"/>
  <c r="DP125" i="3"/>
  <c r="DQ125" i="3"/>
  <c r="DR125" i="3"/>
  <c r="DS125" i="3"/>
  <c r="DT125" i="3"/>
  <c r="DU125" i="3"/>
  <c r="DV125" i="3"/>
  <c r="DW125" i="3"/>
  <c r="DX125" i="3"/>
  <c r="DY125" i="3"/>
  <c r="DZ125" i="3"/>
  <c r="EA125" i="3"/>
  <c r="EB125" i="3"/>
  <c r="EC125" i="3"/>
  <c r="ED125" i="3"/>
  <c r="EE125" i="3"/>
  <c r="EF125" i="3"/>
  <c r="EG125" i="3"/>
  <c r="EH125" i="3"/>
  <c r="EI125" i="3"/>
  <c r="EJ125" i="3"/>
  <c r="EK125" i="3"/>
  <c r="EL125" i="3"/>
  <c r="EM125" i="3"/>
  <c r="EN125" i="3"/>
  <c r="EO125" i="3"/>
  <c r="EP125" i="3"/>
  <c r="EQ125" i="3"/>
  <c r="ER125" i="3"/>
  <c r="ES125" i="3"/>
  <c r="ET125" i="3"/>
  <c r="EU125" i="3"/>
  <c r="EV125" i="3"/>
  <c r="EW125" i="3"/>
  <c r="EX125" i="3"/>
  <c r="EY125" i="3"/>
  <c r="EZ125" i="3"/>
  <c r="FA125" i="3"/>
  <c r="FB125" i="3"/>
  <c r="FC125" i="3"/>
  <c r="FD125" i="3"/>
  <c r="FE125" i="3"/>
  <c r="FF125" i="3"/>
  <c r="FG125" i="3"/>
  <c r="FH125" i="3"/>
  <c r="FI125" i="3"/>
  <c r="FJ125" i="3"/>
  <c r="FK125" i="3"/>
  <c r="FL125" i="3"/>
  <c r="FM125" i="3"/>
  <c r="FN125" i="3"/>
  <c r="FO125" i="3"/>
  <c r="FP125" i="3"/>
  <c r="FQ125" i="3"/>
  <c r="FR125" i="3"/>
  <c r="FS125" i="3"/>
  <c r="FT125" i="3"/>
  <c r="FU125" i="3"/>
  <c r="FV125" i="3"/>
  <c r="FW125" i="3"/>
  <c r="FX125" i="3"/>
  <c r="FY125" i="3"/>
  <c r="FZ125" i="3"/>
  <c r="GA125" i="3"/>
  <c r="GB125" i="3"/>
  <c r="GC125" i="3"/>
  <c r="GD125" i="3"/>
  <c r="GE125" i="3"/>
  <c r="GF125" i="3"/>
  <c r="GG125" i="3"/>
  <c r="GH125" i="3"/>
  <c r="GI125" i="3"/>
  <c r="GJ125" i="3"/>
  <c r="GK125" i="3"/>
  <c r="GL125" i="3"/>
  <c r="GM125" i="3"/>
  <c r="GN125" i="3"/>
  <c r="GO125" i="3"/>
  <c r="GP125" i="3"/>
  <c r="GQ125" i="3"/>
  <c r="GR125" i="3"/>
  <c r="GS125" i="3"/>
  <c r="GT125" i="3"/>
  <c r="GU125" i="3"/>
  <c r="GV125" i="3"/>
  <c r="GW125" i="3"/>
  <c r="GX125" i="3"/>
  <c r="GY125" i="3"/>
  <c r="GZ125" i="3"/>
  <c r="HA125" i="3"/>
  <c r="HB125" i="3"/>
  <c r="HC125" i="3"/>
  <c r="HD125" i="3"/>
  <c r="HE125" i="3"/>
  <c r="HF125" i="3"/>
  <c r="HG125" i="3"/>
  <c r="HH125" i="3"/>
  <c r="HI125" i="3"/>
  <c r="HJ125" i="3"/>
  <c r="HK125" i="3"/>
  <c r="HL125" i="3"/>
  <c r="HM125" i="3"/>
  <c r="HN125" i="3"/>
  <c r="HO125" i="3"/>
  <c r="HP125" i="3"/>
  <c r="HQ125" i="3"/>
  <c r="HR125" i="3"/>
  <c r="HS125" i="3"/>
  <c r="HT125" i="3"/>
  <c r="HU125" i="3"/>
  <c r="HV125" i="3"/>
  <c r="HW125" i="3"/>
  <c r="HX125" i="3"/>
  <c r="HY125" i="3"/>
  <c r="HZ125" i="3"/>
  <c r="IA125" i="3"/>
  <c r="IB125" i="3"/>
  <c r="IC125" i="3"/>
  <c r="ID125" i="3"/>
  <c r="IE125" i="3"/>
  <c r="IF125" i="3"/>
  <c r="IG125" i="3"/>
  <c r="IH125" i="3"/>
  <c r="II125" i="3"/>
  <c r="IJ125" i="3"/>
  <c r="IK125" i="3"/>
  <c r="IL125" i="3"/>
  <c r="IM125" i="3"/>
  <c r="IN125" i="3"/>
  <c r="IO125" i="3"/>
  <c r="IP125" i="3"/>
  <c r="IQ125" i="3"/>
  <c r="IR125" i="3"/>
  <c r="IS125" i="3"/>
  <c r="IT125" i="3"/>
  <c r="IU125" i="3"/>
  <c r="IV125" i="3"/>
  <c r="A124" i="3"/>
  <c r="B124" i="3"/>
  <c r="C124" i="3"/>
  <c r="D124" i="3"/>
  <c r="E124" i="3"/>
  <c r="F124" i="3"/>
  <c r="G124" i="3"/>
  <c r="H124" i="3"/>
  <c r="I124" i="3"/>
  <c r="J124" i="3"/>
  <c r="K124" i="3"/>
  <c r="L124" i="3"/>
  <c r="M124" i="3"/>
  <c r="N124" i="3"/>
  <c r="O124" i="3"/>
  <c r="P124" i="3"/>
  <c r="Q124" i="3"/>
  <c r="R124" i="3"/>
  <c r="S124" i="3"/>
  <c r="T124" i="3"/>
  <c r="U124" i="3"/>
  <c r="V124" i="3"/>
  <c r="W124" i="3"/>
  <c r="X124" i="3"/>
  <c r="Y124" i="3"/>
  <c r="Z124" i="3"/>
  <c r="AA124" i="3"/>
  <c r="AB124" i="3"/>
  <c r="AC124" i="3"/>
  <c r="AD124" i="3"/>
  <c r="AE124" i="3"/>
  <c r="AF124" i="3"/>
  <c r="AG124" i="3"/>
  <c r="AH124" i="3"/>
  <c r="AI124" i="3"/>
  <c r="AJ124" i="3"/>
  <c r="AK124" i="3"/>
  <c r="AL124" i="3"/>
  <c r="AM124" i="3"/>
  <c r="AN124" i="3"/>
  <c r="AO124" i="3"/>
  <c r="AP124" i="3"/>
  <c r="AQ124" i="3"/>
  <c r="AR124" i="3"/>
  <c r="AS124" i="3"/>
  <c r="AT124" i="3"/>
  <c r="AU124" i="3"/>
  <c r="AV124" i="3"/>
  <c r="AW124" i="3"/>
  <c r="AX124" i="3"/>
  <c r="AY124" i="3"/>
  <c r="AZ124" i="3"/>
  <c r="BA124" i="3"/>
  <c r="BB124" i="3"/>
  <c r="BC124" i="3"/>
  <c r="BD124" i="3"/>
  <c r="BE124" i="3"/>
  <c r="BF124" i="3"/>
  <c r="BG124" i="3"/>
  <c r="BH124" i="3"/>
  <c r="BI124" i="3"/>
  <c r="BJ124" i="3"/>
  <c r="BK124" i="3"/>
  <c r="BL124" i="3"/>
  <c r="BM124" i="3"/>
  <c r="BN124" i="3"/>
  <c r="BO124" i="3"/>
  <c r="BP124" i="3"/>
  <c r="BQ124" i="3"/>
  <c r="BR124" i="3"/>
  <c r="BS124" i="3"/>
  <c r="BT124" i="3"/>
  <c r="BU124" i="3"/>
  <c r="BV124" i="3"/>
  <c r="BW124" i="3"/>
  <c r="BX124" i="3"/>
  <c r="BY124" i="3"/>
  <c r="BZ124" i="3"/>
  <c r="CA124" i="3"/>
  <c r="CB124" i="3"/>
  <c r="CC124" i="3"/>
  <c r="CD124" i="3"/>
  <c r="CE124" i="3"/>
  <c r="CF124" i="3"/>
  <c r="CG124" i="3"/>
  <c r="CH124" i="3"/>
  <c r="CI124" i="3"/>
  <c r="CJ124" i="3"/>
  <c r="CK124" i="3"/>
  <c r="CL124" i="3"/>
  <c r="CM124" i="3"/>
  <c r="CN124" i="3"/>
  <c r="CO124" i="3"/>
  <c r="CP124" i="3"/>
  <c r="CQ124" i="3"/>
  <c r="CR124" i="3"/>
  <c r="CS124" i="3"/>
  <c r="CT124" i="3"/>
  <c r="CU124" i="3"/>
  <c r="CV124" i="3"/>
  <c r="CW124" i="3"/>
  <c r="CX124" i="3"/>
  <c r="CY124" i="3"/>
  <c r="CZ124" i="3"/>
  <c r="DA124" i="3"/>
  <c r="DB124" i="3"/>
  <c r="DC124" i="3"/>
  <c r="DD124" i="3"/>
  <c r="DE124" i="3"/>
  <c r="DF124" i="3"/>
  <c r="DG124" i="3"/>
  <c r="DH124" i="3"/>
  <c r="DI124" i="3"/>
  <c r="DJ124" i="3"/>
  <c r="DK124" i="3"/>
  <c r="DL124" i="3"/>
  <c r="DM124" i="3"/>
  <c r="DN124" i="3"/>
  <c r="DO124" i="3"/>
  <c r="DP124" i="3"/>
  <c r="DQ124" i="3"/>
  <c r="DR124" i="3"/>
  <c r="DS124" i="3"/>
  <c r="DT124" i="3"/>
  <c r="DU124" i="3"/>
  <c r="DV124" i="3"/>
  <c r="DW124" i="3"/>
  <c r="DX124" i="3"/>
  <c r="DY124" i="3"/>
  <c r="DZ124" i="3"/>
  <c r="EA124" i="3"/>
  <c r="EB124" i="3"/>
  <c r="EC124" i="3"/>
  <c r="ED124" i="3"/>
  <c r="EE124" i="3"/>
  <c r="EF124" i="3"/>
  <c r="EG124" i="3"/>
  <c r="EH124" i="3"/>
  <c r="EI124" i="3"/>
  <c r="EJ124" i="3"/>
  <c r="EK124" i="3"/>
  <c r="EL124" i="3"/>
  <c r="EM124" i="3"/>
  <c r="EN124" i="3"/>
  <c r="EO124" i="3"/>
  <c r="EP124" i="3"/>
  <c r="EQ124" i="3"/>
  <c r="ER124" i="3"/>
  <c r="ES124" i="3"/>
  <c r="ET124" i="3"/>
  <c r="EU124" i="3"/>
  <c r="EV124" i="3"/>
  <c r="EW124" i="3"/>
  <c r="EX124" i="3"/>
  <c r="EY124" i="3"/>
  <c r="EZ124" i="3"/>
  <c r="FA124" i="3"/>
  <c r="FB124" i="3"/>
  <c r="FC124" i="3"/>
  <c r="FD124" i="3"/>
  <c r="FE124" i="3"/>
  <c r="FF124" i="3"/>
  <c r="FG124" i="3"/>
  <c r="FH124" i="3"/>
  <c r="FI124" i="3"/>
  <c r="FJ124" i="3"/>
  <c r="FK124" i="3"/>
  <c r="FL124" i="3"/>
  <c r="FM124" i="3"/>
  <c r="FN124" i="3"/>
  <c r="FO124" i="3"/>
  <c r="FP124" i="3"/>
  <c r="FQ124" i="3"/>
  <c r="FR124" i="3"/>
  <c r="FS124" i="3"/>
  <c r="FT124" i="3"/>
  <c r="FU124" i="3"/>
  <c r="FV124" i="3"/>
  <c r="FW124" i="3"/>
  <c r="FX124" i="3"/>
  <c r="FY124" i="3"/>
  <c r="FZ124" i="3"/>
  <c r="GA124" i="3"/>
  <c r="GB124" i="3"/>
  <c r="GC124" i="3"/>
  <c r="GD124" i="3"/>
  <c r="GE124" i="3"/>
  <c r="GF124" i="3"/>
  <c r="GG124" i="3"/>
  <c r="GH124" i="3"/>
  <c r="GI124" i="3"/>
  <c r="GJ124" i="3"/>
  <c r="GK124" i="3"/>
  <c r="GL124" i="3"/>
  <c r="GM124" i="3"/>
  <c r="GN124" i="3"/>
  <c r="GO124" i="3"/>
  <c r="GP124" i="3"/>
  <c r="GQ124" i="3"/>
  <c r="GR124" i="3"/>
  <c r="GS124" i="3"/>
  <c r="GT124" i="3"/>
  <c r="GU124" i="3"/>
  <c r="GV124" i="3"/>
  <c r="GW124" i="3"/>
  <c r="GX124" i="3"/>
  <c r="GY124" i="3"/>
  <c r="GZ124" i="3"/>
  <c r="HA124" i="3"/>
  <c r="HB124" i="3"/>
  <c r="HC124" i="3"/>
  <c r="HD124" i="3"/>
  <c r="HE124" i="3"/>
  <c r="HF124" i="3"/>
  <c r="HG124" i="3"/>
  <c r="HH124" i="3"/>
  <c r="HI124" i="3"/>
  <c r="HJ124" i="3"/>
  <c r="HK124" i="3"/>
  <c r="HL124" i="3"/>
  <c r="HM124" i="3"/>
  <c r="HN124" i="3"/>
  <c r="HO124" i="3"/>
  <c r="HP124" i="3"/>
  <c r="HQ124" i="3"/>
  <c r="HR124" i="3"/>
  <c r="HS124" i="3"/>
  <c r="HT124" i="3"/>
  <c r="HU124" i="3"/>
  <c r="HV124" i="3"/>
  <c r="HW124" i="3"/>
  <c r="HX124" i="3"/>
  <c r="HY124" i="3"/>
  <c r="HZ124" i="3"/>
  <c r="IA124" i="3"/>
  <c r="IB124" i="3"/>
  <c r="IC124" i="3"/>
  <c r="ID124" i="3"/>
  <c r="IE124" i="3"/>
  <c r="IF124" i="3"/>
  <c r="IG124" i="3"/>
  <c r="IH124" i="3"/>
  <c r="II124" i="3"/>
  <c r="IJ124" i="3"/>
  <c r="IK124" i="3"/>
  <c r="IL124" i="3"/>
  <c r="IM124" i="3"/>
  <c r="IN124" i="3"/>
  <c r="IO124" i="3"/>
  <c r="IP124" i="3"/>
  <c r="IQ124" i="3"/>
  <c r="IR124" i="3"/>
  <c r="IS124" i="3"/>
  <c r="IT124" i="3"/>
  <c r="IU124" i="3"/>
  <c r="IV124" i="3"/>
  <c r="A123" i="3"/>
  <c r="B123" i="3"/>
  <c r="C123" i="3"/>
  <c r="D123" i="3"/>
  <c r="E123" i="3"/>
  <c r="F123" i="3"/>
  <c r="G123" i="3"/>
  <c r="H123" i="3"/>
  <c r="I123" i="3"/>
  <c r="J123" i="3"/>
  <c r="K123" i="3"/>
  <c r="L123" i="3"/>
  <c r="M123" i="3"/>
  <c r="N123" i="3"/>
  <c r="O123" i="3"/>
  <c r="P123" i="3"/>
  <c r="Q123" i="3"/>
  <c r="R123" i="3"/>
  <c r="S123" i="3"/>
  <c r="T123" i="3"/>
  <c r="U123" i="3"/>
  <c r="V123" i="3"/>
  <c r="W123" i="3"/>
  <c r="X123" i="3"/>
  <c r="Y123" i="3"/>
  <c r="Z123" i="3"/>
  <c r="AA123" i="3"/>
  <c r="AB123" i="3"/>
  <c r="AC123" i="3"/>
  <c r="AD123" i="3"/>
  <c r="AE123" i="3"/>
  <c r="AF123" i="3"/>
  <c r="AG123" i="3"/>
  <c r="AH123" i="3"/>
  <c r="AI123" i="3"/>
  <c r="AJ123" i="3"/>
  <c r="AK123" i="3"/>
  <c r="AL123" i="3"/>
  <c r="AM123" i="3"/>
  <c r="AN123" i="3"/>
  <c r="AO123" i="3"/>
  <c r="AP123" i="3"/>
  <c r="AQ123" i="3"/>
  <c r="AR123" i="3"/>
  <c r="AS123" i="3"/>
  <c r="AT123" i="3"/>
  <c r="AU123" i="3"/>
  <c r="AV123" i="3"/>
  <c r="AW123" i="3"/>
  <c r="AX123" i="3"/>
  <c r="AY123" i="3"/>
  <c r="AZ123" i="3"/>
  <c r="BA123" i="3"/>
  <c r="BB123" i="3"/>
  <c r="BC123" i="3"/>
  <c r="BD123" i="3"/>
  <c r="BE123" i="3"/>
  <c r="BF123" i="3"/>
  <c r="BG123" i="3"/>
  <c r="BH123" i="3"/>
  <c r="BI123" i="3"/>
  <c r="BJ123" i="3"/>
  <c r="BK123" i="3"/>
  <c r="BL123" i="3"/>
  <c r="BM123" i="3"/>
  <c r="BN123" i="3"/>
  <c r="BO123" i="3"/>
  <c r="BP123" i="3"/>
  <c r="BQ123" i="3"/>
  <c r="BR123" i="3"/>
  <c r="BS123" i="3"/>
  <c r="BT123" i="3"/>
  <c r="BU123" i="3"/>
  <c r="BV123" i="3"/>
  <c r="BW123" i="3"/>
  <c r="BX123" i="3"/>
  <c r="BY123" i="3"/>
  <c r="BZ123" i="3"/>
  <c r="CA123" i="3"/>
  <c r="CB123" i="3"/>
  <c r="CC123" i="3"/>
  <c r="CD123" i="3"/>
  <c r="CE123" i="3"/>
  <c r="CF123" i="3"/>
  <c r="CG123" i="3"/>
  <c r="CH123" i="3"/>
  <c r="CI123" i="3"/>
  <c r="CJ123" i="3"/>
  <c r="CK123" i="3"/>
  <c r="CL123" i="3"/>
  <c r="CM123" i="3"/>
  <c r="CN123" i="3"/>
  <c r="CO123" i="3"/>
  <c r="CP123" i="3"/>
  <c r="CQ123" i="3"/>
  <c r="CR123" i="3"/>
  <c r="CS123" i="3"/>
  <c r="CT123" i="3"/>
  <c r="CU123" i="3"/>
  <c r="CV123" i="3"/>
  <c r="CW123" i="3"/>
  <c r="CX123" i="3"/>
  <c r="CY123" i="3"/>
  <c r="CZ123" i="3"/>
  <c r="DA123" i="3"/>
  <c r="DB123" i="3"/>
  <c r="DC123" i="3"/>
  <c r="DD123" i="3"/>
  <c r="DE123" i="3"/>
  <c r="DF123" i="3"/>
  <c r="DG123" i="3"/>
  <c r="DH123" i="3"/>
  <c r="DI123" i="3"/>
  <c r="DJ123" i="3"/>
  <c r="DK123" i="3"/>
  <c r="DL123" i="3"/>
  <c r="DM123" i="3"/>
  <c r="DN123" i="3"/>
  <c r="DO123" i="3"/>
  <c r="DP123" i="3"/>
  <c r="DQ123" i="3"/>
  <c r="DR123" i="3"/>
  <c r="DS123" i="3"/>
  <c r="DT123" i="3"/>
  <c r="DU123" i="3"/>
  <c r="DV123" i="3"/>
  <c r="DW123" i="3"/>
  <c r="DX123" i="3"/>
  <c r="DY123" i="3"/>
  <c r="DZ123" i="3"/>
  <c r="EA123" i="3"/>
  <c r="EB123" i="3"/>
  <c r="EC123" i="3"/>
  <c r="ED123" i="3"/>
  <c r="EE123" i="3"/>
  <c r="EF123" i="3"/>
  <c r="EG123" i="3"/>
  <c r="EH123" i="3"/>
  <c r="EI123" i="3"/>
  <c r="EJ123" i="3"/>
  <c r="EK123" i="3"/>
  <c r="EL123" i="3"/>
  <c r="EM123" i="3"/>
  <c r="EN123" i="3"/>
  <c r="EO123" i="3"/>
  <c r="EP123" i="3"/>
  <c r="EQ123" i="3"/>
  <c r="ER123" i="3"/>
  <c r="ES123" i="3"/>
  <c r="ET123" i="3"/>
  <c r="EU123" i="3"/>
  <c r="EV123" i="3"/>
  <c r="EW123" i="3"/>
  <c r="EX123" i="3"/>
  <c r="EY123" i="3"/>
  <c r="EZ123" i="3"/>
  <c r="FA123" i="3"/>
  <c r="FB123" i="3"/>
  <c r="FC123" i="3"/>
  <c r="FD123" i="3"/>
  <c r="FE123" i="3"/>
  <c r="FF123" i="3"/>
  <c r="FG123" i="3"/>
  <c r="FH123" i="3"/>
  <c r="FI123" i="3"/>
  <c r="FJ123" i="3"/>
  <c r="FK123" i="3"/>
  <c r="FL123" i="3"/>
  <c r="FM123" i="3"/>
  <c r="FN123" i="3"/>
  <c r="FO123" i="3"/>
  <c r="FP123" i="3"/>
  <c r="FQ123" i="3"/>
  <c r="FR123" i="3"/>
  <c r="FS123" i="3"/>
  <c r="FT123" i="3"/>
  <c r="FU123" i="3"/>
  <c r="FV123" i="3"/>
  <c r="FW123" i="3"/>
  <c r="FX123" i="3"/>
  <c r="FY123" i="3"/>
  <c r="FZ123" i="3"/>
  <c r="GA123" i="3"/>
  <c r="GB123" i="3"/>
  <c r="GC123" i="3"/>
  <c r="GD123" i="3"/>
  <c r="GE123" i="3"/>
  <c r="GF123" i="3"/>
  <c r="GG123" i="3"/>
  <c r="GH123" i="3"/>
  <c r="GI123" i="3"/>
  <c r="GJ123" i="3"/>
  <c r="GK123" i="3"/>
  <c r="GL123" i="3"/>
  <c r="GM123" i="3"/>
  <c r="GN123" i="3"/>
  <c r="GO123" i="3"/>
  <c r="GP123" i="3"/>
  <c r="GQ123" i="3"/>
  <c r="GR123" i="3"/>
  <c r="GS123" i="3"/>
  <c r="GT123" i="3"/>
  <c r="GU123" i="3"/>
  <c r="GV123" i="3"/>
  <c r="GW123" i="3"/>
  <c r="GX123" i="3"/>
  <c r="GY123" i="3"/>
  <c r="GZ123" i="3"/>
  <c r="HA123" i="3"/>
  <c r="HB123" i="3"/>
  <c r="HC123" i="3"/>
  <c r="HD123" i="3"/>
  <c r="HE123" i="3"/>
  <c r="HF123" i="3"/>
  <c r="HG123" i="3"/>
  <c r="HH123" i="3"/>
  <c r="HI123" i="3"/>
  <c r="HJ123" i="3"/>
  <c r="HK123" i="3"/>
  <c r="HL123" i="3"/>
  <c r="HM123" i="3"/>
  <c r="HN123" i="3"/>
  <c r="HO123" i="3"/>
  <c r="HP123" i="3"/>
  <c r="HQ123" i="3"/>
  <c r="HR123" i="3"/>
  <c r="HS123" i="3"/>
  <c r="HT123" i="3"/>
  <c r="HU123" i="3"/>
  <c r="HV123" i="3"/>
  <c r="HW123" i="3"/>
  <c r="HX123" i="3"/>
  <c r="HY123" i="3"/>
  <c r="HZ123" i="3"/>
  <c r="IA123" i="3"/>
  <c r="IB123" i="3"/>
  <c r="IC123" i="3"/>
  <c r="ID123" i="3"/>
  <c r="IE123" i="3"/>
  <c r="IF123" i="3"/>
  <c r="IG123" i="3"/>
  <c r="IH123" i="3"/>
  <c r="II123" i="3"/>
  <c r="IJ123" i="3"/>
  <c r="IK123" i="3"/>
  <c r="IL123" i="3"/>
  <c r="IM123" i="3"/>
  <c r="IN123" i="3"/>
  <c r="IO123" i="3"/>
  <c r="IP123" i="3"/>
  <c r="IQ123" i="3"/>
  <c r="IR123" i="3"/>
  <c r="IS123" i="3"/>
  <c r="IT123" i="3"/>
  <c r="IU123" i="3"/>
  <c r="IV123" i="3"/>
  <c r="A122" i="3"/>
  <c r="B122" i="3"/>
  <c r="C122" i="3"/>
  <c r="D122" i="3"/>
  <c r="E122" i="3"/>
  <c r="F122" i="3"/>
  <c r="G122" i="3"/>
  <c r="H122" i="3"/>
  <c r="I122" i="3"/>
  <c r="J122" i="3"/>
  <c r="K122" i="3"/>
  <c r="L122" i="3"/>
  <c r="M122" i="3"/>
  <c r="N122" i="3"/>
  <c r="O122" i="3"/>
  <c r="P122" i="3"/>
  <c r="Q122" i="3"/>
  <c r="R122" i="3"/>
  <c r="S122" i="3"/>
  <c r="T122" i="3"/>
  <c r="U122" i="3"/>
  <c r="V122" i="3"/>
  <c r="W122" i="3"/>
  <c r="X122" i="3"/>
  <c r="Y122" i="3"/>
  <c r="Z122" i="3"/>
  <c r="AA122" i="3"/>
  <c r="AB122" i="3"/>
  <c r="AC122" i="3"/>
  <c r="AD122" i="3"/>
  <c r="AE122" i="3"/>
  <c r="AF122" i="3"/>
  <c r="AG122" i="3"/>
  <c r="AH122" i="3"/>
  <c r="AI122" i="3"/>
  <c r="AJ122" i="3"/>
  <c r="AK122" i="3"/>
  <c r="AL122" i="3"/>
  <c r="AM122" i="3"/>
  <c r="AN122" i="3"/>
  <c r="AO122" i="3"/>
  <c r="AP122" i="3"/>
  <c r="AQ122" i="3"/>
  <c r="AR122" i="3"/>
  <c r="AS122" i="3"/>
  <c r="AT122" i="3"/>
  <c r="AU122" i="3"/>
  <c r="AV122" i="3"/>
  <c r="AW122" i="3"/>
  <c r="AX122" i="3"/>
  <c r="AY122" i="3"/>
  <c r="AZ122" i="3"/>
  <c r="BA122" i="3"/>
  <c r="BB122" i="3"/>
  <c r="BC122" i="3"/>
  <c r="BD122" i="3"/>
  <c r="BE122" i="3"/>
  <c r="BF122" i="3"/>
  <c r="BG122" i="3"/>
  <c r="BH122" i="3"/>
  <c r="BI122" i="3"/>
  <c r="BJ122" i="3"/>
  <c r="BK122" i="3"/>
  <c r="BL122" i="3"/>
  <c r="BM122" i="3"/>
  <c r="BN122" i="3"/>
  <c r="BO122" i="3"/>
  <c r="BP122" i="3"/>
  <c r="BQ122" i="3"/>
  <c r="BR122" i="3"/>
  <c r="BS122" i="3"/>
  <c r="BT122" i="3"/>
  <c r="BU122" i="3"/>
  <c r="BV122" i="3"/>
  <c r="BW122" i="3"/>
  <c r="BX122" i="3"/>
  <c r="BY122" i="3"/>
  <c r="BZ122" i="3"/>
  <c r="CA122" i="3"/>
  <c r="CB122" i="3"/>
  <c r="CC122" i="3"/>
  <c r="CD122" i="3"/>
  <c r="CE122" i="3"/>
  <c r="CF122" i="3"/>
  <c r="CG122" i="3"/>
  <c r="CH122" i="3"/>
  <c r="CI122" i="3"/>
  <c r="CJ122" i="3"/>
  <c r="CK122" i="3"/>
  <c r="CL122" i="3"/>
  <c r="CM122" i="3"/>
  <c r="CN122" i="3"/>
  <c r="CO122" i="3"/>
  <c r="CP122" i="3"/>
  <c r="CQ122" i="3"/>
  <c r="CR122" i="3"/>
  <c r="CS122" i="3"/>
  <c r="CT122" i="3"/>
  <c r="CU122" i="3"/>
  <c r="CV122" i="3"/>
  <c r="CW122" i="3"/>
  <c r="CX122" i="3"/>
  <c r="CY122" i="3"/>
  <c r="CZ122" i="3"/>
  <c r="DA122" i="3"/>
  <c r="DB122" i="3"/>
  <c r="DC122" i="3"/>
  <c r="DD122" i="3"/>
  <c r="DE122" i="3"/>
  <c r="DF122" i="3"/>
  <c r="DG122" i="3"/>
  <c r="DH122" i="3"/>
  <c r="DI122" i="3"/>
  <c r="DJ122" i="3"/>
  <c r="DK122" i="3"/>
  <c r="DL122" i="3"/>
  <c r="DM122" i="3"/>
  <c r="DN122" i="3"/>
  <c r="DO122" i="3"/>
  <c r="DP122" i="3"/>
  <c r="DQ122" i="3"/>
  <c r="DR122" i="3"/>
  <c r="DS122" i="3"/>
  <c r="DT122" i="3"/>
  <c r="DU122" i="3"/>
  <c r="DV122" i="3"/>
  <c r="DW122" i="3"/>
  <c r="DX122" i="3"/>
  <c r="DY122" i="3"/>
  <c r="DZ122" i="3"/>
  <c r="EA122" i="3"/>
  <c r="EB122" i="3"/>
  <c r="EC122" i="3"/>
  <c r="ED122" i="3"/>
  <c r="EE122" i="3"/>
  <c r="EF122" i="3"/>
  <c r="EG122" i="3"/>
  <c r="EH122" i="3"/>
  <c r="EI122" i="3"/>
  <c r="EJ122" i="3"/>
  <c r="EK122" i="3"/>
  <c r="EL122" i="3"/>
  <c r="EM122" i="3"/>
  <c r="EN122" i="3"/>
  <c r="EO122" i="3"/>
  <c r="EP122" i="3"/>
  <c r="EQ122" i="3"/>
  <c r="ER122" i="3"/>
  <c r="ES122" i="3"/>
  <c r="ET122" i="3"/>
  <c r="EU122" i="3"/>
  <c r="EV122" i="3"/>
  <c r="EW122" i="3"/>
  <c r="EX122" i="3"/>
  <c r="EY122" i="3"/>
  <c r="EZ122" i="3"/>
  <c r="FA122" i="3"/>
  <c r="FB122" i="3"/>
  <c r="FC122" i="3"/>
  <c r="FD122" i="3"/>
  <c r="FE122" i="3"/>
  <c r="FF122" i="3"/>
  <c r="FG122" i="3"/>
  <c r="FH122" i="3"/>
  <c r="FI122" i="3"/>
  <c r="FJ122" i="3"/>
  <c r="FK122" i="3"/>
  <c r="FL122" i="3"/>
  <c r="FM122" i="3"/>
  <c r="FN122" i="3"/>
  <c r="FO122" i="3"/>
  <c r="FP122" i="3"/>
  <c r="FQ122" i="3"/>
  <c r="FR122" i="3"/>
  <c r="FS122" i="3"/>
  <c r="FT122" i="3"/>
  <c r="FU122" i="3"/>
  <c r="FV122" i="3"/>
  <c r="FW122" i="3"/>
  <c r="FX122" i="3"/>
  <c r="FY122" i="3"/>
  <c r="FZ122" i="3"/>
  <c r="GA122" i="3"/>
  <c r="GB122" i="3"/>
  <c r="GC122" i="3"/>
  <c r="GD122" i="3"/>
  <c r="GE122" i="3"/>
  <c r="GF122" i="3"/>
  <c r="GG122" i="3"/>
  <c r="GH122" i="3"/>
  <c r="GI122" i="3"/>
  <c r="GJ122" i="3"/>
  <c r="GK122" i="3"/>
  <c r="GL122" i="3"/>
  <c r="GM122" i="3"/>
  <c r="GN122" i="3"/>
  <c r="GO122" i="3"/>
  <c r="GP122" i="3"/>
  <c r="GQ122" i="3"/>
  <c r="GR122" i="3"/>
  <c r="GS122" i="3"/>
  <c r="GT122" i="3"/>
  <c r="GU122" i="3"/>
  <c r="GV122" i="3"/>
  <c r="GW122" i="3"/>
  <c r="GX122" i="3"/>
  <c r="GY122" i="3"/>
  <c r="GZ122" i="3"/>
  <c r="HA122" i="3"/>
  <c r="HB122" i="3"/>
  <c r="HC122" i="3"/>
  <c r="HD122" i="3"/>
  <c r="HE122" i="3"/>
  <c r="HF122" i="3"/>
  <c r="HG122" i="3"/>
  <c r="HH122" i="3"/>
  <c r="HI122" i="3"/>
  <c r="HJ122" i="3"/>
  <c r="HK122" i="3"/>
  <c r="HL122" i="3"/>
  <c r="HM122" i="3"/>
  <c r="HN122" i="3"/>
  <c r="HO122" i="3"/>
  <c r="HP122" i="3"/>
  <c r="HQ122" i="3"/>
  <c r="HR122" i="3"/>
  <c r="HS122" i="3"/>
  <c r="HT122" i="3"/>
  <c r="HU122" i="3"/>
  <c r="HV122" i="3"/>
  <c r="HW122" i="3"/>
  <c r="HX122" i="3"/>
  <c r="HY122" i="3"/>
  <c r="HZ122" i="3"/>
  <c r="IA122" i="3"/>
  <c r="IB122" i="3"/>
  <c r="IC122" i="3"/>
  <c r="ID122" i="3"/>
  <c r="IE122" i="3"/>
  <c r="IF122" i="3"/>
  <c r="IG122" i="3"/>
  <c r="IH122" i="3"/>
  <c r="II122" i="3"/>
  <c r="IJ122" i="3"/>
  <c r="IK122" i="3"/>
  <c r="IL122" i="3"/>
  <c r="IM122" i="3"/>
  <c r="IN122" i="3"/>
  <c r="IO122" i="3"/>
  <c r="IP122" i="3"/>
  <c r="IQ122" i="3"/>
  <c r="IR122" i="3"/>
  <c r="IS122" i="3"/>
  <c r="IT122" i="3"/>
  <c r="IU122" i="3"/>
  <c r="IV122" i="3"/>
  <c r="A121" i="3"/>
  <c r="B121" i="3"/>
  <c r="C121" i="3"/>
  <c r="D121" i="3"/>
  <c r="E121" i="3"/>
  <c r="F121" i="3"/>
  <c r="G121" i="3"/>
  <c r="H121" i="3"/>
  <c r="I121" i="3"/>
  <c r="J121" i="3"/>
  <c r="K121" i="3"/>
  <c r="L121" i="3"/>
  <c r="M121" i="3"/>
  <c r="N121" i="3"/>
  <c r="O121" i="3"/>
  <c r="P121" i="3"/>
  <c r="Q121" i="3"/>
  <c r="R121" i="3"/>
  <c r="S121" i="3"/>
  <c r="T121" i="3"/>
  <c r="U121" i="3"/>
  <c r="V121" i="3"/>
  <c r="W121" i="3"/>
  <c r="X121" i="3"/>
  <c r="Y121" i="3"/>
  <c r="Z121" i="3"/>
  <c r="AA121" i="3"/>
  <c r="AB121" i="3"/>
  <c r="AC121" i="3"/>
  <c r="AD121" i="3"/>
  <c r="AE121" i="3"/>
  <c r="AF121" i="3"/>
  <c r="AG121" i="3"/>
  <c r="AH121" i="3"/>
  <c r="AI121" i="3"/>
  <c r="AJ121" i="3"/>
  <c r="AK121" i="3"/>
  <c r="AL121" i="3"/>
  <c r="AM121" i="3"/>
  <c r="AN121" i="3"/>
  <c r="AO121" i="3"/>
  <c r="AP121" i="3"/>
  <c r="AQ121" i="3"/>
  <c r="AR121" i="3"/>
  <c r="AS121" i="3"/>
  <c r="AT121" i="3"/>
  <c r="AU121" i="3"/>
  <c r="AV121" i="3"/>
  <c r="AW121" i="3"/>
  <c r="AX121" i="3"/>
  <c r="AY121" i="3"/>
  <c r="AZ121" i="3"/>
  <c r="BA121" i="3"/>
  <c r="BB121" i="3"/>
  <c r="BC121" i="3"/>
  <c r="BD121" i="3"/>
  <c r="BE121" i="3"/>
  <c r="BF121" i="3"/>
  <c r="BG121" i="3"/>
  <c r="BH121" i="3"/>
  <c r="BI121" i="3"/>
  <c r="BJ121" i="3"/>
  <c r="BK121" i="3"/>
  <c r="BL121" i="3"/>
  <c r="BM121" i="3"/>
  <c r="BN121" i="3"/>
  <c r="BO121" i="3"/>
  <c r="BP121" i="3"/>
  <c r="BQ121" i="3"/>
  <c r="BR121" i="3"/>
  <c r="BS121" i="3"/>
  <c r="BT121" i="3"/>
  <c r="BU121" i="3"/>
  <c r="BV121" i="3"/>
  <c r="BW121" i="3"/>
  <c r="BX121" i="3"/>
  <c r="BY121" i="3"/>
  <c r="BZ121" i="3"/>
  <c r="CA121" i="3"/>
  <c r="CB121" i="3"/>
  <c r="CC121" i="3"/>
  <c r="CD121" i="3"/>
  <c r="CE121" i="3"/>
  <c r="CF121" i="3"/>
  <c r="CG121" i="3"/>
  <c r="CH121" i="3"/>
  <c r="CI121" i="3"/>
  <c r="CJ121" i="3"/>
  <c r="CK121" i="3"/>
  <c r="CL121" i="3"/>
  <c r="CM121" i="3"/>
  <c r="CN121" i="3"/>
  <c r="CO121" i="3"/>
  <c r="CP121" i="3"/>
  <c r="CQ121" i="3"/>
  <c r="CR121" i="3"/>
  <c r="CS121" i="3"/>
  <c r="CT121" i="3"/>
  <c r="CU121" i="3"/>
  <c r="CV121" i="3"/>
  <c r="CW121" i="3"/>
  <c r="CX121" i="3"/>
  <c r="CY121" i="3"/>
  <c r="CZ121" i="3"/>
  <c r="DA121" i="3"/>
  <c r="DB121" i="3"/>
  <c r="DC121" i="3"/>
  <c r="DD121" i="3"/>
  <c r="DE121" i="3"/>
  <c r="DF121" i="3"/>
  <c r="DG121" i="3"/>
  <c r="DH121" i="3"/>
  <c r="DI121" i="3"/>
  <c r="DJ121" i="3"/>
  <c r="DK121" i="3"/>
  <c r="DL121" i="3"/>
  <c r="DM121" i="3"/>
  <c r="DN121" i="3"/>
  <c r="DO121" i="3"/>
  <c r="DP121" i="3"/>
  <c r="DQ121" i="3"/>
  <c r="DR121" i="3"/>
  <c r="DS121" i="3"/>
  <c r="DT121" i="3"/>
  <c r="DU121" i="3"/>
  <c r="DV121" i="3"/>
  <c r="DW121" i="3"/>
  <c r="DX121" i="3"/>
  <c r="DY121" i="3"/>
  <c r="DZ121" i="3"/>
  <c r="EA121" i="3"/>
  <c r="EB121" i="3"/>
  <c r="EC121" i="3"/>
  <c r="ED121" i="3"/>
  <c r="EE121" i="3"/>
  <c r="EF121" i="3"/>
  <c r="EG121" i="3"/>
  <c r="EH121" i="3"/>
  <c r="EI121" i="3"/>
  <c r="EJ121" i="3"/>
  <c r="EK121" i="3"/>
  <c r="EL121" i="3"/>
  <c r="EM121" i="3"/>
  <c r="EN121" i="3"/>
  <c r="EO121" i="3"/>
  <c r="EP121" i="3"/>
  <c r="EQ121" i="3"/>
  <c r="ER121" i="3"/>
  <c r="ES121" i="3"/>
  <c r="ET121" i="3"/>
  <c r="EU121" i="3"/>
  <c r="EV121" i="3"/>
  <c r="EW121" i="3"/>
  <c r="EX121" i="3"/>
  <c r="EY121" i="3"/>
  <c r="EZ121" i="3"/>
  <c r="FA121" i="3"/>
  <c r="FB121" i="3"/>
  <c r="FC121" i="3"/>
  <c r="FD121" i="3"/>
  <c r="FE121" i="3"/>
  <c r="FF121" i="3"/>
  <c r="FG121" i="3"/>
  <c r="FH121" i="3"/>
  <c r="FI121" i="3"/>
  <c r="FJ121" i="3"/>
  <c r="FK121" i="3"/>
  <c r="FL121" i="3"/>
  <c r="FM121" i="3"/>
  <c r="FN121" i="3"/>
  <c r="FO121" i="3"/>
  <c r="FP121" i="3"/>
  <c r="FQ121" i="3"/>
  <c r="FR121" i="3"/>
  <c r="FS121" i="3"/>
  <c r="FT121" i="3"/>
  <c r="FU121" i="3"/>
  <c r="FV121" i="3"/>
  <c r="FW121" i="3"/>
  <c r="FX121" i="3"/>
  <c r="FY121" i="3"/>
  <c r="FZ121" i="3"/>
  <c r="GA121" i="3"/>
  <c r="GB121" i="3"/>
  <c r="GC121" i="3"/>
  <c r="GD121" i="3"/>
  <c r="GE121" i="3"/>
  <c r="GF121" i="3"/>
  <c r="GG121" i="3"/>
  <c r="GH121" i="3"/>
  <c r="GI121" i="3"/>
  <c r="GJ121" i="3"/>
  <c r="GK121" i="3"/>
  <c r="GL121" i="3"/>
  <c r="GM121" i="3"/>
  <c r="GN121" i="3"/>
  <c r="GO121" i="3"/>
  <c r="GP121" i="3"/>
  <c r="GQ121" i="3"/>
  <c r="GR121" i="3"/>
  <c r="GS121" i="3"/>
  <c r="GT121" i="3"/>
  <c r="GU121" i="3"/>
  <c r="GV121" i="3"/>
  <c r="GW121" i="3"/>
  <c r="GX121" i="3"/>
  <c r="GY121" i="3"/>
  <c r="GZ121" i="3"/>
  <c r="HA121" i="3"/>
  <c r="HB121" i="3"/>
  <c r="HC121" i="3"/>
  <c r="HD121" i="3"/>
  <c r="HE121" i="3"/>
  <c r="HF121" i="3"/>
  <c r="HG121" i="3"/>
  <c r="HH121" i="3"/>
  <c r="HI121" i="3"/>
  <c r="HJ121" i="3"/>
  <c r="HK121" i="3"/>
  <c r="HL121" i="3"/>
  <c r="HM121" i="3"/>
  <c r="HN121" i="3"/>
  <c r="HO121" i="3"/>
  <c r="HP121" i="3"/>
  <c r="HQ121" i="3"/>
  <c r="HR121" i="3"/>
  <c r="HS121" i="3"/>
  <c r="HT121" i="3"/>
  <c r="HU121" i="3"/>
  <c r="HV121" i="3"/>
  <c r="HW121" i="3"/>
  <c r="HX121" i="3"/>
  <c r="HY121" i="3"/>
  <c r="HZ121" i="3"/>
  <c r="IA121" i="3"/>
  <c r="IB121" i="3"/>
  <c r="IC121" i="3"/>
  <c r="ID121" i="3"/>
  <c r="IE121" i="3"/>
  <c r="IF121" i="3"/>
  <c r="IG121" i="3"/>
  <c r="IH121" i="3"/>
  <c r="II121" i="3"/>
  <c r="IJ121" i="3"/>
  <c r="IK121" i="3"/>
  <c r="IL121" i="3"/>
  <c r="IM121" i="3"/>
  <c r="IN121" i="3"/>
  <c r="IO121" i="3"/>
  <c r="IP121" i="3"/>
  <c r="IQ121" i="3"/>
  <c r="IR121" i="3"/>
  <c r="IS121" i="3"/>
  <c r="IT121" i="3"/>
  <c r="IU121" i="3"/>
  <c r="IV121" i="3"/>
  <c r="A120" i="3"/>
  <c r="B120" i="3"/>
  <c r="C120" i="3"/>
  <c r="D120" i="3"/>
  <c r="E120" i="3"/>
  <c r="F120" i="3"/>
  <c r="G120" i="3"/>
  <c r="H120" i="3"/>
  <c r="I120" i="3"/>
  <c r="J120" i="3"/>
  <c r="K120" i="3"/>
  <c r="L120" i="3"/>
  <c r="M120" i="3"/>
  <c r="N120" i="3"/>
  <c r="O120" i="3"/>
  <c r="P120" i="3"/>
  <c r="Q120" i="3"/>
  <c r="R120" i="3"/>
  <c r="S120" i="3"/>
  <c r="T120" i="3"/>
  <c r="U120" i="3"/>
  <c r="V120" i="3"/>
  <c r="W120" i="3"/>
  <c r="X120" i="3"/>
  <c r="Y120" i="3"/>
  <c r="Z120" i="3"/>
  <c r="AA120" i="3"/>
  <c r="AB120" i="3"/>
  <c r="AC120" i="3"/>
  <c r="AD120" i="3"/>
  <c r="AE120" i="3"/>
  <c r="AF120" i="3"/>
  <c r="AG120" i="3"/>
  <c r="AH120" i="3"/>
  <c r="AI120" i="3"/>
  <c r="AJ120" i="3"/>
  <c r="AK120" i="3"/>
  <c r="AL120" i="3"/>
  <c r="AM120" i="3"/>
  <c r="AN120" i="3"/>
  <c r="AO120" i="3"/>
  <c r="AP120" i="3"/>
  <c r="AQ120" i="3"/>
  <c r="AR120" i="3"/>
  <c r="AS120" i="3"/>
  <c r="AT120" i="3"/>
  <c r="AU120" i="3"/>
  <c r="AV120" i="3"/>
  <c r="AW120" i="3"/>
  <c r="AX120" i="3"/>
  <c r="AY120" i="3"/>
  <c r="AZ120" i="3"/>
  <c r="BA120" i="3"/>
  <c r="BB120" i="3"/>
  <c r="BC120" i="3"/>
  <c r="BD120" i="3"/>
  <c r="BE120" i="3"/>
  <c r="BF120" i="3"/>
  <c r="BG120" i="3"/>
  <c r="BH120" i="3"/>
  <c r="BI120" i="3"/>
  <c r="BJ120" i="3"/>
  <c r="BK120" i="3"/>
  <c r="BL120" i="3"/>
  <c r="BM120" i="3"/>
  <c r="BN120" i="3"/>
  <c r="BO120" i="3"/>
  <c r="BP120" i="3"/>
  <c r="BQ120" i="3"/>
  <c r="BR120" i="3"/>
  <c r="BS120" i="3"/>
  <c r="BT120" i="3"/>
  <c r="BU120" i="3"/>
  <c r="BV120" i="3"/>
  <c r="BW120" i="3"/>
  <c r="BX120" i="3"/>
  <c r="BY120" i="3"/>
  <c r="BZ120" i="3"/>
  <c r="CA120" i="3"/>
  <c r="CB120" i="3"/>
  <c r="CC120" i="3"/>
  <c r="CD120" i="3"/>
  <c r="CE120" i="3"/>
  <c r="CF120" i="3"/>
  <c r="CG120" i="3"/>
  <c r="CH120" i="3"/>
  <c r="CI120" i="3"/>
  <c r="CJ120" i="3"/>
  <c r="CK120" i="3"/>
  <c r="CL120" i="3"/>
  <c r="CM120" i="3"/>
  <c r="CN120" i="3"/>
  <c r="CO120" i="3"/>
  <c r="CP120" i="3"/>
  <c r="CQ120" i="3"/>
  <c r="CR120" i="3"/>
  <c r="CS120" i="3"/>
  <c r="CT120" i="3"/>
  <c r="CU120" i="3"/>
  <c r="CV120" i="3"/>
  <c r="CW120" i="3"/>
  <c r="CX120" i="3"/>
  <c r="CY120" i="3"/>
  <c r="CZ120" i="3"/>
  <c r="DA120" i="3"/>
  <c r="DB120" i="3"/>
  <c r="DC120" i="3"/>
  <c r="DD120" i="3"/>
  <c r="DE120" i="3"/>
  <c r="DF120" i="3"/>
  <c r="DG120" i="3"/>
  <c r="DH120" i="3"/>
  <c r="DI120" i="3"/>
  <c r="DJ120" i="3"/>
  <c r="DK120" i="3"/>
  <c r="DL120" i="3"/>
  <c r="DM120" i="3"/>
  <c r="DN120" i="3"/>
  <c r="DO120" i="3"/>
  <c r="DP120" i="3"/>
  <c r="DQ120" i="3"/>
  <c r="DR120" i="3"/>
  <c r="DS120" i="3"/>
  <c r="DT120" i="3"/>
  <c r="DU120" i="3"/>
  <c r="DV120" i="3"/>
  <c r="DW120" i="3"/>
  <c r="DX120" i="3"/>
  <c r="DY120" i="3"/>
  <c r="DZ120" i="3"/>
  <c r="EA120" i="3"/>
  <c r="EB120" i="3"/>
  <c r="EC120" i="3"/>
  <c r="ED120" i="3"/>
  <c r="EE120" i="3"/>
  <c r="EF120" i="3"/>
  <c r="EG120" i="3"/>
  <c r="EH120" i="3"/>
  <c r="EI120" i="3"/>
  <c r="EJ120" i="3"/>
  <c r="EK120" i="3"/>
  <c r="EL120" i="3"/>
  <c r="EM120" i="3"/>
  <c r="EN120" i="3"/>
  <c r="EO120" i="3"/>
  <c r="EP120" i="3"/>
  <c r="EQ120" i="3"/>
  <c r="ER120" i="3"/>
  <c r="ES120" i="3"/>
  <c r="ET120" i="3"/>
  <c r="EU120" i="3"/>
  <c r="EV120" i="3"/>
  <c r="EW120" i="3"/>
  <c r="EX120" i="3"/>
  <c r="EY120" i="3"/>
  <c r="EZ120" i="3"/>
  <c r="FA120" i="3"/>
  <c r="FB120" i="3"/>
  <c r="FC120" i="3"/>
  <c r="FD120" i="3"/>
  <c r="FE120" i="3"/>
  <c r="FF120" i="3"/>
  <c r="FG120" i="3"/>
  <c r="FH120" i="3"/>
  <c r="FI120" i="3"/>
  <c r="FJ120" i="3"/>
  <c r="FK120" i="3"/>
  <c r="FL120" i="3"/>
  <c r="FM120" i="3"/>
  <c r="FN120" i="3"/>
  <c r="FO120" i="3"/>
  <c r="FP120" i="3"/>
  <c r="FQ120" i="3"/>
  <c r="FR120" i="3"/>
  <c r="FS120" i="3"/>
  <c r="FT120" i="3"/>
  <c r="FU120" i="3"/>
  <c r="FV120" i="3"/>
  <c r="FW120" i="3"/>
  <c r="FX120" i="3"/>
  <c r="FY120" i="3"/>
  <c r="FZ120" i="3"/>
  <c r="GA120" i="3"/>
  <c r="GB120" i="3"/>
  <c r="GC120" i="3"/>
  <c r="GD120" i="3"/>
  <c r="GE120" i="3"/>
  <c r="GF120" i="3"/>
  <c r="GG120" i="3"/>
  <c r="GH120" i="3"/>
  <c r="GI120" i="3"/>
  <c r="GJ120" i="3"/>
  <c r="GK120" i="3"/>
  <c r="GL120" i="3"/>
  <c r="GM120" i="3"/>
  <c r="GN120" i="3"/>
  <c r="GO120" i="3"/>
  <c r="GP120" i="3"/>
  <c r="GQ120" i="3"/>
  <c r="GR120" i="3"/>
  <c r="GS120" i="3"/>
  <c r="GT120" i="3"/>
  <c r="GU120" i="3"/>
  <c r="GV120" i="3"/>
  <c r="GW120" i="3"/>
  <c r="GX120" i="3"/>
  <c r="GY120" i="3"/>
  <c r="GZ120" i="3"/>
  <c r="HA120" i="3"/>
  <c r="HB120" i="3"/>
  <c r="HC120" i="3"/>
  <c r="HD120" i="3"/>
  <c r="HE120" i="3"/>
  <c r="HF120" i="3"/>
  <c r="HG120" i="3"/>
  <c r="HH120" i="3"/>
  <c r="HI120" i="3"/>
  <c r="HJ120" i="3"/>
  <c r="HK120" i="3"/>
  <c r="HL120" i="3"/>
  <c r="HM120" i="3"/>
  <c r="HN120" i="3"/>
  <c r="HO120" i="3"/>
  <c r="HP120" i="3"/>
  <c r="HQ120" i="3"/>
  <c r="HR120" i="3"/>
  <c r="HS120" i="3"/>
  <c r="HT120" i="3"/>
  <c r="HU120" i="3"/>
  <c r="HV120" i="3"/>
  <c r="HW120" i="3"/>
  <c r="HX120" i="3"/>
  <c r="HY120" i="3"/>
  <c r="HZ120" i="3"/>
  <c r="IA120" i="3"/>
  <c r="IB120" i="3"/>
  <c r="IC120" i="3"/>
  <c r="ID120" i="3"/>
  <c r="IE120" i="3"/>
  <c r="IF120" i="3"/>
  <c r="IG120" i="3"/>
  <c r="IH120" i="3"/>
  <c r="II120" i="3"/>
  <c r="IJ120" i="3"/>
  <c r="IK120" i="3"/>
  <c r="IL120" i="3"/>
  <c r="IM120" i="3"/>
  <c r="IN120" i="3"/>
  <c r="IO120" i="3"/>
  <c r="IP120" i="3"/>
  <c r="IQ120" i="3"/>
  <c r="IR120" i="3"/>
  <c r="IS120" i="3"/>
  <c r="IT120" i="3"/>
  <c r="IU120" i="3"/>
  <c r="IV120" i="3"/>
  <c r="A119" i="3"/>
  <c r="B119" i="3"/>
  <c r="C119" i="3"/>
  <c r="D119" i="3"/>
  <c r="E119" i="3"/>
  <c r="F119" i="3"/>
  <c r="G119" i="3"/>
  <c r="H119" i="3"/>
  <c r="I119" i="3"/>
  <c r="J119" i="3"/>
  <c r="K119" i="3"/>
  <c r="L119" i="3"/>
  <c r="M119" i="3"/>
  <c r="N119" i="3"/>
  <c r="O119" i="3"/>
  <c r="P119" i="3"/>
  <c r="Q119" i="3"/>
  <c r="R119" i="3"/>
  <c r="S119" i="3"/>
  <c r="T119" i="3"/>
  <c r="U119" i="3"/>
  <c r="V119" i="3"/>
  <c r="W119" i="3"/>
  <c r="X119" i="3"/>
  <c r="Y119" i="3"/>
  <c r="Z119" i="3"/>
  <c r="AA119" i="3"/>
  <c r="AB119" i="3"/>
  <c r="AC119" i="3"/>
  <c r="AD119" i="3"/>
  <c r="AE119" i="3"/>
  <c r="AF119" i="3"/>
  <c r="AG119" i="3"/>
  <c r="AH119" i="3"/>
  <c r="AI119" i="3"/>
  <c r="AJ119" i="3"/>
  <c r="AK119" i="3"/>
  <c r="AL119" i="3"/>
  <c r="AM119" i="3"/>
  <c r="AN119" i="3"/>
  <c r="AO119" i="3"/>
  <c r="AP119" i="3"/>
  <c r="AQ119" i="3"/>
  <c r="AR119" i="3"/>
  <c r="AS119" i="3"/>
  <c r="AT119" i="3"/>
  <c r="AU119" i="3"/>
  <c r="AV119" i="3"/>
  <c r="AW119" i="3"/>
  <c r="AX119" i="3"/>
  <c r="AY119" i="3"/>
  <c r="AZ119" i="3"/>
  <c r="BA119" i="3"/>
  <c r="BB119" i="3"/>
  <c r="BC119" i="3"/>
  <c r="BD119" i="3"/>
  <c r="BE119" i="3"/>
  <c r="BF119" i="3"/>
  <c r="BG119" i="3"/>
  <c r="BH119" i="3"/>
  <c r="BI119" i="3"/>
  <c r="BJ119" i="3"/>
  <c r="BK119" i="3"/>
  <c r="BL119" i="3"/>
  <c r="BM119" i="3"/>
  <c r="BN119" i="3"/>
  <c r="BO119" i="3"/>
  <c r="BP119" i="3"/>
  <c r="BQ119" i="3"/>
  <c r="BR119" i="3"/>
  <c r="BS119" i="3"/>
  <c r="BT119" i="3"/>
  <c r="BU119" i="3"/>
  <c r="BV119" i="3"/>
  <c r="BW119" i="3"/>
  <c r="BX119" i="3"/>
  <c r="BY119" i="3"/>
  <c r="BZ119" i="3"/>
  <c r="CA119" i="3"/>
  <c r="CB119" i="3"/>
  <c r="CC119" i="3"/>
  <c r="CD119" i="3"/>
  <c r="CE119" i="3"/>
  <c r="CF119" i="3"/>
  <c r="CG119" i="3"/>
  <c r="CH119" i="3"/>
  <c r="CI119" i="3"/>
  <c r="CJ119" i="3"/>
  <c r="CK119" i="3"/>
  <c r="CL119" i="3"/>
  <c r="CM119" i="3"/>
  <c r="CN119" i="3"/>
  <c r="CO119" i="3"/>
  <c r="CP119" i="3"/>
  <c r="CQ119" i="3"/>
  <c r="CR119" i="3"/>
  <c r="CS119" i="3"/>
  <c r="CT119" i="3"/>
  <c r="CU119" i="3"/>
  <c r="CV119" i="3"/>
  <c r="CW119" i="3"/>
  <c r="CX119" i="3"/>
  <c r="CY119" i="3"/>
  <c r="CZ119" i="3"/>
  <c r="DA119" i="3"/>
  <c r="DB119" i="3"/>
  <c r="DC119" i="3"/>
  <c r="DD119" i="3"/>
  <c r="DE119" i="3"/>
  <c r="DF119" i="3"/>
  <c r="DG119" i="3"/>
  <c r="DH119" i="3"/>
  <c r="DI119" i="3"/>
  <c r="DJ119" i="3"/>
  <c r="DK119" i="3"/>
  <c r="DL119" i="3"/>
  <c r="DM119" i="3"/>
  <c r="DN119" i="3"/>
  <c r="DO119" i="3"/>
  <c r="DP119" i="3"/>
  <c r="DQ119" i="3"/>
  <c r="DR119" i="3"/>
  <c r="DS119" i="3"/>
  <c r="DT119" i="3"/>
  <c r="DU119" i="3"/>
  <c r="DV119" i="3"/>
  <c r="DW119" i="3"/>
  <c r="DX119" i="3"/>
  <c r="DY119" i="3"/>
  <c r="DZ119" i="3"/>
  <c r="EA119" i="3"/>
  <c r="EB119" i="3"/>
  <c r="EC119" i="3"/>
  <c r="ED119" i="3"/>
  <c r="EE119" i="3"/>
  <c r="EF119" i="3"/>
  <c r="EG119" i="3"/>
  <c r="EH119" i="3"/>
  <c r="EI119" i="3"/>
  <c r="EJ119" i="3"/>
  <c r="EK119" i="3"/>
  <c r="EL119" i="3"/>
  <c r="EM119" i="3"/>
  <c r="EN119" i="3"/>
  <c r="EO119" i="3"/>
  <c r="EP119" i="3"/>
  <c r="EQ119" i="3"/>
  <c r="ER119" i="3"/>
  <c r="ES119" i="3"/>
  <c r="ET119" i="3"/>
  <c r="EU119" i="3"/>
  <c r="EV119" i="3"/>
  <c r="EW119" i="3"/>
  <c r="EX119" i="3"/>
  <c r="EY119" i="3"/>
  <c r="EZ119" i="3"/>
  <c r="FA119" i="3"/>
  <c r="FB119" i="3"/>
  <c r="FC119" i="3"/>
  <c r="FD119" i="3"/>
  <c r="FE119" i="3"/>
  <c r="FF119" i="3"/>
  <c r="FG119" i="3"/>
  <c r="FH119" i="3"/>
  <c r="FI119" i="3"/>
  <c r="FJ119" i="3"/>
  <c r="FK119" i="3"/>
  <c r="FL119" i="3"/>
  <c r="FM119" i="3"/>
  <c r="FN119" i="3"/>
  <c r="FO119" i="3"/>
  <c r="FP119" i="3"/>
  <c r="FQ119" i="3"/>
  <c r="FR119" i="3"/>
  <c r="FS119" i="3"/>
  <c r="FT119" i="3"/>
  <c r="FU119" i="3"/>
  <c r="FV119" i="3"/>
  <c r="FW119" i="3"/>
  <c r="FX119" i="3"/>
  <c r="FY119" i="3"/>
  <c r="FZ119" i="3"/>
  <c r="GA119" i="3"/>
  <c r="GB119" i="3"/>
  <c r="GC119" i="3"/>
  <c r="GD119" i="3"/>
  <c r="GE119" i="3"/>
  <c r="GF119" i="3"/>
  <c r="GG119" i="3"/>
  <c r="GH119" i="3"/>
  <c r="GI119" i="3"/>
  <c r="GJ119" i="3"/>
  <c r="GK119" i="3"/>
  <c r="GL119" i="3"/>
  <c r="GM119" i="3"/>
  <c r="GN119" i="3"/>
  <c r="GO119" i="3"/>
  <c r="GP119" i="3"/>
  <c r="GQ119" i="3"/>
  <c r="GR119" i="3"/>
  <c r="GS119" i="3"/>
  <c r="GT119" i="3"/>
  <c r="GU119" i="3"/>
  <c r="GV119" i="3"/>
  <c r="GW119" i="3"/>
  <c r="GX119" i="3"/>
  <c r="GY119" i="3"/>
  <c r="GZ119" i="3"/>
  <c r="HA119" i="3"/>
  <c r="HB119" i="3"/>
  <c r="HC119" i="3"/>
  <c r="HD119" i="3"/>
  <c r="HE119" i="3"/>
  <c r="HF119" i="3"/>
  <c r="HG119" i="3"/>
  <c r="HH119" i="3"/>
  <c r="HI119" i="3"/>
  <c r="HJ119" i="3"/>
  <c r="HK119" i="3"/>
  <c r="HL119" i="3"/>
  <c r="HM119" i="3"/>
  <c r="HN119" i="3"/>
  <c r="HO119" i="3"/>
  <c r="HP119" i="3"/>
  <c r="HQ119" i="3"/>
  <c r="HR119" i="3"/>
  <c r="HS119" i="3"/>
  <c r="HT119" i="3"/>
  <c r="HU119" i="3"/>
  <c r="HV119" i="3"/>
  <c r="HW119" i="3"/>
  <c r="HX119" i="3"/>
  <c r="HY119" i="3"/>
  <c r="HZ119" i="3"/>
  <c r="IA119" i="3"/>
  <c r="IB119" i="3"/>
  <c r="IC119" i="3"/>
  <c r="ID119" i="3"/>
  <c r="IE119" i="3"/>
  <c r="IF119" i="3"/>
  <c r="IG119" i="3"/>
  <c r="IH119" i="3"/>
  <c r="II119" i="3"/>
  <c r="IJ119" i="3"/>
  <c r="IK119" i="3"/>
  <c r="IL119" i="3"/>
  <c r="IM119" i="3"/>
  <c r="IN119" i="3"/>
  <c r="IO119" i="3"/>
  <c r="IP119" i="3"/>
  <c r="IQ119" i="3"/>
  <c r="IR119" i="3"/>
  <c r="IS119" i="3"/>
  <c r="IT119" i="3"/>
  <c r="IU119" i="3"/>
  <c r="IV119" i="3"/>
  <c r="A118" i="3"/>
  <c r="B118" i="3"/>
  <c r="C118" i="3"/>
  <c r="D118" i="3"/>
  <c r="E118" i="3"/>
  <c r="F118" i="3"/>
  <c r="G118" i="3"/>
  <c r="H118" i="3"/>
  <c r="I118" i="3"/>
  <c r="J118" i="3"/>
  <c r="K118" i="3"/>
  <c r="L118" i="3"/>
  <c r="M118" i="3"/>
  <c r="N118" i="3"/>
  <c r="O118" i="3"/>
  <c r="P118" i="3"/>
  <c r="Q118" i="3"/>
  <c r="R118" i="3"/>
  <c r="S118" i="3"/>
  <c r="T118" i="3"/>
  <c r="U118" i="3"/>
  <c r="V118" i="3"/>
  <c r="W118" i="3"/>
  <c r="X118" i="3"/>
  <c r="Y118" i="3"/>
  <c r="Z118" i="3"/>
  <c r="AA118" i="3"/>
  <c r="AB118" i="3"/>
  <c r="AC118" i="3"/>
  <c r="AD118" i="3"/>
  <c r="AE118" i="3"/>
  <c r="AF118" i="3"/>
  <c r="AG118" i="3"/>
  <c r="AH118" i="3"/>
  <c r="AI118" i="3"/>
  <c r="AJ118" i="3"/>
  <c r="AK118" i="3"/>
  <c r="AL118" i="3"/>
  <c r="AM118" i="3"/>
  <c r="AN118" i="3"/>
  <c r="AO118" i="3"/>
  <c r="AP118" i="3"/>
  <c r="AQ118" i="3"/>
  <c r="AR118" i="3"/>
  <c r="AS118" i="3"/>
  <c r="AT118" i="3"/>
  <c r="AU118" i="3"/>
  <c r="AV118" i="3"/>
  <c r="AW118" i="3"/>
  <c r="AX118" i="3"/>
  <c r="AY118" i="3"/>
  <c r="AZ118" i="3"/>
  <c r="BA118" i="3"/>
  <c r="BB118" i="3"/>
  <c r="BC118" i="3"/>
  <c r="BD118" i="3"/>
  <c r="BE118" i="3"/>
  <c r="BF118" i="3"/>
  <c r="BG118" i="3"/>
  <c r="BH118" i="3"/>
  <c r="BI118" i="3"/>
  <c r="BJ118" i="3"/>
  <c r="BK118" i="3"/>
  <c r="BL118" i="3"/>
  <c r="BM118" i="3"/>
  <c r="BN118" i="3"/>
  <c r="BO118" i="3"/>
  <c r="BP118" i="3"/>
  <c r="BQ118" i="3"/>
  <c r="BR118" i="3"/>
  <c r="BS118" i="3"/>
  <c r="BT118" i="3"/>
  <c r="BU118" i="3"/>
  <c r="BV118" i="3"/>
  <c r="BW118" i="3"/>
  <c r="BX118" i="3"/>
  <c r="BY118" i="3"/>
  <c r="BZ118" i="3"/>
  <c r="CA118" i="3"/>
  <c r="CB118" i="3"/>
  <c r="CC118" i="3"/>
  <c r="CD118" i="3"/>
  <c r="CE118" i="3"/>
  <c r="CF118" i="3"/>
  <c r="CG118" i="3"/>
  <c r="CH118" i="3"/>
  <c r="CI118" i="3"/>
  <c r="CJ118" i="3"/>
  <c r="CK118" i="3"/>
  <c r="CL118" i="3"/>
  <c r="CM118" i="3"/>
  <c r="CN118" i="3"/>
  <c r="CO118" i="3"/>
  <c r="CP118" i="3"/>
  <c r="CQ118" i="3"/>
  <c r="CR118" i="3"/>
  <c r="CS118" i="3"/>
  <c r="CT118" i="3"/>
  <c r="CU118" i="3"/>
  <c r="CV118" i="3"/>
  <c r="CW118" i="3"/>
  <c r="CX118" i="3"/>
  <c r="CY118" i="3"/>
  <c r="CZ118" i="3"/>
  <c r="DA118" i="3"/>
  <c r="DB118" i="3"/>
  <c r="DC118" i="3"/>
  <c r="DD118" i="3"/>
  <c r="DE118" i="3"/>
  <c r="DF118" i="3"/>
  <c r="DG118" i="3"/>
  <c r="DH118" i="3"/>
  <c r="DI118" i="3"/>
  <c r="DJ118" i="3"/>
  <c r="DK118" i="3"/>
  <c r="DL118" i="3"/>
  <c r="DM118" i="3"/>
  <c r="DN118" i="3"/>
  <c r="DO118" i="3"/>
  <c r="DP118" i="3"/>
  <c r="DQ118" i="3"/>
  <c r="DR118" i="3"/>
  <c r="DS118" i="3"/>
  <c r="DT118" i="3"/>
  <c r="DU118" i="3"/>
  <c r="DV118" i="3"/>
  <c r="DW118" i="3"/>
  <c r="DX118" i="3"/>
  <c r="DY118" i="3"/>
  <c r="DZ118" i="3"/>
  <c r="EA118" i="3"/>
  <c r="EB118" i="3"/>
  <c r="EC118" i="3"/>
  <c r="ED118" i="3"/>
  <c r="EE118" i="3"/>
  <c r="EF118" i="3"/>
  <c r="EG118" i="3"/>
  <c r="EH118" i="3"/>
  <c r="EI118" i="3"/>
  <c r="EJ118" i="3"/>
  <c r="EK118" i="3"/>
  <c r="EL118" i="3"/>
  <c r="EM118" i="3"/>
  <c r="EN118" i="3"/>
  <c r="EO118" i="3"/>
  <c r="EP118" i="3"/>
  <c r="EQ118" i="3"/>
  <c r="ER118" i="3"/>
  <c r="ES118" i="3"/>
  <c r="ET118" i="3"/>
  <c r="EU118" i="3"/>
  <c r="EV118" i="3"/>
  <c r="EW118" i="3"/>
  <c r="EX118" i="3"/>
  <c r="EY118" i="3"/>
  <c r="EZ118" i="3"/>
  <c r="FA118" i="3"/>
  <c r="FB118" i="3"/>
  <c r="FC118" i="3"/>
  <c r="FD118" i="3"/>
  <c r="FE118" i="3"/>
  <c r="FF118" i="3"/>
  <c r="FG118" i="3"/>
  <c r="FH118" i="3"/>
  <c r="FI118" i="3"/>
  <c r="FJ118" i="3"/>
  <c r="FK118" i="3"/>
  <c r="FL118" i="3"/>
  <c r="FM118" i="3"/>
  <c r="FN118" i="3"/>
  <c r="FO118" i="3"/>
  <c r="FP118" i="3"/>
  <c r="FQ118" i="3"/>
  <c r="FR118" i="3"/>
  <c r="FS118" i="3"/>
  <c r="FT118" i="3"/>
  <c r="FU118" i="3"/>
  <c r="FV118" i="3"/>
  <c r="FW118" i="3"/>
  <c r="FX118" i="3"/>
  <c r="FY118" i="3"/>
  <c r="FZ118" i="3"/>
  <c r="GA118" i="3"/>
  <c r="GB118" i="3"/>
  <c r="GC118" i="3"/>
  <c r="GD118" i="3"/>
  <c r="GE118" i="3"/>
  <c r="GF118" i="3"/>
  <c r="GG118" i="3"/>
  <c r="GH118" i="3"/>
  <c r="GI118" i="3"/>
  <c r="GJ118" i="3"/>
  <c r="GK118" i="3"/>
  <c r="GL118" i="3"/>
  <c r="GM118" i="3"/>
  <c r="GN118" i="3"/>
  <c r="GO118" i="3"/>
  <c r="GP118" i="3"/>
  <c r="GQ118" i="3"/>
  <c r="GR118" i="3"/>
  <c r="GS118" i="3"/>
  <c r="GT118" i="3"/>
  <c r="GU118" i="3"/>
  <c r="GV118" i="3"/>
  <c r="GW118" i="3"/>
  <c r="GX118" i="3"/>
  <c r="GY118" i="3"/>
  <c r="GZ118" i="3"/>
  <c r="HA118" i="3"/>
  <c r="HB118" i="3"/>
  <c r="HC118" i="3"/>
  <c r="HD118" i="3"/>
  <c r="HE118" i="3"/>
  <c r="HF118" i="3"/>
  <c r="HG118" i="3"/>
  <c r="HH118" i="3"/>
  <c r="HI118" i="3"/>
  <c r="HJ118" i="3"/>
  <c r="HK118" i="3"/>
  <c r="HL118" i="3"/>
  <c r="HM118" i="3"/>
  <c r="HN118" i="3"/>
  <c r="HO118" i="3"/>
  <c r="HP118" i="3"/>
  <c r="HQ118" i="3"/>
  <c r="HR118" i="3"/>
  <c r="HS118" i="3"/>
  <c r="HT118" i="3"/>
  <c r="HU118" i="3"/>
  <c r="HV118" i="3"/>
  <c r="HW118" i="3"/>
  <c r="HX118" i="3"/>
  <c r="HY118" i="3"/>
  <c r="HZ118" i="3"/>
  <c r="IA118" i="3"/>
  <c r="IB118" i="3"/>
  <c r="IC118" i="3"/>
  <c r="ID118" i="3"/>
  <c r="IE118" i="3"/>
  <c r="IF118" i="3"/>
  <c r="IG118" i="3"/>
  <c r="IH118" i="3"/>
  <c r="II118" i="3"/>
  <c r="IJ118" i="3"/>
  <c r="IK118" i="3"/>
  <c r="IL118" i="3"/>
  <c r="IM118" i="3"/>
  <c r="IN118" i="3"/>
  <c r="IO118" i="3"/>
  <c r="IP118" i="3"/>
  <c r="IQ118" i="3"/>
  <c r="IR118" i="3"/>
  <c r="IS118" i="3"/>
  <c r="IT118" i="3"/>
  <c r="IU118" i="3"/>
  <c r="IV118" i="3"/>
  <c r="A117" i="3"/>
  <c r="B117" i="3"/>
  <c r="C117" i="3"/>
  <c r="D117" i="3"/>
  <c r="E117" i="3"/>
  <c r="F117" i="3"/>
  <c r="G117" i="3"/>
  <c r="H117" i="3"/>
  <c r="I117" i="3"/>
  <c r="J117" i="3"/>
  <c r="K117" i="3"/>
  <c r="L117" i="3"/>
  <c r="M117" i="3"/>
  <c r="N117" i="3"/>
  <c r="O117" i="3"/>
  <c r="P117" i="3"/>
  <c r="Q117" i="3"/>
  <c r="R117" i="3"/>
  <c r="S117" i="3"/>
  <c r="T117" i="3"/>
  <c r="U117" i="3"/>
  <c r="V117" i="3"/>
  <c r="W117" i="3"/>
  <c r="X117" i="3"/>
  <c r="Y117" i="3"/>
  <c r="Z117" i="3"/>
  <c r="AA117" i="3"/>
  <c r="AB117" i="3"/>
  <c r="AC117" i="3"/>
  <c r="AD117" i="3"/>
  <c r="AE117" i="3"/>
  <c r="AF117" i="3"/>
  <c r="AG117" i="3"/>
  <c r="AH117" i="3"/>
  <c r="AI117" i="3"/>
  <c r="AJ117" i="3"/>
  <c r="AK117" i="3"/>
  <c r="AL117" i="3"/>
  <c r="AM117" i="3"/>
  <c r="AN117" i="3"/>
  <c r="AO117" i="3"/>
  <c r="AP117" i="3"/>
  <c r="AQ117" i="3"/>
  <c r="AR117" i="3"/>
  <c r="AS117" i="3"/>
  <c r="AT117" i="3"/>
  <c r="AU117" i="3"/>
  <c r="AV117" i="3"/>
  <c r="AW117" i="3"/>
  <c r="AX117" i="3"/>
  <c r="AY117" i="3"/>
  <c r="AZ117" i="3"/>
  <c r="BA117" i="3"/>
  <c r="BB117" i="3"/>
  <c r="BC117" i="3"/>
  <c r="BD117" i="3"/>
  <c r="BE117" i="3"/>
  <c r="BF117" i="3"/>
  <c r="BG117" i="3"/>
  <c r="BH117" i="3"/>
  <c r="BI117" i="3"/>
  <c r="BJ117" i="3"/>
  <c r="BK117" i="3"/>
  <c r="BL117" i="3"/>
  <c r="BM117" i="3"/>
  <c r="BN117" i="3"/>
  <c r="BO117" i="3"/>
  <c r="BP117" i="3"/>
  <c r="BQ117" i="3"/>
  <c r="BR117" i="3"/>
  <c r="BS117" i="3"/>
  <c r="BT117" i="3"/>
  <c r="BU117" i="3"/>
  <c r="BV117" i="3"/>
  <c r="BW117" i="3"/>
  <c r="BX117" i="3"/>
  <c r="BY117" i="3"/>
  <c r="BZ117" i="3"/>
  <c r="CA117" i="3"/>
  <c r="CB117" i="3"/>
  <c r="CC117" i="3"/>
  <c r="CD117" i="3"/>
  <c r="CE117" i="3"/>
  <c r="CF117" i="3"/>
  <c r="CG117" i="3"/>
  <c r="CH117" i="3"/>
  <c r="CI117" i="3"/>
  <c r="CJ117" i="3"/>
  <c r="CK117" i="3"/>
  <c r="CL117" i="3"/>
  <c r="CM117" i="3"/>
  <c r="CN117" i="3"/>
  <c r="CO117" i="3"/>
  <c r="CP117" i="3"/>
  <c r="CQ117" i="3"/>
  <c r="CR117" i="3"/>
  <c r="CS117" i="3"/>
  <c r="CT117" i="3"/>
  <c r="CU117" i="3"/>
  <c r="CV117" i="3"/>
  <c r="CW117" i="3"/>
  <c r="CX117" i="3"/>
  <c r="CY117" i="3"/>
  <c r="CZ117" i="3"/>
  <c r="DA117" i="3"/>
  <c r="DB117" i="3"/>
  <c r="DC117" i="3"/>
  <c r="DD117" i="3"/>
  <c r="DE117" i="3"/>
  <c r="DF117" i="3"/>
  <c r="DG117" i="3"/>
  <c r="DH117" i="3"/>
  <c r="DI117" i="3"/>
  <c r="DJ117" i="3"/>
  <c r="DK117" i="3"/>
  <c r="DL117" i="3"/>
  <c r="DM117" i="3"/>
  <c r="DN117" i="3"/>
  <c r="DO117" i="3"/>
  <c r="DP117" i="3"/>
  <c r="DQ117" i="3"/>
  <c r="DR117" i="3"/>
  <c r="DS117" i="3"/>
  <c r="DT117" i="3"/>
  <c r="DU117" i="3"/>
  <c r="DV117" i="3"/>
  <c r="DW117" i="3"/>
  <c r="DX117" i="3"/>
  <c r="DY117" i="3"/>
  <c r="DZ117" i="3"/>
  <c r="EA117" i="3"/>
  <c r="EB117" i="3"/>
  <c r="EC117" i="3"/>
  <c r="ED117" i="3"/>
  <c r="EE117" i="3"/>
  <c r="EF117" i="3"/>
  <c r="EG117" i="3"/>
  <c r="EH117" i="3"/>
  <c r="EI117" i="3"/>
  <c r="EJ117" i="3"/>
  <c r="EK117" i="3"/>
  <c r="EL117" i="3"/>
  <c r="EM117" i="3"/>
  <c r="EN117" i="3"/>
  <c r="EO117" i="3"/>
  <c r="EP117" i="3"/>
  <c r="EQ117" i="3"/>
  <c r="ER117" i="3"/>
  <c r="ES117" i="3"/>
  <c r="ET117" i="3"/>
  <c r="EU117" i="3"/>
  <c r="EV117" i="3"/>
  <c r="EW117" i="3"/>
  <c r="EX117" i="3"/>
  <c r="EY117" i="3"/>
  <c r="EZ117" i="3"/>
  <c r="FA117" i="3"/>
  <c r="FB117" i="3"/>
  <c r="FC117" i="3"/>
  <c r="FD117" i="3"/>
  <c r="FE117" i="3"/>
  <c r="FF117" i="3"/>
  <c r="FG117" i="3"/>
  <c r="FH117" i="3"/>
  <c r="FI117" i="3"/>
  <c r="FJ117" i="3"/>
  <c r="FK117" i="3"/>
  <c r="FL117" i="3"/>
  <c r="FM117" i="3"/>
  <c r="FN117" i="3"/>
  <c r="FO117" i="3"/>
  <c r="FP117" i="3"/>
  <c r="FQ117" i="3"/>
  <c r="FR117" i="3"/>
  <c r="FS117" i="3"/>
  <c r="FT117" i="3"/>
  <c r="FU117" i="3"/>
  <c r="FV117" i="3"/>
  <c r="FW117" i="3"/>
  <c r="FX117" i="3"/>
  <c r="FY117" i="3"/>
  <c r="FZ117" i="3"/>
  <c r="GA117" i="3"/>
  <c r="GB117" i="3"/>
  <c r="GC117" i="3"/>
  <c r="GD117" i="3"/>
  <c r="GE117" i="3"/>
  <c r="GF117" i="3"/>
  <c r="GG117" i="3"/>
  <c r="GH117" i="3"/>
  <c r="GI117" i="3"/>
  <c r="GJ117" i="3"/>
  <c r="GK117" i="3"/>
  <c r="GL117" i="3"/>
  <c r="GM117" i="3"/>
  <c r="GN117" i="3"/>
  <c r="GO117" i="3"/>
  <c r="GP117" i="3"/>
  <c r="GQ117" i="3"/>
  <c r="GR117" i="3"/>
  <c r="GS117" i="3"/>
  <c r="GT117" i="3"/>
  <c r="GU117" i="3"/>
  <c r="GV117" i="3"/>
  <c r="GW117" i="3"/>
  <c r="GX117" i="3"/>
  <c r="GY117" i="3"/>
  <c r="GZ117" i="3"/>
  <c r="HA117" i="3"/>
  <c r="HB117" i="3"/>
  <c r="HC117" i="3"/>
  <c r="HD117" i="3"/>
  <c r="HE117" i="3"/>
  <c r="HF117" i="3"/>
  <c r="HG117" i="3"/>
  <c r="HH117" i="3"/>
  <c r="HI117" i="3"/>
  <c r="HJ117" i="3"/>
  <c r="HK117" i="3"/>
  <c r="HL117" i="3"/>
  <c r="HM117" i="3"/>
  <c r="HN117" i="3"/>
  <c r="HO117" i="3"/>
  <c r="HP117" i="3"/>
  <c r="HQ117" i="3"/>
  <c r="HR117" i="3"/>
  <c r="HS117" i="3"/>
  <c r="HT117" i="3"/>
  <c r="HU117" i="3"/>
  <c r="HV117" i="3"/>
  <c r="HW117" i="3"/>
  <c r="HX117" i="3"/>
  <c r="HY117" i="3"/>
  <c r="HZ117" i="3"/>
  <c r="IA117" i="3"/>
  <c r="IB117" i="3"/>
  <c r="IC117" i="3"/>
  <c r="ID117" i="3"/>
  <c r="IE117" i="3"/>
  <c r="IF117" i="3"/>
  <c r="IG117" i="3"/>
  <c r="IH117" i="3"/>
  <c r="II117" i="3"/>
  <c r="IJ117" i="3"/>
  <c r="IK117" i="3"/>
  <c r="IL117" i="3"/>
  <c r="IM117" i="3"/>
  <c r="IN117" i="3"/>
  <c r="IO117" i="3"/>
  <c r="IP117" i="3"/>
  <c r="IQ117" i="3"/>
  <c r="IR117" i="3"/>
  <c r="IS117" i="3"/>
  <c r="IT117" i="3"/>
  <c r="IU117" i="3"/>
  <c r="IV117" i="3"/>
  <c r="A116" i="3"/>
  <c r="B116" i="3"/>
  <c r="C116" i="3"/>
  <c r="D116" i="3"/>
  <c r="E116" i="3"/>
  <c r="F116" i="3"/>
  <c r="G116" i="3"/>
  <c r="H116" i="3"/>
  <c r="I116" i="3"/>
  <c r="J116" i="3"/>
  <c r="K116" i="3"/>
  <c r="L116" i="3"/>
  <c r="M116" i="3"/>
  <c r="N116" i="3"/>
  <c r="O116" i="3"/>
  <c r="P116" i="3"/>
  <c r="Q116" i="3"/>
  <c r="R116" i="3"/>
  <c r="S116" i="3"/>
  <c r="T116" i="3"/>
  <c r="U116" i="3"/>
  <c r="V116" i="3"/>
  <c r="W116" i="3"/>
  <c r="X116" i="3"/>
  <c r="Y116" i="3"/>
  <c r="Z116" i="3"/>
  <c r="AA116" i="3"/>
  <c r="AB116" i="3"/>
  <c r="AC116" i="3"/>
  <c r="AD116" i="3"/>
  <c r="AE116" i="3"/>
  <c r="AF116" i="3"/>
  <c r="AG116" i="3"/>
  <c r="AH116" i="3"/>
  <c r="AI116" i="3"/>
  <c r="AJ116" i="3"/>
  <c r="AK116" i="3"/>
  <c r="AL116" i="3"/>
  <c r="AM116" i="3"/>
  <c r="AN116" i="3"/>
  <c r="AO116" i="3"/>
  <c r="AP116" i="3"/>
  <c r="AQ116" i="3"/>
  <c r="AR116" i="3"/>
  <c r="AS116" i="3"/>
  <c r="AT116" i="3"/>
  <c r="AU116" i="3"/>
  <c r="AV116" i="3"/>
  <c r="AW116" i="3"/>
  <c r="AX116" i="3"/>
  <c r="AY116" i="3"/>
  <c r="AZ116" i="3"/>
  <c r="BA116" i="3"/>
  <c r="BB116" i="3"/>
  <c r="BC116" i="3"/>
  <c r="BD116" i="3"/>
  <c r="BE116" i="3"/>
  <c r="BF116" i="3"/>
  <c r="BG116" i="3"/>
  <c r="BH116" i="3"/>
  <c r="BI116" i="3"/>
  <c r="BJ116" i="3"/>
  <c r="BK116" i="3"/>
  <c r="BL116" i="3"/>
  <c r="BM116" i="3"/>
  <c r="BN116" i="3"/>
  <c r="BO116" i="3"/>
  <c r="BP116" i="3"/>
  <c r="BQ116" i="3"/>
  <c r="BR116" i="3"/>
  <c r="BS116" i="3"/>
  <c r="BT116" i="3"/>
  <c r="BU116" i="3"/>
  <c r="BV116" i="3"/>
  <c r="BW116" i="3"/>
  <c r="BX116" i="3"/>
  <c r="BY116" i="3"/>
  <c r="BZ116" i="3"/>
  <c r="CA116" i="3"/>
  <c r="CB116" i="3"/>
  <c r="CC116" i="3"/>
  <c r="CD116" i="3"/>
  <c r="CE116" i="3"/>
  <c r="CF116" i="3"/>
  <c r="CG116" i="3"/>
  <c r="CH116" i="3"/>
  <c r="CI116" i="3"/>
  <c r="CJ116" i="3"/>
  <c r="CK116" i="3"/>
  <c r="CL116" i="3"/>
  <c r="CM116" i="3"/>
  <c r="CN116" i="3"/>
  <c r="CO116" i="3"/>
  <c r="CP116" i="3"/>
  <c r="CQ116" i="3"/>
  <c r="CR116" i="3"/>
  <c r="CS116" i="3"/>
  <c r="CT116" i="3"/>
  <c r="CU116" i="3"/>
  <c r="CV116" i="3"/>
  <c r="CW116" i="3"/>
  <c r="CX116" i="3"/>
  <c r="CY116" i="3"/>
  <c r="CZ116" i="3"/>
  <c r="DA116" i="3"/>
  <c r="DB116" i="3"/>
  <c r="DC116" i="3"/>
  <c r="DD116" i="3"/>
  <c r="DE116" i="3"/>
  <c r="DF116" i="3"/>
  <c r="DG116" i="3"/>
  <c r="DH116" i="3"/>
  <c r="DI116" i="3"/>
  <c r="DJ116" i="3"/>
  <c r="DK116" i="3"/>
  <c r="DL116" i="3"/>
  <c r="DM116" i="3"/>
  <c r="DN116" i="3"/>
  <c r="DO116" i="3"/>
  <c r="DP116" i="3"/>
  <c r="DQ116" i="3"/>
  <c r="DR116" i="3"/>
  <c r="DS116" i="3"/>
  <c r="DT116" i="3"/>
  <c r="DU116" i="3"/>
  <c r="DV116" i="3"/>
  <c r="DW116" i="3"/>
  <c r="DX116" i="3"/>
  <c r="DY116" i="3"/>
  <c r="DZ116" i="3"/>
  <c r="EA116" i="3"/>
  <c r="EB116" i="3"/>
  <c r="EC116" i="3"/>
  <c r="ED116" i="3"/>
  <c r="EE116" i="3"/>
  <c r="EF116" i="3"/>
  <c r="EG116" i="3"/>
  <c r="EH116" i="3"/>
  <c r="EI116" i="3"/>
  <c r="EJ116" i="3"/>
  <c r="EK116" i="3"/>
  <c r="EL116" i="3"/>
  <c r="EM116" i="3"/>
  <c r="EN116" i="3"/>
  <c r="EO116" i="3"/>
  <c r="EP116" i="3"/>
  <c r="EQ116" i="3"/>
  <c r="ER116" i="3"/>
  <c r="ES116" i="3"/>
  <c r="ET116" i="3"/>
  <c r="EU116" i="3"/>
  <c r="EV116" i="3"/>
  <c r="EW116" i="3"/>
  <c r="EX116" i="3"/>
  <c r="EY116" i="3"/>
  <c r="EZ116" i="3"/>
  <c r="FA116" i="3"/>
  <c r="FB116" i="3"/>
  <c r="FC116" i="3"/>
  <c r="FD116" i="3"/>
  <c r="FE116" i="3"/>
  <c r="FF116" i="3"/>
  <c r="FG116" i="3"/>
  <c r="FH116" i="3"/>
  <c r="FI116" i="3"/>
  <c r="FJ116" i="3"/>
  <c r="FK116" i="3"/>
  <c r="FL116" i="3"/>
  <c r="FM116" i="3"/>
  <c r="FN116" i="3"/>
  <c r="FO116" i="3"/>
  <c r="FP116" i="3"/>
  <c r="FQ116" i="3"/>
  <c r="FR116" i="3"/>
  <c r="FS116" i="3"/>
  <c r="FT116" i="3"/>
  <c r="FU116" i="3"/>
  <c r="FV116" i="3"/>
  <c r="FW116" i="3"/>
  <c r="FX116" i="3"/>
  <c r="FY116" i="3"/>
  <c r="FZ116" i="3"/>
  <c r="GA116" i="3"/>
  <c r="GB116" i="3"/>
  <c r="GC116" i="3"/>
  <c r="GD116" i="3"/>
  <c r="GE116" i="3"/>
  <c r="GF116" i="3"/>
  <c r="GG116" i="3"/>
  <c r="GH116" i="3"/>
  <c r="GI116" i="3"/>
  <c r="GJ116" i="3"/>
  <c r="GK116" i="3"/>
  <c r="GL116" i="3"/>
  <c r="GM116" i="3"/>
  <c r="GN116" i="3"/>
  <c r="GO116" i="3"/>
  <c r="GP116" i="3"/>
  <c r="GQ116" i="3"/>
  <c r="GR116" i="3"/>
  <c r="GS116" i="3"/>
  <c r="GT116" i="3"/>
  <c r="GU116" i="3"/>
  <c r="GV116" i="3"/>
  <c r="GW116" i="3"/>
  <c r="GX116" i="3"/>
  <c r="GY116" i="3"/>
  <c r="GZ116" i="3"/>
  <c r="HA116" i="3"/>
  <c r="HB116" i="3"/>
  <c r="HC116" i="3"/>
  <c r="HD116" i="3"/>
  <c r="HE116" i="3"/>
  <c r="HF116" i="3"/>
  <c r="HG116" i="3"/>
  <c r="HH116" i="3"/>
  <c r="HI116" i="3"/>
  <c r="HJ116" i="3"/>
  <c r="HK116" i="3"/>
  <c r="HL116" i="3"/>
  <c r="HM116" i="3"/>
  <c r="HN116" i="3"/>
  <c r="HO116" i="3"/>
  <c r="HP116" i="3"/>
  <c r="HQ116" i="3"/>
  <c r="HR116" i="3"/>
  <c r="HS116" i="3"/>
  <c r="HT116" i="3"/>
  <c r="HU116" i="3"/>
  <c r="HV116" i="3"/>
  <c r="HW116" i="3"/>
  <c r="HX116" i="3"/>
  <c r="HY116" i="3"/>
  <c r="HZ116" i="3"/>
  <c r="IA116" i="3"/>
  <c r="IB116" i="3"/>
  <c r="IC116" i="3"/>
  <c r="ID116" i="3"/>
  <c r="IE116" i="3"/>
  <c r="IF116" i="3"/>
  <c r="IG116" i="3"/>
  <c r="IH116" i="3"/>
  <c r="II116" i="3"/>
  <c r="IJ116" i="3"/>
  <c r="IK116" i="3"/>
  <c r="IL116" i="3"/>
  <c r="IM116" i="3"/>
  <c r="IN116" i="3"/>
  <c r="IO116" i="3"/>
  <c r="IP116" i="3"/>
  <c r="IQ116" i="3"/>
  <c r="IR116" i="3"/>
  <c r="IS116" i="3"/>
  <c r="IT116" i="3"/>
  <c r="IU116" i="3"/>
  <c r="IV116" i="3"/>
  <c r="A115" i="3"/>
  <c r="B115" i="3"/>
  <c r="C115" i="3"/>
  <c r="D115" i="3"/>
  <c r="E115" i="3"/>
  <c r="F115" i="3"/>
  <c r="G115" i="3"/>
  <c r="H115" i="3"/>
  <c r="I115" i="3"/>
  <c r="J115" i="3"/>
  <c r="K115" i="3"/>
  <c r="L115" i="3"/>
  <c r="M115" i="3"/>
  <c r="N115" i="3"/>
  <c r="O115" i="3"/>
  <c r="P115" i="3"/>
  <c r="Q115" i="3"/>
  <c r="R115" i="3"/>
  <c r="S115" i="3"/>
  <c r="T115" i="3"/>
  <c r="U115" i="3"/>
  <c r="V115" i="3"/>
  <c r="W115" i="3"/>
  <c r="X115" i="3"/>
  <c r="Y115" i="3"/>
  <c r="Z115" i="3"/>
  <c r="AA115" i="3"/>
  <c r="AB115" i="3"/>
  <c r="AC115" i="3"/>
  <c r="AD115" i="3"/>
  <c r="AE115" i="3"/>
  <c r="AF115" i="3"/>
  <c r="AG115" i="3"/>
  <c r="AH115" i="3"/>
  <c r="AI115" i="3"/>
  <c r="AJ115" i="3"/>
  <c r="AK115" i="3"/>
  <c r="AL115" i="3"/>
  <c r="AM115" i="3"/>
  <c r="AN115" i="3"/>
  <c r="AO115" i="3"/>
  <c r="AP115" i="3"/>
  <c r="AQ115" i="3"/>
  <c r="AR115" i="3"/>
  <c r="AS115" i="3"/>
  <c r="AT115" i="3"/>
  <c r="AU115" i="3"/>
  <c r="AV115" i="3"/>
  <c r="AW115" i="3"/>
  <c r="AX115" i="3"/>
  <c r="AY115" i="3"/>
  <c r="AZ115" i="3"/>
  <c r="BA115" i="3"/>
  <c r="BB115" i="3"/>
  <c r="BC115" i="3"/>
  <c r="BD115" i="3"/>
  <c r="BE115" i="3"/>
  <c r="BF115" i="3"/>
  <c r="BG115" i="3"/>
  <c r="BH115" i="3"/>
  <c r="BI115" i="3"/>
  <c r="BJ115" i="3"/>
  <c r="BK115" i="3"/>
  <c r="BL115" i="3"/>
  <c r="BM115" i="3"/>
  <c r="BN115" i="3"/>
  <c r="BO115" i="3"/>
  <c r="BP115" i="3"/>
  <c r="BQ115" i="3"/>
  <c r="BR115" i="3"/>
  <c r="BS115" i="3"/>
  <c r="BT115" i="3"/>
  <c r="BU115" i="3"/>
  <c r="BV115" i="3"/>
  <c r="BW115" i="3"/>
  <c r="BX115" i="3"/>
  <c r="BY115" i="3"/>
  <c r="BZ115" i="3"/>
  <c r="CA115" i="3"/>
  <c r="CB115" i="3"/>
  <c r="CC115" i="3"/>
  <c r="CD115" i="3"/>
  <c r="CE115" i="3"/>
  <c r="CF115" i="3"/>
  <c r="CG115" i="3"/>
  <c r="CH115" i="3"/>
  <c r="CI115" i="3"/>
  <c r="CJ115" i="3"/>
  <c r="CK115" i="3"/>
  <c r="CL115" i="3"/>
  <c r="CM115" i="3"/>
  <c r="CN115" i="3"/>
  <c r="CO115" i="3"/>
  <c r="CP115" i="3"/>
  <c r="CQ115" i="3"/>
  <c r="CR115" i="3"/>
  <c r="CS115" i="3"/>
  <c r="CT115" i="3"/>
  <c r="CU115" i="3"/>
  <c r="CV115" i="3"/>
  <c r="CW115" i="3"/>
  <c r="CX115" i="3"/>
  <c r="CY115" i="3"/>
  <c r="CZ115" i="3"/>
  <c r="DA115" i="3"/>
  <c r="DB115" i="3"/>
  <c r="DC115" i="3"/>
  <c r="DD115" i="3"/>
  <c r="DE115" i="3"/>
  <c r="DF115" i="3"/>
  <c r="DG115" i="3"/>
  <c r="DH115" i="3"/>
  <c r="DI115" i="3"/>
  <c r="DJ115" i="3"/>
  <c r="DK115" i="3"/>
  <c r="DL115" i="3"/>
  <c r="DM115" i="3"/>
  <c r="DN115" i="3"/>
  <c r="DO115" i="3"/>
  <c r="DP115" i="3"/>
  <c r="DQ115" i="3"/>
  <c r="DR115" i="3"/>
  <c r="DS115" i="3"/>
  <c r="DT115" i="3"/>
  <c r="DU115" i="3"/>
  <c r="DV115" i="3"/>
  <c r="DW115" i="3"/>
  <c r="DX115" i="3"/>
  <c r="DY115" i="3"/>
  <c r="DZ115" i="3"/>
  <c r="EA115" i="3"/>
  <c r="EB115" i="3"/>
  <c r="EC115" i="3"/>
  <c r="ED115" i="3"/>
  <c r="EE115" i="3"/>
  <c r="EF115" i="3"/>
  <c r="EG115" i="3"/>
  <c r="EH115" i="3"/>
  <c r="EI115" i="3"/>
  <c r="EJ115" i="3"/>
  <c r="EK115" i="3"/>
  <c r="EL115" i="3"/>
  <c r="EM115" i="3"/>
  <c r="EN115" i="3"/>
  <c r="EO115" i="3"/>
  <c r="EP115" i="3"/>
  <c r="EQ115" i="3"/>
  <c r="ER115" i="3"/>
  <c r="ES115" i="3"/>
  <c r="ET115" i="3"/>
  <c r="EU115" i="3"/>
  <c r="EV115" i="3"/>
  <c r="EW115" i="3"/>
  <c r="EX115" i="3"/>
  <c r="EY115" i="3"/>
  <c r="EZ115" i="3"/>
  <c r="FA115" i="3"/>
  <c r="FB115" i="3"/>
  <c r="FC115" i="3"/>
  <c r="FD115" i="3"/>
  <c r="FE115" i="3"/>
  <c r="FF115" i="3"/>
  <c r="FG115" i="3"/>
  <c r="FH115" i="3"/>
  <c r="FI115" i="3"/>
  <c r="FJ115" i="3"/>
  <c r="FK115" i="3"/>
  <c r="FL115" i="3"/>
  <c r="FM115" i="3"/>
  <c r="FN115" i="3"/>
  <c r="FO115" i="3"/>
  <c r="FP115" i="3"/>
  <c r="FQ115" i="3"/>
  <c r="FR115" i="3"/>
  <c r="FS115" i="3"/>
  <c r="FT115" i="3"/>
  <c r="FU115" i="3"/>
  <c r="FV115" i="3"/>
  <c r="FW115" i="3"/>
  <c r="FX115" i="3"/>
  <c r="FY115" i="3"/>
  <c r="FZ115" i="3"/>
  <c r="GA115" i="3"/>
  <c r="GB115" i="3"/>
  <c r="GC115" i="3"/>
  <c r="GD115" i="3"/>
  <c r="GE115" i="3"/>
  <c r="GF115" i="3"/>
  <c r="GG115" i="3"/>
  <c r="GH115" i="3"/>
  <c r="GI115" i="3"/>
  <c r="GJ115" i="3"/>
  <c r="GK115" i="3"/>
  <c r="GL115" i="3"/>
  <c r="GM115" i="3"/>
  <c r="GN115" i="3"/>
  <c r="GO115" i="3"/>
  <c r="GP115" i="3"/>
  <c r="GQ115" i="3"/>
  <c r="GR115" i="3"/>
  <c r="GS115" i="3"/>
  <c r="GT115" i="3"/>
  <c r="GU115" i="3"/>
  <c r="GV115" i="3"/>
  <c r="GW115" i="3"/>
  <c r="GX115" i="3"/>
  <c r="GY115" i="3"/>
  <c r="GZ115" i="3"/>
  <c r="HA115" i="3"/>
  <c r="HB115" i="3"/>
  <c r="HC115" i="3"/>
  <c r="HD115" i="3"/>
  <c r="HE115" i="3"/>
  <c r="HF115" i="3"/>
  <c r="HG115" i="3"/>
  <c r="HH115" i="3"/>
  <c r="HI115" i="3"/>
  <c r="HJ115" i="3"/>
  <c r="HK115" i="3"/>
  <c r="HL115" i="3"/>
  <c r="HM115" i="3"/>
  <c r="HN115" i="3"/>
  <c r="HO115" i="3"/>
  <c r="HP115" i="3"/>
  <c r="HQ115" i="3"/>
  <c r="HR115" i="3"/>
  <c r="HS115" i="3"/>
  <c r="HT115" i="3"/>
  <c r="HU115" i="3"/>
  <c r="HV115" i="3"/>
  <c r="HW115" i="3"/>
  <c r="HX115" i="3"/>
  <c r="HY115" i="3"/>
  <c r="HZ115" i="3"/>
  <c r="IA115" i="3"/>
  <c r="IB115" i="3"/>
  <c r="IC115" i="3"/>
  <c r="ID115" i="3"/>
  <c r="IE115" i="3"/>
  <c r="IF115" i="3"/>
  <c r="IG115" i="3"/>
  <c r="IH115" i="3"/>
  <c r="II115" i="3"/>
  <c r="IJ115" i="3"/>
  <c r="IK115" i="3"/>
  <c r="IL115" i="3"/>
  <c r="IM115" i="3"/>
  <c r="IN115" i="3"/>
  <c r="IO115" i="3"/>
  <c r="IP115" i="3"/>
  <c r="IQ115" i="3"/>
  <c r="IR115" i="3"/>
  <c r="IS115" i="3"/>
  <c r="IT115" i="3"/>
  <c r="IU115" i="3"/>
  <c r="IV115" i="3"/>
  <c r="A114" i="3"/>
  <c r="B114" i="3"/>
  <c r="C114" i="3"/>
  <c r="D114" i="3"/>
  <c r="E114" i="3"/>
  <c r="F114" i="3"/>
  <c r="G114" i="3"/>
  <c r="H114" i="3"/>
  <c r="I114" i="3"/>
  <c r="J114" i="3"/>
  <c r="K114" i="3"/>
  <c r="L114" i="3"/>
  <c r="M114" i="3"/>
  <c r="N114" i="3"/>
  <c r="O114" i="3"/>
  <c r="P114" i="3"/>
  <c r="Q114" i="3"/>
  <c r="R114" i="3"/>
  <c r="S114" i="3"/>
  <c r="T114" i="3"/>
  <c r="U114" i="3"/>
  <c r="V114" i="3"/>
  <c r="W114" i="3"/>
  <c r="X114" i="3"/>
  <c r="Y114" i="3"/>
  <c r="Z114" i="3"/>
  <c r="AA114" i="3"/>
  <c r="AB114" i="3"/>
  <c r="AC114" i="3"/>
  <c r="AD114" i="3"/>
  <c r="AE114" i="3"/>
  <c r="AF114" i="3"/>
  <c r="AG114" i="3"/>
  <c r="AH114" i="3"/>
  <c r="AI114" i="3"/>
  <c r="AJ114" i="3"/>
  <c r="AK114" i="3"/>
  <c r="AL114" i="3"/>
  <c r="AM114" i="3"/>
  <c r="AN114" i="3"/>
  <c r="AO114" i="3"/>
  <c r="AP114" i="3"/>
  <c r="AQ114" i="3"/>
  <c r="AR114" i="3"/>
  <c r="AS114" i="3"/>
  <c r="AT114" i="3"/>
  <c r="AU114" i="3"/>
  <c r="AV114" i="3"/>
  <c r="AW114" i="3"/>
  <c r="AX114" i="3"/>
  <c r="AY114" i="3"/>
  <c r="AZ114" i="3"/>
  <c r="BA114" i="3"/>
  <c r="BB114" i="3"/>
  <c r="BC114" i="3"/>
  <c r="BD114" i="3"/>
  <c r="BE114" i="3"/>
  <c r="BF114" i="3"/>
  <c r="BG114" i="3"/>
  <c r="BH114" i="3"/>
  <c r="BI114" i="3"/>
  <c r="BJ114" i="3"/>
  <c r="BK114" i="3"/>
  <c r="BL114" i="3"/>
  <c r="BM114" i="3"/>
  <c r="BN114" i="3"/>
  <c r="BO114" i="3"/>
  <c r="BP114" i="3"/>
  <c r="BQ114" i="3"/>
  <c r="BR114" i="3"/>
  <c r="BS114" i="3"/>
  <c r="BT114" i="3"/>
  <c r="BU114" i="3"/>
  <c r="BV114" i="3"/>
  <c r="BW114" i="3"/>
  <c r="BX114" i="3"/>
  <c r="BY114" i="3"/>
  <c r="BZ114" i="3"/>
  <c r="CA114" i="3"/>
  <c r="CB114" i="3"/>
  <c r="CC114" i="3"/>
  <c r="CD114" i="3"/>
  <c r="CE114" i="3"/>
  <c r="CF114" i="3"/>
  <c r="CG114" i="3"/>
  <c r="CH114" i="3"/>
  <c r="CI114" i="3"/>
  <c r="CJ114" i="3"/>
  <c r="CK114" i="3"/>
  <c r="CL114" i="3"/>
  <c r="CM114" i="3"/>
  <c r="CN114" i="3"/>
  <c r="CO114" i="3"/>
  <c r="CP114" i="3"/>
  <c r="CQ114" i="3"/>
  <c r="CR114" i="3"/>
  <c r="CS114" i="3"/>
  <c r="CT114" i="3"/>
  <c r="CU114" i="3"/>
  <c r="CV114" i="3"/>
  <c r="CW114" i="3"/>
  <c r="CX114" i="3"/>
  <c r="CY114" i="3"/>
  <c r="CZ114" i="3"/>
  <c r="DA114" i="3"/>
  <c r="DB114" i="3"/>
  <c r="DC114" i="3"/>
  <c r="DD114" i="3"/>
  <c r="DE114" i="3"/>
  <c r="DF114" i="3"/>
  <c r="DG114" i="3"/>
  <c r="DH114" i="3"/>
  <c r="DI114" i="3"/>
  <c r="DJ114" i="3"/>
  <c r="DK114" i="3"/>
  <c r="DL114" i="3"/>
  <c r="DM114" i="3"/>
  <c r="DN114" i="3"/>
  <c r="DO114" i="3"/>
  <c r="DP114" i="3"/>
  <c r="DQ114" i="3"/>
  <c r="DR114" i="3"/>
  <c r="DS114" i="3"/>
  <c r="DT114" i="3"/>
  <c r="DU114" i="3"/>
  <c r="DV114" i="3"/>
  <c r="DW114" i="3"/>
  <c r="DX114" i="3"/>
  <c r="DY114" i="3"/>
  <c r="DZ114" i="3"/>
  <c r="EA114" i="3"/>
  <c r="EB114" i="3"/>
  <c r="EC114" i="3"/>
  <c r="ED114" i="3"/>
  <c r="EE114" i="3"/>
  <c r="EF114" i="3"/>
  <c r="EG114" i="3"/>
  <c r="EH114" i="3"/>
  <c r="EI114" i="3"/>
  <c r="EJ114" i="3"/>
  <c r="EK114" i="3"/>
  <c r="EL114" i="3"/>
  <c r="EM114" i="3"/>
  <c r="EN114" i="3"/>
  <c r="EO114" i="3"/>
  <c r="EP114" i="3"/>
  <c r="EQ114" i="3"/>
  <c r="ER114" i="3"/>
  <c r="ES114" i="3"/>
  <c r="ET114" i="3"/>
  <c r="EU114" i="3"/>
  <c r="EV114" i="3"/>
  <c r="EW114" i="3"/>
  <c r="EX114" i="3"/>
  <c r="EY114" i="3"/>
  <c r="EZ114" i="3"/>
  <c r="FA114" i="3"/>
  <c r="FB114" i="3"/>
  <c r="FC114" i="3"/>
  <c r="FD114" i="3"/>
  <c r="FE114" i="3"/>
  <c r="FF114" i="3"/>
  <c r="FG114" i="3"/>
  <c r="FH114" i="3"/>
  <c r="FI114" i="3"/>
  <c r="FJ114" i="3"/>
  <c r="FK114" i="3"/>
  <c r="FL114" i="3"/>
  <c r="FM114" i="3"/>
  <c r="FN114" i="3"/>
  <c r="FO114" i="3"/>
  <c r="FP114" i="3"/>
  <c r="FQ114" i="3"/>
  <c r="FR114" i="3"/>
  <c r="FS114" i="3"/>
  <c r="FT114" i="3"/>
  <c r="FU114" i="3"/>
  <c r="FV114" i="3"/>
  <c r="FW114" i="3"/>
  <c r="FX114" i="3"/>
  <c r="FY114" i="3"/>
  <c r="FZ114" i="3"/>
  <c r="GA114" i="3"/>
  <c r="GB114" i="3"/>
  <c r="GC114" i="3"/>
  <c r="GD114" i="3"/>
  <c r="GE114" i="3"/>
  <c r="GF114" i="3"/>
  <c r="GG114" i="3"/>
  <c r="GH114" i="3"/>
  <c r="GI114" i="3"/>
  <c r="GJ114" i="3"/>
  <c r="GK114" i="3"/>
  <c r="GL114" i="3"/>
  <c r="GM114" i="3"/>
  <c r="GN114" i="3"/>
  <c r="GO114" i="3"/>
  <c r="GP114" i="3"/>
  <c r="GQ114" i="3"/>
  <c r="GR114" i="3"/>
  <c r="GS114" i="3"/>
  <c r="GT114" i="3"/>
  <c r="GU114" i="3"/>
  <c r="GV114" i="3"/>
  <c r="GW114" i="3"/>
  <c r="GX114" i="3"/>
  <c r="GY114" i="3"/>
  <c r="GZ114" i="3"/>
  <c r="HA114" i="3"/>
  <c r="HB114" i="3"/>
  <c r="HC114" i="3"/>
  <c r="HD114" i="3"/>
  <c r="HE114" i="3"/>
  <c r="HF114" i="3"/>
  <c r="HG114" i="3"/>
  <c r="HH114" i="3"/>
  <c r="HI114" i="3"/>
  <c r="HJ114" i="3"/>
  <c r="HK114" i="3"/>
  <c r="HL114" i="3"/>
  <c r="HM114" i="3"/>
  <c r="HN114" i="3"/>
  <c r="HO114" i="3"/>
  <c r="HP114" i="3"/>
  <c r="HQ114" i="3"/>
  <c r="HR114" i="3"/>
  <c r="HS114" i="3"/>
  <c r="HT114" i="3"/>
  <c r="HU114" i="3"/>
  <c r="HV114" i="3"/>
  <c r="HW114" i="3"/>
  <c r="HX114" i="3"/>
  <c r="HY114" i="3"/>
  <c r="HZ114" i="3"/>
  <c r="IA114" i="3"/>
  <c r="IB114" i="3"/>
  <c r="IC114" i="3"/>
  <c r="ID114" i="3"/>
  <c r="IE114" i="3"/>
  <c r="IF114" i="3"/>
  <c r="IG114" i="3"/>
  <c r="IH114" i="3"/>
  <c r="II114" i="3"/>
  <c r="IJ114" i="3"/>
  <c r="IK114" i="3"/>
  <c r="IL114" i="3"/>
  <c r="IM114" i="3"/>
  <c r="IN114" i="3"/>
  <c r="IO114" i="3"/>
  <c r="IP114" i="3"/>
  <c r="IQ114" i="3"/>
  <c r="IR114" i="3"/>
  <c r="IS114" i="3"/>
  <c r="IT114" i="3"/>
  <c r="IU114" i="3"/>
  <c r="IV114" i="3"/>
  <c r="A113" i="3"/>
  <c r="B113" i="3"/>
  <c r="C113" i="3"/>
  <c r="D113" i="3"/>
  <c r="E113" i="3"/>
  <c r="F113" i="3"/>
  <c r="G113" i="3"/>
  <c r="H113" i="3"/>
  <c r="I113" i="3"/>
  <c r="J113" i="3"/>
  <c r="K113" i="3"/>
  <c r="L113" i="3"/>
  <c r="M113" i="3"/>
  <c r="N113" i="3"/>
  <c r="O113" i="3"/>
  <c r="P113" i="3"/>
  <c r="Q113" i="3"/>
  <c r="R113" i="3"/>
  <c r="S113" i="3"/>
  <c r="T113" i="3"/>
  <c r="U113" i="3"/>
  <c r="V113" i="3"/>
  <c r="W113" i="3"/>
  <c r="X113" i="3"/>
  <c r="Y113" i="3"/>
  <c r="Z113" i="3"/>
  <c r="AA113" i="3"/>
  <c r="AB113" i="3"/>
  <c r="AC113" i="3"/>
  <c r="AD113" i="3"/>
  <c r="AE113" i="3"/>
  <c r="AF113" i="3"/>
  <c r="AG113" i="3"/>
  <c r="AH113" i="3"/>
  <c r="AI113" i="3"/>
  <c r="AJ113" i="3"/>
  <c r="AK113" i="3"/>
  <c r="AL113" i="3"/>
  <c r="AM113" i="3"/>
  <c r="AN113" i="3"/>
  <c r="AO113" i="3"/>
  <c r="AP113" i="3"/>
  <c r="AQ113" i="3"/>
  <c r="AR113" i="3"/>
  <c r="AS113" i="3"/>
  <c r="AT113" i="3"/>
  <c r="AU113" i="3"/>
  <c r="AV113" i="3"/>
  <c r="AW113" i="3"/>
  <c r="AX113" i="3"/>
  <c r="AY113" i="3"/>
  <c r="AZ113" i="3"/>
  <c r="BA113" i="3"/>
  <c r="BB113" i="3"/>
  <c r="BC113" i="3"/>
  <c r="BD113" i="3"/>
  <c r="BE113" i="3"/>
  <c r="BF113" i="3"/>
  <c r="BG113" i="3"/>
  <c r="BH113" i="3"/>
  <c r="BI113" i="3"/>
  <c r="BJ113" i="3"/>
  <c r="BK113" i="3"/>
  <c r="BL113" i="3"/>
  <c r="BM113" i="3"/>
  <c r="BN113" i="3"/>
  <c r="BO113" i="3"/>
  <c r="BP113" i="3"/>
  <c r="BQ113" i="3"/>
  <c r="BR113" i="3"/>
  <c r="BS113" i="3"/>
  <c r="BT113" i="3"/>
  <c r="BU113" i="3"/>
  <c r="BV113" i="3"/>
  <c r="BW113" i="3"/>
  <c r="BX113" i="3"/>
  <c r="BY113" i="3"/>
  <c r="BZ113" i="3"/>
  <c r="CA113" i="3"/>
  <c r="CB113" i="3"/>
  <c r="CC113" i="3"/>
  <c r="CD113" i="3"/>
  <c r="CE113" i="3"/>
  <c r="CF113" i="3"/>
  <c r="CG113" i="3"/>
  <c r="CH113" i="3"/>
  <c r="CI113" i="3"/>
  <c r="CJ113" i="3"/>
  <c r="CK113" i="3"/>
  <c r="CL113" i="3"/>
  <c r="CM113" i="3"/>
  <c r="CN113" i="3"/>
  <c r="CO113" i="3"/>
  <c r="CP113" i="3"/>
  <c r="CQ113" i="3"/>
  <c r="CR113" i="3"/>
  <c r="CS113" i="3"/>
  <c r="CT113" i="3"/>
  <c r="CU113" i="3"/>
  <c r="CV113" i="3"/>
  <c r="CW113" i="3"/>
  <c r="CX113" i="3"/>
  <c r="CY113" i="3"/>
  <c r="CZ113" i="3"/>
  <c r="DA113" i="3"/>
  <c r="DB113" i="3"/>
  <c r="DC113" i="3"/>
  <c r="DD113" i="3"/>
  <c r="DE113" i="3"/>
  <c r="DF113" i="3"/>
  <c r="DG113" i="3"/>
  <c r="DH113" i="3"/>
  <c r="DI113" i="3"/>
  <c r="DJ113" i="3"/>
  <c r="DK113" i="3"/>
  <c r="DL113" i="3"/>
  <c r="DM113" i="3"/>
  <c r="DN113" i="3"/>
  <c r="DO113" i="3"/>
  <c r="DP113" i="3"/>
  <c r="DQ113" i="3"/>
  <c r="DR113" i="3"/>
  <c r="DS113" i="3"/>
  <c r="DT113" i="3"/>
  <c r="DU113" i="3"/>
  <c r="DV113" i="3"/>
  <c r="DW113" i="3"/>
  <c r="DX113" i="3"/>
  <c r="DY113" i="3"/>
  <c r="DZ113" i="3"/>
  <c r="EA113" i="3"/>
  <c r="EB113" i="3"/>
  <c r="EC113" i="3"/>
  <c r="ED113" i="3"/>
  <c r="EE113" i="3"/>
  <c r="EF113" i="3"/>
  <c r="EG113" i="3"/>
  <c r="EH113" i="3"/>
  <c r="EI113" i="3"/>
  <c r="EJ113" i="3"/>
  <c r="EK113" i="3"/>
  <c r="EL113" i="3"/>
  <c r="EM113" i="3"/>
  <c r="EN113" i="3"/>
  <c r="EO113" i="3"/>
  <c r="EP113" i="3"/>
  <c r="EQ113" i="3"/>
  <c r="ER113" i="3"/>
  <c r="ES113" i="3"/>
  <c r="ET113" i="3"/>
  <c r="EU113" i="3"/>
  <c r="EV113" i="3"/>
  <c r="EW113" i="3"/>
  <c r="EX113" i="3"/>
  <c r="EY113" i="3"/>
  <c r="EZ113" i="3"/>
  <c r="FA113" i="3"/>
  <c r="FB113" i="3"/>
  <c r="FC113" i="3"/>
  <c r="FD113" i="3"/>
  <c r="FE113" i="3"/>
  <c r="FF113" i="3"/>
  <c r="FG113" i="3"/>
  <c r="FH113" i="3"/>
  <c r="FI113" i="3"/>
  <c r="FJ113" i="3"/>
  <c r="FK113" i="3"/>
  <c r="FL113" i="3"/>
  <c r="FM113" i="3"/>
  <c r="FN113" i="3"/>
  <c r="FO113" i="3"/>
  <c r="FP113" i="3"/>
  <c r="FQ113" i="3"/>
  <c r="FR113" i="3"/>
  <c r="FS113" i="3"/>
  <c r="FT113" i="3"/>
  <c r="FU113" i="3"/>
  <c r="FV113" i="3"/>
  <c r="FW113" i="3"/>
  <c r="FX113" i="3"/>
  <c r="FY113" i="3"/>
  <c r="FZ113" i="3"/>
  <c r="GA113" i="3"/>
  <c r="GB113" i="3"/>
  <c r="GC113" i="3"/>
  <c r="GD113" i="3"/>
  <c r="GE113" i="3"/>
  <c r="GF113" i="3"/>
  <c r="GG113" i="3"/>
  <c r="GH113" i="3"/>
  <c r="GI113" i="3"/>
  <c r="GJ113" i="3"/>
  <c r="GK113" i="3"/>
  <c r="GL113" i="3"/>
  <c r="GM113" i="3"/>
  <c r="GN113" i="3"/>
  <c r="GO113" i="3"/>
  <c r="GP113" i="3"/>
  <c r="GQ113" i="3"/>
  <c r="GR113" i="3"/>
  <c r="GS113" i="3"/>
  <c r="GT113" i="3"/>
  <c r="GU113" i="3"/>
  <c r="GV113" i="3"/>
  <c r="GW113" i="3"/>
  <c r="GX113" i="3"/>
  <c r="GY113" i="3"/>
  <c r="GZ113" i="3"/>
  <c r="HA113" i="3"/>
  <c r="HB113" i="3"/>
  <c r="HC113" i="3"/>
  <c r="HD113" i="3"/>
  <c r="HE113" i="3"/>
  <c r="HF113" i="3"/>
  <c r="HG113" i="3"/>
  <c r="HH113" i="3"/>
  <c r="HI113" i="3"/>
  <c r="HJ113" i="3"/>
  <c r="HK113" i="3"/>
  <c r="HL113" i="3"/>
  <c r="HM113" i="3"/>
  <c r="HN113" i="3"/>
  <c r="HO113" i="3"/>
  <c r="HP113" i="3"/>
  <c r="HQ113" i="3"/>
  <c r="HR113" i="3"/>
  <c r="HS113" i="3"/>
  <c r="HT113" i="3"/>
  <c r="HU113" i="3"/>
  <c r="HV113" i="3"/>
  <c r="HW113" i="3"/>
  <c r="HX113" i="3"/>
  <c r="HY113" i="3"/>
  <c r="HZ113" i="3"/>
  <c r="IA113" i="3"/>
  <c r="IB113" i="3"/>
  <c r="IC113" i="3"/>
  <c r="ID113" i="3"/>
  <c r="IE113" i="3"/>
  <c r="IF113" i="3"/>
  <c r="IG113" i="3"/>
  <c r="IH113" i="3"/>
  <c r="II113" i="3"/>
  <c r="IJ113" i="3"/>
  <c r="IK113" i="3"/>
  <c r="IL113" i="3"/>
  <c r="IM113" i="3"/>
  <c r="IN113" i="3"/>
  <c r="IO113" i="3"/>
  <c r="IP113" i="3"/>
  <c r="IQ113" i="3"/>
  <c r="IR113" i="3"/>
  <c r="IS113" i="3"/>
  <c r="IT113" i="3"/>
  <c r="IU113" i="3"/>
  <c r="IV113" i="3"/>
  <c r="A112" i="3"/>
  <c r="B112" i="3"/>
  <c r="C112" i="3"/>
  <c r="D112" i="3"/>
  <c r="E112" i="3"/>
  <c r="F112" i="3"/>
  <c r="G112" i="3"/>
  <c r="H112" i="3"/>
  <c r="I112" i="3"/>
  <c r="J112" i="3"/>
  <c r="K112" i="3"/>
  <c r="L112" i="3"/>
  <c r="M112" i="3"/>
  <c r="N112" i="3"/>
  <c r="O112" i="3"/>
  <c r="P112" i="3"/>
  <c r="Q112" i="3"/>
  <c r="R112" i="3"/>
  <c r="S112" i="3"/>
  <c r="T112" i="3"/>
  <c r="U112" i="3"/>
  <c r="V112" i="3"/>
  <c r="W112" i="3"/>
  <c r="X112" i="3"/>
  <c r="Y112" i="3"/>
  <c r="Z112" i="3"/>
  <c r="AA112" i="3"/>
  <c r="AB112" i="3"/>
  <c r="AC112" i="3"/>
  <c r="AD112" i="3"/>
  <c r="AE112" i="3"/>
  <c r="AF112" i="3"/>
  <c r="AG112" i="3"/>
  <c r="AH112" i="3"/>
  <c r="AI112" i="3"/>
  <c r="AJ112" i="3"/>
  <c r="AK112" i="3"/>
  <c r="AL112" i="3"/>
  <c r="AM112" i="3"/>
  <c r="AN112" i="3"/>
  <c r="AO112" i="3"/>
  <c r="AP112" i="3"/>
  <c r="AQ112" i="3"/>
  <c r="AR112" i="3"/>
  <c r="AS112" i="3"/>
  <c r="AT112" i="3"/>
  <c r="AU112" i="3"/>
  <c r="AV112" i="3"/>
  <c r="AW112" i="3"/>
  <c r="AX112" i="3"/>
  <c r="AY112" i="3"/>
  <c r="AZ112" i="3"/>
  <c r="BA112" i="3"/>
  <c r="BB112" i="3"/>
  <c r="BC112" i="3"/>
  <c r="BD112" i="3"/>
  <c r="BE112" i="3"/>
  <c r="BF112" i="3"/>
  <c r="BG112" i="3"/>
  <c r="BH112" i="3"/>
  <c r="BI112" i="3"/>
  <c r="BJ112" i="3"/>
  <c r="BK112" i="3"/>
  <c r="BL112" i="3"/>
  <c r="BM112" i="3"/>
  <c r="BN112" i="3"/>
  <c r="BO112" i="3"/>
  <c r="BP112" i="3"/>
  <c r="BQ112" i="3"/>
  <c r="BR112" i="3"/>
  <c r="BS112" i="3"/>
  <c r="BT112" i="3"/>
  <c r="BU112" i="3"/>
  <c r="BV112" i="3"/>
  <c r="BW112" i="3"/>
  <c r="BX112" i="3"/>
  <c r="BY112" i="3"/>
  <c r="BZ112" i="3"/>
  <c r="CA112" i="3"/>
  <c r="CB112" i="3"/>
  <c r="CC112" i="3"/>
  <c r="CD112" i="3"/>
  <c r="CE112" i="3"/>
  <c r="CF112" i="3"/>
  <c r="CG112" i="3"/>
  <c r="CH112" i="3"/>
  <c r="CI112" i="3"/>
  <c r="CJ112" i="3"/>
  <c r="CK112" i="3"/>
  <c r="CL112" i="3"/>
  <c r="CM112" i="3"/>
  <c r="CN112" i="3"/>
  <c r="CO112" i="3"/>
  <c r="CP112" i="3"/>
  <c r="CQ112" i="3"/>
  <c r="CR112" i="3"/>
  <c r="CS112" i="3"/>
  <c r="CT112" i="3"/>
  <c r="CU112" i="3"/>
  <c r="CV112" i="3"/>
  <c r="CW112" i="3"/>
  <c r="CX112" i="3"/>
  <c r="CY112" i="3"/>
  <c r="CZ112" i="3"/>
  <c r="DA112" i="3"/>
  <c r="DB112" i="3"/>
  <c r="DC112" i="3"/>
  <c r="DD112" i="3"/>
  <c r="DE112" i="3"/>
  <c r="DF112" i="3"/>
  <c r="DG112" i="3"/>
  <c r="DH112" i="3"/>
  <c r="DI112" i="3"/>
  <c r="DJ112" i="3"/>
  <c r="DK112" i="3"/>
  <c r="DL112" i="3"/>
  <c r="DM112" i="3"/>
  <c r="DN112" i="3"/>
  <c r="DO112" i="3"/>
  <c r="DP112" i="3"/>
  <c r="DQ112" i="3"/>
  <c r="DR112" i="3"/>
  <c r="DS112" i="3"/>
  <c r="DT112" i="3"/>
  <c r="DU112" i="3"/>
  <c r="DV112" i="3"/>
  <c r="DW112" i="3"/>
  <c r="DX112" i="3"/>
  <c r="DY112" i="3"/>
  <c r="DZ112" i="3"/>
  <c r="EA112" i="3"/>
  <c r="EB112" i="3"/>
  <c r="EC112" i="3"/>
  <c r="ED112" i="3"/>
  <c r="EE112" i="3"/>
  <c r="EF112" i="3"/>
  <c r="EG112" i="3"/>
  <c r="EH112" i="3"/>
  <c r="EI112" i="3"/>
  <c r="EJ112" i="3"/>
  <c r="EK112" i="3"/>
  <c r="EL112" i="3"/>
  <c r="EM112" i="3"/>
  <c r="EN112" i="3"/>
  <c r="EO112" i="3"/>
  <c r="EP112" i="3"/>
  <c r="EQ112" i="3"/>
  <c r="ER112" i="3"/>
  <c r="ES112" i="3"/>
  <c r="ET112" i="3"/>
  <c r="EU112" i="3"/>
  <c r="EV112" i="3"/>
  <c r="EW112" i="3"/>
  <c r="EX112" i="3"/>
  <c r="EY112" i="3"/>
  <c r="EZ112" i="3"/>
  <c r="FA112" i="3"/>
  <c r="FB112" i="3"/>
  <c r="FC112" i="3"/>
  <c r="FD112" i="3"/>
  <c r="FE112" i="3"/>
  <c r="FF112" i="3"/>
  <c r="FG112" i="3"/>
  <c r="FH112" i="3"/>
  <c r="FI112" i="3"/>
  <c r="FJ112" i="3"/>
  <c r="FK112" i="3"/>
  <c r="FL112" i="3"/>
  <c r="FM112" i="3"/>
  <c r="FN112" i="3"/>
  <c r="FO112" i="3"/>
  <c r="FP112" i="3"/>
  <c r="FQ112" i="3"/>
  <c r="FR112" i="3"/>
  <c r="FS112" i="3"/>
  <c r="FT112" i="3"/>
  <c r="FU112" i="3"/>
  <c r="FV112" i="3"/>
  <c r="FW112" i="3"/>
  <c r="FX112" i="3"/>
  <c r="FY112" i="3"/>
  <c r="FZ112" i="3"/>
  <c r="GA112" i="3"/>
  <c r="GB112" i="3"/>
  <c r="GC112" i="3"/>
  <c r="GD112" i="3"/>
  <c r="GE112" i="3"/>
  <c r="GF112" i="3"/>
  <c r="GG112" i="3"/>
  <c r="GH112" i="3"/>
  <c r="GI112" i="3"/>
  <c r="GJ112" i="3"/>
  <c r="GK112" i="3"/>
  <c r="GL112" i="3"/>
  <c r="GM112" i="3"/>
  <c r="GN112" i="3"/>
  <c r="GO112" i="3"/>
  <c r="GP112" i="3"/>
  <c r="GQ112" i="3"/>
  <c r="GR112" i="3"/>
  <c r="GS112" i="3"/>
  <c r="GT112" i="3"/>
  <c r="GU112" i="3"/>
  <c r="GV112" i="3"/>
  <c r="GW112" i="3"/>
  <c r="GX112" i="3"/>
  <c r="GY112" i="3"/>
  <c r="GZ112" i="3"/>
  <c r="HA112" i="3"/>
  <c r="HB112" i="3"/>
  <c r="HC112" i="3"/>
  <c r="HD112" i="3"/>
  <c r="HE112" i="3"/>
  <c r="HF112" i="3"/>
  <c r="HG112" i="3"/>
  <c r="HH112" i="3"/>
  <c r="HI112" i="3"/>
  <c r="HJ112" i="3"/>
  <c r="HK112" i="3"/>
  <c r="HL112" i="3"/>
  <c r="HM112" i="3"/>
  <c r="HN112" i="3"/>
  <c r="HO112" i="3"/>
  <c r="HP112" i="3"/>
  <c r="HQ112" i="3"/>
  <c r="HR112" i="3"/>
  <c r="HS112" i="3"/>
  <c r="HT112" i="3"/>
  <c r="HU112" i="3"/>
  <c r="HV112" i="3"/>
  <c r="HW112" i="3"/>
  <c r="HX112" i="3"/>
  <c r="HY112" i="3"/>
  <c r="HZ112" i="3"/>
  <c r="IA112" i="3"/>
  <c r="IB112" i="3"/>
  <c r="IC112" i="3"/>
  <c r="ID112" i="3"/>
  <c r="IE112" i="3"/>
  <c r="IF112" i="3"/>
  <c r="IG112" i="3"/>
  <c r="IH112" i="3"/>
  <c r="II112" i="3"/>
  <c r="IJ112" i="3"/>
  <c r="IK112" i="3"/>
  <c r="IL112" i="3"/>
  <c r="IM112" i="3"/>
  <c r="IN112" i="3"/>
  <c r="IO112" i="3"/>
  <c r="IP112" i="3"/>
  <c r="IQ112" i="3"/>
  <c r="IR112" i="3"/>
  <c r="IS112" i="3"/>
  <c r="IT112" i="3"/>
  <c r="IU112" i="3"/>
  <c r="IV112" i="3"/>
  <c r="A111" i="3"/>
  <c r="B111" i="3"/>
  <c r="C111" i="3"/>
  <c r="D111" i="3"/>
  <c r="E111" i="3"/>
  <c r="F111" i="3"/>
  <c r="G111" i="3"/>
  <c r="H111" i="3"/>
  <c r="I111" i="3"/>
  <c r="J111" i="3"/>
  <c r="K111" i="3"/>
  <c r="L111" i="3"/>
  <c r="M111" i="3"/>
  <c r="N111" i="3"/>
  <c r="O111" i="3"/>
  <c r="P111" i="3"/>
  <c r="Q111" i="3"/>
  <c r="R111" i="3"/>
  <c r="S111" i="3"/>
  <c r="T111" i="3"/>
  <c r="U111" i="3"/>
  <c r="V111" i="3"/>
  <c r="W111" i="3"/>
  <c r="X111" i="3"/>
  <c r="Y111" i="3"/>
  <c r="Z111" i="3"/>
  <c r="AA111" i="3"/>
  <c r="AB111" i="3"/>
  <c r="AC111" i="3"/>
  <c r="AD111" i="3"/>
  <c r="AE111" i="3"/>
  <c r="AF111" i="3"/>
  <c r="AG111" i="3"/>
  <c r="AH111" i="3"/>
  <c r="AI111" i="3"/>
  <c r="AJ111" i="3"/>
  <c r="AK111" i="3"/>
  <c r="AL111" i="3"/>
  <c r="AM111" i="3"/>
  <c r="AN111" i="3"/>
  <c r="AO111" i="3"/>
  <c r="AP111" i="3"/>
  <c r="AQ111" i="3"/>
  <c r="AR111" i="3"/>
  <c r="AS111" i="3"/>
  <c r="AT111" i="3"/>
  <c r="AU111" i="3"/>
  <c r="AV111" i="3"/>
  <c r="AW111" i="3"/>
  <c r="AX111" i="3"/>
  <c r="AY111" i="3"/>
  <c r="AZ111" i="3"/>
  <c r="BA111" i="3"/>
  <c r="BB111" i="3"/>
  <c r="BC111" i="3"/>
  <c r="BD111" i="3"/>
  <c r="BE111" i="3"/>
  <c r="BF111" i="3"/>
  <c r="BG111" i="3"/>
  <c r="BH111" i="3"/>
  <c r="BI111" i="3"/>
  <c r="BJ111" i="3"/>
  <c r="BK111" i="3"/>
  <c r="BL111" i="3"/>
  <c r="BM111" i="3"/>
  <c r="BN111" i="3"/>
  <c r="BO111" i="3"/>
  <c r="BP111" i="3"/>
  <c r="BQ111" i="3"/>
  <c r="BR111" i="3"/>
  <c r="BS111" i="3"/>
  <c r="BT111" i="3"/>
  <c r="BU111" i="3"/>
  <c r="BV111" i="3"/>
  <c r="BW111" i="3"/>
  <c r="BX111" i="3"/>
  <c r="BY111" i="3"/>
  <c r="BZ111" i="3"/>
  <c r="CA111" i="3"/>
  <c r="CB111" i="3"/>
  <c r="CC111" i="3"/>
  <c r="CD111" i="3"/>
  <c r="CE111" i="3"/>
  <c r="CF111" i="3"/>
  <c r="CG111" i="3"/>
  <c r="CH111" i="3"/>
  <c r="CI111" i="3"/>
  <c r="CJ111" i="3"/>
  <c r="CK111" i="3"/>
  <c r="CL111" i="3"/>
  <c r="CM111" i="3"/>
  <c r="CN111" i="3"/>
  <c r="CO111" i="3"/>
  <c r="CP111" i="3"/>
  <c r="CQ111" i="3"/>
  <c r="CR111" i="3"/>
  <c r="CS111" i="3"/>
  <c r="CT111" i="3"/>
  <c r="CU111" i="3"/>
  <c r="CV111" i="3"/>
  <c r="CW111" i="3"/>
  <c r="CX111" i="3"/>
  <c r="CY111" i="3"/>
  <c r="CZ111" i="3"/>
  <c r="DA111" i="3"/>
  <c r="DB111" i="3"/>
  <c r="DC111" i="3"/>
  <c r="DD111" i="3"/>
  <c r="DE111" i="3"/>
  <c r="DF111" i="3"/>
  <c r="DG111" i="3"/>
  <c r="DH111" i="3"/>
  <c r="DI111" i="3"/>
  <c r="DJ111" i="3"/>
  <c r="DK111" i="3"/>
  <c r="DL111" i="3"/>
  <c r="DM111" i="3"/>
  <c r="DN111" i="3"/>
  <c r="DO111" i="3"/>
  <c r="DP111" i="3"/>
  <c r="DQ111" i="3"/>
  <c r="DR111" i="3"/>
  <c r="DS111" i="3"/>
  <c r="DT111" i="3"/>
  <c r="DU111" i="3"/>
  <c r="DV111" i="3"/>
  <c r="DW111" i="3"/>
  <c r="DX111" i="3"/>
  <c r="DY111" i="3"/>
  <c r="DZ111" i="3"/>
  <c r="EA111" i="3"/>
  <c r="EB111" i="3"/>
  <c r="EC111" i="3"/>
  <c r="ED111" i="3"/>
  <c r="EE111" i="3"/>
  <c r="EF111" i="3"/>
  <c r="EG111" i="3"/>
  <c r="EH111" i="3"/>
  <c r="EI111" i="3"/>
  <c r="EJ111" i="3"/>
  <c r="EK111" i="3"/>
  <c r="EL111" i="3"/>
  <c r="EM111" i="3"/>
  <c r="EN111" i="3"/>
  <c r="EO111" i="3"/>
  <c r="EP111" i="3"/>
  <c r="EQ111" i="3"/>
  <c r="ER111" i="3"/>
  <c r="ES111" i="3"/>
  <c r="ET111" i="3"/>
  <c r="EU111" i="3"/>
  <c r="EV111" i="3"/>
  <c r="EW111" i="3"/>
  <c r="EX111" i="3"/>
  <c r="EY111" i="3"/>
  <c r="EZ111" i="3"/>
  <c r="FA111" i="3"/>
  <c r="FB111" i="3"/>
  <c r="FC111" i="3"/>
  <c r="FD111" i="3"/>
  <c r="FE111" i="3"/>
  <c r="FF111" i="3"/>
  <c r="FG111" i="3"/>
  <c r="FH111" i="3"/>
  <c r="FI111" i="3"/>
  <c r="FJ111" i="3"/>
  <c r="FK111" i="3"/>
  <c r="FL111" i="3"/>
  <c r="FM111" i="3"/>
  <c r="FN111" i="3"/>
  <c r="FO111" i="3"/>
  <c r="FP111" i="3"/>
  <c r="FQ111" i="3"/>
  <c r="FR111" i="3"/>
  <c r="FS111" i="3"/>
  <c r="FT111" i="3"/>
  <c r="FU111" i="3"/>
  <c r="FV111" i="3"/>
  <c r="FW111" i="3"/>
  <c r="FX111" i="3"/>
  <c r="FY111" i="3"/>
  <c r="FZ111" i="3"/>
  <c r="GA111" i="3"/>
  <c r="GB111" i="3"/>
  <c r="GC111" i="3"/>
  <c r="GD111" i="3"/>
  <c r="GE111" i="3"/>
  <c r="GF111" i="3"/>
  <c r="GG111" i="3"/>
  <c r="GH111" i="3"/>
  <c r="GI111" i="3"/>
  <c r="GJ111" i="3"/>
  <c r="GK111" i="3"/>
  <c r="GL111" i="3"/>
  <c r="GM111" i="3"/>
  <c r="GN111" i="3"/>
  <c r="GO111" i="3"/>
  <c r="GP111" i="3"/>
  <c r="GQ111" i="3"/>
  <c r="GR111" i="3"/>
  <c r="GS111" i="3"/>
  <c r="GT111" i="3"/>
  <c r="GU111" i="3"/>
  <c r="GV111" i="3"/>
  <c r="GW111" i="3"/>
  <c r="GX111" i="3"/>
  <c r="GY111" i="3"/>
  <c r="GZ111" i="3"/>
  <c r="HA111" i="3"/>
  <c r="HB111" i="3"/>
  <c r="HC111" i="3"/>
  <c r="HD111" i="3"/>
  <c r="HE111" i="3"/>
  <c r="HF111" i="3"/>
  <c r="HG111" i="3"/>
  <c r="HH111" i="3"/>
  <c r="HI111" i="3"/>
  <c r="HJ111" i="3"/>
  <c r="HK111" i="3"/>
  <c r="HL111" i="3"/>
  <c r="HM111" i="3"/>
  <c r="HN111" i="3"/>
  <c r="HO111" i="3"/>
  <c r="HP111" i="3"/>
  <c r="HQ111" i="3"/>
  <c r="HR111" i="3"/>
  <c r="HS111" i="3"/>
  <c r="HT111" i="3"/>
  <c r="HU111" i="3"/>
  <c r="HV111" i="3"/>
  <c r="HW111" i="3"/>
  <c r="HX111" i="3"/>
  <c r="HY111" i="3"/>
  <c r="HZ111" i="3"/>
  <c r="IA111" i="3"/>
  <c r="IB111" i="3"/>
  <c r="IC111" i="3"/>
  <c r="ID111" i="3"/>
  <c r="IE111" i="3"/>
  <c r="IF111" i="3"/>
  <c r="IG111" i="3"/>
  <c r="IH111" i="3"/>
  <c r="II111" i="3"/>
  <c r="IJ111" i="3"/>
  <c r="IK111" i="3"/>
  <c r="IL111" i="3"/>
  <c r="IM111" i="3"/>
  <c r="IN111" i="3"/>
  <c r="IO111" i="3"/>
  <c r="IP111" i="3"/>
  <c r="IQ111" i="3"/>
  <c r="IR111" i="3"/>
  <c r="IS111" i="3"/>
  <c r="IT111" i="3"/>
  <c r="IU111" i="3"/>
  <c r="IV111" i="3"/>
  <c r="A110" i="3"/>
  <c r="B110" i="3"/>
  <c r="C110" i="3"/>
  <c r="D110" i="3"/>
  <c r="E110" i="3"/>
  <c r="F110" i="3"/>
  <c r="G110" i="3"/>
  <c r="H110" i="3"/>
  <c r="I110" i="3"/>
  <c r="J110" i="3"/>
  <c r="K110" i="3"/>
  <c r="L110" i="3"/>
  <c r="M110" i="3"/>
  <c r="N110" i="3"/>
  <c r="O110" i="3"/>
  <c r="P110" i="3"/>
  <c r="Q110" i="3"/>
  <c r="R110" i="3"/>
  <c r="S110" i="3"/>
  <c r="T110" i="3"/>
  <c r="U110" i="3"/>
  <c r="V110" i="3"/>
  <c r="W110" i="3"/>
  <c r="X110" i="3"/>
  <c r="Y110" i="3"/>
  <c r="Z110" i="3"/>
  <c r="AA110" i="3"/>
  <c r="AB110" i="3"/>
  <c r="AC110" i="3"/>
  <c r="AD110" i="3"/>
  <c r="AE110" i="3"/>
  <c r="AF110" i="3"/>
  <c r="AG110" i="3"/>
  <c r="AH110" i="3"/>
  <c r="AI110" i="3"/>
  <c r="AJ110" i="3"/>
  <c r="AK110" i="3"/>
  <c r="AL110" i="3"/>
  <c r="AM110" i="3"/>
  <c r="AN110" i="3"/>
  <c r="AO110" i="3"/>
  <c r="AP110" i="3"/>
  <c r="AQ110" i="3"/>
  <c r="AR110" i="3"/>
  <c r="AS110" i="3"/>
  <c r="AT110" i="3"/>
  <c r="AU110" i="3"/>
  <c r="AV110" i="3"/>
  <c r="AW110" i="3"/>
  <c r="AX110" i="3"/>
  <c r="AY110" i="3"/>
  <c r="AZ110" i="3"/>
  <c r="BA110" i="3"/>
  <c r="BB110" i="3"/>
  <c r="BC110" i="3"/>
  <c r="BD110" i="3"/>
  <c r="BE110" i="3"/>
  <c r="BF110" i="3"/>
  <c r="BG110" i="3"/>
  <c r="BH110" i="3"/>
  <c r="BI110" i="3"/>
  <c r="BJ110" i="3"/>
  <c r="BK110" i="3"/>
  <c r="BL110" i="3"/>
  <c r="BM110" i="3"/>
  <c r="BN110" i="3"/>
  <c r="BO110" i="3"/>
  <c r="BP110" i="3"/>
  <c r="BQ110" i="3"/>
  <c r="BR110" i="3"/>
  <c r="BS110" i="3"/>
  <c r="BT110" i="3"/>
  <c r="BU110" i="3"/>
  <c r="BV110" i="3"/>
  <c r="BW110" i="3"/>
  <c r="BX110" i="3"/>
  <c r="BY110" i="3"/>
  <c r="BZ110" i="3"/>
  <c r="CA110" i="3"/>
  <c r="CB110" i="3"/>
  <c r="CC110" i="3"/>
  <c r="CD110" i="3"/>
  <c r="CE110" i="3"/>
  <c r="CF110" i="3"/>
  <c r="CG110" i="3"/>
  <c r="CH110" i="3"/>
  <c r="CI110" i="3"/>
  <c r="CJ110" i="3"/>
  <c r="CK110" i="3"/>
  <c r="CL110" i="3"/>
  <c r="CM110" i="3"/>
  <c r="CN110" i="3"/>
  <c r="CO110" i="3"/>
  <c r="CP110" i="3"/>
  <c r="CQ110" i="3"/>
  <c r="CR110" i="3"/>
  <c r="CS110" i="3"/>
  <c r="CT110" i="3"/>
  <c r="CU110" i="3"/>
  <c r="CV110" i="3"/>
  <c r="CW110" i="3"/>
  <c r="CX110" i="3"/>
  <c r="CY110" i="3"/>
  <c r="CZ110" i="3"/>
  <c r="DA110" i="3"/>
  <c r="DB110" i="3"/>
  <c r="DC110" i="3"/>
  <c r="DD110" i="3"/>
  <c r="DE110" i="3"/>
  <c r="DF110" i="3"/>
  <c r="DG110" i="3"/>
  <c r="DH110" i="3"/>
  <c r="DI110" i="3"/>
  <c r="DJ110" i="3"/>
  <c r="DK110" i="3"/>
  <c r="DL110" i="3"/>
  <c r="DM110" i="3"/>
  <c r="DN110" i="3"/>
  <c r="DO110" i="3"/>
  <c r="DP110" i="3"/>
  <c r="DQ110" i="3"/>
  <c r="DR110" i="3"/>
  <c r="DS110" i="3"/>
  <c r="DT110" i="3"/>
  <c r="DU110" i="3"/>
  <c r="DV110" i="3"/>
  <c r="DW110" i="3"/>
  <c r="DX110" i="3"/>
  <c r="DY110" i="3"/>
  <c r="DZ110" i="3"/>
  <c r="EA110" i="3"/>
  <c r="EB110" i="3"/>
  <c r="EC110" i="3"/>
  <c r="ED110" i="3"/>
  <c r="EE110" i="3"/>
  <c r="EF110" i="3"/>
  <c r="EG110" i="3"/>
  <c r="EH110" i="3"/>
  <c r="EI110" i="3"/>
  <c r="EJ110" i="3"/>
  <c r="EK110" i="3"/>
  <c r="EL110" i="3"/>
  <c r="EM110" i="3"/>
  <c r="EN110" i="3"/>
  <c r="EO110" i="3"/>
  <c r="EP110" i="3"/>
  <c r="EQ110" i="3"/>
  <c r="ER110" i="3"/>
  <c r="ES110" i="3"/>
  <c r="ET110" i="3"/>
  <c r="EU110" i="3"/>
  <c r="EV110" i="3"/>
  <c r="EW110" i="3"/>
  <c r="EX110" i="3"/>
  <c r="EY110" i="3"/>
  <c r="EZ110" i="3"/>
  <c r="FA110" i="3"/>
  <c r="FB110" i="3"/>
  <c r="FC110" i="3"/>
  <c r="FD110" i="3"/>
  <c r="FE110" i="3"/>
  <c r="FF110" i="3"/>
  <c r="FG110" i="3"/>
  <c r="FH110" i="3"/>
  <c r="FI110" i="3"/>
  <c r="FJ110" i="3"/>
  <c r="FK110" i="3"/>
  <c r="FL110" i="3"/>
  <c r="FM110" i="3"/>
  <c r="FN110" i="3"/>
  <c r="FO110" i="3"/>
  <c r="FP110" i="3"/>
  <c r="FQ110" i="3"/>
  <c r="FR110" i="3"/>
  <c r="FS110" i="3"/>
  <c r="FT110" i="3"/>
  <c r="FU110" i="3"/>
  <c r="FV110" i="3"/>
  <c r="FW110" i="3"/>
  <c r="FX110" i="3"/>
  <c r="FY110" i="3"/>
  <c r="FZ110" i="3"/>
  <c r="GA110" i="3"/>
  <c r="GB110" i="3"/>
  <c r="GC110" i="3"/>
  <c r="GD110" i="3"/>
  <c r="GE110" i="3"/>
  <c r="GF110" i="3"/>
  <c r="GG110" i="3"/>
  <c r="GH110" i="3"/>
  <c r="GI110" i="3"/>
  <c r="GJ110" i="3"/>
  <c r="GK110" i="3"/>
  <c r="GL110" i="3"/>
  <c r="GM110" i="3"/>
  <c r="GN110" i="3"/>
  <c r="GO110" i="3"/>
  <c r="GP110" i="3"/>
  <c r="GQ110" i="3"/>
  <c r="GR110" i="3"/>
  <c r="GS110" i="3"/>
  <c r="GT110" i="3"/>
  <c r="GU110" i="3"/>
  <c r="GV110" i="3"/>
  <c r="GW110" i="3"/>
  <c r="GX110" i="3"/>
  <c r="GY110" i="3"/>
  <c r="GZ110" i="3"/>
  <c r="HA110" i="3"/>
  <c r="HB110" i="3"/>
  <c r="HC110" i="3"/>
  <c r="HD110" i="3"/>
  <c r="HE110" i="3"/>
  <c r="HF110" i="3"/>
  <c r="HG110" i="3"/>
  <c r="HH110" i="3"/>
  <c r="HI110" i="3"/>
  <c r="HJ110" i="3"/>
  <c r="HK110" i="3"/>
  <c r="HL110" i="3"/>
  <c r="HM110" i="3"/>
  <c r="HN110" i="3"/>
  <c r="HO110" i="3"/>
  <c r="HP110" i="3"/>
  <c r="HQ110" i="3"/>
  <c r="HR110" i="3"/>
  <c r="HS110" i="3"/>
  <c r="HT110" i="3"/>
  <c r="HU110" i="3"/>
  <c r="HV110" i="3"/>
  <c r="HW110" i="3"/>
  <c r="HX110" i="3"/>
  <c r="HY110" i="3"/>
  <c r="HZ110" i="3"/>
  <c r="IA110" i="3"/>
  <c r="IB110" i="3"/>
  <c r="IC110" i="3"/>
  <c r="ID110" i="3"/>
  <c r="IE110" i="3"/>
  <c r="IF110" i="3"/>
  <c r="IG110" i="3"/>
  <c r="IH110" i="3"/>
  <c r="II110" i="3"/>
  <c r="IJ110" i="3"/>
  <c r="IK110" i="3"/>
  <c r="IL110" i="3"/>
  <c r="IM110" i="3"/>
  <c r="IN110" i="3"/>
  <c r="IO110" i="3"/>
  <c r="IP110" i="3"/>
  <c r="IQ110" i="3"/>
  <c r="IR110" i="3"/>
  <c r="IS110" i="3"/>
  <c r="IT110" i="3"/>
  <c r="IU110" i="3"/>
  <c r="IV110" i="3"/>
  <c r="A109" i="3"/>
  <c r="B109" i="3"/>
  <c r="C109" i="3"/>
  <c r="D109" i="3"/>
  <c r="E109" i="3"/>
  <c r="F109" i="3"/>
  <c r="G109" i="3"/>
  <c r="H109" i="3"/>
  <c r="I109" i="3"/>
  <c r="J109" i="3"/>
  <c r="K109" i="3"/>
  <c r="L109" i="3"/>
  <c r="M109" i="3"/>
  <c r="N109" i="3"/>
  <c r="O109" i="3"/>
  <c r="P109" i="3"/>
  <c r="Q109" i="3"/>
  <c r="R109" i="3"/>
  <c r="S109" i="3"/>
  <c r="T109" i="3"/>
  <c r="U109" i="3"/>
  <c r="V109" i="3"/>
  <c r="W109" i="3"/>
  <c r="X109" i="3"/>
  <c r="Y109" i="3"/>
  <c r="Z109" i="3"/>
  <c r="AA109" i="3"/>
  <c r="AB109" i="3"/>
  <c r="AC109" i="3"/>
  <c r="AD109" i="3"/>
  <c r="AE109" i="3"/>
  <c r="AF109" i="3"/>
  <c r="AG109" i="3"/>
  <c r="AH109" i="3"/>
  <c r="AI109" i="3"/>
  <c r="AJ109" i="3"/>
  <c r="AK109" i="3"/>
  <c r="AL109" i="3"/>
  <c r="AM109" i="3"/>
  <c r="AN109" i="3"/>
  <c r="AO109" i="3"/>
  <c r="AP109" i="3"/>
  <c r="AQ109" i="3"/>
  <c r="AR109" i="3"/>
  <c r="AS109" i="3"/>
  <c r="AT109" i="3"/>
  <c r="AU109" i="3"/>
  <c r="AV109" i="3"/>
  <c r="AW109" i="3"/>
  <c r="AX109" i="3"/>
  <c r="AY109" i="3"/>
  <c r="AZ109" i="3"/>
  <c r="BA109" i="3"/>
  <c r="BB109" i="3"/>
  <c r="BC109" i="3"/>
  <c r="BD109" i="3"/>
  <c r="BE109" i="3"/>
  <c r="BF109" i="3"/>
  <c r="BG109" i="3"/>
  <c r="BH109" i="3"/>
  <c r="BI109" i="3"/>
  <c r="BJ109" i="3"/>
  <c r="BK109" i="3"/>
  <c r="BL109" i="3"/>
  <c r="BM109" i="3"/>
  <c r="BN109" i="3"/>
  <c r="BO109" i="3"/>
  <c r="BP109" i="3"/>
  <c r="BQ109" i="3"/>
  <c r="BR109" i="3"/>
  <c r="BS109" i="3"/>
  <c r="BT109" i="3"/>
  <c r="BU109" i="3"/>
  <c r="BV109" i="3"/>
  <c r="BW109" i="3"/>
  <c r="BX109" i="3"/>
  <c r="BY109" i="3"/>
  <c r="BZ109" i="3"/>
  <c r="CA109" i="3"/>
  <c r="CB109" i="3"/>
  <c r="CC109" i="3"/>
  <c r="CD109" i="3"/>
  <c r="CE109" i="3"/>
  <c r="CF109" i="3"/>
  <c r="CG109" i="3"/>
  <c r="CH109" i="3"/>
  <c r="CI109" i="3"/>
  <c r="CJ109" i="3"/>
  <c r="CK109" i="3"/>
  <c r="CL109" i="3"/>
  <c r="CM109" i="3"/>
  <c r="CN109" i="3"/>
  <c r="CO109" i="3"/>
  <c r="CP109" i="3"/>
  <c r="CQ109" i="3"/>
  <c r="CR109" i="3"/>
  <c r="CS109" i="3"/>
  <c r="CT109" i="3"/>
  <c r="CU109" i="3"/>
  <c r="CV109" i="3"/>
  <c r="CW109" i="3"/>
  <c r="CX109" i="3"/>
  <c r="CY109" i="3"/>
  <c r="CZ109" i="3"/>
  <c r="DA109" i="3"/>
  <c r="DB109" i="3"/>
  <c r="DC109" i="3"/>
  <c r="DD109" i="3"/>
  <c r="DE109" i="3"/>
  <c r="DF109" i="3"/>
  <c r="DG109" i="3"/>
  <c r="DH109" i="3"/>
  <c r="DI109" i="3"/>
  <c r="DJ109" i="3"/>
  <c r="DK109" i="3"/>
  <c r="DL109" i="3"/>
  <c r="DM109" i="3"/>
  <c r="DN109" i="3"/>
  <c r="DO109" i="3"/>
  <c r="DP109" i="3"/>
  <c r="DQ109" i="3"/>
  <c r="DR109" i="3"/>
  <c r="DS109" i="3"/>
  <c r="DT109" i="3"/>
  <c r="DU109" i="3"/>
  <c r="DV109" i="3"/>
  <c r="DW109" i="3"/>
  <c r="DX109" i="3"/>
  <c r="DY109" i="3"/>
  <c r="DZ109" i="3"/>
  <c r="EA109" i="3"/>
  <c r="EB109" i="3"/>
  <c r="EC109" i="3"/>
  <c r="ED109" i="3"/>
  <c r="EE109" i="3"/>
  <c r="EF109" i="3"/>
  <c r="EG109" i="3"/>
  <c r="EH109" i="3"/>
  <c r="EI109" i="3"/>
  <c r="EJ109" i="3"/>
  <c r="EK109" i="3"/>
  <c r="EL109" i="3"/>
  <c r="EM109" i="3"/>
  <c r="EN109" i="3"/>
  <c r="EO109" i="3"/>
  <c r="EP109" i="3"/>
  <c r="EQ109" i="3"/>
  <c r="ER109" i="3"/>
  <c r="ES109" i="3"/>
  <c r="ET109" i="3"/>
  <c r="EU109" i="3"/>
  <c r="EV109" i="3"/>
  <c r="EW109" i="3"/>
  <c r="EX109" i="3"/>
  <c r="EY109" i="3"/>
  <c r="EZ109" i="3"/>
  <c r="FA109" i="3"/>
  <c r="FB109" i="3"/>
  <c r="FC109" i="3"/>
  <c r="FD109" i="3"/>
  <c r="FE109" i="3"/>
  <c r="FF109" i="3"/>
  <c r="FG109" i="3"/>
  <c r="FH109" i="3"/>
  <c r="FI109" i="3"/>
  <c r="FJ109" i="3"/>
  <c r="FK109" i="3"/>
  <c r="FL109" i="3"/>
  <c r="FM109" i="3"/>
  <c r="FN109" i="3"/>
  <c r="FO109" i="3"/>
  <c r="FP109" i="3"/>
  <c r="FQ109" i="3"/>
  <c r="FR109" i="3"/>
  <c r="FS109" i="3"/>
  <c r="FT109" i="3"/>
  <c r="FU109" i="3"/>
  <c r="FV109" i="3"/>
  <c r="FW109" i="3"/>
  <c r="FX109" i="3"/>
  <c r="FY109" i="3"/>
  <c r="FZ109" i="3"/>
  <c r="GA109" i="3"/>
  <c r="GB109" i="3"/>
  <c r="GC109" i="3"/>
  <c r="GD109" i="3"/>
  <c r="GE109" i="3"/>
  <c r="GF109" i="3"/>
  <c r="GG109" i="3"/>
  <c r="GH109" i="3"/>
  <c r="GI109" i="3"/>
  <c r="GJ109" i="3"/>
  <c r="GK109" i="3"/>
  <c r="GL109" i="3"/>
  <c r="GM109" i="3"/>
  <c r="GN109" i="3"/>
  <c r="GO109" i="3"/>
  <c r="GP109" i="3"/>
  <c r="GQ109" i="3"/>
  <c r="GR109" i="3"/>
  <c r="GS109" i="3"/>
  <c r="GT109" i="3"/>
  <c r="GU109" i="3"/>
  <c r="GV109" i="3"/>
  <c r="GW109" i="3"/>
  <c r="GX109" i="3"/>
  <c r="GY109" i="3"/>
  <c r="GZ109" i="3"/>
  <c r="HA109" i="3"/>
  <c r="HB109" i="3"/>
  <c r="HC109" i="3"/>
  <c r="HD109" i="3"/>
  <c r="HE109" i="3"/>
  <c r="HF109" i="3"/>
  <c r="HG109" i="3"/>
  <c r="HH109" i="3"/>
  <c r="HI109" i="3"/>
  <c r="HJ109" i="3"/>
  <c r="HK109" i="3"/>
  <c r="HL109" i="3"/>
  <c r="HM109" i="3"/>
  <c r="HN109" i="3"/>
  <c r="HO109" i="3"/>
  <c r="HP109" i="3"/>
  <c r="HQ109" i="3"/>
  <c r="HR109" i="3"/>
  <c r="HS109" i="3"/>
  <c r="HT109" i="3"/>
  <c r="HU109" i="3"/>
  <c r="HV109" i="3"/>
  <c r="HW109" i="3"/>
  <c r="HX109" i="3"/>
  <c r="HY109" i="3"/>
  <c r="HZ109" i="3"/>
  <c r="IA109" i="3"/>
  <c r="IB109" i="3"/>
  <c r="IC109" i="3"/>
  <c r="ID109" i="3"/>
  <c r="IE109" i="3"/>
  <c r="IF109" i="3"/>
  <c r="IG109" i="3"/>
  <c r="IH109" i="3"/>
  <c r="II109" i="3"/>
  <c r="IJ109" i="3"/>
  <c r="IK109" i="3"/>
  <c r="IL109" i="3"/>
  <c r="IM109" i="3"/>
  <c r="IN109" i="3"/>
  <c r="IO109" i="3"/>
  <c r="IP109" i="3"/>
  <c r="IQ109" i="3"/>
  <c r="IR109" i="3"/>
  <c r="IS109" i="3"/>
  <c r="IT109" i="3"/>
  <c r="IU109" i="3"/>
  <c r="IV109" i="3"/>
  <c r="A108" i="3"/>
  <c r="B108" i="3"/>
  <c r="C108" i="3"/>
  <c r="D108" i="3"/>
  <c r="E108" i="3"/>
  <c r="F108" i="3"/>
  <c r="G108" i="3"/>
  <c r="H108" i="3"/>
  <c r="I108" i="3"/>
  <c r="J108" i="3"/>
  <c r="K108" i="3"/>
  <c r="L108" i="3"/>
  <c r="M108" i="3"/>
  <c r="N108" i="3"/>
  <c r="O108" i="3"/>
  <c r="P108" i="3"/>
  <c r="Q108" i="3"/>
  <c r="R108" i="3"/>
  <c r="S108" i="3"/>
  <c r="T108" i="3"/>
  <c r="U108" i="3"/>
  <c r="V108" i="3"/>
  <c r="W108" i="3"/>
  <c r="X108" i="3"/>
  <c r="Y108" i="3"/>
  <c r="Z108" i="3"/>
  <c r="AA108" i="3"/>
  <c r="AB108" i="3"/>
  <c r="AC108" i="3"/>
  <c r="AD108" i="3"/>
  <c r="AE108" i="3"/>
  <c r="AF108" i="3"/>
  <c r="AG108" i="3"/>
  <c r="AH108" i="3"/>
  <c r="AI108" i="3"/>
  <c r="AJ108" i="3"/>
  <c r="AK108" i="3"/>
  <c r="AL108" i="3"/>
  <c r="AM108" i="3"/>
  <c r="AN108" i="3"/>
  <c r="AO108" i="3"/>
  <c r="AP108" i="3"/>
  <c r="AQ108" i="3"/>
  <c r="AR108" i="3"/>
  <c r="AS108" i="3"/>
  <c r="AT108" i="3"/>
  <c r="AU108" i="3"/>
  <c r="AV108" i="3"/>
  <c r="AW108" i="3"/>
  <c r="AX108" i="3"/>
  <c r="AY108" i="3"/>
  <c r="AZ108" i="3"/>
  <c r="BA108" i="3"/>
  <c r="BB108" i="3"/>
  <c r="BC108" i="3"/>
  <c r="BD108" i="3"/>
  <c r="BE108" i="3"/>
  <c r="BF108" i="3"/>
  <c r="BG108" i="3"/>
  <c r="BH108" i="3"/>
  <c r="BI108" i="3"/>
  <c r="BJ108" i="3"/>
  <c r="BK108" i="3"/>
  <c r="BL108" i="3"/>
  <c r="BM108" i="3"/>
  <c r="BN108" i="3"/>
  <c r="BO108" i="3"/>
  <c r="BP108" i="3"/>
  <c r="BQ108" i="3"/>
  <c r="BR108" i="3"/>
  <c r="BS108" i="3"/>
  <c r="BT108" i="3"/>
  <c r="BU108" i="3"/>
  <c r="BV108" i="3"/>
  <c r="BW108" i="3"/>
  <c r="BX108" i="3"/>
  <c r="BY108" i="3"/>
  <c r="BZ108" i="3"/>
  <c r="CA108" i="3"/>
  <c r="CB108" i="3"/>
  <c r="CC108" i="3"/>
  <c r="CD108" i="3"/>
  <c r="CE108" i="3"/>
  <c r="CF108" i="3"/>
  <c r="CG108" i="3"/>
  <c r="CH108" i="3"/>
  <c r="CI108" i="3"/>
  <c r="CJ108" i="3"/>
  <c r="CK108" i="3"/>
  <c r="CL108" i="3"/>
  <c r="CM108" i="3"/>
  <c r="CN108" i="3"/>
  <c r="CO108" i="3"/>
  <c r="CP108" i="3"/>
  <c r="CQ108" i="3"/>
  <c r="CR108" i="3"/>
  <c r="CS108" i="3"/>
  <c r="CT108" i="3"/>
  <c r="CU108" i="3"/>
  <c r="CV108" i="3"/>
  <c r="CW108" i="3"/>
  <c r="CX108" i="3"/>
  <c r="CY108" i="3"/>
  <c r="CZ108" i="3"/>
  <c r="DA108" i="3"/>
  <c r="DB108" i="3"/>
  <c r="DC108" i="3"/>
  <c r="DD108" i="3"/>
  <c r="DE108" i="3"/>
  <c r="DF108" i="3"/>
  <c r="DG108" i="3"/>
  <c r="DH108" i="3"/>
  <c r="DI108" i="3"/>
  <c r="DJ108" i="3"/>
  <c r="DK108" i="3"/>
  <c r="DL108" i="3"/>
  <c r="DM108" i="3"/>
  <c r="DN108" i="3"/>
  <c r="DO108" i="3"/>
  <c r="DP108" i="3"/>
  <c r="DQ108" i="3"/>
  <c r="DR108" i="3"/>
  <c r="DS108" i="3"/>
  <c r="DT108" i="3"/>
  <c r="DU108" i="3"/>
  <c r="DV108" i="3"/>
  <c r="DW108" i="3"/>
  <c r="DX108" i="3"/>
  <c r="DY108" i="3"/>
  <c r="DZ108" i="3"/>
  <c r="EA108" i="3"/>
  <c r="EB108" i="3"/>
  <c r="EC108" i="3"/>
  <c r="ED108" i="3"/>
  <c r="EE108" i="3"/>
  <c r="EF108" i="3"/>
  <c r="EG108" i="3"/>
  <c r="EH108" i="3"/>
  <c r="EI108" i="3"/>
  <c r="EJ108" i="3"/>
  <c r="EK108" i="3"/>
  <c r="EL108" i="3"/>
  <c r="EM108" i="3"/>
  <c r="EN108" i="3"/>
  <c r="EO108" i="3"/>
  <c r="EP108" i="3"/>
  <c r="EQ108" i="3"/>
  <c r="ER108" i="3"/>
  <c r="ES108" i="3"/>
  <c r="ET108" i="3"/>
  <c r="EU108" i="3"/>
  <c r="EV108" i="3"/>
  <c r="EW108" i="3"/>
  <c r="EX108" i="3"/>
  <c r="EY108" i="3"/>
  <c r="EZ108" i="3"/>
  <c r="FA108" i="3"/>
  <c r="FB108" i="3"/>
  <c r="FC108" i="3"/>
  <c r="FD108" i="3"/>
  <c r="FE108" i="3"/>
  <c r="FF108" i="3"/>
  <c r="FG108" i="3"/>
  <c r="FH108" i="3"/>
  <c r="FI108" i="3"/>
  <c r="FJ108" i="3"/>
  <c r="FK108" i="3"/>
  <c r="FL108" i="3"/>
  <c r="FM108" i="3"/>
  <c r="FN108" i="3"/>
  <c r="FO108" i="3"/>
  <c r="FP108" i="3"/>
  <c r="FQ108" i="3"/>
  <c r="FR108" i="3"/>
  <c r="FS108" i="3"/>
  <c r="FT108" i="3"/>
  <c r="FU108" i="3"/>
  <c r="FV108" i="3"/>
  <c r="FW108" i="3"/>
  <c r="FX108" i="3"/>
  <c r="FY108" i="3"/>
  <c r="FZ108" i="3"/>
  <c r="GA108" i="3"/>
  <c r="GB108" i="3"/>
  <c r="GC108" i="3"/>
  <c r="GD108" i="3"/>
  <c r="GE108" i="3"/>
  <c r="GF108" i="3"/>
  <c r="GG108" i="3"/>
  <c r="GH108" i="3"/>
  <c r="GI108" i="3"/>
  <c r="GJ108" i="3"/>
  <c r="GK108" i="3"/>
  <c r="GL108" i="3"/>
  <c r="GM108" i="3"/>
  <c r="GN108" i="3"/>
  <c r="GO108" i="3"/>
  <c r="GP108" i="3"/>
  <c r="GQ108" i="3"/>
  <c r="GR108" i="3"/>
  <c r="GS108" i="3"/>
  <c r="GT108" i="3"/>
  <c r="GU108" i="3"/>
  <c r="GV108" i="3"/>
  <c r="GW108" i="3"/>
  <c r="GX108" i="3"/>
  <c r="GY108" i="3"/>
  <c r="GZ108" i="3"/>
  <c r="HA108" i="3"/>
  <c r="HB108" i="3"/>
  <c r="HC108" i="3"/>
  <c r="HD108" i="3"/>
  <c r="HE108" i="3"/>
  <c r="HF108" i="3"/>
  <c r="HG108" i="3"/>
  <c r="HH108" i="3"/>
  <c r="HI108" i="3"/>
  <c r="HJ108" i="3"/>
  <c r="HK108" i="3"/>
  <c r="HL108" i="3"/>
  <c r="HM108" i="3"/>
  <c r="HN108" i="3"/>
  <c r="HO108" i="3"/>
  <c r="HP108" i="3"/>
  <c r="HQ108" i="3"/>
  <c r="HR108" i="3"/>
  <c r="HS108" i="3"/>
  <c r="HT108" i="3"/>
  <c r="HU108" i="3"/>
  <c r="HV108" i="3"/>
  <c r="HW108" i="3"/>
  <c r="HX108" i="3"/>
  <c r="HY108" i="3"/>
  <c r="HZ108" i="3"/>
  <c r="IA108" i="3"/>
  <c r="IB108" i="3"/>
  <c r="IC108" i="3"/>
  <c r="ID108" i="3"/>
  <c r="IE108" i="3"/>
  <c r="IF108" i="3"/>
  <c r="IG108" i="3"/>
  <c r="IH108" i="3"/>
  <c r="II108" i="3"/>
  <c r="IJ108" i="3"/>
  <c r="IK108" i="3"/>
  <c r="IL108" i="3"/>
  <c r="IM108" i="3"/>
  <c r="IN108" i="3"/>
  <c r="IO108" i="3"/>
  <c r="IP108" i="3"/>
  <c r="IQ108" i="3"/>
  <c r="IR108" i="3"/>
  <c r="IS108" i="3"/>
  <c r="IT108" i="3"/>
  <c r="IU108" i="3"/>
  <c r="IV108" i="3"/>
  <c r="A107" i="3"/>
  <c r="B107" i="3"/>
  <c r="C107" i="3"/>
  <c r="D107" i="3"/>
  <c r="E107" i="3"/>
  <c r="F107" i="3"/>
  <c r="G107" i="3"/>
  <c r="H107" i="3"/>
  <c r="I107" i="3"/>
  <c r="J107" i="3"/>
  <c r="K107" i="3"/>
  <c r="L107" i="3"/>
  <c r="M107" i="3"/>
  <c r="N107" i="3"/>
  <c r="O107" i="3"/>
  <c r="P107" i="3"/>
  <c r="Q107" i="3"/>
  <c r="R107" i="3"/>
  <c r="S107" i="3"/>
  <c r="T107" i="3"/>
  <c r="U107" i="3"/>
  <c r="V107" i="3"/>
  <c r="W107" i="3"/>
  <c r="X107" i="3"/>
  <c r="Y107" i="3"/>
  <c r="Z107" i="3"/>
  <c r="AA107" i="3"/>
  <c r="AB107" i="3"/>
  <c r="AC107" i="3"/>
  <c r="AD107" i="3"/>
  <c r="AE107" i="3"/>
  <c r="AF107" i="3"/>
  <c r="AG107" i="3"/>
  <c r="AH107" i="3"/>
  <c r="AI107" i="3"/>
  <c r="AJ107" i="3"/>
  <c r="AK107" i="3"/>
  <c r="AL107" i="3"/>
  <c r="AM107" i="3"/>
  <c r="AN107" i="3"/>
  <c r="AO107" i="3"/>
  <c r="AP107" i="3"/>
  <c r="AQ107" i="3"/>
  <c r="AR107" i="3"/>
  <c r="AS107" i="3"/>
  <c r="AT107" i="3"/>
  <c r="AU107" i="3"/>
  <c r="AV107" i="3"/>
  <c r="AW107" i="3"/>
  <c r="AX107" i="3"/>
  <c r="AY107" i="3"/>
  <c r="AZ107" i="3"/>
  <c r="BA107" i="3"/>
  <c r="BB107" i="3"/>
  <c r="BC107" i="3"/>
  <c r="BD107" i="3"/>
  <c r="BE107" i="3"/>
  <c r="BF107" i="3"/>
  <c r="BG107" i="3"/>
  <c r="BH107" i="3"/>
  <c r="BI107" i="3"/>
  <c r="BJ107" i="3"/>
  <c r="BK107" i="3"/>
  <c r="BL107" i="3"/>
  <c r="BM107" i="3"/>
  <c r="BN107" i="3"/>
  <c r="BO107" i="3"/>
  <c r="BP107" i="3"/>
  <c r="BQ107" i="3"/>
  <c r="BR107" i="3"/>
  <c r="BS107" i="3"/>
  <c r="BT107" i="3"/>
  <c r="BU107" i="3"/>
  <c r="BV107" i="3"/>
  <c r="BW107" i="3"/>
  <c r="BX107" i="3"/>
  <c r="BY107" i="3"/>
  <c r="BZ107" i="3"/>
  <c r="CA107" i="3"/>
  <c r="CB107" i="3"/>
  <c r="CC107" i="3"/>
  <c r="CD107" i="3"/>
  <c r="CE107" i="3"/>
  <c r="CF107" i="3"/>
  <c r="CG107" i="3"/>
  <c r="CH107" i="3"/>
  <c r="CI107" i="3"/>
  <c r="CJ107" i="3"/>
  <c r="CK107" i="3"/>
  <c r="CL107" i="3"/>
  <c r="CM107" i="3"/>
  <c r="CN107" i="3"/>
  <c r="CO107" i="3"/>
  <c r="CP107" i="3"/>
  <c r="CQ107" i="3"/>
  <c r="CR107" i="3"/>
  <c r="CS107" i="3"/>
  <c r="CT107" i="3"/>
  <c r="CU107" i="3"/>
  <c r="CV107" i="3"/>
  <c r="CW107" i="3"/>
  <c r="CX107" i="3"/>
  <c r="CY107" i="3"/>
  <c r="CZ107" i="3"/>
  <c r="DA107" i="3"/>
  <c r="DB107" i="3"/>
  <c r="DC107" i="3"/>
  <c r="DD107" i="3"/>
  <c r="DE107" i="3"/>
  <c r="DF107" i="3"/>
  <c r="DG107" i="3"/>
  <c r="DH107" i="3"/>
  <c r="DI107" i="3"/>
  <c r="DJ107" i="3"/>
  <c r="DK107" i="3"/>
  <c r="DL107" i="3"/>
  <c r="DM107" i="3"/>
  <c r="DN107" i="3"/>
  <c r="DO107" i="3"/>
  <c r="DP107" i="3"/>
  <c r="DQ107" i="3"/>
  <c r="DR107" i="3"/>
  <c r="DS107" i="3"/>
  <c r="DT107" i="3"/>
  <c r="DU107" i="3"/>
  <c r="DV107" i="3"/>
  <c r="DW107" i="3"/>
  <c r="DX107" i="3"/>
  <c r="DY107" i="3"/>
  <c r="DZ107" i="3"/>
  <c r="EA107" i="3"/>
  <c r="EB107" i="3"/>
  <c r="EC107" i="3"/>
  <c r="ED107" i="3"/>
  <c r="EE107" i="3"/>
  <c r="EF107" i="3"/>
  <c r="EG107" i="3"/>
  <c r="EH107" i="3"/>
  <c r="EI107" i="3"/>
  <c r="EJ107" i="3"/>
  <c r="EK107" i="3"/>
  <c r="EL107" i="3"/>
  <c r="EM107" i="3"/>
  <c r="EN107" i="3"/>
  <c r="EO107" i="3"/>
  <c r="EP107" i="3"/>
  <c r="EQ107" i="3"/>
  <c r="ER107" i="3"/>
  <c r="ES107" i="3"/>
  <c r="ET107" i="3"/>
  <c r="EU107" i="3"/>
  <c r="EV107" i="3"/>
  <c r="EW107" i="3"/>
  <c r="EX107" i="3"/>
  <c r="EY107" i="3"/>
  <c r="EZ107" i="3"/>
  <c r="FA107" i="3"/>
  <c r="FB107" i="3"/>
  <c r="FC107" i="3"/>
  <c r="FD107" i="3"/>
  <c r="FE107" i="3"/>
  <c r="FF107" i="3"/>
  <c r="FG107" i="3"/>
  <c r="FH107" i="3"/>
  <c r="FI107" i="3"/>
  <c r="FJ107" i="3"/>
  <c r="FK107" i="3"/>
  <c r="FL107" i="3"/>
  <c r="FM107" i="3"/>
  <c r="FN107" i="3"/>
  <c r="FO107" i="3"/>
  <c r="FP107" i="3"/>
  <c r="FQ107" i="3"/>
  <c r="FR107" i="3"/>
  <c r="FS107" i="3"/>
  <c r="FT107" i="3"/>
  <c r="FU107" i="3"/>
  <c r="FV107" i="3"/>
  <c r="FW107" i="3"/>
  <c r="FX107" i="3"/>
  <c r="FY107" i="3"/>
  <c r="FZ107" i="3"/>
  <c r="GA107" i="3"/>
  <c r="GB107" i="3"/>
  <c r="GC107" i="3"/>
  <c r="GD107" i="3"/>
  <c r="GE107" i="3"/>
  <c r="GF107" i="3"/>
  <c r="GG107" i="3"/>
  <c r="GH107" i="3"/>
  <c r="GI107" i="3"/>
  <c r="GJ107" i="3"/>
  <c r="GK107" i="3"/>
  <c r="GL107" i="3"/>
  <c r="GM107" i="3"/>
  <c r="GN107" i="3"/>
  <c r="GO107" i="3"/>
  <c r="GP107" i="3"/>
  <c r="GQ107" i="3"/>
  <c r="GR107" i="3"/>
  <c r="GS107" i="3"/>
  <c r="GT107" i="3"/>
  <c r="GU107" i="3"/>
  <c r="GV107" i="3"/>
  <c r="GW107" i="3"/>
  <c r="GX107" i="3"/>
  <c r="GY107" i="3"/>
  <c r="GZ107" i="3"/>
  <c r="HA107" i="3"/>
  <c r="HB107" i="3"/>
  <c r="HC107" i="3"/>
  <c r="HD107" i="3"/>
  <c r="HE107" i="3"/>
  <c r="HF107" i="3"/>
  <c r="HG107" i="3"/>
  <c r="HH107" i="3"/>
  <c r="HI107" i="3"/>
  <c r="HJ107" i="3"/>
  <c r="HK107" i="3"/>
  <c r="HL107" i="3"/>
  <c r="HM107" i="3"/>
  <c r="HN107" i="3"/>
  <c r="HO107" i="3"/>
  <c r="HP107" i="3"/>
  <c r="HQ107" i="3"/>
  <c r="HR107" i="3"/>
  <c r="HS107" i="3"/>
  <c r="HT107" i="3"/>
  <c r="HU107" i="3"/>
  <c r="HV107" i="3"/>
  <c r="HW107" i="3"/>
  <c r="HX107" i="3"/>
  <c r="HY107" i="3"/>
  <c r="HZ107" i="3"/>
  <c r="IA107" i="3"/>
  <c r="IB107" i="3"/>
  <c r="IC107" i="3"/>
  <c r="ID107" i="3"/>
  <c r="IE107" i="3"/>
  <c r="IF107" i="3"/>
  <c r="IG107" i="3"/>
  <c r="IH107" i="3"/>
  <c r="II107" i="3"/>
  <c r="IJ107" i="3"/>
  <c r="IK107" i="3"/>
  <c r="IL107" i="3"/>
  <c r="IM107" i="3"/>
  <c r="IN107" i="3"/>
  <c r="IO107" i="3"/>
  <c r="IP107" i="3"/>
  <c r="IQ107" i="3"/>
  <c r="IR107" i="3"/>
  <c r="IS107" i="3"/>
  <c r="IT107" i="3"/>
  <c r="IU107" i="3"/>
  <c r="IV107" i="3"/>
  <c r="A106" i="3"/>
  <c r="B106" i="3"/>
  <c r="C106" i="3"/>
  <c r="D106" i="3"/>
  <c r="E106" i="3"/>
  <c r="F106" i="3"/>
  <c r="G106" i="3"/>
  <c r="H106" i="3"/>
  <c r="I106" i="3"/>
  <c r="J106" i="3"/>
  <c r="K106" i="3"/>
  <c r="L106" i="3"/>
  <c r="M106" i="3"/>
  <c r="N106" i="3"/>
  <c r="O106" i="3"/>
  <c r="P106" i="3"/>
  <c r="Q106" i="3"/>
  <c r="R106" i="3"/>
  <c r="S106" i="3"/>
  <c r="T106" i="3"/>
  <c r="U106" i="3"/>
  <c r="V106" i="3"/>
  <c r="W106" i="3"/>
  <c r="X106" i="3"/>
  <c r="Y106" i="3"/>
  <c r="Z106" i="3"/>
  <c r="AA106" i="3"/>
  <c r="AB106" i="3"/>
  <c r="AC106" i="3"/>
  <c r="AD106" i="3"/>
  <c r="AE106" i="3"/>
  <c r="AF106" i="3"/>
  <c r="AG106" i="3"/>
  <c r="AH106" i="3"/>
  <c r="AI106" i="3"/>
  <c r="AJ106" i="3"/>
  <c r="AK106" i="3"/>
  <c r="AL106" i="3"/>
  <c r="AM106" i="3"/>
  <c r="AN106" i="3"/>
  <c r="AO106" i="3"/>
  <c r="AP106" i="3"/>
  <c r="AQ106" i="3"/>
  <c r="AR106" i="3"/>
  <c r="AS106" i="3"/>
  <c r="AT106" i="3"/>
  <c r="AU106" i="3"/>
  <c r="AV106" i="3"/>
  <c r="AW106" i="3"/>
  <c r="AX106" i="3"/>
  <c r="AY106" i="3"/>
  <c r="AZ106" i="3"/>
  <c r="BA106" i="3"/>
  <c r="BB106" i="3"/>
  <c r="BC106" i="3"/>
  <c r="BD106" i="3"/>
  <c r="BE106" i="3"/>
  <c r="BF106" i="3"/>
  <c r="BG106" i="3"/>
  <c r="BH106" i="3"/>
  <c r="BI106" i="3"/>
  <c r="BJ106" i="3"/>
  <c r="BK106" i="3"/>
  <c r="BL106" i="3"/>
  <c r="BM106" i="3"/>
  <c r="BN106" i="3"/>
  <c r="BO106" i="3"/>
  <c r="BP106" i="3"/>
  <c r="BQ106" i="3"/>
  <c r="BR106" i="3"/>
  <c r="BS106" i="3"/>
  <c r="BT106" i="3"/>
  <c r="BU106" i="3"/>
  <c r="BV106" i="3"/>
  <c r="BW106" i="3"/>
  <c r="BX106" i="3"/>
  <c r="BY106" i="3"/>
  <c r="BZ106" i="3"/>
  <c r="CA106" i="3"/>
  <c r="CB106" i="3"/>
  <c r="CC106" i="3"/>
  <c r="CD106" i="3"/>
  <c r="CE106" i="3"/>
  <c r="CF106" i="3"/>
  <c r="CG106" i="3"/>
  <c r="CH106" i="3"/>
  <c r="CI106" i="3"/>
  <c r="CJ106" i="3"/>
  <c r="CK106" i="3"/>
  <c r="CL106" i="3"/>
  <c r="CM106" i="3"/>
  <c r="CN106" i="3"/>
  <c r="CO106" i="3"/>
  <c r="CP106" i="3"/>
  <c r="CQ106" i="3"/>
  <c r="CR106" i="3"/>
  <c r="CS106" i="3"/>
  <c r="CT106" i="3"/>
  <c r="CU106" i="3"/>
  <c r="CV106" i="3"/>
  <c r="CW106" i="3"/>
  <c r="CX106" i="3"/>
  <c r="CY106" i="3"/>
  <c r="CZ106" i="3"/>
  <c r="DA106" i="3"/>
  <c r="DB106" i="3"/>
  <c r="DC106" i="3"/>
  <c r="DD106" i="3"/>
  <c r="DE106" i="3"/>
  <c r="DF106" i="3"/>
  <c r="DG106" i="3"/>
  <c r="DH106" i="3"/>
  <c r="DI106" i="3"/>
  <c r="DJ106" i="3"/>
  <c r="DK106" i="3"/>
  <c r="DL106" i="3"/>
  <c r="DM106" i="3"/>
  <c r="DN106" i="3"/>
  <c r="DO106" i="3"/>
  <c r="DP106" i="3"/>
  <c r="DQ106" i="3"/>
  <c r="DR106" i="3"/>
  <c r="DS106" i="3"/>
  <c r="DT106" i="3"/>
  <c r="DU106" i="3"/>
  <c r="DV106" i="3"/>
  <c r="DW106" i="3"/>
  <c r="DX106" i="3"/>
  <c r="DY106" i="3"/>
  <c r="DZ106" i="3"/>
  <c r="EA106" i="3"/>
  <c r="EB106" i="3"/>
  <c r="EC106" i="3"/>
  <c r="ED106" i="3"/>
  <c r="EE106" i="3"/>
  <c r="EF106" i="3"/>
  <c r="EG106" i="3"/>
  <c r="EH106" i="3"/>
  <c r="EI106" i="3"/>
  <c r="EJ106" i="3"/>
  <c r="EK106" i="3"/>
  <c r="EL106" i="3"/>
  <c r="EM106" i="3"/>
  <c r="EN106" i="3"/>
  <c r="EO106" i="3"/>
  <c r="EP106" i="3"/>
  <c r="EQ106" i="3"/>
  <c r="ER106" i="3"/>
  <c r="ES106" i="3"/>
  <c r="ET106" i="3"/>
  <c r="EU106" i="3"/>
  <c r="EV106" i="3"/>
  <c r="EW106" i="3"/>
  <c r="EX106" i="3"/>
  <c r="EY106" i="3"/>
  <c r="EZ106" i="3"/>
  <c r="FA106" i="3"/>
  <c r="FB106" i="3"/>
  <c r="FC106" i="3"/>
  <c r="FD106" i="3"/>
  <c r="FE106" i="3"/>
  <c r="FF106" i="3"/>
  <c r="FG106" i="3"/>
  <c r="FH106" i="3"/>
  <c r="FI106" i="3"/>
  <c r="FJ106" i="3"/>
  <c r="FK106" i="3"/>
  <c r="FL106" i="3"/>
  <c r="FM106" i="3"/>
  <c r="FN106" i="3"/>
  <c r="FO106" i="3"/>
  <c r="FP106" i="3"/>
  <c r="FQ106" i="3"/>
  <c r="FR106" i="3"/>
  <c r="FS106" i="3"/>
  <c r="FT106" i="3"/>
  <c r="FU106" i="3"/>
  <c r="FV106" i="3"/>
  <c r="FW106" i="3"/>
  <c r="FX106" i="3"/>
  <c r="FY106" i="3"/>
  <c r="FZ106" i="3"/>
  <c r="GA106" i="3"/>
  <c r="GB106" i="3"/>
  <c r="GC106" i="3"/>
  <c r="GD106" i="3"/>
  <c r="GE106" i="3"/>
  <c r="GF106" i="3"/>
  <c r="GG106" i="3"/>
  <c r="GH106" i="3"/>
  <c r="GI106" i="3"/>
  <c r="GJ106" i="3"/>
  <c r="GK106" i="3"/>
  <c r="GL106" i="3"/>
  <c r="GM106" i="3"/>
  <c r="GN106" i="3"/>
  <c r="GO106" i="3"/>
  <c r="GP106" i="3"/>
  <c r="GQ106" i="3"/>
  <c r="GR106" i="3"/>
  <c r="GS106" i="3"/>
  <c r="GT106" i="3"/>
  <c r="GU106" i="3"/>
  <c r="GV106" i="3"/>
  <c r="GW106" i="3"/>
  <c r="GX106" i="3"/>
  <c r="GY106" i="3"/>
  <c r="GZ106" i="3"/>
  <c r="HA106" i="3"/>
  <c r="HB106" i="3"/>
  <c r="HC106" i="3"/>
  <c r="HD106" i="3"/>
  <c r="HE106" i="3"/>
  <c r="HF106" i="3"/>
  <c r="HG106" i="3"/>
  <c r="HH106" i="3"/>
  <c r="HI106" i="3"/>
  <c r="HJ106" i="3"/>
  <c r="HK106" i="3"/>
  <c r="HL106" i="3"/>
  <c r="HM106" i="3"/>
  <c r="HN106" i="3"/>
  <c r="HO106" i="3"/>
  <c r="HP106" i="3"/>
  <c r="HQ106" i="3"/>
  <c r="HR106" i="3"/>
  <c r="HS106" i="3"/>
  <c r="HT106" i="3"/>
  <c r="HU106" i="3"/>
  <c r="HV106" i="3"/>
  <c r="HW106" i="3"/>
  <c r="HX106" i="3"/>
  <c r="HY106" i="3"/>
  <c r="HZ106" i="3"/>
  <c r="IA106" i="3"/>
  <c r="IB106" i="3"/>
  <c r="IC106" i="3"/>
  <c r="ID106" i="3"/>
  <c r="IE106" i="3"/>
  <c r="IF106" i="3"/>
  <c r="IG106" i="3"/>
  <c r="IH106" i="3"/>
  <c r="II106" i="3"/>
  <c r="IJ106" i="3"/>
  <c r="IK106" i="3"/>
  <c r="IL106" i="3"/>
  <c r="IM106" i="3"/>
  <c r="IN106" i="3"/>
  <c r="IO106" i="3"/>
  <c r="IP106" i="3"/>
  <c r="IQ106" i="3"/>
  <c r="IR106" i="3"/>
  <c r="IS106" i="3"/>
  <c r="IT106" i="3"/>
  <c r="IU106" i="3"/>
  <c r="IV106" i="3"/>
  <c r="A105" i="3"/>
  <c r="B105" i="3"/>
  <c r="C105" i="3"/>
  <c r="D105" i="3"/>
  <c r="E105" i="3"/>
  <c r="F105" i="3"/>
  <c r="G105" i="3"/>
  <c r="H105" i="3"/>
  <c r="I105" i="3"/>
  <c r="J105" i="3"/>
  <c r="K105" i="3"/>
  <c r="L105" i="3"/>
  <c r="M105" i="3"/>
  <c r="N105" i="3"/>
  <c r="O105" i="3"/>
  <c r="P105" i="3"/>
  <c r="Q105" i="3"/>
  <c r="R105" i="3"/>
  <c r="S105" i="3"/>
  <c r="T105" i="3"/>
  <c r="U105" i="3"/>
  <c r="V105" i="3"/>
  <c r="W105" i="3"/>
  <c r="X105" i="3"/>
  <c r="Y105" i="3"/>
  <c r="Z105" i="3"/>
  <c r="AA105" i="3"/>
  <c r="AB105" i="3"/>
  <c r="AC105" i="3"/>
  <c r="AD105" i="3"/>
  <c r="AE105" i="3"/>
  <c r="AF105" i="3"/>
  <c r="AG105" i="3"/>
  <c r="AH105" i="3"/>
  <c r="AI105" i="3"/>
  <c r="AJ105" i="3"/>
  <c r="AK105" i="3"/>
  <c r="AL105" i="3"/>
  <c r="AM105" i="3"/>
  <c r="AN105" i="3"/>
  <c r="AO105" i="3"/>
  <c r="AP105" i="3"/>
  <c r="AQ105" i="3"/>
  <c r="AR105" i="3"/>
  <c r="AS105" i="3"/>
  <c r="AT105" i="3"/>
  <c r="AU105" i="3"/>
  <c r="AV105" i="3"/>
  <c r="AW105" i="3"/>
  <c r="AX105" i="3"/>
  <c r="AY105" i="3"/>
  <c r="AZ105" i="3"/>
  <c r="BA105" i="3"/>
  <c r="BB105" i="3"/>
  <c r="BC105" i="3"/>
  <c r="BD105" i="3"/>
  <c r="BE105" i="3"/>
  <c r="BF105" i="3"/>
  <c r="BG105" i="3"/>
  <c r="BH105" i="3"/>
  <c r="BI105" i="3"/>
  <c r="BJ105" i="3"/>
  <c r="BK105" i="3"/>
  <c r="BL105" i="3"/>
  <c r="BM105" i="3"/>
  <c r="BN105" i="3"/>
  <c r="BO105" i="3"/>
  <c r="BP105" i="3"/>
  <c r="BQ105" i="3"/>
  <c r="BR105" i="3"/>
  <c r="BS105" i="3"/>
  <c r="BT105" i="3"/>
  <c r="BU105" i="3"/>
  <c r="BV105" i="3"/>
  <c r="BW105" i="3"/>
  <c r="BX105" i="3"/>
  <c r="BY105" i="3"/>
  <c r="BZ105" i="3"/>
  <c r="CA105" i="3"/>
  <c r="CB105" i="3"/>
  <c r="CC105" i="3"/>
  <c r="CD105" i="3"/>
  <c r="CE105" i="3"/>
  <c r="CF105" i="3"/>
  <c r="CG105" i="3"/>
  <c r="CH105" i="3"/>
  <c r="CI105" i="3"/>
  <c r="CJ105" i="3"/>
  <c r="CK105" i="3"/>
  <c r="CL105" i="3"/>
  <c r="CM105" i="3"/>
  <c r="CN105" i="3"/>
  <c r="CO105" i="3"/>
  <c r="CP105" i="3"/>
  <c r="CQ105" i="3"/>
  <c r="CR105" i="3"/>
  <c r="CS105" i="3"/>
  <c r="CT105" i="3"/>
  <c r="CU105" i="3"/>
  <c r="CV105" i="3"/>
  <c r="CW105" i="3"/>
  <c r="CX105" i="3"/>
  <c r="CY105" i="3"/>
  <c r="CZ105" i="3"/>
  <c r="DA105" i="3"/>
  <c r="DB105" i="3"/>
  <c r="DC105" i="3"/>
  <c r="DD105" i="3"/>
  <c r="DE105" i="3"/>
  <c r="DF105" i="3"/>
  <c r="DG105" i="3"/>
  <c r="DH105" i="3"/>
  <c r="DI105" i="3"/>
  <c r="DJ105" i="3"/>
  <c r="DK105" i="3"/>
  <c r="DL105" i="3"/>
  <c r="DM105" i="3"/>
  <c r="DN105" i="3"/>
  <c r="DO105" i="3"/>
  <c r="DP105" i="3"/>
  <c r="DQ105" i="3"/>
  <c r="DR105" i="3"/>
  <c r="DS105" i="3"/>
  <c r="DT105" i="3"/>
  <c r="DU105" i="3"/>
  <c r="DV105" i="3"/>
  <c r="DW105" i="3"/>
  <c r="DX105" i="3"/>
  <c r="DY105" i="3"/>
  <c r="DZ105" i="3"/>
  <c r="EA105" i="3"/>
  <c r="EB105" i="3"/>
  <c r="EC105" i="3"/>
  <c r="ED105" i="3"/>
  <c r="EE105" i="3"/>
  <c r="EF105" i="3"/>
  <c r="EG105" i="3"/>
  <c r="EH105" i="3"/>
  <c r="EI105" i="3"/>
  <c r="EJ105" i="3"/>
  <c r="EK105" i="3"/>
  <c r="EL105" i="3"/>
  <c r="EM105" i="3"/>
  <c r="EN105" i="3"/>
  <c r="EO105" i="3"/>
  <c r="EP105" i="3"/>
  <c r="EQ105" i="3"/>
  <c r="ER105" i="3"/>
  <c r="ES105" i="3"/>
  <c r="ET105" i="3"/>
  <c r="EU105" i="3"/>
  <c r="EV105" i="3"/>
  <c r="EW105" i="3"/>
  <c r="EX105" i="3"/>
  <c r="EY105" i="3"/>
  <c r="EZ105" i="3"/>
  <c r="FA105" i="3"/>
  <c r="FB105" i="3"/>
  <c r="FC105" i="3"/>
  <c r="FD105" i="3"/>
  <c r="FE105" i="3"/>
  <c r="FF105" i="3"/>
  <c r="FG105" i="3"/>
  <c r="FH105" i="3"/>
  <c r="FI105" i="3"/>
  <c r="FJ105" i="3"/>
  <c r="FK105" i="3"/>
  <c r="FL105" i="3"/>
  <c r="FM105" i="3"/>
  <c r="FN105" i="3"/>
  <c r="FO105" i="3"/>
  <c r="FP105" i="3"/>
  <c r="FQ105" i="3"/>
  <c r="FR105" i="3"/>
  <c r="FS105" i="3"/>
  <c r="FT105" i="3"/>
  <c r="FU105" i="3"/>
  <c r="FV105" i="3"/>
  <c r="FW105" i="3"/>
  <c r="FX105" i="3"/>
  <c r="FY105" i="3"/>
  <c r="FZ105" i="3"/>
  <c r="GA105" i="3"/>
  <c r="GB105" i="3"/>
  <c r="GC105" i="3"/>
  <c r="GD105" i="3"/>
  <c r="GE105" i="3"/>
  <c r="GF105" i="3"/>
  <c r="GG105" i="3"/>
  <c r="GH105" i="3"/>
  <c r="GI105" i="3"/>
  <c r="GJ105" i="3"/>
  <c r="GK105" i="3"/>
  <c r="GL105" i="3"/>
  <c r="GM105" i="3"/>
  <c r="GN105" i="3"/>
  <c r="GO105" i="3"/>
  <c r="GP105" i="3"/>
  <c r="GQ105" i="3"/>
  <c r="GR105" i="3"/>
  <c r="GS105" i="3"/>
  <c r="GT105" i="3"/>
  <c r="GU105" i="3"/>
  <c r="GV105" i="3"/>
  <c r="GW105" i="3"/>
  <c r="GX105" i="3"/>
  <c r="GY105" i="3"/>
  <c r="GZ105" i="3"/>
  <c r="HA105" i="3"/>
  <c r="HB105" i="3"/>
  <c r="HC105" i="3"/>
  <c r="HD105" i="3"/>
  <c r="HE105" i="3"/>
  <c r="HF105" i="3"/>
  <c r="HG105" i="3"/>
  <c r="HH105" i="3"/>
  <c r="HI105" i="3"/>
  <c r="HJ105" i="3"/>
  <c r="HK105" i="3"/>
  <c r="HL105" i="3"/>
  <c r="HM105" i="3"/>
  <c r="HN105" i="3"/>
  <c r="HO105" i="3"/>
  <c r="HP105" i="3"/>
  <c r="HQ105" i="3"/>
  <c r="HR105" i="3"/>
  <c r="HS105" i="3"/>
  <c r="HT105" i="3"/>
  <c r="HU105" i="3"/>
  <c r="HV105" i="3"/>
  <c r="HW105" i="3"/>
  <c r="HX105" i="3"/>
  <c r="HY105" i="3"/>
  <c r="HZ105" i="3"/>
  <c r="IA105" i="3"/>
  <c r="IB105" i="3"/>
  <c r="IC105" i="3"/>
  <c r="ID105" i="3"/>
  <c r="IE105" i="3"/>
  <c r="IF105" i="3"/>
  <c r="IG105" i="3"/>
  <c r="IH105" i="3"/>
  <c r="II105" i="3"/>
  <c r="IJ105" i="3"/>
  <c r="IK105" i="3"/>
  <c r="IL105" i="3"/>
  <c r="IM105" i="3"/>
  <c r="IN105" i="3"/>
  <c r="IO105" i="3"/>
  <c r="IP105" i="3"/>
  <c r="IQ105" i="3"/>
  <c r="IR105" i="3"/>
  <c r="IS105" i="3"/>
  <c r="IT105" i="3"/>
  <c r="IU105" i="3"/>
  <c r="IV105" i="3"/>
  <c r="A104" i="3"/>
  <c r="B104" i="3"/>
  <c r="C104" i="3"/>
  <c r="D104" i="3"/>
  <c r="E104" i="3"/>
  <c r="F104" i="3"/>
  <c r="G104" i="3"/>
  <c r="H104" i="3"/>
  <c r="I104" i="3"/>
  <c r="J104" i="3"/>
  <c r="K104" i="3"/>
  <c r="L104" i="3"/>
  <c r="M104" i="3"/>
  <c r="N104" i="3"/>
  <c r="O104" i="3"/>
  <c r="P104" i="3"/>
  <c r="Q104" i="3"/>
  <c r="R104" i="3"/>
  <c r="S104" i="3"/>
  <c r="T104" i="3"/>
  <c r="U104" i="3"/>
  <c r="V104" i="3"/>
  <c r="W104" i="3"/>
  <c r="X104" i="3"/>
  <c r="Y104" i="3"/>
  <c r="Z104" i="3"/>
  <c r="AA104" i="3"/>
  <c r="AB104" i="3"/>
  <c r="AC104" i="3"/>
  <c r="AD104" i="3"/>
  <c r="AE104" i="3"/>
  <c r="AF104" i="3"/>
  <c r="AG104" i="3"/>
  <c r="AH104" i="3"/>
  <c r="AI104" i="3"/>
  <c r="AJ104" i="3"/>
  <c r="AK104" i="3"/>
  <c r="AL104" i="3"/>
  <c r="AM104" i="3"/>
  <c r="AN104" i="3"/>
  <c r="AO104" i="3"/>
  <c r="AP104" i="3"/>
  <c r="AQ104" i="3"/>
  <c r="AR104" i="3"/>
  <c r="AS104" i="3"/>
  <c r="AT104" i="3"/>
  <c r="AU104" i="3"/>
  <c r="AV104" i="3"/>
  <c r="AW104" i="3"/>
  <c r="AX104" i="3"/>
  <c r="AY104" i="3"/>
  <c r="AZ104" i="3"/>
  <c r="BA104" i="3"/>
  <c r="BB104" i="3"/>
  <c r="BC104" i="3"/>
  <c r="BD104" i="3"/>
  <c r="BE104" i="3"/>
  <c r="BF104" i="3"/>
  <c r="BG104" i="3"/>
  <c r="BH104" i="3"/>
  <c r="BI104" i="3"/>
  <c r="BJ104" i="3"/>
  <c r="BK104" i="3"/>
  <c r="BL104" i="3"/>
  <c r="BM104" i="3"/>
  <c r="BN104" i="3"/>
  <c r="BO104" i="3"/>
  <c r="BP104" i="3"/>
  <c r="BQ104" i="3"/>
  <c r="BR104" i="3"/>
  <c r="BS104" i="3"/>
  <c r="BT104" i="3"/>
  <c r="BU104" i="3"/>
  <c r="BV104" i="3"/>
  <c r="BW104" i="3"/>
  <c r="BX104" i="3"/>
  <c r="BY104" i="3"/>
  <c r="BZ104" i="3"/>
  <c r="CA104" i="3"/>
  <c r="CB104" i="3"/>
  <c r="CC104" i="3"/>
  <c r="CD104" i="3"/>
  <c r="CE104" i="3"/>
  <c r="CF104" i="3"/>
  <c r="CG104" i="3"/>
  <c r="CH104" i="3"/>
  <c r="CI104" i="3"/>
  <c r="CJ104" i="3"/>
  <c r="CK104" i="3"/>
  <c r="CL104" i="3"/>
  <c r="CM104" i="3"/>
  <c r="CN104" i="3"/>
  <c r="CO104" i="3"/>
  <c r="CP104" i="3"/>
  <c r="CQ104" i="3"/>
  <c r="CR104" i="3"/>
  <c r="CS104" i="3"/>
  <c r="CT104" i="3"/>
  <c r="CU104" i="3"/>
  <c r="CV104" i="3"/>
  <c r="CW104" i="3"/>
  <c r="CX104" i="3"/>
  <c r="CY104" i="3"/>
  <c r="CZ104" i="3"/>
  <c r="DA104" i="3"/>
  <c r="DB104" i="3"/>
  <c r="DC104" i="3"/>
  <c r="DD104" i="3"/>
  <c r="DE104" i="3"/>
  <c r="DF104" i="3"/>
  <c r="DG104" i="3"/>
  <c r="DH104" i="3"/>
  <c r="DI104" i="3"/>
  <c r="DJ104" i="3"/>
  <c r="DK104" i="3"/>
  <c r="DL104" i="3"/>
  <c r="DM104" i="3"/>
  <c r="DN104" i="3"/>
  <c r="DO104" i="3"/>
  <c r="DP104" i="3"/>
  <c r="DQ104" i="3"/>
  <c r="DR104" i="3"/>
  <c r="DS104" i="3"/>
  <c r="DT104" i="3"/>
  <c r="DU104" i="3"/>
  <c r="DV104" i="3"/>
  <c r="DW104" i="3"/>
  <c r="DX104" i="3"/>
  <c r="DY104" i="3"/>
  <c r="DZ104" i="3"/>
  <c r="EA104" i="3"/>
  <c r="EB104" i="3"/>
  <c r="EC104" i="3"/>
  <c r="ED104" i="3"/>
  <c r="EE104" i="3"/>
  <c r="EF104" i="3"/>
  <c r="EG104" i="3"/>
  <c r="EH104" i="3"/>
  <c r="EI104" i="3"/>
  <c r="EJ104" i="3"/>
  <c r="EK104" i="3"/>
  <c r="EL104" i="3"/>
  <c r="EM104" i="3"/>
  <c r="EN104" i="3"/>
  <c r="EO104" i="3"/>
  <c r="EP104" i="3"/>
  <c r="EQ104" i="3"/>
  <c r="ER104" i="3"/>
  <c r="ES104" i="3"/>
  <c r="ET104" i="3"/>
  <c r="EU104" i="3"/>
  <c r="EV104" i="3"/>
  <c r="EW104" i="3"/>
  <c r="EX104" i="3"/>
  <c r="EY104" i="3"/>
  <c r="EZ104" i="3"/>
  <c r="FA104" i="3"/>
  <c r="FB104" i="3"/>
  <c r="FC104" i="3"/>
  <c r="FD104" i="3"/>
  <c r="FE104" i="3"/>
  <c r="FF104" i="3"/>
  <c r="FG104" i="3"/>
  <c r="FH104" i="3"/>
  <c r="FI104" i="3"/>
  <c r="FJ104" i="3"/>
  <c r="FK104" i="3"/>
  <c r="FL104" i="3"/>
  <c r="FM104" i="3"/>
  <c r="FN104" i="3"/>
  <c r="FO104" i="3"/>
  <c r="FP104" i="3"/>
  <c r="FQ104" i="3"/>
  <c r="FR104" i="3"/>
  <c r="FS104" i="3"/>
  <c r="FT104" i="3"/>
  <c r="FU104" i="3"/>
  <c r="FV104" i="3"/>
  <c r="FW104" i="3"/>
  <c r="FX104" i="3"/>
  <c r="FY104" i="3"/>
  <c r="FZ104" i="3"/>
  <c r="GA104" i="3"/>
  <c r="GB104" i="3"/>
  <c r="GC104" i="3"/>
  <c r="GD104" i="3"/>
  <c r="GE104" i="3"/>
  <c r="GF104" i="3"/>
  <c r="GG104" i="3"/>
  <c r="GH104" i="3"/>
  <c r="GI104" i="3"/>
  <c r="GJ104" i="3"/>
  <c r="GK104" i="3"/>
  <c r="GL104" i="3"/>
  <c r="GM104" i="3"/>
  <c r="GN104" i="3"/>
  <c r="GO104" i="3"/>
  <c r="GP104" i="3"/>
  <c r="GQ104" i="3"/>
  <c r="GR104" i="3"/>
  <c r="GS104" i="3"/>
  <c r="GT104" i="3"/>
  <c r="GU104" i="3"/>
  <c r="GV104" i="3"/>
  <c r="GW104" i="3"/>
  <c r="GX104" i="3"/>
  <c r="GY104" i="3"/>
  <c r="GZ104" i="3"/>
  <c r="HA104" i="3"/>
  <c r="HB104" i="3"/>
  <c r="HC104" i="3"/>
  <c r="HD104" i="3"/>
  <c r="HE104" i="3"/>
  <c r="HF104" i="3"/>
  <c r="HG104" i="3"/>
  <c r="HH104" i="3"/>
  <c r="HI104" i="3"/>
  <c r="HJ104" i="3"/>
  <c r="HK104" i="3"/>
  <c r="HL104" i="3"/>
  <c r="HM104" i="3"/>
  <c r="HN104" i="3"/>
  <c r="HO104" i="3"/>
  <c r="HP104" i="3"/>
  <c r="HQ104" i="3"/>
  <c r="HR104" i="3"/>
  <c r="HS104" i="3"/>
  <c r="HT104" i="3"/>
  <c r="HU104" i="3"/>
  <c r="HV104" i="3"/>
  <c r="HW104" i="3"/>
  <c r="HX104" i="3"/>
  <c r="HY104" i="3"/>
  <c r="HZ104" i="3"/>
  <c r="IA104" i="3"/>
  <c r="IB104" i="3"/>
  <c r="IC104" i="3"/>
  <c r="ID104" i="3"/>
  <c r="IE104" i="3"/>
  <c r="IF104" i="3"/>
  <c r="IG104" i="3"/>
  <c r="IH104" i="3"/>
  <c r="II104" i="3"/>
  <c r="IJ104" i="3"/>
  <c r="IK104" i="3"/>
  <c r="IL104" i="3"/>
  <c r="IM104" i="3"/>
  <c r="IN104" i="3"/>
  <c r="IO104" i="3"/>
  <c r="IP104" i="3"/>
  <c r="IQ104" i="3"/>
  <c r="IR104" i="3"/>
  <c r="IS104" i="3"/>
  <c r="IT104" i="3"/>
  <c r="IU104" i="3"/>
  <c r="IV104" i="3"/>
  <c r="A103" i="3"/>
  <c r="B103" i="3"/>
  <c r="C103" i="3"/>
  <c r="D103" i="3"/>
  <c r="E103" i="3"/>
  <c r="F103" i="3"/>
  <c r="G103" i="3"/>
  <c r="H103" i="3"/>
  <c r="I103" i="3"/>
  <c r="J103" i="3"/>
  <c r="K103" i="3"/>
  <c r="L103" i="3"/>
  <c r="M103" i="3"/>
  <c r="N103" i="3"/>
  <c r="O103" i="3"/>
  <c r="P103" i="3"/>
  <c r="Q103" i="3"/>
  <c r="R103" i="3"/>
  <c r="S103" i="3"/>
  <c r="T103" i="3"/>
  <c r="U103" i="3"/>
  <c r="V103" i="3"/>
  <c r="W103" i="3"/>
  <c r="X103" i="3"/>
  <c r="Y103" i="3"/>
  <c r="Z103" i="3"/>
  <c r="AA103" i="3"/>
  <c r="AB103" i="3"/>
  <c r="AC103" i="3"/>
  <c r="AD103" i="3"/>
  <c r="AE103" i="3"/>
  <c r="AF103" i="3"/>
  <c r="AG103" i="3"/>
  <c r="AH103" i="3"/>
  <c r="AI103" i="3"/>
  <c r="AJ103" i="3"/>
  <c r="AK103" i="3"/>
  <c r="AL103" i="3"/>
  <c r="AM103" i="3"/>
  <c r="AN103" i="3"/>
  <c r="AO103" i="3"/>
  <c r="AP103" i="3"/>
  <c r="AQ103" i="3"/>
  <c r="AR103" i="3"/>
  <c r="AS103" i="3"/>
  <c r="AT103" i="3"/>
  <c r="AU103" i="3"/>
  <c r="AV103" i="3"/>
  <c r="AW103" i="3"/>
  <c r="AX103" i="3"/>
  <c r="AY103" i="3"/>
  <c r="AZ103" i="3"/>
  <c r="BA103" i="3"/>
  <c r="BB103" i="3"/>
  <c r="BC103" i="3"/>
  <c r="BD103" i="3"/>
  <c r="BE103" i="3"/>
  <c r="BF103" i="3"/>
  <c r="BG103" i="3"/>
  <c r="BH103" i="3"/>
  <c r="BI103" i="3"/>
  <c r="BJ103" i="3"/>
  <c r="BK103" i="3"/>
  <c r="BL103" i="3"/>
  <c r="BM103" i="3"/>
  <c r="BN103" i="3"/>
  <c r="BO103" i="3"/>
  <c r="BP103" i="3"/>
  <c r="BQ103" i="3"/>
  <c r="BR103" i="3"/>
  <c r="BS103" i="3"/>
  <c r="BT103" i="3"/>
  <c r="BU103" i="3"/>
  <c r="BV103" i="3"/>
  <c r="BW103" i="3"/>
  <c r="BX103" i="3"/>
  <c r="BY103" i="3"/>
  <c r="BZ103" i="3"/>
  <c r="CA103" i="3"/>
  <c r="CB103" i="3"/>
  <c r="CC103" i="3"/>
  <c r="CD103" i="3"/>
  <c r="CE103" i="3"/>
  <c r="CF103" i="3"/>
  <c r="CG103" i="3"/>
  <c r="CH103" i="3"/>
  <c r="CI103" i="3"/>
  <c r="CJ103" i="3"/>
  <c r="CK103" i="3"/>
  <c r="CL103" i="3"/>
  <c r="CM103" i="3"/>
  <c r="CN103" i="3"/>
  <c r="CO103" i="3"/>
  <c r="CP103" i="3"/>
  <c r="CQ103" i="3"/>
  <c r="CR103" i="3"/>
  <c r="CS103" i="3"/>
  <c r="CT103" i="3"/>
  <c r="CU103" i="3"/>
  <c r="CV103" i="3"/>
  <c r="CW103" i="3"/>
  <c r="CX103" i="3"/>
  <c r="CY103" i="3"/>
  <c r="CZ103" i="3"/>
  <c r="DA103" i="3"/>
  <c r="DB103" i="3"/>
  <c r="DC103" i="3"/>
  <c r="DD103" i="3"/>
  <c r="DE103" i="3"/>
  <c r="DF103" i="3"/>
  <c r="DG103" i="3"/>
  <c r="DH103" i="3"/>
  <c r="DI103" i="3"/>
  <c r="DJ103" i="3"/>
  <c r="DK103" i="3"/>
  <c r="DL103" i="3"/>
  <c r="DM103" i="3"/>
  <c r="DN103" i="3"/>
  <c r="DO103" i="3"/>
  <c r="DP103" i="3"/>
  <c r="DQ103" i="3"/>
  <c r="DR103" i="3"/>
  <c r="DS103" i="3"/>
  <c r="DT103" i="3"/>
  <c r="DU103" i="3"/>
  <c r="DV103" i="3"/>
  <c r="DW103" i="3"/>
  <c r="DX103" i="3"/>
  <c r="DY103" i="3"/>
  <c r="DZ103" i="3"/>
  <c r="EA103" i="3"/>
  <c r="EB103" i="3"/>
  <c r="EC103" i="3"/>
  <c r="ED103" i="3"/>
  <c r="EE103" i="3"/>
  <c r="EF103" i="3"/>
  <c r="EG103" i="3"/>
  <c r="EH103" i="3"/>
  <c r="EI103" i="3"/>
  <c r="EJ103" i="3"/>
  <c r="EK103" i="3"/>
  <c r="EL103" i="3"/>
  <c r="EM103" i="3"/>
  <c r="EN103" i="3"/>
  <c r="EO103" i="3"/>
  <c r="EP103" i="3"/>
  <c r="EQ103" i="3"/>
  <c r="ER103" i="3"/>
  <c r="ES103" i="3"/>
  <c r="ET103" i="3"/>
  <c r="EU103" i="3"/>
  <c r="EV103" i="3"/>
  <c r="EW103" i="3"/>
  <c r="EX103" i="3"/>
  <c r="EY103" i="3"/>
  <c r="EZ103" i="3"/>
  <c r="FA103" i="3"/>
  <c r="FB103" i="3"/>
  <c r="FC103" i="3"/>
  <c r="FD103" i="3"/>
  <c r="FE103" i="3"/>
  <c r="FF103" i="3"/>
  <c r="FG103" i="3"/>
  <c r="FH103" i="3"/>
  <c r="FI103" i="3"/>
  <c r="FJ103" i="3"/>
  <c r="FK103" i="3"/>
  <c r="FL103" i="3"/>
  <c r="FM103" i="3"/>
  <c r="FN103" i="3"/>
  <c r="FO103" i="3"/>
  <c r="FP103" i="3"/>
  <c r="FQ103" i="3"/>
  <c r="FR103" i="3"/>
  <c r="FS103" i="3"/>
  <c r="FT103" i="3"/>
  <c r="FU103" i="3"/>
  <c r="FV103" i="3"/>
  <c r="FW103" i="3"/>
  <c r="FX103" i="3"/>
  <c r="FY103" i="3"/>
  <c r="FZ103" i="3"/>
  <c r="GA103" i="3"/>
  <c r="GB103" i="3"/>
  <c r="GC103" i="3"/>
  <c r="GD103" i="3"/>
  <c r="GE103" i="3"/>
  <c r="GF103" i="3"/>
  <c r="GG103" i="3"/>
  <c r="GH103" i="3"/>
  <c r="GI103" i="3"/>
  <c r="GJ103" i="3"/>
  <c r="GK103" i="3"/>
  <c r="GL103" i="3"/>
  <c r="GM103" i="3"/>
  <c r="GN103" i="3"/>
  <c r="GO103" i="3"/>
  <c r="GP103" i="3"/>
  <c r="GQ103" i="3"/>
  <c r="GR103" i="3"/>
  <c r="GS103" i="3"/>
  <c r="GT103" i="3"/>
  <c r="GU103" i="3"/>
  <c r="GV103" i="3"/>
  <c r="GW103" i="3"/>
  <c r="GX103" i="3"/>
  <c r="GY103" i="3"/>
  <c r="GZ103" i="3"/>
  <c r="HA103" i="3"/>
  <c r="HB103" i="3"/>
  <c r="HC103" i="3"/>
  <c r="HD103" i="3"/>
  <c r="HE103" i="3"/>
  <c r="HF103" i="3"/>
  <c r="HG103" i="3"/>
  <c r="HH103" i="3"/>
  <c r="HI103" i="3"/>
  <c r="HJ103" i="3"/>
  <c r="HK103" i="3"/>
  <c r="HL103" i="3"/>
  <c r="HM103" i="3"/>
  <c r="HN103" i="3"/>
  <c r="HO103" i="3"/>
  <c r="HP103" i="3"/>
  <c r="HQ103" i="3"/>
  <c r="HR103" i="3"/>
  <c r="HS103" i="3"/>
  <c r="HT103" i="3"/>
  <c r="HU103" i="3"/>
  <c r="HV103" i="3"/>
  <c r="HW103" i="3"/>
  <c r="HX103" i="3"/>
  <c r="HY103" i="3"/>
  <c r="HZ103" i="3"/>
  <c r="IA103" i="3"/>
  <c r="IB103" i="3"/>
  <c r="IC103" i="3"/>
  <c r="ID103" i="3"/>
  <c r="IE103" i="3"/>
  <c r="IF103" i="3"/>
  <c r="IG103" i="3"/>
  <c r="IH103" i="3"/>
  <c r="II103" i="3"/>
  <c r="IJ103" i="3"/>
  <c r="IK103" i="3"/>
  <c r="IL103" i="3"/>
  <c r="IM103" i="3"/>
  <c r="IN103" i="3"/>
  <c r="IO103" i="3"/>
  <c r="IP103" i="3"/>
  <c r="IQ103" i="3"/>
  <c r="IR103" i="3"/>
  <c r="IS103" i="3"/>
  <c r="IT103" i="3"/>
  <c r="IU103" i="3"/>
  <c r="IV103" i="3"/>
  <c r="A102" i="3"/>
  <c r="B102" i="3"/>
  <c r="C102" i="3"/>
  <c r="D102" i="3"/>
  <c r="E102" i="3"/>
  <c r="F102" i="3"/>
  <c r="G102" i="3"/>
  <c r="H102" i="3"/>
  <c r="I102" i="3"/>
  <c r="J102" i="3"/>
  <c r="K102" i="3"/>
  <c r="L102" i="3"/>
  <c r="M102" i="3"/>
  <c r="N102" i="3"/>
  <c r="O102" i="3"/>
  <c r="P102" i="3"/>
  <c r="Q102" i="3"/>
  <c r="R102" i="3"/>
  <c r="S102" i="3"/>
  <c r="T102" i="3"/>
  <c r="U102" i="3"/>
  <c r="V102" i="3"/>
  <c r="W102" i="3"/>
  <c r="X102" i="3"/>
  <c r="Y102" i="3"/>
  <c r="Z102" i="3"/>
  <c r="AA102" i="3"/>
  <c r="AB102" i="3"/>
  <c r="AC102" i="3"/>
  <c r="AD102" i="3"/>
  <c r="AE102" i="3"/>
  <c r="AF102" i="3"/>
  <c r="AG102" i="3"/>
  <c r="AH102" i="3"/>
  <c r="AI102" i="3"/>
  <c r="AJ102" i="3"/>
  <c r="AK102" i="3"/>
  <c r="AL102" i="3"/>
  <c r="AM102" i="3"/>
  <c r="AN102" i="3"/>
  <c r="AO102" i="3"/>
  <c r="AP102" i="3"/>
  <c r="AQ102" i="3"/>
  <c r="AR102" i="3"/>
  <c r="AS102" i="3"/>
  <c r="AT102" i="3"/>
  <c r="AU102" i="3"/>
  <c r="AV102" i="3"/>
  <c r="AW102" i="3"/>
  <c r="AX102" i="3"/>
  <c r="AY102" i="3"/>
  <c r="AZ102" i="3"/>
  <c r="BA102" i="3"/>
  <c r="BB102" i="3"/>
  <c r="BC102" i="3"/>
  <c r="BD102" i="3"/>
  <c r="BE102" i="3"/>
  <c r="BF102" i="3"/>
  <c r="BG102" i="3"/>
  <c r="BH102" i="3"/>
  <c r="BI102" i="3"/>
  <c r="BJ102" i="3"/>
  <c r="BK102" i="3"/>
  <c r="BL102" i="3"/>
  <c r="BM102" i="3"/>
  <c r="BN102" i="3"/>
  <c r="BO102" i="3"/>
  <c r="BP102" i="3"/>
  <c r="BQ102" i="3"/>
  <c r="BR102" i="3"/>
  <c r="BS102" i="3"/>
  <c r="BT102" i="3"/>
  <c r="BU102" i="3"/>
  <c r="BV102" i="3"/>
  <c r="BW102" i="3"/>
  <c r="BX102" i="3"/>
  <c r="BY102" i="3"/>
  <c r="BZ102" i="3"/>
  <c r="CA102" i="3"/>
  <c r="CB102" i="3"/>
  <c r="CC102" i="3"/>
  <c r="CD102" i="3"/>
  <c r="CE102" i="3"/>
  <c r="CF102" i="3"/>
  <c r="CG102" i="3"/>
  <c r="CH102" i="3"/>
  <c r="CI102" i="3"/>
  <c r="CJ102" i="3"/>
  <c r="CK102" i="3"/>
  <c r="CL102" i="3"/>
  <c r="CM102" i="3"/>
  <c r="CN102" i="3"/>
  <c r="CO102" i="3"/>
  <c r="CP102" i="3"/>
  <c r="CQ102" i="3"/>
  <c r="CR102" i="3"/>
  <c r="CS102" i="3"/>
  <c r="CT102" i="3"/>
  <c r="CU102" i="3"/>
  <c r="CV102" i="3"/>
  <c r="CW102" i="3"/>
  <c r="CX102" i="3"/>
  <c r="CY102" i="3"/>
  <c r="CZ102" i="3"/>
  <c r="DA102" i="3"/>
  <c r="DB102" i="3"/>
  <c r="DC102" i="3"/>
  <c r="DD102" i="3"/>
  <c r="DE102" i="3"/>
  <c r="DF102" i="3"/>
  <c r="DG102" i="3"/>
  <c r="DH102" i="3"/>
  <c r="DI102" i="3"/>
  <c r="DJ102" i="3"/>
  <c r="DK102" i="3"/>
  <c r="DL102" i="3"/>
  <c r="DM102" i="3"/>
  <c r="DN102" i="3"/>
  <c r="DO102" i="3"/>
  <c r="DP102" i="3"/>
  <c r="DQ102" i="3"/>
  <c r="DR102" i="3"/>
  <c r="DS102" i="3"/>
  <c r="DT102" i="3"/>
  <c r="DU102" i="3"/>
  <c r="DV102" i="3"/>
  <c r="DW102" i="3"/>
  <c r="DX102" i="3"/>
  <c r="DY102" i="3"/>
  <c r="DZ102" i="3"/>
  <c r="EA102" i="3"/>
  <c r="EB102" i="3"/>
  <c r="EC102" i="3"/>
  <c r="ED102" i="3"/>
  <c r="EE102" i="3"/>
  <c r="EF102" i="3"/>
  <c r="EG102" i="3"/>
  <c r="EH102" i="3"/>
  <c r="EI102" i="3"/>
  <c r="EJ102" i="3"/>
  <c r="EK102" i="3"/>
  <c r="EL102" i="3"/>
  <c r="EM102" i="3"/>
  <c r="EN102" i="3"/>
  <c r="EO102" i="3"/>
  <c r="EP102" i="3"/>
  <c r="EQ102" i="3"/>
  <c r="ER102" i="3"/>
  <c r="ES102" i="3"/>
  <c r="ET102" i="3"/>
  <c r="EU102" i="3"/>
  <c r="EV102" i="3"/>
  <c r="EW102" i="3"/>
  <c r="EX102" i="3"/>
  <c r="EY102" i="3"/>
  <c r="EZ102" i="3"/>
  <c r="FA102" i="3"/>
  <c r="FB102" i="3"/>
  <c r="FC102" i="3"/>
  <c r="FD102" i="3"/>
  <c r="FE102" i="3"/>
  <c r="FF102" i="3"/>
  <c r="FG102" i="3"/>
  <c r="FH102" i="3"/>
  <c r="FI102" i="3"/>
  <c r="FJ102" i="3"/>
  <c r="FK102" i="3"/>
  <c r="FL102" i="3"/>
  <c r="FM102" i="3"/>
  <c r="FN102" i="3"/>
  <c r="FO102" i="3"/>
  <c r="FP102" i="3"/>
  <c r="FQ102" i="3"/>
  <c r="FR102" i="3"/>
  <c r="FS102" i="3"/>
  <c r="FT102" i="3"/>
  <c r="FU102" i="3"/>
  <c r="FV102" i="3"/>
  <c r="FW102" i="3"/>
  <c r="FX102" i="3"/>
  <c r="FY102" i="3"/>
  <c r="FZ102" i="3"/>
  <c r="GA102" i="3"/>
  <c r="GB102" i="3"/>
  <c r="GC102" i="3"/>
  <c r="GD102" i="3"/>
  <c r="GE102" i="3"/>
  <c r="GF102" i="3"/>
  <c r="GG102" i="3"/>
  <c r="GH102" i="3"/>
  <c r="GI102" i="3"/>
  <c r="GJ102" i="3"/>
  <c r="GK102" i="3"/>
  <c r="GL102" i="3"/>
  <c r="GM102" i="3"/>
  <c r="GN102" i="3"/>
  <c r="GO102" i="3"/>
  <c r="GP102" i="3"/>
  <c r="GQ102" i="3"/>
  <c r="GR102" i="3"/>
  <c r="GS102" i="3"/>
  <c r="GT102" i="3"/>
  <c r="GU102" i="3"/>
  <c r="GV102" i="3"/>
  <c r="GW102" i="3"/>
  <c r="GX102" i="3"/>
  <c r="GY102" i="3"/>
  <c r="GZ102" i="3"/>
  <c r="HA102" i="3"/>
  <c r="HB102" i="3"/>
  <c r="HC102" i="3"/>
  <c r="HD102" i="3"/>
  <c r="HE102" i="3"/>
  <c r="HF102" i="3"/>
  <c r="HG102" i="3"/>
  <c r="HH102" i="3"/>
  <c r="HI102" i="3"/>
  <c r="HJ102" i="3"/>
  <c r="HK102" i="3"/>
  <c r="HL102" i="3"/>
  <c r="HM102" i="3"/>
  <c r="HN102" i="3"/>
  <c r="HO102" i="3"/>
  <c r="HP102" i="3"/>
  <c r="HQ102" i="3"/>
  <c r="HR102" i="3"/>
  <c r="HS102" i="3"/>
  <c r="HT102" i="3"/>
  <c r="HU102" i="3"/>
  <c r="HV102" i="3"/>
  <c r="HW102" i="3"/>
  <c r="HX102" i="3"/>
  <c r="HY102" i="3"/>
  <c r="HZ102" i="3"/>
  <c r="IA102" i="3"/>
  <c r="IB102" i="3"/>
  <c r="IC102" i="3"/>
  <c r="ID102" i="3"/>
  <c r="IE102" i="3"/>
  <c r="IF102" i="3"/>
  <c r="IG102" i="3"/>
  <c r="IH102" i="3"/>
  <c r="II102" i="3"/>
  <c r="IJ102" i="3"/>
  <c r="IK102" i="3"/>
  <c r="IL102" i="3"/>
  <c r="IM102" i="3"/>
  <c r="IN102" i="3"/>
  <c r="IO102" i="3"/>
  <c r="IP102" i="3"/>
  <c r="IQ102" i="3"/>
  <c r="IR102" i="3"/>
  <c r="IS102" i="3"/>
  <c r="IT102" i="3"/>
  <c r="IU102" i="3"/>
  <c r="IV102" i="3"/>
  <c r="A101" i="3"/>
  <c r="B101" i="3"/>
  <c r="C101" i="3"/>
  <c r="D101" i="3"/>
  <c r="E101" i="3"/>
  <c r="F101" i="3"/>
  <c r="G101" i="3"/>
  <c r="H101" i="3"/>
  <c r="I101" i="3"/>
  <c r="J101" i="3"/>
  <c r="K101" i="3"/>
  <c r="L101" i="3"/>
  <c r="M101" i="3"/>
  <c r="N101" i="3"/>
  <c r="O101" i="3"/>
  <c r="P101" i="3"/>
  <c r="Q101" i="3"/>
  <c r="R101" i="3"/>
  <c r="S101" i="3"/>
  <c r="T101" i="3"/>
  <c r="U101" i="3"/>
  <c r="V101" i="3"/>
  <c r="W101" i="3"/>
  <c r="X101" i="3"/>
  <c r="Y101" i="3"/>
  <c r="Z101" i="3"/>
  <c r="AA101" i="3"/>
  <c r="AB101" i="3"/>
  <c r="AC101" i="3"/>
  <c r="AD101" i="3"/>
  <c r="AE101" i="3"/>
  <c r="AF101" i="3"/>
  <c r="AG101" i="3"/>
  <c r="AH101" i="3"/>
  <c r="AI101" i="3"/>
  <c r="AJ101" i="3"/>
  <c r="AK101" i="3"/>
  <c r="AL101" i="3"/>
  <c r="AM101" i="3"/>
  <c r="AN101" i="3"/>
  <c r="AO101" i="3"/>
  <c r="AP101" i="3"/>
  <c r="AQ101" i="3"/>
  <c r="AR101" i="3"/>
  <c r="AS101" i="3"/>
  <c r="AT101" i="3"/>
  <c r="AU101" i="3"/>
  <c r="AV101" i="3"/>
  <c r="AW101" i="3"/>
  <c r="AX101" i="3"/>
  <c r="AY101" i="3"/>
  <c r="AZ101" i="3"/>
  <c r="BA101" i="3"/>
  <c r="BB101" i="3"/>
  <c r="BC101" i="3"/>
  <c r="BD101" i="3"/>
  <c r="BE101" i="3"/>
  <c r="BF101" i="3"/>
  <c r="BG101" i="3"/>
  <c r="BH101" i="3"/>
  <c r="BI101" i="3"/>
  <c r="BJ101" i="3"/>
  <c r="BK101" i="3"/>
  <c r="BL101" i="3"/>
  <c r="BM101" i="3"/>
  <c r="BN101" i="3"/>
  <c r="BO101" i="3"/>
  <c r="BP101" i="3"/>
  <c r="BQ101" i="3"/>
  <c r="BR101" i="3"/>
  <c r="BS101" i="3"/>
  <c r="BT101" i="3"/>
  <c r="BU101" i="3"/>
  <c r="BV101" i="3"/>
  <c r="BW101" i="3"/>
  <c r="BX101" i="3"/>
  <c r="BY101" i="3"/>
  <c r="BZ101" i="3"/>
  <c r="CA101" i="3"/>
  <c r="CB101" i="3"/>
  <c r="CC101" i="3"/>
  <c r="CD101" i="3"/>
  <c r="CE101" i="3"/>
  <c r="CF101" i="3"/>
  <c r="CG101" i="3"/>
  <c r="CH101" i="3"/>
  <c r="CI101" i="3"/>
  <c r="CJ101" i="3"/>
  <c r="CK101" i="3"/>
  <c r="CL101" i="3"/>
  <c r="CM101" i="3"/>
  <c r="CN101" i="3"/>
  <c r="CO101" i="3"/>
  <c r="CP101" i="3"/>
  <c r="CQ101" i="3"/>
  <c r="CR101" i="3"/>
  <c r="CS101" i="3"/>
  <c r="CT101" i="3"/>
  <c r="CU101" i="3"/>
  <c r="CV101" i="3"/>
  <c r="CW101" i="3"/>
  <c r="CX101" i="3"/>
  <c r="CY101" i="3"/>
  <c r="CZ101" i="3"/>
  <c r="DA101" i="3"/>
  <c r="DB101" i="3"/>
  <c r="DC101" i="3"/>
  <c r="DD101" i="3"/>
  <c r="DE101" i="3"/>
  <c r="DF101" i="3"/>
  <c r="DG101" i="3"/>
  <c r="DH101" i="3"/>
  <c r="DI101" i="3"/>
  <c r="DJ101" i="3"/>
  <c r="DK101" i="3"/>
  <c r="DL101" i="3"/>
  <c r="DM101" i="3"/>
  <c r="DN101" i="3"/>
  <c r="DO101" i="3"/>
  <c r="DP101" i="3"/>
  <c r="DQ101" i="3"/>
  <c r="DR101" i="3"/>
  <c r="DS101" i="3"/>
  <c r="DT101" i="3"/>
  <c r="DU101" i="3"/>
  <c r="DV101" i="3"/>
  <c r="DW101" i="3"/>
  <c r="DX101" i="3"/>
  <c r="DY101" i="3"/>
  <c r="DZ101" i="3"/>
  <c r="EA101" i="3"/>
  <c r="EB101" i="3"/>
  <c r="EC101" i="3"/>
  <c r="ED101" i="3"/>
  <c r="EE101" i="3"/>
  <c r="EF101" i="3"/>
  <c r="EG101" i="3"/>
  <c r="EH101" i="3"/>
  <c r="EI101" i="3"/>
  <c r="EJ101" i="3"/>
  <c r="EK101" i="3"/>
  <c r="EL101" i="3"/>
  <c r="EM101" i="3"/>
  <c r="EN101" i="3"/>
  <c r="EO101" i="3"/>
  <c r="EP101" i="3"/>
  <c r="EQ101" i="3"/>
  <c r="ER101" i="3"/>
  <c r="ES101" i="3"/>
  <c r="ET101" i="3"/>
  <c r="EU101" i="3"/>
  <c r="EV101" i="3"/>
  <c r="EW101" i="3"/>
  <c r="EX101" i="3"/>
  <c r="EY101" i="3"/>
  <c r="EZ101" i="3"/>
  <c r="FA101" i="3"/>
  <c r="FB101" i="3"/>
  <c r="FC101" i="3"/>
  <c r="FD101" i="3"/>
  <c r="FE101" i="3"/>
  <c r="FF101" i="3"/>
  <c r="FG101" i="3"/>
  <c r="FH101" i="3"/>
  <c r="FI101" i="3"/>
  <c r="FJ101" i="3"/>
  <c r="FK101" i="3"/>
  <c r="FL101" i="3"/>
  <c r="FM101" i="3"/>
  <c r="FN101" i="3"/>
  <c r="FO101" i="3"/>
  <c r="FP101" i="3"/>
  <c r="FQ101" i="3"/>
  <c r="FR101" i="3"/>
  <c r="FS101" i="3"/>
  <c r="FT101" i="3"/>
  <c r="FU101" i="3"/>
  <c r="FV101" i="3"/>
  <c r="FW101" i="3"/>
  <c r="FX101" i="3"/>
  <c r="FY101" i="3"/>
  <c r="FZ101" i="3"/>
  <c r="GA101" i="3"/>
  <c r="GB101" i="3"/>
  <c r="GC101" i="3"/>
  <c r="GD101" i="3"/>
  <c r="GE101" i="3"/>
  <c r="GF101" i="3"/>
  <c r="GG101" i="3"/>
  <c r="GH101" i="3"/>
  <c r="GI101" i="3"/>
  <c r="GJ101" i="3"/>
  <c r="GK101" i="3"/>
  <c r="GL101" i="3"/>
  <c r="GM101" i="3"/>
  <c r="GN101" i="3"/>
  <c r="GO101" i="3"/>
  <c r="GP101" i="3"/>
  <c r="GQ101" i="3"/>
  <c r="GR101" i="3"/>
  <c r="GS101" i="3"/>
  <c r="GT101" i="3"/>
  <c r="GU101" i="3"/>
  <c r="GV101" i="3"/>
  <c r="GW101" i="3"/>
  <c r="GX101" i="3"/>
  <c r="GY101" i="3"/>
  <c r="GZ101" i="3"/>
  <c r="HA101" i="3"/>
  <c r="HB101" i="3"/>
  <c r="HC101" i="3"/>
  <c r="HD101" i="3"/>
  <c r="HE101" i="3"/>
  <c r="HF101" i="3"/>
  <c r="HG101" i="3"/>
  <c r="HH101" i="3"/>
  <c r="HI101" i="3"/>
  <c r="HJ101" i="3"/>
  <c r="HK101" i="3"/>
  <c r="HL101" i="3"/>
  <c r="HM101" i="3"/>
  <c r="HN101" i="3"/>
  <c r="HO101" i="3"/>
  <c r="HP101" i="3"/>
  <c r="HQ101" i="3"/>
  <c r="HR101" i="3"/>
  <c r="HS101" i="3"/>
  <c r="HT101" i="3"/>
  <c r="HU101" i="3"/>
  <c r="HV101" i="3"/>
  <c r="HW101" i="3"/>
  <c r="HX101" i="3"/>
  <c r="HY101" i="3"/>
  <c r="HZ101" i="3"/>
  <c r="IA101" i="3"/>
  <c r="IB101" i="3"/>
  <c r="IC101" i="3"/>
  <c r="ID101" i="3"/>
  <c r="IE101" i="3"/>
  <c r="IF101" i="3"/>
  <c r="IG101" i="3"/>
  <c r="IH101" i="3"/>
  <c r="II101" i="3"/>
  <c r="IJ101" i="3"/>
  <c r="IK101" i="3"/>
  <c r="IL101" i="3"/>
  <c r="IM101" i="3"/>
  <c r="IN101" i="3"/>
  <c r="IO101" i="3"/>
  <c r="IP101" i="3"/>
  <c r="IQ101" i="3"/>
  <c r="IR101" i="3"/>
  <c r="IS101" i="3"/>
  <c r="IT101" i="3"/>
  <c r="IU101" i="3"/>
  <c r="IV101" i="3"/>
  <c r="A100" i="3"/>
  <c r="B100" i="3"/>
  <c r="C100" i="3"/>
  <c r="D100" i="3"/>
  <c r="E100" i="3"/>
  <c r="F100" i="3"/>
  <c r="G100" i="3"/>
  <c r="H100" i="3"/>
  <c r="I100" i="3"/>
  <c r="J100" i="3"/>
  <c r="K100" i="3"/>
  <c r="L100" i="3"/>
  <c r="M100" i="3"/>
  <c r="N100" i="3"/>
  <c r="O100" i="3"/>
  <c r="P100" i="3"/>
  <c r="Q100" i="3"/>
  <c r="R100" i="3"/>
  <c r="S100" i="3"/>
  <c r="T100" i="3"/>
  <c r="U100" i="3"/>
  <c r="V100" i="3"/>
  <c r="W100" i="3"/>
  <c r="X100" i="3"/>
  <c r="Y100" i="3"/>
  <c r="Z100" i="3"/>
  <c r="AA100" i="3"/>
  <c r="AB100" i="3"/>
  <c r="AC100" i="3"/>
  <c r="AD100" i="3"/>
  <c r="AE100" i="3"/>
  <c r="AF100" i="3"/>
  <c r="AG100" i="3"/>
  <c r="AH100" i="3"/>
  <c r="AI100" i="3"/>
  <c r="AJ100" i="3"/>
  <c r="AK100" i="3"/>
  <c r="AL100" i="3"/>
  <c r="AM100" i="3"/>
  <c r="AN100" i="3"/>
  <c r="AO100" i="3"/>
  <c r="AP100" i="3"/>
  <c r="AQ100" i="3"/>
  <c r="AR100" i="3"/>
  <c r="AS100" i="3"/>
  <c r="AT100" i="3"/>
  <c r="AU100" i="3"/>
  <c r="AV100" i="3"/>
  <c r="AW100" i="3"/>
  <c r="AX100" i="3"/>
  <c r="AY100" i="3"/>
  <c r="AZ100" i="3"/>
  <c r="BA100" i="3"/>
  <c r="BB100" i="3"/>
  <c r="BC100" i="3"/>
  <c r="BD100" i="3"/>
  <c r="BE100" i="3"/>
  <c r="BF100" i="3"/>
  <c r="BG100" i="3"/>
  <c r="BH100" i="3"/>
  <c r="BI100" i="3"/>
  <c r="BJ100" i="3"/>
  <c r="BK100" i="3"/>
  <c r="BL100" i="3"/>
  <c r="BM100" i="3"/>
  <c r="BN100" i="3"/>
  <c r="BO100" i="3"/>
  <c r="BP100" i="3"/>
  <c r="BQ100" i="3"/>
  <c r="BR100" i="3"/>
  <c r="BS100" i="3"/>
  <c r="BT100" i="3"/>
  <c r="BU100" i="3"/>
  <c r="BV100" i="3"/>
  <c r="BW100" i="3"/>
  <c r="BX100" i="3"/>
  <c r="BY100" i="3"/>
  <c r="BZ100" i="3"/>
  <c r="CA100" i="3"/>
  <c r="CB100" i="3"/>
  <c r="CC100" i="3"/>
  <c r="CD100" i="3"/>
  <c r="CE100" i="3"/>
  <c r="CF100" i="3"/>
  <c r="CG100" i="3"/>
  <c r="CH100" i="3"/>
  <c r="CI100" i="3"/>
  <c r="CJ100" i="3"/>
  <c r="CK100" i="3"/>
  <c r="CL100" i="3"/>
  <c r="CM100" i="3"/>
  <c r="CN100" i="3"/>
  <c r="CO100" i="3"/>
  <c r="CP100" i="3"/>
  <c r="CQ100" i="3"/>
  <c r="CR100" i="3"/>
  <c r="CS100" i="3"/>
  <c r="CT100" i="3"/>
  <c r="CU100" i="3"/>
  <c r="CV100" i="3"/>
  <c r="CW100" i="3"/>
  <c r="CX100" i="3"/>
  <c r="CY100" i="3"/>
  <c r="CZ100" i="3"/>
  <c r="DA100" i="3"/>
  <c r="DB100" i="3"/>
  <c r="DC100" i="3"/>
  <c r="DD100" i="3"/>
  <c r="DE100" i="3"/>
  <c r="DF100" i="3"/>
  <c r="DG100" i="3"/>
  <c r="DH100" i="3"/>
  <c r="DI100" i="3"/>
  <c r="DJ100" i="3"/>
  <c r="DK100" i="3"/>
  <c r="DL100" i="3"/>
  <c r="DM100" i="3"/>
  <c r="DN100" i="3"/>
  <c r="DO100" i="3"/>
  <c r="DP100" i="3"/>
  <c r="DQ100" i="3"/>
  <c r="DR100" i="3"/>
  <c r="DS100" i="3"/>
  <c r="DT100" i="3"/>
  <c r="DU100" i="3"/>
  <c r="DV100" i="3"/>
  <c r="DW100" i="3"/>
  <c r="DX100" i="3"/>
  <c r="DY100" i="3"/>
  <c r="DZ100" i="3"/>
  <c r="EA100" i="3"/>
  <c r="EB100" i="3"/>
  <c r="EC100" i="3"/>
  <c r="ED100" i="3"/>
  <c r="EE100" i="3"/>
  <c r="EF100" i="3"/>
  <c r="EG100" i="3"/>
  <c r="EH100" i="3"/>
  <c r="EI100" i="3"/>
  <c r="EJ100" i="3"/>
  <c r="EK100" i="3"/>
  <c r="EL100" i="3"/>
  <c r="EM100" i="3"/>
  <c r="EN100" i="3"/>
  <c r="EO100" i="3"/>
  <c r="EP100" i="3"/>
  <c r="EQ100" i="3"/>
  <c r="ER100" i="3"/>
  <c r="ES100" i="3"/>
  <c r="ET100" i="3"/>
  <c r="EU100" i="3"/>
  <c r="EV100" i="3"/>
  <c r="EW100" i="3"/>
  <c r="EX100" i="3"/>
  <c r="EY100" i="3"/>
  <c r="EZ100" i="3"/>
  <c r="FA100" i="3"/>
  <c r="FB100" i="3"/>
  <c r="FC100" i="3"/>
  <c r="FD100" i="3"/>
  <c r="FE100" i="3"/>
  <c r="FF100" i="3"/>
  <c r="FG100" i="3"/>
  <c r="FH100" i="3"/>
  <c r="FI100" i="3"/>
  <c r="FJ100" i="3"/>
  <c r="FK100" i="3"/>
  <c r="FL100" i="3"/>
  <c r="FM100" i="3"/>
  <c r="FN100" i="3"/>
  <c r="FO100" i="3"/>
  <c r="FP100" i="3"/>
  <c r="FQ100" i="3"/>
  <c r="FR100" i="3"/>
  <c r="FS100" i="3"/>
  <c r="FT100" i="3"/>
  <c r="FU100" i="3"/>
  <c r="FV100" i="3"/>
  <c r="FW100" i="3"/>
  <c r="FX100" i="3"/>
  <c r="FY100" i="3"/>
  <c r="FZ100" i="3"/>
  <c r="GA100" i="3"/>
  <c r="GB100" i="3"/>
  <c r="GC100" i="3"/>
  <c r="GD100" i="3"/>
  <c r="GE100" i="3"/>
  <c r="GF100" i="3"/>
  <c r="GG100" i="3"/>
  <c r="GH100" i="3"/>
  <c r="GI100" i="3"/>
  <c r="GJ100" i="3"/>
  <c r="GK100" i="3"/>
  <c r="GL100" i="3"/>
  <c r="GM100" i="3"/>
  <c r="GN100" i="3"/>
  <c r="GO100" i="3"/>
  <c r="GP100" i="3"/>
  <c r="GQ100" i="3"/>
  <c r="GR100" i="3"/>
  <c r="GS100" i="3"/>
  <c r="GT100" i="3"/>
  <c r="GU100" i="3"/>
  <c r="GV100" i="3"/>
  <c r="GW100" i="3"/>
  <c r="GX100" i="3"/>
  <c r="GY100" i="3"/>
  <c r="GZ100" i="3"/>
  <c r="HA100" i="3"/>
  <c r="HB100" i="3"/>
  <c r="HC100" i="3"/>
  <c r="HD100" i="3"/>
  <c r="HE100" i="3"/>
  <c r="HF100" i="3"/>
  <c r="HG100" i="3"/>
  <c r="HH100" i="3"/>
  <c r="HI100" i="3"/>
  <c r="HJ100" i="3"/>
  <c r="HK100" i="3"/>
  <c r="HL100" i="3"/>
  <c r="HM100" i="3"/>
  <c r="HN100" i="3"/>
  <c r="HO100" i="3"/>
  <c r="HP100" i="3"/>
  <c r="HQ100" i="3"/>
  <c r="HR100" i="3"/>
  <c r="HS100" i="3"/>
  <c r="HT100" i="3"/>
  <c r="HU100" i="3"/>
  <c r="HV100" i="3"/>
  <c r="HW100" i="3"/>
  <c r="HX100" i="3"/>
  <c r="HY100" i="3"/>
  <c r="HZ100" i="3"/>
  <c r="IA100" i="3"/>
  <c r="IB100" i="3"/>
  <c r="IC100" i="3"/>
  <c r="ID100" i="3"/>
  <c r="IE100" i="3"/>
  <c r="IF100" i="3"/>
  <c r="IG100" i="3"/>
  <c r="IH100" i="3"/>
  <c r="II100" i="3"/>
  <c r="IJ100" i="3"/>
  <c r="IK100" i="3"/>
  <c r="IL100" i="3"/>
  <c r="IM100" i="3"/>
  <c r="IN100" i="3"/>
  <c r="IO100" i="3"/>
  <c r="IP100" i="3"/>
  <c r="IQ100" i="3"/>
  <c r="IR100" i="3"/>
  <c r="IS100" i="3"/>
  <c r="IT100" i="3"/>
  <c r="IU100" i="3"/>
  <c r="IV100" i="3"/>
  <c r="A99" i="3"/>
  <c r="B99" i="3"/>
  <c r="C99" i="3"/>
  <c r="D99" i="3"/>
  <c r="E99" i="3"/>
  <c r="F99" i="3"/>
  <c r="G99" i="3"/>
  <c r="H99" i="3"/>
  <c r="I99" i="3"/>
  <c r="J99" i="3"/>
  <c r="K99" i="3"/>
  <c r="L99" i="3"/>
  <c r="M99" i="3"/>
  <c r="N99" i="3"/>
  <c r="O99" i="3"/>
  <c r="P99" i="3"/>
  <c r="Q99" i="3"/>
  <c r="R99" i="3"/>
  <c r="S99" i="3"/>
  <c r="T99" i="3"/>
  <c r="U99" i="3"/>
  <c r="V99" i="3"/>
  <c r="W99" i="3"/>
  <c r="X99" i="3"/>
  <c r="Y99" i="3"/>
  <c r="Z99" i="3"/>
  <c r="AA99" i="3"/>
  <c r="AB99" i="3"/>
  <c r="AC99" i="3"/>
  <c r="AD99" i="3"/>
  <c r="AE99" i="3"/>
  <c r="AF99" i="3"/>
  <c r="AG99" i="3"/>
  <c r="AH99" i="3"/>
  <c r="AI99" i="3"/>
  <c r="AJ99" i="3"/>
  <c r="AK99" i="3"/>
  <c r="AL99" i="3"/>
  <c r="AM99" i="3"/>
  <c r="AN99" i="3"/>
  <c r="AO99" i="3"/>
  <c r="AP99" i="3"/>
  <c r="AQ99" i="3"/>
  <c r="AR99" i="3"/>
  <c r="AS99" i="3"/>
  <c r="AT99" i="3"/>
  <c r="AU99" i="3"/>
  <c r="AV99" i="3"/>
  <c r="AW99" i="3"/>
  <c r="AX99" i="3"/>
  <c r="AY99" i="3"/>
  <c r="AZ99" i="3"/>
  <c r="BA99" i="3"/>
  <c r="BB99" i="3"/>
  <c r="BC99" i="3"/>
  <c r="BD99" i="3"/>
  <c r="BE99" i="3"/>
  <c r="BF99" i="3"/>
  <c r="BG99" i="3"/>
  <c r="BH99" i="3"/>
  <c r="BI99" i="3"/>
  <c r="BJ99" i="3"/>
  <c r="BK99" i="3"/>
  <c r="BL99" i="3"/>
  <c r="BM99" i="3"/>
  <c r="BN99" i="3"/>
  <c r="BO99" i="3"/>
  <c r="BP99" i="3"/>
  <c r="BQ99" i="3"/>
  <c r="BR99" i="3"/>
  <c r="BS99" i="3"/>
  <c r="BT99" i="3"/>
  <c r="BU99" i="3"/>
  <c r="BV99" i="3"/>
  <c r="BW99" i="3"/>
  <c r="BX99" i="3"/>
  <c r="BY99" i="3"/>
  <c r="BZ99" i="3"/>
  <c r="CA99" i="3"/>
  <c r="CB99" i="3"/>
  <c r="CC99" i="3"/>
  <c r="CD99" i="3"/>
  <c r="CE99" i="3"/>
  <c r="CF99" i="3"/>
  <c r="CG99" i="3"/>
  <c r="CH99" i="3"/>
  <c r="CI99" i="3"/>
  <c r="CJ99" i="3"/>
  <c r="CK99" i="3"/>
  <c r="CL99" i="3"/>
  <c r="CM99" i="3"/>
  <c r="CN99" i="3"/>
  <c r="CO99" i="3"/>
  <c r="CP99" i="3"/>
  <c r="CQ99" i="3"/>
  <c r="CR99" i="3"/>
  <c r="CS99" i="3"/>
  <c r="CT99" i="3"/>
  <c r="CU99" i="3"/>
  <c r="CV99" i="3"/>
  <c r="CW99" i="3"/>
  <c r="CX99" i="3"/>
  <c r="CY99" i="3"/>
  <c r="CZ99" i="3"/>
  <c r="DA99" i="3"/>
  <c r="DB99" i="3"/>
  <c r="DC99" i="3"/>
  <c r="DD99" i="3"/>
  <c r="DE99" i="3"/>
  <c r="DF99" i="3"/>
  <c r="DG99" i="3"/>
  <c r="DH99" i="3"/>
  <c r="DI99" i="3"/>
  <c r="DJ99" i="3"/>
  <c r="DK99" i="3"/>
  <c r="DL99" i="3"/>
  <c r="DM99" i="3"/>
  <c r="DN99" i="3"/>
  <c r="DO99" i="3"/>
  <c r="DP99" i="3"/>
  <c r="DQ99" i="3"/>
  <c r="DR99" i="3"/>
  <c r="DS99" i="3"/>
  <c r="DT99" i="3"/>
  <c r="DU99" i="3"/>
  <c r="DV99" i="3"/>
  <c r="DW99" i="3"/>
  <c r="DX99" i="3"/>
  <c r="DY99" i="3"/>
  <c r="DZ99" i="3"/>
  <c r="EA99" i="3"/>
  <c r="EB99" i="3"/>
  <c r="EC99" i="3"/>
  <c r="ED99" i="3"/>
  <c r="EE99" i="3"/>
  <c r="EF99" i="3"/>
  <c r="EG99" i="3"/>
  <c r="EH99" i="3"/>
  <c r="EI99" i="3"/>
  <c r="EJ99" i="3"/>
  <c r="EK99" i="3"/>
  <c r="EL99" i="3"/>
  <c r="EM99" i="3"/>
  <c r="EN99" i="3"/>
  <c r="EO99" i="3"/>
  <c r="EP99" i="3"/>
  <c r="EQ99" i="3"/>
  <c r="ER99" i="3"/>
  <c r="ES99" i="3"/>
  <c r="ET99" i="3"/>
  <c r="EU99" i="3"/>
  <c r="EV99" i="3"/>
  <c r="EW99" i="3"/>
  <c r="EX99" i="3"/>
  <c r="EY99" i="3"/>
  <c r="EZ99" i="3"/>
  <c r="FA99" i="3"/>
  <c r="FB99" i="3"/>
  <c r="FC99" i="3"/>
  <c r="FD99" i="3"/>
  <c r="FE99" i="3"/>
  <c r="FF99" i="3"/>
  <c r="FG99" i="3"/>
  <c r="FH99" i="3"/>
  <c r="FI99" i="3"/>
  <c r="FJ99" i="3"/>
  <c r="FK99" i="3"/>
  <c r="FL99" i="3"/>
  <c r="FM99" i="3"/>
  <c r="FN99" i="3"/>
  <c r="FO99" i="3"/>
  <c r="FP99" i="3"/>
  <c r="FQ99" i="3"/>
  <c r="FR99" i="3"/>
  <c r="FS99" i="3"/>
  <c r="FT99" i="3"/>
  <c r="FU99" i="3"/>
  <c r="FV99" i="3"/>
  <c r="FW99" i="3"/>
  <c r="FX99" i="3"/>
  <c r="FY99" i="3"/>
  <c r="FZ99" i="3"/>
  <c r="GA99" i="3"/>
  <c r="GB99" i="3"/>
  <c r="GC99" i="3"/>
  <c r="GD99" i="3"/>
  <c r="GE99" i="3"/>
  <c r="GF99" i="3"/>
  <c r="GG99" i="3"/>
  <c r="GH99" i="3"/>
  <c r="GI99" i="3"/>
  <c r="GJ99" i="3"/>
  <c r="GK99" i="3"/>
  <c r="GL99" i="3"/>
  <c r="GM99" i="3"/>
  <c r="GN99" i="3"/>
  <c r="GO99" i="3"/>
  <c r="GP99" i="3"/>
  <c r="GQ99" i="3"/>
  <c r="GR99" i="3"/>
  <c r="GS99" i="3"/>
  <c r="GT99" i="3"/>
  <c r="GU99" i="3"/>
  <c r="GV99" i="3"/>
  <c r="GW99" i="3"/>
  <c r="GX99" i="3"/>
  <c r="GY99" i="3"/>
  <c r="GZ99" i="3"/>
  <c r="HA99" i="3"/>
  <c r="HB99" i="3"/>
  <c r="HC99" i="3"/>
  <c r="HD99" i="3"/>
  <c r="HE99" i="3"/>
  <c r="HF99" i="3"/>
  <c r="HG99" i="3"/>
  <c r="HH99" i="3"/>
  <c r="HI99" i="3"/>
  <c r="HJ99" i="3"/>
  <c r="HK99" i="3"/>
  <c r="HL99" i="3"/>
  <c r="HM99" i="3"/>
  <c r="HN99" i="3"/>
  <c r="HO99" i="3"/>
  <c r="HP99" i="3"/>
  <c r="HQ99" i="3"/>
  <c r="HR99" i="3"/>
  <c r="HS99" i="3"/>
  <c r="HT99" i="3"/>
  <c r="HU99" i="3"/>
  <c r="HV99" i="3"/>
  <c r="HW99" i="3"/>
  <c r="HX99" i="3"/>
  <c r="HY99" i="3"/>
  <c r="HZ99" i="3"/>
  <c r="IA99" i="3"/>
  <c r="IB99" i="3"/>
  <c r="IC99" i="3"/>
  <c r="ID99" i="3"/>
  <c r="IE99" i="3"/>
  <c r="IF99" i="3"/>
  <c r="IG99" i="3"/>
  <c r="IH99" i="3"/>
  <c r="II99" i="3"/>
  <c r="IJ99" i="3"/>
  <c r="IK99" i="3"/>
  <c r="IL99" i="3"/>
  <c r="IM99" i="3"/>
  <c r="IN99" i="3"/>
  <c r="IO99" i="3"/>
  <c r="IP99" i="3"/>
  <c r="IQ99" i="3"/>
  <c r="IR99" i="3"/>
  <c r="IS99" i="3"/>
  <c r="IT99" i="3"/>
  <c r="IU99" i="3"/>
  <c r="IV99" i="3"/>
  <c r="A98" i="3"/>
  <c r="B98" i="3"/>
  <c r="C98" i="3"/>
  <c r="D98" i="3"/>
  <c r="E98" i="3"/>
  <c r="F98" i="3"/>
  <c r="G98" i="3"/>
  <c r="H98" i="3"/>
  <c r="I98" i="3"/>
  <c r="J98" i="3"/>
  <c r="K98" i="3"/>
  <c r="L98" i="3"/>
  <c r="M98" i="3"/>
  <c r="N98" i="3"/>
  <c r="O98" i="3"/>
  <c r="P98" i="3"/>
  <c r="Q98" i="3"/>
  <c r="R98" i="3"/>
  <c r="S98" i="3"/>
  <c r="T98" i="3"/>
  <c r="U98" i="3"/>
  <c r="V98" i="3"/>
  <c r="W98" i="3"/>
  <c r="X98" i="3"/>
  <c r="Y98" i="3"/>
  <c r="Z98" i="3"/>
  <c r="AA98" i="3"/>
  <c r="AB98" i="3"/>
  <c r="AC98" i="3"/>
  <c r="AD98" i="3"/>
  <c r="AE98" i="3"/>
  <c r="AF98" i="3"/>
  <c r="AG98" i="3"/>
  <c r="AH98" i="3"/>
  <c r="AI98" i="3"/>
  <c r="AJ98" i="3"/>
  <c r="AK98" i="3"/>
  <c r="AL98" i="3"/>
  <c r="AM98" i="3"/>
  <c r="AN98" i="3"/>
  <c r="AO98" i="3"/>
  <c r="AP98" i="3"/>
  <c r="AQ98" i="3"/>
  <c r="AR98" i="3"/>
  <c r="AS98" i="3"/>
  <c r="AT98" i="3"/>
  <c r="AU98" i="3"/>
  <c r="AV98" i="3"/>
  <c r="AW98" i="3"/>
  <c r="AX98" i="3"/>
  <c r="AY98" i="3"/>
  <c r="AZ98" i="3"/>
  <c r="BA98" i="3"/>
  <c r="BB98" i="3"/>
  <c r="BC98" i="3"/>
  <c r="BD98" i="3"/>
  <c r="BE98" i="3"/>
  <c r="BF98" i="3"/>
  <c r="BG98" i="3"/>
  <c r="BH98" i="3"/>
  <c r="BI98" i="3"/>
  <c r="BJ98" i="3"/>
  <c r="BK98" i="3"/>
  <c r="BL98" i="3"/>
  <c r="BM98" i="3"/>
  <c r="BN98" i="3"/>
  <c r="BO98" i="3"/>
  <c r="BP98" i="3"/>
  <c r="BQ98" i="3"/>
  <c r="BR98" i="3"/>
  <c r="BS98" i="3"/>
  <c r="BT98" i="3"/>
  <c r="BU98" i="3"/>
  <c r="BV98" i="3"/>
  <c r="BW98" i="3"/>
  <c r="BX98" i="3"/>
  <c r="BY98" i="3"/>
  <c r="BZ98" i="3"/>
  <c r="CA98" i="3"/>
  <c r="CB98" i="3"/>
  <c r="CC98" i="3"/>
  <c r="CD98" i="3"/>
  <c r="CE98" i="3"/>
  <c r="CF98" i="3"/>
  <c r="CG98" i="3"/>
  <c r="CH98" i="3"/>
  <c r="CI98" i="3"/>
  <c r="CJ98" i="3"/>
  <c r="CK98" i="3"/>
  <c r="CL98" i="3"/>
  <c r="CM98" i="3"/>
  <c r="CN98" i="3"/>
  <c r="CO98" i="3"/>
  <c r="CP98" i="3"/>
  <c r="CQ98" i="3"/>
  <c r="CR98" i="3"/>
  <c r="CS98" i="3"/>
  <c r="CT98" i="3"/>
  <c r="CU98" i="3"/>
  <c r="CV98" i="3"/>
  <c r="CW98" i="3"/>
  <c r="CX98" i="3"/>
  <c r="CY98" i="3"/>
  <c r="CZ98" i="3"/>
  <c r="DA98" i="3"/>
  <c r="DB98" i="3"/>
  <c r="DC98" i="3"/>
  <c r="DD98" i="3"/>
  <c r="DE98" i="3"/>
  <c r="DF98" i="3"/>
  <c r="DG98" i="3"/>
  <c r="DH98" i="3"/>
  <c r="DI98" i="3"/>
  <c r="DJ98" i="3"/>
  <c r="DK98" i="3"/>
  <c r="DL98" i="3"/>
  <c r="DM98" i="3"/>
  <c r="DN98" i="3"/>
  <c r="DO98" i="3"/>
  <c r="DP98" i="3"/>
  <c r="DQ98" i="3"/>
  <c r="DR98" i="3"/>
  <c r="DS98" i="3"/>
  <c r="DT98" i="3"/>
  <c r="DU98" i="3"/>
  <c r="DV98" i="3"/>
  <c r="DW98" i="3"/>
  <c r="DX98" i="3"/>
  <c r="DY98" i="3"/>
  <c r="DZ98" i="3"/>
  <c r="EA98" i="3"/>
  <c r="EB98" i="3"/>
  <c r="EC98" i="3"/>
  <c r="ED98" i="3"/>
  <c r="EE98" i="3"/>
  <c r="EF98" i="3"/>
  <c r="EG98" i="3"/>
  <c r="EH98" i="3"/>
  <c r="EI98" i="3"/>
  <c r="EJ98" i="3"/>
  <c r="EK98" i="3"/>
  <c r="EL98" i="3"/>
  <c r="EM98" i="3"/>
  <c r="EN98" i="3"/>
  <c r="EO98" i="3"/>
  <c r="EP98" i="3"/>
  <c r="EQ98" i="3"/>
  <c r="ER98" i="3"/>
  <c r="ES98" i="3"/>
  <c r="ET98" i="3"/>
  <c r="EU98" i="3"/>
  <c r="EV98" i="3"/>
  <c r="EW98" i="3"/>
  <c r="EX98" i="3"/>
  <c r="EY98" i="3"/>
  <c r="EZ98" i="3"/>
  <c r="FA98" i="3"/>
  <c r="FB98" i="3"/>
  <c r="FC98" i="3"/>
  <c r="FD98" i="3"/>
  <c r="FE98" i="3"/>
  <c r="FF98" i="3"/>
  <c r="FG98" i="3"/>
  <c r="FH98" i="3"/>
  <c r="FI98" i="3"/>
  <c r="FJ98" i="3"/>
  <c r="FK98" i="3"/>
  <c r="FL98" i="3"/>
  <c r="FM98" i="3"/>
  <c r="FN98" i="3"/>
  <c r="FO98" i="3"/>
  <c r="FP98" i="3"/>
  <c r="FQ98" i="3"/>
  <c r="FR98" i="3"/>
  <c r="FS98" i="3"/>
  <c r="FT98" i="3"/>
  <c r="FU98" i="3"/>
  <c r="FV98" i="3"/>
  <c r="FW98" i="3"/>
  <c r="FX98" i="3"/>
  <c r="FY98" i="3"/>
  <c r="FZ98" i="3"/>
  <c r="GA98" i="3"/>
  <c r="GB98" i="3"/>
  <c r="GC98" i="3"/>
  <c r="GD98" i="3"/>
  <c r="GE98" i="3"/>
  <c r="GF98" i="3"/>
  <c r="GG98" i="3"/>
  <c r="GH98" i="3"/>
  <c r="GI98" i="3"/>
  <c r="GJ98" i="3"/>
  <c r="GK98" i="3"/>
  <c r="GL98" i="3"/>
  <c r="GM98" i="3"/>
  <c r="GN98" i="3"/>
  <c r="GO98" i="3"/>
  <c r="GP98" i="3"/>
  <c r="GQ98" i="3"/>
  <c r="GR98" i="3"/>
  <c r="GS98" i="3"/>
  <c r="GT98" i="3"/>
  <c r="GU98" i="3"/>
  <c r="GV98" i="3"/>
  <c r="GW98" i="3"/>
  <c r="GX98" i="3"/>
  <c r="GY98" i="3"/>
  <c r="GZ98" i="3"/>
  <c r="HA98" i="3"/>
  <c r="HB98" i="3"/>
  <c r="HC98" i="3"/>
  <c r="HD98" i="3"/>
  <c r="HE98" i="3"/>
  <c r="HF98" i="3"/>
  <c r="HG98" i="3"/>
  <c r="HH98" i="3"/>
  <c r="HI98" i="3"/>
  <c r="HJ98" i="3"/>
  <c r="HK98" i="3"/>
  <c r="HL98" i="3"/>
  <c r="HM98" i="3"/>
  <c r="HN98" i="3"/>
  <c r="HO98" i="3"/>
  <c r="HP98" i="3"/>
  <c r="HQ98" i="3"/>
  <c r="HR98" i="3"/>
  <c r="HS98" i="3"/>
  <c r="HT98" i="3"/>
  <c r="HU98" i="3"/>
  <c r="HV98" i="3"/>
  <c r="HW98" i="3"/>
  <c r="HX98" i="3"/>
  <c r="HY98" i="3"/>
  <c r="HZ98" i="3"/>
  <c r="IA98" i="3"/>
  <c r="IB98" i="3"/>
  <c r="IC98" i="3"/>
  <c r="ID98" i="3"/>
  <c r="IE98" i="3"/>
  <c r="IF98" i="3"/>
  <c r="IG98" i="3"/>
  <c r="IH98" i="3"/>
  <c r="II98" i="3"/>
  <c r="IJ98" i="3"/>
  <c r="IK98" i="3"/>
  <c r="IL98" i="3"/>
  <c r="IM98" i="3"/>
  <c r="IN98" i="3"/>
  <c r="IO98" i="3"/>
  <c r="IP98" i="3"/>
  <c r="IQ98" i="3"/>
  <c r="IR98" i="3"/>
  <c r="IS98" i="3"/>
  <c r="IT98" i="3"/>
  <c r="IU98" i="3"/>
  <c r="IV98" i="3"/>
  <c r="A97" i="3"/>
  <c r="B97" i="3"/>
  <c r="C97" i="3"/>
  <c r="D97" i="3"/>
  <c r="E97" i="3"/>
  <c r="F97" i="3"/>
  <c r="G97" i="3"/>
  <c r="H97" i="3"/>
  <c r="I97" i="3"/>
  <c r="J97" i="3"/>
  <c r="K97" i="3"/>
  <c r="L97" i="3"/>
  <c r="M97" i="3"/>
  <c r="N97" i="3"/>
  <c r="O97" i="3"/>
  <c r="P97" i="3"/>
  <c r="Q97" i="3"/>
  <c r="R97" i="3"/>
  <c r="S97" i="3"/>
  <c r="T97" i="3"/>
  <c r="U97" i="3"/>
  <c r="V97" i="3"/>
  <c r="W97" i="3"/>
  <c r="X97" i="3"/>
  <c r="Y97" i="3"/>
  <c r="Z97" i="3"/>
  <c r="AA97" i="3"/>
  <c r="AB97" i="3"/>
  <c r="AC97" i="3"/>
  <c r="AD97" i="3"/>
  <c r="AE97" i="3"/>
  <c r="AF97" i="3"/>
  <c r="AG97" i="3"/>
  <c r="AH97" i="3"/>
  <c r="AI97" i="3"/>
  <c r="AJ97" i="3"/>
  <c r="AK97" i="3"/>
  <c r="AL97" i="3"/>
  <c r="AM97" i="3"/>
  <c r="AN97" i="3"/>
  <c r="AO97" i="3"/>
  <c r="AP97" i="3"/>
  <c r="AQ97" i="3"/>
  <c r="AR97" i="3"/>
  <c r="AS97" i="3"/>
  <c r="AT97" i="3"/>
  <c r="AU97" i="3"/>
  <c r="AV97" i="3"/>
  <c r="AW97" i="3"/>
  <c r="AX97" i="3"/>
  <c r="AY97" i="3"/>
  <c r="AZ97" i="3"/>
  <c r="BA97" i="3"/>
  <c r="BB97" i="3"/>
  <c r="BC97" i="3"/>
  <c r="BD97" i="3"/>
  <c r="BE97" i="3"/>
  <c r="BF97" i="3"/>
  <c r="BG97" i="3"/>
  <c r="BH97" i="3"/>
  <c r="BI97" i="3"/>
  <c r="BJ97" i="3"/>
  <c r="BK97" i="3"/>
  <c r="BL97" i="3"/>
  <c r="BM97" i="3"/>
  <c r="BN97" i="3"/>
  <c r="BO97" i="3"/>
  <c r="BP97" i="3"/>
  <c r="BQ97" i="3"/>
  <c r="BR97" i="3"/>
  <c r="BS97" i="3"/>
  <c r="BT97" i="3"/>
  <c r="BU97" i="3"/>
  <c r="BV97" i="3"/>
  <c r="BW97" i="3"/>
  <c r="BX97" i="3"/>
  <c r="BY97" i="3"/>
  <c r="BZ97" i="3"/>
  <c r="CA97" i="3"/>
  <c r="CB97" i="3"/>
  <c r="CC97" i="3"/>
  <c r="CD97" i="3"/>
  <c r="CE97" i="3"/>
  <c r="CF97" i="3"/>
  <c r="CG97" i="3"/>
  <c r="CH97" i="3"/>
  <c r="CI97" i="3"/>
  <c r="CJ97" i="3"/>
  <c r="CK97" i="3"/>
  <c r="CL97" i="3"/>
  <c r="CM97" i="3"/>
  <c r="CN97" i="3"/>
  <c r="CO97" i="3"/>
  <c r="CP97" i="3"/>
  <c r="CQ97" i="3"/>
  <c r="CR97" i="3"/>
  <c r="CS97" i="3"/>
  <c r="CT97" i="3"/>
  <c r="CU97" i="3"/>
  <c r="CV97" i="3"/>
  <c r="CW97" i="3"/>
  <c r="CX97" i="3"/>
  <c r="CY97" i="3"/>
  <c r="CZ97" i="3"/>
  <c r="DA97" i="3"/>
  <c r="DB97" i="3"/>
  <c r="DC97" i="3"/>
  <c r="DD97" i="3"/>
  <c r="DE97" i="3"/>
  <c r="DF97" i="3"/>
  <c r="DG97" i="3"/>
  <c r="DH97" i="3"/>
  <c r="DI97" i="3"/>
  <c r="DJ97" i="3"/>
  <c r="DK97" i="3"/>
  <c r="DL97" i="3"/>
  <c r="DM97" i="3"/>
  <c r="DN97" i="3"/>
  <c r="DO97" i="3"/>
  <c r="DP97" i="3"/>
  <c r="DQ97" i="3"/>
  <c r="DR97" i="3"/>
  <c r="DS97" i="3"/>
  <c r="DT97" i="3"/>
  <c r="DU97" i="3"/>
  <c r="DV97" i="3"/>
  <c r="DW97" i="3"/>
  <c r="DX97" i="3"/>
  <c r="DY97" i="3"/>
  <c r="DZ97" i="3"/>
  <c r="EA97" i="3"/>
  <c r="EB97" i="3"/>
  <c r="EC97" i="3"/>
  <c r="ED97" i="3"/>
  <c r="EE97" i="3"/>
  <c r="EF97" i="3"/>
  <c r="EG97" i="3"/>
  <c r="EH97" i="3"/>
  <c r="EI97" i="3"/>
  <c r="EJ97" i="3"/>
  <c r="EK97" i="3"/>
  <c r="EL97" i="3"/>
  <c r="EM97" i="3"/>
  <c r="EN97" i="3"/>
  <c r="EO97" i="3"/>
  <c r="EP97" i="3"/>
  <c r="EQ97" i="3"/>
  <c r="ER97" i="3"/>
  <c r="ES97" i="3"/>
  <c r="ET97" i="3"/>
  <c r="EU97" i="3"/>
  <c r="EV97" i="3"/>
  <c r="EW97" i="3"/>
  <c r="EX97" i="3"/>
  <c r="EY97" i="3"/>
  <c r="EZ97" i="3"/>
  <c r="FA97" i="3"/>
  <c r="FB97" i="3"/>
  <c r="FC97" i="3"/>
  <c r="FD97" i="3"/>
  <c r="FE97" i="3"/>
  <c r="FF97" i="3"/>
  <c r="FG97" i="3"/>
  <c r="FH97" i="3"/>
  <c r="FI97" i="3"/>
  <c r="FJ97" i="3"/>
  <c r="FK97" i="3"/>
  <c r="FL97" i="3"/>
  <c r="FM97" i="3"/>
  <c r="FN97" i="3"/>
  <c r="FO97" i="3"/>
  <c r="FP97" i="3"/>
  <c r="FQ97" i="3"/>
  <c r="FR97" i="3"/>
  <c r="FS97" i="3"/>
  <c r="FT97" i="3"/>
  <c r="FU97" i="3"/>
  <c r="FV97" i="3"/>
  <c r="FW97" i="3"/>
  <c r="FX97" i="3"/>
  <c r="FY97" i="3"/>
  <c r="FZ97" i="3"/>
  <c r="GA97" i="3"/>
  <c r="GB97" i="3"/>
  <c r="GC97" i="3"/>
  <c r="GD97" i="3"/>
  <c r="GE97" i="3"/>
  <c r="GF97" i="3"/>
  <c r="GG97" i="3"/>
  <c r="GH97" i="3"/>
  <c r="GI97" i="3"/>
  <c r="GJ97" i="3"/>
  <c r="GK97" i="3"/>
  <c r="GL97" i="3"/>
  <c r="GM97" i="3"/>
  <c r="GN97" i="3"/>
  <c r="GO97" i="3"/>
  <c r="GP97" i="3"/>
  <c r="GQ97" i="3"/>
  <c r="GR97" i="3"/>
  <c r="GS97" i="3"/>
  <c r="GT97" i="3"/>
  <c r="GU97" i="3"/>
  <c r="GV97" i="3"/>
  <c r="GW97" i="3"/>
  <c r="GX97" i="3"/>
  <c r="GY97" i="3"/>
  <c r="GZ97" i="3"/>
  <c r="HA97" i="3"/>
  <c r="HB97" i="3"/>
  <c r="HC97" i="3"/>
  <c r="HD97" i="3"/>
  <c r="HE97" i="3"/>
  <c r="HF97" i="3"/>
  <c r="HG97" i="3"/>
  <c r="HH97" i="3"/>
  <c r="HI97" i="3"/>
  <c r="HJ97" i="3"/>
  <c r="HK97" i="3"/>
  <c r="HL97" i="3"/>
  <c r="HM97" i="3"/>
  <c r="HN97" i="3"/>
  <c r="HO97" i="3"/>
  <c r="HP97" i="3"/>
  <c r="HQ97" i="3"/>
  <c r="HR97" i="3"/>
  <c r="HS97" i="3"/>
  <c r="HT97" i="3"/>
  <c r="HU97" i="3"/>
  <c r="HV97" i="3"/>
  <c r="HW97" i="3"/>
  <c r="HX97" i="3"/>
  <c r="HY97" i="3"/>
  <c r="HZ97" i="3"/>
  <c r="IA97" i="3"/>
  <c r="IB97" i="3"/>
  <c r="IC97" i="3"/>
  <c r="ID97" i="3"/>
  <c r="IE97" i="3"/>
  <c r="IF97" i="3"/>
  <c r="IG97" i="3"/>
  <c r="IH97" i="3"/>
  <c r="II97" i="3"/>
  <c r="IJ97" i="3"/>
  <c r="IK97" i="3"/>
  <c r="IL97" i="3"/>
  <c r="IM97" i="3"/>
  <c r="IN97" i="3"/>
  <c r="IO97" i="3"/>
  <c r="IP97" i="3"/>
  <c r="IQ97" i="3"/>
  <c r="IR97" i="3"/>
  <c r="IS97" i="3"/>
  <c r="IT97" i="3"/>
  <c r="IU97" i="3"/>
  <c r="IV97" i="3"/>
  <c r="A96" i="3"/>
  <c r="B96" i="3"/>
  <c r="C96" i="3"/>
  <c r="D96" i="3"/>
  <c r="E96" i="3"/>
  <c r="F96" i="3"/>
  <c r="G96" i="3"/>
  <c r="H96" i="3"/>
  <c r="I96" i="3"/>
  <c r="J96" i="3"/>
  <c r="K96" i="3"/>
  <c r="L96" i="3"/>
  <c r="M96" i="3"/>
  <c r="N96" i="3"/>
  <c r="O96" i="3"/>
  <c r="P96" i="3"/>
  <c r="Q96" i="3"/>
  <c r="R96" i="3"/>
  <c r="S96" i="3"/>
  <c r="T96" i="3"/>
  <c r="U96" i="3"/>
  <c r="V96" i="3"/>
  <c r="W96" i="3"/>
  <c r="X96" i="3"/>
  <c r="Y96" i="3"/>
  <c r="Z96" i="3"/>
  <c r="AA96" i="3"/>
  <c r="AB96" i="3"/>
  <c r="AC96" i="3"/>
  <c r="AD96" i="3"/>
  <c r="AE96" i="3"/>
  <c r="AF96" i="3"/>
  <c r="AG96" i="3"/>
  <c r="AH96" i="3"/>
  <c r="AI96" i="3"/>
  <c r="AJ96" i="3"/>
  <c r="AK96" i="3"/>
  <c r="AL96" i="3"/>
  <c r="AM96" i="3"/>
  <c r="AN96" i="3"/>
  <c r="AO96" i="3"/>
  <c r="AP96" i="3"/>
  <c r="AQ96" i="3"/>
  <c r="AR96" i="3"/>
  <c r="AS96" i="3"/>
  <c r="AT96" i="3"/>
  <c r="AU96" i="3"/>
  <c r="AV96" i="3"/>
  <c r="AW96" i="3"/>
  <c r="AX96" i="3"/>
  <c r="AY96" i="3"/>
  <c r="AZ96" i="3"/>
  <c r="BA96" i="3"/>
  <c r="BB96" i="3"/>
  <c r="BC96" i="3"/>
  <c r="BD96" i="3"/>
  <c r="BE96" i="3"/>
  <c r="BF96" i="3"/>
  <c r="BG96" i="3"/>
  <c r="BH96" i="3"/>
  <c r="BI96" i="3"/>
  <c r="BJ96" i="3"/>
  <c r="BK96" i="3"/>
  <c r="BL96" i="3"/>
  <c r="BM96" i="3"/>
  <c r="BN96" i="3"/>
  <c r="BO96" i="3"/>
  <c r="BP96" i="3"/>
  <c r="BQ96" i="3"/>
  <c r="BR96" i="3"/>
  <c r="BS96" i="3"/>
  <c r="BT96" i="3"/>
  <c r="BU96" i="3"/>
  <c r="BV96" i="3"/>
  <c r="BW96" i="3"/>
  <c r="BX96" i="3"/>
  <c r="BY96" i="3"/>
  <c r="BZ96" i="3"/>
  <c r="CA96" i="3"/>
  <c r="CB96" i="3"/>
  <c r="CC96" i="3"/>
  <c r="CD96" i="3"/>
  <c r="CE96" i="3"/>
  <c r="CF96" i="3"/>
  <c r="CG96" i="3"/>
  <c r="CH96" i="3"/>
  <c r="CI96" i="3"/>
  <c r="CJ96" i="3"/>
  <c r="CK96" i="3"/>
  <c r="CL96" i="3"/>
  <c r="CM96" i="3"/>
  <c r="CN96" i="3"/>
  <c r="CO96" i="3"/>
  <c r="CP96" i="3"/>
  <c r="CQ96" i="3"/>
  <c r="CR96" i="3"/>
  <c r="CS96" i="3"/>
  <c r="CT96" i="3"/>
  <c r="CU96" i="3"/>
  <c r="CV96" i="3"/>
  <c r="CW96" i="3"/>
  <c r="CX96" i="3"/>
  <c r="CY96" i="3"/>
  <c r="CZ96" i="3"/>
  <c r="DA96" i="3"/>
  <c r="DB96" i="3"/>
  <c r="DC96" i="3"/>
  <c r="DD96" i="3"/>
  <c r="DE96" i="3"/>
  <c r="DF96" i="3"/>
  <c r="DG96" i="3"/>
  <c r="DH96" i="3"/>
  <c r="DI96" i="3"/>
  <c r="DJ96" i="3"/>
  <c r="DK96" i="3"/>
  <c r="DL96" i="3"/>
  <c r="DM96" i="3"/>
  <c r="DN96" i="3"/>
  <c r="DO96" i="3"/>
  <c r="DP96" i="3"/>
  <c r="DQ96" i="3"/>
  <c r="DR96" i="3"/>
  <c r="DS96" i="3"/>
  <c r="DT96" i="3"/>
  <c r="DU96" i="3"/>
  <c r="DV96" i="3"/>
  <c r="DW96" i="3"/>
  <c r="DX96" i="3"/>
  <c r="DY96" i="3"/>
  <c r="DZ96" i="3"/>
  <c r="EA96" i="3"/>
  <c r="EB96" i="3"/>
  <c r="EC96" i="3"/>
  <c r="ED96" i="3"/>
  <c r="EE96" i="3"/>
  <c r="EF96" i="3"/>
  <c r="EG96" i="3"/>
  <c r="EH96" i="3"/>
  <c r="EI96" i="3"/>
  <c r="EJ96" i="3"/>
  <c r="EK96" i="3"/>
  <c r="EL96" i="3"/>
  <c r="EM96" i="3"/>
  <c r="EN96" i="3"/>
  <c r="EO96" i="3"/>
  <c r="EP96" i="3"/>
  <c r="EQ96" i="3"/>
  <c r="ER96" i="3"/>
  <c r="ES96" i="3"/>
  <c r="ET96" i="3"/>
  <c r="EU96" i="3"/>
  <c r="EV96" i="3"/>
  <c r="EW96" i="3"/>
  <c r="EX96" i="3"/>
  <c r="EY96" i="3"/>
  <c r="EZ96" i="3"/>
  <c r="FA96" i="3"/>
  <c r="FB96" i="3"/>
  <c r="FC96" i="3"/>
  <c r="FD96" i="3"/>
  <c r="FE96" i="3"/>
  <c r="FF96" i="3"/>
  <c r="FG96" i="3"/>
  <c r="FH96" i="3"/>
  <c r="FI96" i="3"/>
  <c r="FJ96" i="3"/>
  <c r="FK96" i="3"/>
  <c r="FL96" i="3"/>
  <c r="FM96" i="3"/>
  <c r="FN96" i="3"/>
  <c r="FO96" i="3"/>
  <c r="FP96" i="3"/>
  <c r="FQ96" i="3"/>
  <c r="FR96" i="3"/>
  <c r="FS96" i="3"/>
  <c r="FT96" i="3"/>
  <c r="FU96" i="3"/>
  <c r="FV96" i="3"/>
  <c r="FW96" i="3"/>
  <c r="FX96" i="3"/>
  <c r="FY96" i="3"/>
  <c r="FZ96" i="3"/>
  <c r="GA96" i="3"/>
  <c r="GB96" i="3"/>
  <c r="GC96" i="3"/>
  <c r="GD96" i="3"/>
  <c r="GE96" i="3"/>
  <c r="GF96" i="3"/>
  <c r="GG96" i="3"/>
  <c r="GH96" i="3"/>
  <c r="GI96" i="3"/>
  <c r="GJ96" i="3"/>
  <c r="GK96" i="3"/>
  <c r="GL96" i="3"/>
  <c r="GM96" i="3"/>
  <c r="GN96" i="3"/>
  <c r="GO96" i="3"/>
  <c r="GP96" i="3"/>
  <c r="GQ96" i="3"/>
  <c r="GR96" i="3"/>
  <c r="GS96" i="3"/>
  <c r="GT96" i="3"/>
  <c r="GU96" i="3"/>
  <c r="GV96" i="3"/>
  <c r="GW96" i="3"/>
  <c r="GX96" i="3"/>
  <c r="GY96" i="3"/>
  <c r="GZ96" i="3"/>
  <c r="HA96" i="3"/>
  <c r="HB96" i="3"/>
  <c r="HC96" i="3"/>
  <c r="HD96" i="3"/>
  <c r="HE96" i="3"/>
  <c r="HF96" i="3"/>
  <c r="HG96" i="3"/>
  <c r="HH96" i="3"/>
  <c r="HI96" i="3"/>
  <c r="HJ96" i="3"/>
  <c r="HK96" i="3"/>
  <c r="HL96" i="3"/>
  <c r="HM96" i="3"/>
  <c r="HN96" i="3"/>
  <c r="HO96" i="3"/>
  <c r="HP96" i="3"/>
  <c r="HQ96" i="3"/>
  <c r="HR96" i="3"/>
  <c r="HS96" i="3"/>
  <c r="HT96" i="3"/>
  <c r="HU96" i="3"/>
  <c r="HV96" i="3"/>
  <c r="HW96" i="3"/>
  <c r="HX96" i="3"/>
  <c r="HY96" i="3"/>
  <c r="HZ96" i="3"/>
  <c r="IA96" i="3"/>
  <c r="IB96" i="3"/>
  <c r="IC96" i="3"/>
  <c r="ID96" i="3"/>
  <c r="IE96" i="3"/>
  <c r="IF96" i="3"/>
  <c r="IG96" i="3"/>
  <c r="IH96" i="3"/>
  <c r="II96" i="3"/>
  <c r="IJ96" i="3"/>
  <c r="IK96" i="3"/>
  <c r="IL96" i="3"/>
  <c r="IM96" i="3"/>
  <c r="IN96" i="3"/>
  <c r="IO96" i="3"/>
  <c r="IP96" i="3"/>
  <c r="IQ96" i="3"/>
  <c r="IR96" i="3"/>
  <c r="IS96" i="3"/>
  <c r="IT96" i="3"/>
  <c r="IU96" i="3"/>
  <c r="IV96" i="3"/>
  <c r="A95" i="3"/>
  <c r="B95" i="3"/>
  <c r="C95" i="3"/>
  <c r="D95" i="3"/>
  <c r="E95" i="3"/>
  <c r="F95" i="3"/>
  <c r="G95" i="3"/>
  <c r="H95" i="3"/>
  <c r="I95" i="3"/>
  <c r="J95" i="3"/>
  <c r="K95" i="3"/>
  <c r="L95" i="3"/>
  <c r="M95" i="3"/>
  <c r="N95" i="3"/>
  <c r="O95" i="3"/>
  <c r="P95" i="3"/>
  <c r="Q95" i="3"/>
  <c r="R95" i="3"/>
  <c r="S95" i="3"/>
  <c r="T95" i="3"/>
  <c r="U95" i="3"/>
  <c r="V95" i="3"/>
  <c r="W95" i="3"/>
  <c r="X95" i="3"/>
  <c r="Y95" i="3"/>
  <c r="Z95" i="3"/>
  <c r="AA95" i="3"/>
  <c r="AB95" i="3"/>
  <c r="AC95" i="3"/>
  <c r="AD95" i="3"/>
  <c r="AE95" i="3"/>
  <c r="AF95" i="3"/>
  <c r="AG95" i="3"/>
  <c r="AH95" i="3"/>
  <c r="AI95" i="3"/>
  <c r="AJ95" i="3"/>
  <c r="AK95" i="3"/>
  <c r="AL95" i="3"/>
  <c r="AM95" i="3"/>
  <c r="AN95" i="3"/>
  <c r="AO95" i="3"/>
  <c r="AP95" i="3"/>
  <c r="AQ95" i="3"/>
  <c r="AR95" i="3"/>
  <c r="AS95" i="3"/>
  <c r="AT95" i="3"/>
  <c r="AU95" i="3"/>
  <c r="AV95" i="3"/>
  <c r="AW95" i="3"/>
  <c r="AX95" i="3"/>
  <c r="AY95" i="3"/>
  <c r="AZ95" i="3"/>
  <c r="BA95" i="3"/>
  <c r="BB95" i="3"/>
  <c r="BC95" i="3"/>
  <c r="BD95" i="3"/>
  <c r="BE95" i="3"/>
  <c r="BF95" i="3"/>
  <c r="BG95" i="3"/>
  <c r="BH95" i="3"/>
  <c r="BI95" i="3"/>
  <c r="BJ95" i="3"/>
  <c r="BK95" i="3"/>
  <c r="BL95" i="3"/>
  <c r="BM95" i="3"/>
  <c r="BN95" i="3"/>
  <c r="BO95" i="3"/>
  <c r="BP95" i="3"/>
  <c r="BQ95" i="3"/>
  <c r="BR95" i="3"/>
  <c r="BS95" i="3"/>
  <c r="BT95" i="3"/>
  <c r="BU95" i="3"/>
  <c r="BV95" i="3"/>
  <c r="BW95" i="3"/>
  <c r="BX95" i="3"/>
  <c r="BY95" i="3"/>
  <c r="BZ95" i="3"/>
  <c r="CA95" i="3"/>
  <c r="CB95" i="3"/>
  <c r="CC95" i="3"/>
  <c r="CD95" i="3"/>
  <c r="CE95" i="3"/>
  <c r="CF95" i="3"/>
  <c r="CG95" i="3"/>
  <c r="CH95" i="3"/>
  <c r="CI95" i="3"/>
  <c r="CJ95" i="3"/>
  <c r="CK95" i="3"/>
  <c r="CL95" i="3"/>
  <c r="CM95" i="3"/>
  <c r="CN95" i="3"/>
  <c r="CO95" i="3"/>
  <c r="CP95" i="3"/>
  <c r="CQ95" i="3"/>
  <c r="CR95" i="3"/>
  <c r="CS95" i="3"/>
  <c r="CT95" i="3"/>
  <c r="CU95" i="3"/>
  <c r="CV95" i="3"/>
  <c r="CW95" i="3"/>
  <c r="CX95" i="3"/>
  <c r="CY95" i="3"/>
  <c r="CZ95" i="3"/>
  <c r="DA95" i="3"/>
  <c r="DB95" i="3"/>
  <c r="DC95" i="3"/>
  <c r="DD95" i="3"/>
  <c r="DE95" i="3"/>
  <c r="DF95" i="3"/>
  <c r="DG95" i="3"/>
  <c r="DH95" i="3"/>
  <c r="DI95" i="3"/>
  <c r="DJ95" i="3"/>
  <c r="DK95" i="3"/>
  <c r="DL95" i="3"/>
  <c r="DM95" i="3"/>
  <c r="DN95" i="3"/>
  <c r="DO95" i="3"/>
  <c r="DP95" i="3"/>
  <c r="DQ95" i="3"/>
  <c r="DR95" i="3"/>
  <c r="DS95" i="3"/>
  <c r="DT95" i="3"/>
  <c r="DU95" i="3"/>
  <c r="DV95" i="3"/>
  <c r="DW95" i="3"/>
  <c r="DX95" i="3"/>
  <c r="DY95" i="3"/>
  <c r="DZ95" i="3"/>
  <c r="EA95" i="3"/>
  <c r="EB95" i="3"/>
  <c r="EC95" i="3"/>
  <c r="ED95" i="3"/>
  <c r="EE95" i="3"/>
  <c r="EF95" i="3"/>
  <c r="EG95" i="3"/>
  <c r="EH95" i="3"/>
  <c r="EI95" i="3"/>
  <c r="EJ95" i="3"/>
  <c r="EK95" i="3"/>
  <c r="EL95" i="3"/>
  <c r="EM95" i="3"/>
  <c r="EN95" i="3"/>
  <c r="EO95" i="3"/>
  <c r="EP95" i="3"/>
  <c r="EQ95" i="3"/>
  <c r="ER95" i="3"/>
  <c r="ES95" i="3"/>
  <c r="ET95" i="3"/>
  <c r="EU95" i="3"/>
  <c r="EV95" i="3"/>
  <c r="EW95" i="3"/>
  <c r="EX95" i="3"/>
  <c r="EY95" i="3"/>
  <c r="EZ95" i="3"/>
  <c r="FA95" i="3"/>
  <c r="FB95" i="3"/>
  <c r="FC95" i="3"/>
  <c r="FD95" i="3"/>
  <c r="FE95" i="3"/>
  <c r="FF95" i="3"/>
  <c r="FG95" i="3"/>
  <c r="FH95" i="3"/>
  <c r="FI95" i="3"/>
  <c r="FJ95" i="3"/>
  <c r="FK95" i="3"/>
  <c r="FL95" i="3"/>
  <c r="FM95" i="3"/>
  <c r="FN95" i="3"/>
  <c r="FO95" i="3"/>
  <c r="FP95" i="3"/>
  <c r="FQ95" i="3"/>
  <c r="FR95" i="3"/>
  <c r="FS95" i="3"/>
  <c r="FT95" i="3"/>
  <c r="FU95" i="3"/>
  <c r="FV95" i="3"/>
  <c r="FW95" i="3"/>
  <c r="FX95" i="3"/>
  <c r="FY95" i="3"/>
  <c r="FZ95" i="3"/>
  <c r="GA95" i="3"/>
  <c r="GB95" i="3"/>
  <c r="GC95" i="3"/>
  <c r="GD95" i="3"/>
  <c r="GE95" i="3"/>
  <c r="GF95" i="3"/>
  <c r="GG95" i="3"/>
  <c r="GH95" i="3"/>
  <c r="GI95" i="3"/>
  <c r="GJ95" i="3"/>
  <c r="GK95" i="3"/>
  <c r="GL95" i="3"/>
  <c r="GM95" i="3"/>
  <c r="GN95" i="3"/>
  <c r="GO95" i="3"/>
  <c r="GP95" i="3"/>
  <c r="GQ95" i="3"/>
  <c r="GR95" i="3"/>
  <c r="GS95" i="3"/>
  <c r="GT95" i="3"/>
  <c r="GU95" i="3"/>
  <c r="GV95" i="3"/>
  <c r="GW95" i="3"/>
  <c r="GX95" i="3"/>
  <c r="GY95" i="3"/>
  <c r="GZ95" i="3"/>
  <c r="HA95" i="3"/>
  <c r="HB95" i="3"/>
  <c r="HC95" i="3"/>
  <c r="HD95" i="3"/>
  <c r="HE95" i="3"/>
  <c r="HF95" i="3"/>
  <c r="HG95" i="3"/>
  <c r="HH95" i="3"/>
  <c r="HI95" i="3"/>
  <c r="HJ95" i="3"/>
  <c r="HK95" i="3"/>
  <c r="HL95" i="3"/>
  <c r="HM95" i="3"/>
  <c r="HN95" i="3"/>
  <c r="HO95" i="3"/>
  <c r="HP95" i="3"/>
  <c r="HQ95" i="3"/>
  <c r="HR95" i="3"/>
  <c r="HS95" i="3"/>
  <c r="HT95" i="3"/>
  <c r="HU95" i="3"/>
  <c r="HV95" i="3"/>
  <c r="HW95" i="3"/>
  <c r="HX95" i="3"/>
  <c r="HY95" i="3"/>
  <c r="HZ95" i="3"/>
  <c r="IA95" i="3"/>
  <c r="IB95" i="3"/>
  <c r="IC95" i="3"/>
  <c r="ID95" i="3"/>
  <c r="IE95" i="3"/>
  <c r="IF95" i="3"/>
  <c r="IG95" i="3"/>
  <c r="IH95" i="3"/>
  <c r="II95" i="3"/>
  <c r="IJ95" i="3"/>
  <c r="IK95" i="3"/>
  <c r="IL95" i="3"/>
  <c r="IM95" i="3"/>
  <c r="IN95" i="3"/>
  <c r="IO95" i="3"/>
  <c r="IP95" i="3"/>
  <c r="IQ95" i="3"/>
  <c r="IR95" i="3"/>
  <c r="IS95" i="3"/>
  <c r="IT95" i="3"/>
  <c r="IU95" i="3"/>
  <c r="IV95" i="3"/>
  <c r="A94" i="3"/>
  <c r="B94" i="3"/>
  <c r="C94" i="3"/>
  <c r="D94" i="3"/>
  <c r="E94" i="3"/>
  <c r="F94" i="3"/>
  <c r="G94" i="3"/>
  <c r="H94" i="3"/>
  <c r="I94" i="3"/>
  <c r="J94" i="3"/>
  <c r="K94" i="3"/>
  <c r="L94" i="3"/>
  <c r="M94" i="3"/>
  <c r="N94" i="3"/>
  <c r="O94" i="3"/>
  <c r="P94" i="3"/>
  <c r="Q94" i="3"/>
  <c r="R94" i="3"/>
  <c r="S94" i="3"/>
  <c r="T94" i="3"/>
  <c r="U94" i="3"/>
  <c r="V94" i="3"/>
  <c r="W94" i="3"/>
  <c r="X94" i="3"/>
  <c r="Y94" i="3"/>
  <c r="Z94" i="3"/>
  <c r="AA94" i="3"/>
  <c r="AB94" i="3"/>
  <c r="AC94" i="3"/>
  <c r="AD94" i="3"/>
  <c r="AE94" i="3"/>
  <c r="AF94" i="3"/>
  <c r="AG94" i="3"/>
  <c r="AH94" i="3"/>
  <c r="AI94" i="3"/>
  <c r="AJ94" i="3"/>
  <c r="AK94" i="3"/>
  <c r="AL94" i="3"/>
  <c r="AM94" i="3"/>
  <c r="AN94" i="3"/>
  <c r="AO94" i="3"/>
  <c r="AP94" i="3"/>
  <c r="AQ94" i="3"/>
  <c r="AR94" i="3"/>
  <c r="AS94" i="3"/>
  <c r="AT94" i="3"/>
  <c r="AU94" i="3"/>
  <c r="AV94" i="3"/>
  <c r="AW94" i="3"/>
  <c r="AX94" i="3"/>
  <c r="AY94" i="3"/>
  <c r="AZ94" i="3"/>
  <c r="BA94" i="3"/>
  <c r="BB94" i="3"/>
  <c r="BC94" i="3"/>
  <c r="BD94" i="3"/>
  <c r="BE94" i="3"/>
  <c r="BF94" i="3"/>
  <c r="BG94" i="3"/>
  <c r="BH94" i="3"/>
  <c r="BI94" i="3"/>
  <c r="BJ94" i="3"/>
  <c r="BK94" i="3"/>
  <c r="BL94" i="3"/>
  <c r="BM94" i="3"/>
  <c r="BN94" i="3"/>
  <c r="BO94" i="3"/>
  <c r="BP94" i="3"/>
  <c r="BQ94" i="3"/>
  <c r="BR94" i="3"/>
  <c r="BS94" i="3"/>
  <c r="BT94" i="3"/>
  <c r="BU94" i="3"/>
  <c r="BV94" i="3"/>
  <c r="BW94" i="3"/>
  <c r="BX94" i="3"/>
  <c r="BY94" i="3"/>
  <c r="BZ94" i="3"/>
  <c r="CA94" i="3"/>
  <c r="CB94" i="3"/>
  <c r="CC94" i="3"/>
  <c r="CD94" i="3"/>
  <c r="CE94" i="3"/>
  <c r="CF94" i="3"/>
  <c r="CG94" i="3"/>
  <c r="CH94" i="3"/>
  <c r="CI94" i="3"/>
  <c r="CJ94" i="3"/>
  <c r="CK94" i="3"/>
  <c r="CL94" i="3"/>
  <c r="CM94" i="3"/>
  <c r="CN94" i="3"/>
  <c r="CO94" i="3"/>
  <c r="CP94" i="3"/>
  <c r="CQ94" i="3"/>
  <c r="CR94" i="3"/>
  <c r="CS94" i="3"/>
  <c r="CT94" i="3"/>
  <c r="CU94" i="3"/>
  <c r="CV94" i="3"/>
  <c r="CW94" i="3"/>
  <c r="CX94" i="3"/>
  <c r="CY94" i="3"/>
  <c r="CZ94" i="3"/>
  <c r="DA94" i="3"/>
  <c r="DB94" i="3"/>
  <c r="DC94" i="3"/>
  <c r="DD94" i="3"/>
  <c r="DE94" i="3"/>
  <c r="DF94" i="3"/>
  <c r="DG94" i="3"/>
  <c r="DH94" i="3"/>
  <c r="DI94" i="3"/>
  <c r="DJ94" i="3"/>
  <c r="DK94" i="3"/>
  <c r="DL94" i="3"/>
  <c r="DM94" i="3"/>
  <c r="DN94" i="3"/>
  <c r="DO94" i="3"/>
  <c r="DP94" i="3"/>
  <c r="DQ94" i="3"/>
  <c r="DR94" i="3"/>
  <c r="DS94" i="3"/>
  <c r="DT94" i="3"/>
  <c r="DU94" i="3"/>
  <c r="DV94" i="3"/>
  <c r="DW94" i="3"/>
  <c r="DX94" i="3"/>
  <c r="DY94" i="3"/>
  <c r="DZ94" i="3"/>
  <c r="EA94" i="3"/>
  <c r="EB94" i="3"/>
  <c r="EC94" i="3"/>
  <c r="ED94" i="3"/>
  <c r="EE94" i="3"/>
  <c r="EF94" i="3"/>
  <c r="EG94" i="3"/>
  <c r="EH94" i="3"/>
  <c r="EI94" i="3"/>
  <c r="EJ94" i="3"/>
  <c r="EK94" i="3"/>
  <c r="EL94" i="3"/>
  <c r="EM94" i="3"/>
  <c r="EN94" i="3"/>
  <c r="EO94" i="3"/>
  <c r="EP94" i="3"/>
  <c r="EQ94" i="3"/>
  <c r="ER94" i="3"/>
  <c r="ES94" i="3"/>
  <c r="ET94" i="3"/>
  <c r="EU94" i="3"/>
  <c r="EV94" i="3"/>
  <c r="EW94" i="3"/>
  <c r="EX94" i="3"/>
  <c r="EY94" i="3"/>
  <c r="EZ94" i="3"/>
  <c r="FA94" i="3"/>
  <c r="FB94" i="3"/>
  <c r="FC94" i="3"/>
  <c r="FD94" i="3"/>
  <c r="FE94" i="3"/>
  <c r="FF94" i="3"/>
  <c r="FG94" i="3"/>
  <c r="FH94" i="3"/>
  <c r="FI94" i="3"/>
  <c r="FJ94" i="3"/>
  <c r="FK94" i="3"/>
  <c r="FL94" i="3"/>
  <c r="FM94" i="3"/>
  <c r="FN94" i="3"/>
  <c r="FO94" i="3"/>
  <c r="FP94" i="3"/>
  <c r="FQ94" i="3"/>
  <c r="FR94" i="3"/>
  <c r="FS94" i="3"/>
  <c r="FT94" i="3"/>
  <c r="FU94" i="3"/>
  <c r="FV94" i="3"/>
  <c r="FW94" i="3"/>
  <c r="FX94" i="3"/>
  <c r="FY94" i="3"/>
  <c r="FZ94" i="3"/>
  <c r="GA94" i="3"/>
  <c r="GB94" i="3"/>
  <c r="GC94" i="3"/>
  <c r="GD94" i="3"/>
  <c r="GE94" i="3"/>
  <c r="GF94" i="3"/>
  <c r="GG94" i="3"/>
  <c r="GH94" i="3"/>
  <c r="GI94" i="3"/>
  <c r="GJ94" i="3"/>
  <c r="GK94" i="3"/>
  <c r="GL94" i="3"/>
  <c r="GM94" i="3"/>
  <c r="GN94" i="3"/>
  <c r="GO94" i="3"/>
  <c r="GP94" i="3"/>
  <c r="GQ94" i="3"/>
  <c r="GR94" i="3"/>
  <c r="GS94" i="3"/>
  <c r="GT94" i="3"/>
  <c r="GU94" i="3"/>
  <c r="GV94" i="3"/>
  <c r="GW94" i="3"/>
  <c r="GX94" i="3"/>
  <c r="GY94" i="3"/>
  <c r="GZ94" i="3"/>
  <c r="HA94" i="3"/>
  <c r="HB94" i="3"/>
  <c r="HC94" i="3"/>
  <c r="HD94" i="3"/>
  <c r="HE94" i="3"/>
  <c r="HF94" i="3"/>
  <c r="HG94" i="3"/>
  <c r="HH94" i="3"/>
  <c r="HI94" i="3"/>
  <c r="HJ94" i="3"/>
  <c r="HK94" i="3"/>
  <c r="HL94" i="3"/>
  <c r="HM94" i="3"/>
  <c r="HN94" i="3"/>
  <c r="HO94" i="3"/>
  <c r="HP94" i="3"/>
  <c r="HQ94" i="3"/>
  <c r="HR94" i="3"/>
  <c r="HS94" i="3"/>
  <c r="HT94" i="3"/>
  <c r="HU94" i="3"/>
  <c r="HV94" i="3"/>
  <c r="HW94" i="3"/>
  <c r="HX94" i="3"/>
  <c r="HY94" i="3"/>
  <c r="HZ94" i="3"/>
  <c r="IA94" i="3"/>
  <c r="IB94" i="3"/>
  <c r="IC94" i="3"/>
  <c r="ID94" i="3"/>
  <c r="IE94" i="3"/>
  <c r="IF94" i="3"/>
  <c r="IG94" i="3"/>
  <c r="IH94" i="3"/>
  <c r="II94" i="3"/>
  <c r="IJ94" i="3"/>
  <c r="IK94" i="3"/>
  <c r="IL94" i="3"/>
  <c r="IM94" i="3"/>
  <c r="IN94" i="3"/>
  <c r="IO94" i="3"/>
  <c r="IP94" i="3"/>
  <c r="IQ94" i="3"/>
  <c r="IR94" i="3"/>
  <c r="IS94" i="3"/>
  <c r="IT94" i="3"/>
  <c r="IU94" i="3"/>
  <c r="IV94" i="3"/>
  <c r="A93" i="3"/>
  <c r="B93" i="3"/>
  <c r="C93" i="3"/>
  <c r="D93" i="3"/>
  <c r="E93" i="3"/>
  <c r="F93" i="3"/>
  <c r="G93" i="3"/>
  <c r="H93" i="3"/>
  <c r="I93" i="3"/>
  <c r="J93" i="3"/>
  <c r="K93" i="3"/>
  <c r="L93" i="3"/>
  <c r="M93" i="3"/>
  <c r="N93" i="3"/>
  <c r="O93" i="3"/>
  <c r="P93" i="3"/>
  <c r="Q93" i="3"/>
  <c r="R93" i="3"/>
  <c r="S93" i="3"/>
  <c r="T93" i="3"/>
  <c r="U93" i="3"/>
  <c r="V93" i="3"/>
  <c r="W93" i="3"/>
  <c r="X93" i="3"/>
  <c r="Y93" i="3"/>
  <c r="Z93" i="3"/>
  <c r="AA93" i="3"/>
  <c r="AB93" i="3"/>
  <c r="AC93" i="3"/>
  <c r="AD93" i="3"/>
  <c r="AE93" i="3"/>
  <c r="AF93" i="3"/>
  <c r="AG93" i="3"/>
  <c r="AH93" i="3"/>
  <c r="AI93" i="3"/>
  <c r="AJ93" i="3"/>
  <c r="AK93" i="3"/>
  <c r="AL93" i="3"/>
  <c r="AM93" i="3"/>
  <c r="AN93" i="3"/>
  <c r="AO93" i="3"/>
  <c r="AP93" i="3"/>
  <c r="AQ93" i="3"/>
  <c r="AR93" i="3"/>
  <c r="AS93" i="3"/>
  <c r="AT93" i="3"/>
  <c r="AU93" i="3"/>
  <c r="AV93" i="3"/>
  <c r="AW93" i="3"/>
  <c r="AX93" i="3"/>
  <c r="AY93" i="3"/>
  <c r="AZ93" i="3"/>
  <c r="BA93" i="3"/>
  <c r="BB93" i="3"/>
  <c r="BC93" i="3"/>
  <c r="BD93" i="3"/>
  <c r="BE93" i="3"/>
  <c r="BF93" i="3"/>
  <c r="BG93" i="3"/>
  <c r="BH93" i="3"/>
  <c r="BI93" i="3"/>
  <c r="BJ93" i="3"/>
  <c r="BK93" i="3"/>
  <c r="BL93" i="3"/>
  <c r="BM93" i="3"/>
  <c r="BN93" i="3"/>
  <c r="BO93" i="3"/>
  <c r="BP93" i="3"/>
  <c r="BQ93" i="3"/>
  <c r="BR93" i="3"/>
  <c r="BS93" i="3"/>
  <c r="BT93" i="3"/>
  <c r="BU93" i="3"/>
  <c r="BV93" i="3"/>
  <c r="BW93" i="3"/>
  <c r="BX93" i="3"/>
  <c r="BY93" i="3"/>
  <c r="BZ93" i="3"/>
  <c r="CA93" i="3"/>
  <c r="CB93" i="3"/>
  <c r="CC93" i="3"/>
  <c r="CD93" i="3"/>
  <c r="CE93" i="3"/>
  <c r="CF93" i="3"/>
  <c r="CG93" i="3"/>
  <c r="CH93" i="3"/>
  <c r="CI93" i="3"/>
  <c r="CJ93" i="3"/>
  <c r="CK93" i="3"/>
  <c r="CL93" i="3"/>
  <c r="CM93" i="3"/>
  <c r="CN93" i="3"/>
  <c r="CO93" i="3"/>
  <c r="CP93" i="3"/>
  <c r="CQ93" i="3"/>
  <c r="CR93" i="3"/>
  <c r="CS93" i="3"/>
  <c r="CT93" i="3"/>
  <c r="CU93" i="3"/>
  <c r="CV93" i="3"/>
  <c r="CW93" i="3"/>
  <c r="CX93" i="3"/>
  <c r="CY93" i="3"/>
  <c r="CZ93" i="3"/>
  <c r="DA93" i="3"/>
  <c r="DB93" i="3"/>
  <c r="DC93" i="3"/>
  <c r="DD93" i="3"/>
  <c r="DE93" i="3"/>
  <c r="DF93" i="3"/>
  <c r="DG93" i="3"/>
  <c r="DH93" i="3"/>
  <c r="DI93" i="3"/>
  <c r="DJ93" i="3"/>
  <c r="DK93" i="3"/>
  <c r="DL93" i="3"/>
  <c r="DM93" i="3"/>
  <c r="DN93" i="3"/>
  <c r="DO93" i="3"/>
  <c r="DP93" i="3"/>
  <c r="DQ93" i="3"/>
  <c r="DR93" i="3"/>
  <c r="DS93" i="3"/>
  <c r="DT93" i="3"/>
  <c r="DU93" i="3"/>
  <c r="DV93" i="3"/>
  <c r="DW93" i="3"/>
  <c r="DX93" i="3"/>
  <c r="DY93" i="3"/>
  <c r="DZ93" i="3"/>
  <c r="EA93" i="3"/>
  <c r="EB93" i="3"/>
  <c r="EC93" i="3"/>
  <c r="ED93" i="3"/>
  <c r="EE93" i="3"/>
  <c r="EF93" i="3"/>
  <c r="EG93" i="3"/>
  <c r="EH93" i="3"/>
  <c r="EI93" i="3"/>
  <c r="EJ93" i="3"/>
  <c r="EK93" i="3"/>
  <c r="EL93" i="3"/>
  <c r="EM93" i="3"/>
  <c r="EN93" i="3"/>
  <c r="EO93" i="3"/>
  <c r="EP93" i="3"/>
  <c r="EQ93" i="3"/>
  <c r="ER93" i="3"/>
  <c r="ES93" i="3"/>
  <c r="ET93" i="3"/>
  <c r="EU93" i="3"/>
  <c r="EV93" i="3"/>
  <c r="EW93" i="3"/>
  <c r="EX93" i="3"/>
  <c r="EY93" i="3"/>
  <c r="EZ93" i="3"/>
  <c r="FA93" i="3"/>
  <c r="FB93" i="3"/>
  <c r="FC93" i="3"/>
  <c r="FD93" i="3"/>
  <c r="FE93" i="3"/>
  <c r="FF93" i="3"/>
  <c r="FG93" i="3"/>
  <c r="FH93" i="3"/>
  <c r="FI93" i="3"/>
  <c r="FJ93" i="3"/>
  <c r="FK93" i="3"/>
  <c r="FL93" i="3"/>
  <c r="FM93" i="3"/>
  <c r="FN93" i="3"/>
  <c r="FO93" i="3"/>
  <c r="FP93" i="3"/>
  <c r="FQ93" i="3"/>
  <c r="FR93" i="3"/>
  <c r="FS93" i="3"/>
  <c r="FT93" i="3"/>
  <c r="FU93" i="3"/>
  <c r="FV93" i="3"/>
  <c r="FW93" i="3"/>
  <c r="FX93" i="3"/>
  <c r="FY93" i="3"/>
  <c r="FZ93" i="3"/>
  <c r="GA93" i="3"/>
  <c r="GB93" i="3"/>
  <c r="GC93" i="3"/>
  <c r="GD93" i="3"/>
  <c r="GE93" i="3"/>
  <c r="GF93" i="3"/>
  <c r="GG93" i="3"/>
  <c r="GH93" i="3"/>
  <c r="GI93" i="3"/>
  <c r="GJ93" i="3"/>
  <c r="GK93" i="3"/>
  <c r="GL93" i="3"/>
  <c r="GM93" i="3"/>
  <c r="GN93" i="3"/>
  <c r="GO93" i="3"/>
  <c r="GP93" i="3"/>
  <c r="GQ93" i="3"/>
  <c r="GR93" i="3"/>
  <c r="GS93" i="3"/>
  <c r="GT93" i="3"/>
  <c r="GU93" i="3"/>
  <c r="GV93" i="3"/>
  <c r="GW93" i="3"/>
  <c r="GX93" i="3"/>
  <c r="GY93" i="3"/>
  <c r="GZ93" i="3"/>
  <c r="HA93" i="3"/>
  <c r="HB93" i="3"/>
  <c r="HC93" i="3"/>
  <c r="HD93" i="3"/>
  <c r="HE93" i="3"/>
  <c r="HF93" i="3"/>
  <c r="HG93" i="3"/>
  <c r="HH93" i="3"/>
  <c r="HI93" i="3"/>
  <c r="HJ93" i="3"/>
  <c r="HK93" i="3"/>
  <c r="HL93" i="3"/>
  <c r="HM93" i="3"/>
  <c r="HN93" i="3"/>
  <c r="HO93" i="3"/>
  <c r="HP93" i="3"/>
  <c r="HQ93" i="3"/>
  <c r="HR93" i="3"/>
  <c r="HS93" i="3"/>
  <c r="HT93" i="3"/>
  <c r="HU93" i="3"/>
  <c r="HV93" i="3"/>
  <c r="HW93" i="3"/>
  <c r="HX93" i="3"/>
  <c r="HY93" i="3"/>
  <c r="HZ93" i="3"/>
  <c r="IA93" i="3"/>
  <c r="IB93" i="3"/>
  <c r="IC93" i="3"/>
  <c r="ID93" i="3"/>
  <c r="IE93" i="3"/>
  <c r="IF93" i="3"/>
  <c r="IG93" i="3"/>
  <c r="IH93" i="3"/>
  <c r="II93" i="3"/>
  <c r="IJ93" i="3"/>
  <c r="IK93" i="3"/>
  <c r="IL93" i="3"/>
  <c r="IM93" i="3"/>
  <c r="IN93" i="3"/>
  <c r="IO93" i="3"/>
  <c r="IP93" i="3"/>
  <c r="IQ93" i="3"/>
  <c r="IR93" i="3"/>
  <c r="IS93" i="3"/>
  <c r="IT93" i="3"/>
  <c r="IU93" i="3"/>
  <c r="IV93" i="3"/>
  <c r="A92" i="3"/>
  <c r="B92" i="3"/>
  <c r="C92" i="3"/>
  <c r="D92" i="3"/>
  <c r="E92" i="3"/>
  <c r="F92" i="3"/>
  <c r="G92" i="3"/>
  <c r="H92" i="3"/>
  <c r="I92" i="3"/>
  <c r="J92" i="3"/>
  <c r="K92" i="3"/>
  <c r="L92" i="3"/>
  <c r="M92" i="3"/>
  <c r="N92" i="3"/>
  <c r="O92" i="3"/>
  <c r="P92" i="3"/>
  <c r="Q92" i="3"/>
  <c r="R92" i="3"/>
  <c r="S92" i="3"/>
  <c r="T92" i="3"/>
  <c r="U92" i="3"/>
  <c r="V92" i="3"/>
  <c r="W92" i="3"/>
  <c r="X92" i="3"/>
  <c r="Y92" i="3"/>
  <c r="Z92" i="3"/>
  <c r="AA92" i="3"/>
  <c r="AB92" i="3"/>
  <c r="AC92" i="3"/>
  <c r="AD92" i="3"/>
  <c r="AE92" i="3"/>
  <c r="AF92" i="3"/>
  <c r="AG92" i="3"/>
  <c r="AH92" i="3"/>
  <c r="AI92" i="3"/>
  <c r="AJ92" i="3"/>
  <c r="AK92" i="3"/>
  <c r="AL92" i="3"/>
  <c r="AM92" i="3"/>
  <c r="AN92" i="3"/>
  <c r="AO92" i="3"/>
  <c r="AP92" i="3"/>
  <c r="AQ92" i="3"/>
  <c r="AR92" i="3"/>
  <c r="AS92" i="3"/>
  <c r="AT92" i="3"/>
  <c r="AU92" i="3"/>
  <c r="AV92" i="3"/>
  <c r="AW92" i="3"/>
  <c r="AX92" i="3"/>
  <c r="AY92" i="3"/>
  <c r="AZ92" i="3"/>
  <c r="BA92" i="3"/>
  <c r="BB92" i="3"/>
  <c r="BC92" i="3"/>
  <c r="BD92" i="3"/>
  <c r="BE92" i="3"/>
  <c r="BF92" i="3"/>
  <c r="BG92" i="3"/>
  <c r="BH92" i="3"/>
  <c r="BI92" i="3"/>
  <c r="BJ92" i="3"/>
  <c r="BK92" i="3"/>
  <c r="BL92" i="3"/>
  <c r="BM92" i="3"/>
  <c r="BN92" i="3"/>
  <c r="BO92" i="3"/>
  <c r="BP92" i="3"/>
  <c r="BQ92" i="3"/>
  <c r="BR92" i="3"/>
  <c r="BS92" i="3"/>
  <c r="BT92" i="3"/>
  <c r="BU92" i="3"/>
  <c r="BV92" i="3"/>
  <c r="BW92" i="3"/>
  <c r="BX92" i="3"/>
  <c r="BY92" i="3"/>
  <c r="BZ92" i="3"/>
  <c r="CA92" i="3"/>
  <c r="CB92" i="3"/>
  <c r="CC92" i="3"/>
  <c r="CD92" i="3"/>
  <c r="CE92" i="3"/>
  <c r="CF92" i="3"/>
  <c r="CG92" i="3"/>
  <c r="CH92" i="3"/>
  <c r="CI92" i="3"/>
  <c r="CJ92" i="3"/>
  <c r="CK92" i="3"/>
  <c r="CL92" i="3"/>
  <c r="CM92" i="3"/>
  <c r="CN92" i="3"/>
  <c r="CO92" i="3"/>
  <c r="CP92" i="3"/>
  <c r="CQ92" i="3"/>
  <c r="CR92" i="3"/>
  <c r="CS92" i="3"/>
  <c r="CT92" i="3"/>
  <c r="CU92" i="3"/>
  <c r="CV92" i="3"/>
  <c r="CW92" i="3"/>
  <c r="CX92" i="3"/>
  <c r="CY92" i="3"/>
  <c r="CZ92" i="3"/>
  <c r="DA92" i="3"/>
  <c r="DB92" i="3"/>
  <c r="DC92" i="3"/>
  <c r="DD92" i="3"/>
  <c r="DE92" i="3"/>
  <c r="DF92" i="3"/>
  <c r="DG92" i="3"/>
  <c r="DH92" i="3"/>
  <c r="DI92" i="3"/>
  <c r="DJ92" i="3"/>
  <c r="DK92" i="3"/>
  <c r="DL92" i="3"/>
  <c r="DM92" i="3"/>
  <c r="DN92" i="3"/>
  <c r="DO92" i="3"/>
  <c r="DP92" i="3"/>
  <c r="DQ92" i="3"/>
  <c r="DR92" i="3"/>
  <c r="DS92" i="3"/>
  <c r="DT92" i="3"/>
  <c r="DU92" i="3"/>
  <c r="DV92" i="3"/>
  <c r="DW92" i="3"/>
  <c r="DX92" i="3"/>
  <c r="DY92" i="3"/>
  <c r="DZ92" i="3"/>
  <c r="EA92" i="3"/>
  <c r="EB92" i="3"/>
  <c r="EC92" i="3"/>
  <c r="ED92" i="3"/>
  <c r="EE92" i="3"/>
  <c r="EF92" i="3"/>
  <c r="EG92" i="3"/>
  <c r="EH92" i="3"/>
  <c r="EI92" i="3"/>
  <c r="EJ92" i="3"/>
  <c r="EK92" i="3"/>
  <c r="EL92" i="3"/>
  <c r="EM92" i="3"/>
  <c r="EN92" i="3"/>
  <c r="EO92" i="3"/>
  <c r="EP92" i="3"/>
  <c r="EQ92" i="3"/>
  <c r="ER92" i="3"/>
  <c r="ES92" i="3"/>
  <c r="ET92" i="3"/>
  <c r="EU92" i="3"/>
  <c r="EV92" i="3"/>
  <c r="EW92" i="3"/>
  <c r="EX92" i="3"/>
  <c r="EY92" i="3"/>
  <c r="EZ92" i="3"/>
  <c r="FA92" i="3"/>
  <c r="FB92" i="3"/>
  <c r="FC92" i="3"/>
  <c r="FD92" i="3"/>
  <c r="FE92" i="3"/>
  <c r="FF92" i="3"/>
  <c r="FG92" i="3"/>
  <c r="FH92" i="3"/>
  <c r="FI92" i="3"/>
  <c r="FJ92" i="3"/>
  <c r="FK92" i="3"/>
  <c r="FL92" i="3"/>
  <c r="FM92" i="3"/>
  <c r="FN92" i="3"/>
  <c r="FO92" i="3"/>
  <c r="FP92" i="3"/>
  <c r="FQ92" i="3"/>
  <c r="FR92" i="3"/>
  <c r="FS92" i="3"/>
  <c r="FT92" i="3"/>
  <c r="FU92" i="3"/>
  <c r="FV92" i="3"/>
  <c r="FW92" i="3"/>
  <c r="FX92" i="3"/>
  <c r="FY92" i="3"/>
  <c r="FZ92" i="3"/>
  <c r="GA92" i="3"/>
  <c r="GB92" i="3"/>
  <c r="GC92" i="3"/>
  <c r="GD92" i="3"/>
  <c r="GE92" i="3"/>
  <c r="GF92" i="3"/>
  <c r="GG92" i="3"/>
  <c r="GH92" i="3"/>
  <c r="GI92" i="3"/>
  <c r="GJ92" i="3"/>
  <c r="GK92" i="3"/>
  <c r="GL92" i="3"/>
  <c r="GM92" i="3"/>
  <c r="GN92" i="3"/>
  <c r="GO92" i="3"/>
  <c r="GP92" i="3"/>
  <c r="GQ92" i="3"/>
  <c r="GR92" i="3"/>
  <c r="GS92" i="3"/>
  <c r="GT92" i="3"/>
  <c r="GU92" i="3"/>
  <c r="GV92" i="3"/>
  <c r="GW92" i="3"/>
  <c r="GX92" i="3"/>
  <c r="GY92" i="3"/>
  <c r="GZ92" i="3"/>
  <c r="HA92" i="3"/>
  <c r="HB92" i="3"/>
  <c r="HC92" i="3"/>
  <c r="HD92" i="3"/>
  <c r="HE92" i="3"/>
  <c r="HF92" i="3"/>
  <c r="HG92" i="3"/>
  <c r="HH92" i="3"/>
  <c r="HI92" i="3"/>
  <c r="HJ92" i="3"/>
  <c r="HK92" i="3"/>
  <c r="HL92" i="3"/>
  <c r="HM92" i="3"/>
  <c r="HN92" i="3"/>
  <c r="HO92" i="3"/>
  <c r="HP92" i="3"/>
  <c r="HQ92" i="3"/>
  <c r="HR92" i="3"/>
  <c r="HS92" i="3"/>
  <c r="HT92" i="3"/>
  <c r="HU92" i="3"/>
  <c r="HV92" i="3"/>
  <c r="HW92" i="3"/>
  <c r="HX92" i="3"/>
  <c r="HY92" i="3"/>
  <c r="HZ92" i="3"/>
  <c r="IA92" i="3"/>
  <c r="IB92" i="3"/>
  <c r="IC92" i="3"/>
  <c r="ID92" i="3"/>
  <c r="IE92" i="3"/>
  <c r="IF92" i="3"/>
  <c r="IG92" i="3"/>
  <c r="IH92" i="3"/>
  <c r="II92" i="3"/>
  <c r="IJ92" i="3"/>
  <c r="IK92" i="3"/>
  <c r="IL92" i="3"/>
  <c r="IM92" i="3"/>
  <c r="IN92" i="3"/>
  <c r="IO92" i="3"/>
  <c r="IP92" i="3"/>
  <c r="IQ92" i="3"/>
  <c r="IR92" i="3"/>
  <c r="IS92" i="3"/>
  <c r="IT92" i="3"/>
  <c r="IU92" i="3"/>
  <c r="IV92" i="3"/>
  <c r="A91" i="3"/>
  <c r="B91" i="3"/>
  <c r="C91" i="3"/>
  <c r="D91" i="3"/>
  <c r="E91" i="3"/>
  <c r="F91" i="3"/>
  <c r="G91" i="3"/>
  <c r="H91" i="3"/>
  <c r="I91" i="3"/>
  <c r="J91" i="3"/>
  <c r="K91" i="3"/>
  <c r="L91" i="3"/>
  <c r="M91" i="3"/>
  <c r="N91" i="3"/>
  <c r="O91" i="3"/>
  <c r="P91" i="3"/>
  <c r="Q91" i="3"/>
  <c r="R91" i="3"/>
  <c r="S91" i="3"/>
  <c r="T91" i="3"/>
  <c r="U91" i="3"/>
  <c r="V91" i="3"/>
  <c r="W91" i="3"/>
  <c r="X91" i="3"/>
  <c r="Y91" i="3"/>
  <c r="Z91" i="3"/>
  <c r="AA91" i="3"/>
  <c r="AB91" i="3"/>
  <c r="AC91" i="3"/>
  <c r="AD91" i="3"/>
  <c r="AE91" i="3"/>
  <c r="AF91" i="3"/>
  <c r="AG91" i="3"/>
  <c r="AH91" i="3"/>
  <c r="AI91" i="3"/>
  <c r="AJ91" i="3"/>
  <c r="AK91" i="3"/>
  <c r="AL91" i="3"/>
  <c r="AM91" i="3"/>
  <c r="AN91" i="3"/>
  <c r="AO91" i="3"/>
  <c r="AP91" i="3"/>
  <c r="AQ91" i="3"/>
  <c r="AR91" i="3"/>
  <c r="AS91" i="3"/>
  <c r="AT91" i="3"/>
  <c r="AU91" i="3"/>
  <c r="AV91" i="3"/>
  <c r="AW91" i="3"/>
  <c r="AX91" i="3"/>
  <c r="AY91" i="3"/>
  <c r="AZ91" i="3"/>
  <c r="BA91" i="3"/>
  <c r="BB91" i="3"/>
  <c r="BC91" i="3"/>
  <c r="BD91" i="3"/>
  <c r="BE91" i="3"/>
  <c r="BF91" i="3"/>
  <c r="BG91" i="3"/>
  <c r="BH91" i="3"/>
  <c r="BI91" i="3"/>
  <c r="BJ91" i="3"/>
  <c r="BK91" i="3"/>
  <c r="BL91" i="3"/>
  <c r="BM91" i="3"/>
  <c r="BN91" i="3"/>
  <c r="BO91" i="3"/>
  <c r="BP91" i="3"/>
  <c r="BQ91" i="3"/>
  <c r="BR91" i="3"/>
  <c r="BS91" i="3"/>
  <c r="BT91" i="3"/>
  <c r="BU91" i="3"/>
  <c r="BV91" i="3"/>
  <c r="BW91" i="3"/>
  <c r="BX91" i="3"/>
  <c r="BY91" i="3"/>
  <c r="BZ91" i="3"/>
  <c r="CA91" i="3"/>
  <c r="CB91" i="3"/>
  <c r="CC91" i="3"/>
  <c r="CD91" i="3"/>
  <c r="CE91" i="3"/>
  <c r="CF91" i="3"/>
  <c r="CG91" i="3"/>
  <c r="CH91" i="3"/>
  <c r="CI91" i="3"/>
  <c r="CJ91" i="3"/>
  <c r="CK91" i="3"/>
  <c r="CL91" i="3"/>
  <c r="CM91" i="3"/>
  <c r="CN91" i="3"/>
  <c r="CO91" i="3"/>
  <c r="CP91" i="3"/>
  <c r="CQ91" i="3"/>
  <c r="CR91" i="3"/>
  <c r="CS91" i="3"/>
  <c r="CT91" i="3"/>
  <c r="CU91" i="3"/>
  <c r="CV91" i="3"/>
  <c r="CW91" i="3"/>
  <c r="CX91" i="3"/>
  <c r="CY91" i="3"/>
  <c r="CZ91" i="3"/>
  <c r="DA91" i="3"/>
  <c r="DB91" i="3"/>
  <c r="DC91" i="3"/>
  <c r="DD91" i="3"/>
  <c r="DE91" i="3"/>
  <c r="DF91" i="3"/>
  <c r="DG91" i="3"/>
  <c r="DH91" i="3"/>
  <c r="DI91" i="3"/>
  <c r="DJ91" i="3"/>
  <c r="DK91" i="3"/>
  <c r="DL91" i="3"/>
  <c r="DM91" i="3"/>
  <c r="DN91" i="3"/>
  <c r="DO91" i="3"/>
  <c r="DP91" i="3"/>
  <c r="DQ91" i="3"/>
  <c r="DR91" i="3"/>
  <c r="DS91" i="3"/>
  <c r="DT91" i="3"/>
  <c r="DU91" i="3"/>
  <c r="DV91" i="3"/>
  <c r="DW91" i="3"/>
  <c r="DX91" i="3"/>
  <c r="DY91" i="3"/>
  <c r="DZ91" i="3"/>
  <c r="EA91" i="3"/>
  <c r="EB91" i="3"/>
  <c r="EC91" i="3"/>
  <c r="ED91" i="3"/>
  <c r="EE91" i="3"/>
  <c r="EF91" i="3"/>
  <c r="EG91" i="3"/>
  <c r="EH91" i="3"/>
  <c r="EI91" i="3"/>
  <c r="EJ91" i="3"/>
  <c r="EK91" i="3"/>
  <c r="EL91" i="3"/>
  <c r="EM91" i="3"/>
  <c r="EN91" i="3"/>
  <c r="EO91" i="3"/>
  <c r="EP91" i="3"/>
  <c r="EQ91" i="3"/>
  <c r="ER91" i="3"/>
  <c r="ES91" i="3"/>
  <c r="ET91" i="3"/>
  <c r="EU91" i="3"/>
  <c r="EV91" i="3"/>
  <c r="EW91" i="3"/>
  <c r="EX91" i="3"/>
  <c r="EY91" i="3"/>
  <c r="EZ91" i="3"/>
  <c r="FA91" i="3"/>
  <c r="FB91" i="3"/>
  <c r="FC91" i="3"/>
  <c r="FD91" i="3"/>
  <c r="FE91" i="3"/>
  <c r="FF91" i="3"/>
  <c r="FG91" i="3"/>
  <c r="FH91" i="3"/>
  <c r="FI91" i="3"/>
  <c r="FJ91" i="3"/>
  <c r="FK91" i="3"/>
  <c r="FL91" i="3"/>
  <c r="FM91" i="3"/>
  <c r="FN91" i="3"/>
  <c r="FO91" i="3"/>
  <c r="FP91" i="3"/>
  <c r="FQ91" i="3"/>
  <c r="FR91" i="3"/>
  <c r="FS91" i="3"/>
  <c r="FT91" i="3"/>
  <c r="FU91" i="3"/>
  <c r="FV91" i="3"/>
  <c r="FW91" i="3"/>
  <c r="FX91" i="3"/>
  <c r="FY91" i="3"/>
  <c r="FZ91" i="3"/>
  <c r="GA91" i="3"/>
  <c r="GB91" i="3"/>
  <c r="GC91" i="3"/>
  <c r="GD91" i="3"/>
  <c r="GE91" i="3"/>
  <c r="GF91" i="3"/>
  <c r="GG91" i="3"/>
  <c r="GH91" i="3"/>
  <c r="GI91" i="3"/>
  <c r="GJ91" i="3"/>
  <c r="GK91" i="3"/>
  <c r="GL91" i="3"/>
  <c r="GM91" i="3"/>
  <c r="GN91" i="3"/>
  <c r="GO91" i="3"/>
  <c r="GP91" i="3"/>
  <c r="GQ91" i="3"/>
  <c r="GR91" i="3"/>
  <c r="GS91" i="3"/>
  <c r="GT91" i="3"/>
  <c r="GU91" i="3"/>
  <c r="GV91" i="3"/>
  <c r="GW91" i="3"/>
  <c r="GX91" i="3"/>
  <c r="GY91" i="3"/>
  <c r="GZ91" i="3"/>
  <c r="HA91" i="3"/>
  <c r="HB91" i="3"/>
  <c r="HC91" i="3"/>
  <c r="HD91" i="3"/>
  <c r="HE91" i="3"/>
  <c r="HF91" i="3"/>
  <c r="HG91" i="3"/>
  <c r="HH91" i="3"/>
  <c r="HI91" i="3"/>
  <c r="HJ91" i="3"/>
  <c r="HK91" i="3"/>
  <c r="HL91" i="3"/>
  <c r="HM91" i="3"/>
  <c r="HN91" i="3"/>
  <c r="HO91" i="3"/>
  <c r="HP91" i="3"/>
  <c r="HQ91" i="3"/>
  <c r="HR91" i="3"/>
  <c r="HS91" i="3"/>
  <c r="HT91" i="3"/>
  <c r="HU91" i="3"/>
  <c r="HV91" i="3"/>
  <c r="HW91" i="3"/>
  <c r="HX91" i="3"/>
  <c r="HY91" i="3"/>
  <c r="HZ91" i="3"/>
  <c r="IA91" i="3"/>
  <c r="IB91" i="3"/>
  <c r="IC91" i="3"/>
  <c r="ID91" i="3"/>
  <c r="IE91" i="3"/>
  <c r="IF91" i="3"/>
  <c r="IG91" i="3"/>
  <c r="IH91" i="3"/>
  <c r="II91" i="3"/>
  <c r="IJ91" i="3"/>
  <c r="IK91" i="3"/>
  <c r="IL91" i="3"/>
  <c r="IM91" i="3"/>
  <c r="IN91" i="3"/>
  <c r="IO91" i="3"/>
  <c r="IP91" i="3"/>
  <c r="IQ91" i="3"/>
  <c r="IR91" i="3"/>
  <c r="IS91" i="3"/>
  <c r="IT91" i="3"/>
  <c r="IU91" i="3"/>
  <c r="IV91" i="3"/>
  <c r="A90" i="3"/>
  <c r="B90" i="3"/>
  <c r="C90" i="3"/>
  <c r="D90" i="3"/>
  <c r="E90" i="3"/>
  <c r="F90" i="3"/>
  <c r="G90" i="3"/>
  <c r="H90" i="3"/>
  <c r="I90" i="3"/>
  <c r="J90" i="3"/>
  <c r="K90" i="3"/>
  <c r="L90" i="3"/>
  <c r="M90" i="3"/>
  <c r="N90" i="3"/>
  <c r="O90" i="3"/>
  <c r="P90" i="3"/>
  <c r="Q90" i="3"/>
  <c r="R90" i="3"/>
  <c r="S90" i="3"/>
  <c r="T90" i="3"/>
  <c r="U90" i="3"/>
  <c r="V90" i="3"/>
  <c r="W90" i="3"/>
  <c r="X90" i="3"/>
  <c r="Y90" i="3"/>
  <c r="Z90" i="3"/>
  <c r="AA90" i="3"/>
  <c r="AB90" i="3"/>
  <c r="AC90" i="3"/>
  <c r="AD90" i="3"/>
  <c r="AE90" i="3"/>
  <c r="AF90" i="3"/>
  <c r="AG90" i="3"/>
  <c r="AH90" i="3"/>
  <c r="AI90" i="3"/>
  <c r="AJ90" i="3"/>
  <c r="AK90" i="3"/>
  <c r="AL90" i="3"/>
  <c r="AM90" i="3"/>
  <c r="AN90" i="3"/>
  <c r="AO90" i="3"/>
  <c r="AP90" i="3"/>
  <c r="AQ90" i="3"/>
  <c r="AR90" i="3"/>
  <c r="AS90" i="3"/>
  <c r="AT90" i="3"/>
  <c r="AU90" i="3"/>
  <c r="AV90" i="3"/>
  <c r="AW90" i="3"/>
  <c r="AX90" i="3"/>
  <c r="AY90" i="3"/>
  <c r="AZ90" i="3"/>
  <c r="BA90" i="3"/>
  <c r="BB90" i="3"/>
  <c r="BC90" i="3"/>
  <c r="BD90" i="3"/>
  <c r="BE90" i="3"/>
  <c r="BF90" i="3"/>
  <c r="BG90" i="3"/>
  <c r="BH90" i="3"/>
  <c r="BI90" i="3"/>
  <c r="BJ90" i="3"/>
  <c r="BK90" i="3"/>
  <c r="BL90" i="3"/>
  <c r="BM90" i="3"/>
  <c r="BN90" i="3"/>
  <c r="BO90" i="3"/>
  <c r="BP90" i="3"/>
  <c r="BQ90" i="3"/>
  <c r="BR90" i="3"/>
  <c r="BS90" i="3"/>
  <c r="BT90" i="3"/>
  <c r="BU90" i="3"/>
  <c r="BV90" i="3"/>
  <c r="BW90" i="3"/>
  <c r="BX90" i="3"/>
  <c r="BY90" i="3"/>
  <c r="BZ90" i="3"/>
  <c r="CA90" i="3"/>
  <c r="CB90" i="3"/>
  <c r="CC90" i="3"/>
  <c r="CD90" i="3"/>
  <c r="CE90" i="3"/>
  <c r="CF90" i="3"/>
  <c r="CG90" i="3"/>
  <c r="CH90" i="3"/>
  <c r="CI90" i="3"/>
  <c r="CJ90" i="3"/>
  <c r="CK90" i="3"/>
  <c r="CL90" i="3"/>
  <c r="CM90" i="3"/>
  <c r="CN90" i="3"/>
  <c r="CO90" i="3"/>
  <c r="CP90" i="3"/>
  <c r="CQ90" i="3"/>
  <c r="CR90" i="3"/>
  <c r="CS90" i="3"/>
  <c r="CT90" i="3"/>
  <c r="CU90" i="3"/>
  <c r="CV90" i="3"/>
  <c r="CW90" i="3"/>
  <c r="CX90" i="3"/>
  <c r="CY90" i="3"/>
  <c r="CZ90" i="3"/>
  <c r="DA90" i="3"/>
  <c r="DB90" i="3"/>
  <c r="DC90" i="3"/>
  <c r="DD90" i="3"/>
  <c r="DE90" i="3"/>
  <c r="DF90" i="3"/>
  <c r="DG90" i="3"/>
  <c r="DH90" i="3"/>
  <c r="DI90" i="3"/>
  <c r="DJ90" i="3"/>
  <c r="DK90" i="3"/>
  <c r="DL90" i="3"/>
  <c r="DM90" i="3"/>
  <c r="DN90" i="3"/>
  <c r="DO90" i="3"/>
  <c r="DP90" i="3"/>
  <c r="DQ90" i="3"/>
  <c r="DR90" i="3"/>
  <c r="DS90" i="3"/>
  <c r="DT90" i="3"/>
  <c r="DU90" i="3"/>
  <c r="DV90" i="3"/>
  <c r="DW90" i="3"/>
  <c r="DX90" i="3"/>
  <c r="DY90" i="3"/>
  <c r="DZ90" i="3"/>
  <c r="EA90" i="3"/>
  <c r="EB90" i="3"/>
  <c r="EC90" i="3"/>
  <c r="ED90" i="3"/>
  <c r="EE90" i="3"/>
  <c r="EF90" i="3"/>
  <c r="EG90" i="3"/>
  <c r="EH90" i="3"/>
  <c r="EI90" i="3"/>
  <c r="EJ90" i="3"/>
  <c r="EK90" i="3"/>
  <c r="EL90" i="3"/>
  <c r="EM90" i="3"/>
  <c r="EN90" i="3"/>
  <c r="EO90" i="3"/>
  <c r="EP90" i="3"/>
  <c r="EQ90" i="3"/>
  <c r="ER90" i="3"/>
  <c r="ES90" i="3"/>
  <c r="ET90" i="3"/>
  <c r="EU90" i="3"/>
  <c r="EV90" i="3"/>
  <c r="EW90" i="3"/>
  <c r="EX90" i="3"/>
  <c r="EY90" i="3"/>
  <c r="EZ90" i="3"/>
  <c r="FA90" i="3"/>
  <c r="FB90" i="3"/>
  <c r="FC90" i="3"/>
  <c r="FD90" i="3"/>
  <c r="FE90" i="3"/>
  <c r="FF90" i="3"/>
  <c r="FG90" i="3"/>
  <c r="FH90" i="3"/>
  <c r="FI90" i="3"/>
  <c r="FJ90" i="3"/>
  <c r="FK90" i="3"/>
  <c r="FL90" i="3"/>
  <c r="FM90" i="3"/>
  <c r="FN90" i="3"/>
  <c r="FO90" i="3"/>
  <c r="FP90" i="3"/>
  <c r="FQ90" i="3"/>
  <c r="FR90" i="3"/>
  <c r="FS90" i="3"/>
  <c r="FT90" i="3"/>
  <c r="FU90" i="3"/>
  <c r="FV90" i="3"/>
  <c r="FW90" i="3"/>
  <c r="FX90" i="3"/>
  <c r="FY90" i="3"/>
  <c r="FZ90" i="3"/>
  <c r="GA90" i="3"/>
  <c r="GB90" i="3"/>
  <c r="GC90" i="3"/>
  <c r="GD90" i="3"/>
  <c r="GE90" i="3"/>
  <c r="GF90" i="3"/>
  <c r="GG90" i="3"/>
  <c r="GH90" i="3"/>
  <c r="GI90" i="3"/>
  <c r="GJ90" i="3"/>
  <c r="GK90" i="3"/>
  <c r="GL90" i="3"/>
  <c r="GM90" i="3"/>
  <c r="GN90" i="3"/>
  <c r="GO90" i="3"/>
  <c r="GP90" i="3"/>
  <c r="GQ90" i="3"/>
  <c r="GR90" i="3"/>
  <c r="GS90" i="3"/>
  <c r="GT90" i="3"/>
  <c r="GU90" i="3"/>
  <c r="GV90" i="3"/>
  <c r="GW90" i="3"/>
  <c r="GX90" i="3"/>
  <c r="GY90" i="3"/>
  <c r="GZ90" i="3"/>
  <c r="HA90" i="3"/>
  <c r="HB90" i="3"/>
  <c r="HC90" i="3"/>
  <c r="HD90" i="3"/>
  <c r="HE90" i="3"/>
  <c r="HF90" i="3"/>
  <c r="HG90" i="3"/>
  <c r="HH90" i="3"/>
  <c r="HI90" i="3"/>
  <c r="HJ90" i="3"/>
  <c r="HK90" i="3"/>
  <c r="HL90" i="3"/>
  <c r="HM90" i="3"/>
  <c r="HN90" i="3"/>
  <c r="HO90" i="3"/>
  <c r="HP90" i="3"/>
  <c r="HQ90" i="3"/>
  <c r="HR90" i="3"/>
  <c r="HS90" i="3"/>
  <c r="HT90" i="3"/>
  <c r="HU90" i="3"/>
  <c r="HV90" i="3"/>
  <c r="HW90" i="3"/>
  <c r="HX90" i="3"/>
  <c r="HY90" i="3"/>
  <c r="HZ90" i="3"/>
  <c r="IA90" i="3"/>
  <c r="IB90" i="3"/>
  <c r="IC90" i="3"/>
  <c r="ID90" i="3"/>
  <c r="IE90" i="3"/>
  <c r="IF90" i="3"/>
  <c r="IG90" i="3"/>
  <c r="IH90" i="3"/>
  <c r="II90" i="3"/>
  <c r="IJ90" i="3"/>
  <c r="IK90" i="3"/>
  <c r="IL90" i="3"/>
  <c r="IM90" i="3"/>
  <c r="IN90" i="3"/>
  <c r="IO90" i="3"/>
  <c r="IP90" i="3"/>
  <c r="IQ90" i="3"/>
  <c r="IR90" i="3"/>
  <c r="IS90" i="3"/>
  <c r="IT90" i="3"/>
  <c r="IU90" i="3"/>
  <c r="IV90" i="3"/>
  <c r="A89" i="3"/>
  <c r="B89" i="3"/>
  <c r="C89" i="3"/>
  <c r="D89" i="3"/>
  <c r="E89" i="3"/>
  <c r="F89" i="3"/>
  <c r="G89" i="3"/>
  <c r="H89" i="3"/>
  <c r="I89" i="3"/>
  <c r="J89" i="3"/>
  <c r="K89" i="3"/>
  <c r="L89" i="3"/>
  <c r="M89" i="3"/>
  <c r="N89" i="3"/>
  <c r="O89" i="3"/>
  <c r="P89" i="3"/>
  <c r="Q89" i="3"/>
  <c r="R89" i="3"/>
  <c r="S89" i="3"/>
  <c r="T89" i="3"/>
  <c r="U89" i="3"/>
  <c r="V89" i="3"/>
  <c r="W89" i="3"/>
  <c r="X89" i="3"/>
  <c r="Y89" i="3"/>
  <c r="Z89" i="3"/>
  <c r="AA89" i="3"/>
  <c r="AB89" i="3"/>
  <c r="AC89" i="3"/>
  <c r="AD89" i="3"/>
  <c r="AE89" i="3"/>
  <c r="AF89" i="3"/>
  <c r="AG89" i="3"/>
  <c r="AH89" i="3"/>
  <c r="AI89" i="3"/>
  <c r="AJ89" i="3"/>
  <c r="AK89" i="3"/>
  <c r="AL89" i="3"/>
  <c r="AM89" i="3"/>
  <c r="AN89" i="3"/>
  <c r="AO89" i="3"/>
  <c r="AP89" i="3"/>
  <c r="AQ89" i="3"/>
  <c r="AR89" i="3"/>
  <c r="AS89" i="3"/>
  <c r="AT89" i="3"/>
  <c r="AU89" i="3"/>
  <c r="AV89" i="3"/>
  <c r="AW89" i="3"/>
  <c r="AX89" i="3"/>
  <c r="AY89" i="3"/>
  <c r="AZ89" i="3"/>
  <c r="BA89" i="3"/>
  <c r="BB89" i="3"/>
  <c r="BC89" i="3"/>
  <c r="BD89" i="3"/>
  <c r="BE89" i="3"/>
  <c r="BF89" i="3"/>
  <c r="BG89" i="3"/>
  <c r="BH89" i="3"/>
  <c r="BI89" i="3"/>
  <c r="BJ89" i="3"/>
  <c r="BK89" i="3"/>
  <c r="BL89" i="3"/>
  <c r="BM89" i="3"/>
  <c r="BN89" i="3"/>
  <c r="BO89" i="3"/>
  <c r="BP89" i="3"/>
  <c r="BQ89" i="3"/>
  <c r="BR89" i="3"/>
  <c r="BS89" i="3"/>
  <c r="BT89" i="3"/>
  <c r="BU89" i="3"/>
  <c r="BV89" i="3"/>
  <c r="BW89" i="3"/>
  <c r="BX89" i="3"/>
  <c r="BY89" i="3"/>
  <c r="BZ89" i="3"/>
  <c r="CA89" i="3"/>
  <c r="CB89" i="3"/>
  <c r="CC89" i="3"/>
  <c r="CD89" i="3"/>
  <c r="CE89" i="3"/>
  <c r="CF89" i="3"/>
  <c r="CG89" i="3"/>
  <c r="CH89" i="3"/>
  <c r="CI89" i="3"/>
  <c r="CJ89" i="3"/>
  <c r="CK89" i="3"/>
  <c r="CL89" i="3"/>
  <c r="CM89" i="3"/>
  <c r="CN89" i="3"/>
  <c r="CO89" i="3"/>
  <c r="CP89" i="3"/>
  <c r="CQ89" i="3"/>
  <c r="CR89" i="3"/>
  <c r="CS89" i="3"/>
  <c r="CT89" i="3"/>
  <c r="CU89" i="3"/>
  <c r="CV89" i="3"/>
  <c r="CW89" i="3"/>
  <c r="CX89" i="3"/>
  <c r="CY89" i="3"/>
  <c r="CZ89" i="3"/>
  <c r="DA89" i="3"/>
  <c r="DB89" i="3"/>
  <c r="DC89" i="3"/>
  <c r="DD89" i="3"/>
  <c r="DE89" i="3"/>
  <c r="DF89" i="3"/>
  <c r="DG89" i="3"/>
  <c r="DH89" i="3"/>
  <c r="DI89" i="3"/>
  <c r="DJ89" i="3"/>
  <c r="DK89" i="3"/>
  <c r="DL89" i="3"/>
  <c r="DM89" i="3"/>
  <c r="DN89" i="3"/>
  <c r="DO89" i="3"/>
  <c r="DP89" i="3"/>
  <c r="DQ89" i="3"/>
  <c r="DR89" i="3"/>
  <c r="DS89" i="3"/>
  <c r="DT89" i="3"/>
  <c r="DU89" i="3"/>
  <c r="DV89" i="3"/>
  <c r="DW89" i="3"/>
  <c r="DX89" i="3"/>
  <c r="DY89" i="3"/>
  <c r="DZ89" i="3"/>
  <c r="EA89" i="3"/>
  <c r="EB89" i="3"/>
  <c r="EC89" i="3"/>
  <c r="ED89" i="3"/>
  <c r="EE89" i="3"/>
  <c r="EF89" i="3"/>
  <c r="EG89" i="3"/>
  <c r="EH89" i="3"/>
  <c r="EI89" i="3"/>
  <c r="EJ89" i="3"/>
  <c r="EK89" i="3"/>
  <c r="EL89" i="3"/>
  <c r="EM89" i="3"/>
  <c r="EN89" i="3"/>
  <c r="EO89" i="3"/>
  <c r="EP89" i="3"/>
  <c r="EQ89" i="3"/>
  <c r="ER89" i="3"/>
  <c r="ES89" i="3"/>
  <c r="ET89" i="3"/>
  <c r="EU89" i="3"/>
  <c r="EV89" i="3"/>
  <c r="EW89" i="3"/>
  <c r="EX89" i="3"/>
  <c r="EY89" i="3"/>
  <c r="EZ89" i="3"/>
  <c r="FA89" i="3"/>
  <c r="FB89" i="3"/>
  <c r="FC89" i="3"/>
  <c r="FD89" i="3"/>
  <c r="FE89" i="3"/>
  <c r="FF89" i="3"/>
  <c r="FG89" i="3"/>
  <c r="FH89" i="3"/>
  <c r="FI89" i="3"/>
  <c r="FJ89" i="3"/>
  <c r="FK89" i="3"/>
  <c r="FL89" i="3"/>
  <c r="FM89" i="3"/>
  <c r="FN89" i="3"/>
  <c r="FO89" i="3"/>
  <c r="FP89" i="3"/>
  <c r="FQ89" i="3"/>
  <c r="FR89" i="3"/>
  <c r="FS89" i="3"/>
  <c r="FT89" i="3"/>
  <c r="FU89" i="3"/>
  <c r="FV89" i="3"/>
  <c r="FW89" i="3"/>
  <c r="FX89" i="3"/>
  <c r="FY89" i="3"/>
  <c r="FZ89" i="3"/>
  <c r="GA89" i="3"/>
  <c r="GB89" i="3"/>
  <c r="GC89" i="3"/>
  <c r="GD89" i="3"/>
  <c r="GE89" i="3"/>
  <c r="GF89" i="3"/>
  <c r="GG89" i="3"/>
  <c r="GH89" i="3"/>
  <c r="GI89" i="3"/>
  <c r="GJ89" i="3"/>
  <c r="GK89" i="3"/>
  <c r="GL89" i="3"/>
  <c r="GM89" i="3"/>
  <c r="GN89" i="3"/>
  <c r="GO89" i="3"/>
  <c r="GP89" i="3"/>
  <c r="GQ89" i="3"/>
  <c r="GR89" i="3"/>
  <c r="GS89" i="3"/>
  <c r="GT89" i="3"/>
  <c r="GU89" i="3"/>
  <c r="GV89" i="3"/>
  <c r="GW89" i="3"/>
  <c r="GX89" i="3"/>
  <c r="GY89" i="3"/>
  <c r="GZ89" i="3"/>
  <c r="HA89" i="3"/>
  <c r="HB89" i="3"/>
  <c r="HC89" i="3"/>
  <c r="HD89" i="3"/>
  <c r="HE89" i="3"/>
  <c r="HF89" i="3"/>
  <c r="HG89" i="3"/>
  <c r="HH89" i="3"/>
  <c r="HI89" i="3"/>
  <c r="HJ89" i="3"/>
  <c r="HK89" i="3"/>
  <c r="HL89" i="3"/>
  <c r="HM89" i="3"/>
  <c r="HN89" i="3"/>
  <c r="HO89" i="3"/>
  <c r="HP89" i="3"/>
  <c r="HQ89" i="3"/>
  <c r="HR89" i="3"/>
  <c r="HS89" i="3"/>
  <c r="HT89" i="3"/>
  <c r="HU89" i="3"/>
  <c r="HV89" i="3"/>
  <c r="HW89" i="3"/>
  <c r="HX89" i="3"/>
  <c r="HY89" i="3"/>
  <c r="HZ89" i="3"/>
  <c r="IA89" i="3"/>
  <c r="IB89" i="3"/>
  <c r="IC89" i="3"/>
  <c r="ID89" i="3"/>
  <c r="IE89" i="3"/>
  <c r="IF89" i="3"/>
  <c r="IG89" i="3"/>
  <c r="IH89" i="3"/>
  <c r="II89" i="3"/>
  <c r="IJ89" i="3"/>
  <c r="IK89" i="3"/>
  <c r="IL89" i="3"/>
  <c r="IM89" i="3"/>
  <c r="IN89" i="3"/>
  <c r="IO89" i="3"/>
  <c r="IP89" i="3"/>
  <c r="IQ89" i="3"/>
  <c r="IR89" i="3"/>
  <c r="IS89" i="3"/>
  <c r="IT89" i="3"/>
  <c r="IU89" i="3"/>
  <c r="IV89" i="3"/>
  <c r="A88" i="3"/>
  <c r="B88" i="3"/>
  <c r="C88" i="3"/>
  <c r="D88" i="3"/>
  <c r="E88" i="3"/>
  <c r="F88" i="3"/>
  <c r="G88" i="3"/>
  <c r="H88" i="3"/>
  <c r="I88" i="3"/>
  <c r="J88" i="3"/>
  <c r="K88" i="3"/>
  <c r="L88" i="3"/>
  <c r="M88" i="3"/>
  <c r="N88" i="3"/>
  <c r="O88" i="3"/>
  <c r="P88" i="3"/>
  <c r="Q88" i="3"/>
  <c r="R88" i="3"/>
  <c r="S88" i="3"/>
  <c r="T88" i="3"/>
  <c r="U88" i="3"/>
  <c r="V88" i="3"/>
  <c r="W88" i="3"/>
  <c r="X88" i="3"/>
  <c r="Y88" i="3"/>
  <c r="Z88" i="3"/>
  <c r="AA88" i="3"/>
  <c r="AB88" i="3"/>
  <c r="AC88" i="3"/>
  <c r="AD88" i="3"/>
  <c r="AE88" i="3"/>
  <c r="AF88" i="3"/>
  <c r="AG88" i="3"/>
  <c r="AH88" i="3"/>
  <c r="AI88" i="3"/>
  <c r="AJ88" i="3"/>
  <c r="AK88" i="3"/>
  <c r="AL88" i="3"/>
  <c r="AM88" i="3"/>
  <c r="AN88" i="3"/>
  <c r="AO88" i="3"/>
  <c r="AP88" i="3"/>
  <c r="AQ88" i="3"/>
  <c r="AR88" i="3"/>
  <c r="AS88" i="3"/>
  <c r="AT88" i="3"/>
  <c r="AU88" i="3"/>
  <c r="AV88" i="3"/>
  <c r="AW88" i="3"/>
  <c r="AX88" i="3"/>
  <c r="AY88" i="3"/>
  <c r="AZ88" i="3"/>
  <c r="BA88" i="3"/>
  <c r="BB88" i="3"/>
  <c r="BC88" i="3"/>
  <c r="BD88" i="3"/>
  <c r="BE88" i="3"/>
  <c r="BF88" i="3"/>
  <c r="BG88" i="3"/>
  <c r="BH88" i="3"/>
  <c r="BI88" i="3"/>
  <c r="BJ88" i="3"/>
  <c r="BK88" i="3"/>
  <c r="BL88" i="3"/>
  <c r="BM88" i="3"/>
  <c r="BN88" i="3"/>
  <c r="BO88" i="3"/>
  <c r="BP88" i="3"/>
  <c r="BQ88" i="3"/>
  <c r="BR88" i="3"/>
  <c r="BS88" i="3"/>
  <c r="BT88" i="3"/>
  <c r="BU88" i="3"/>
  <c r="BV88" i="3"/>
  <c r="BW88" i="3"/>
  <c r="BX88" i="3"/>
  <c r="BY88" i="3"/>
  <c r="BZ88" i="3"/>
  <c r="CA88" i="3"/>
  <c r="CB88" i="3"/>
  <c r="CC88" i="3"/>
  <c r="CD88" i="3"/>
  <c r="CE88" i="3"/>
  <c r="CF88" i="3"/>
  <c r="CG88" i="3"/>
  <c r="CH88" i="3"/>
  <c r="CI88" i="3"/>
  <c r="CJ88" i="3"/>
  <c r="CK88" i="3"/>
  <c r="CL88" i="3"/>
  <c r="CM88" i="3"/>
  <c r="CN88" i="3"/>
  <c r="CO88" i="3"/>
  <c r="CP88" i="3"/>
  <c r="CQ88" i="3"/>
  <c r="CR88" i="3"/>
  <c r="CS88" i="3"/>
  <c r="CT88" i="3"/>
  <c r="CU88" i="3"/>
  <c r="CV88" i="3"/>
  <c r="CW88" i="3"/>
  <c r="CX88" i="3"/>
  <c r="CY88" i="3"/>
  <c r="CZ88" i="3"/>
  <c r="DA88" i="3"/>
  <c r="DB88" i="3"/>
  <c r="DC88" i="3"/>
  <c r="DD88" i="3"/>
  <c r="DE88" i="3"/>
  <c r="DF88" i="3"/>
  <c r="DG88" i="3"/>
  <c r="DH88" i="3"/>
  <c r="DI88" i="3"/>
  <c r="DJ88" i="3"/>
  <c r="DK88" i="3"/>
  <c r="DL88" i="3"/>
  <c r="DM88" i="3"/>
  <c r="DN88" i="3"/>
  <c r="DO88" i="3"/>
  <c r="DP88" i="3"/>
  <c r="DQ88" i="3"/>
  <c r="DR88" i="3"/>
  <c r="DS88" i="3"/>
  <c r="DT88" i="3"/>
  <c r="DU88" i="3"/>
  <c r="DV88" i="3"/>
  <c r="DW88" i="3"/>
  <c r="DX88" i="3"/>
  <c r="DY88" i="3"/>
  <c r="DZ88" i="3"/>
  <c r="EA88" i="3"/>
  <c r="EB88" i="3"/>
  <c r="EC88" i="3"/>
  <c r="ED88" i="3"/>
  <c r="EE88" i="3"/>
  <c r="EF88" i="3"/>
  <c r="EG88" i="3"/>
  <c r="EH88" i="3"/>
  <c r="EI88" i="3"/>
  <c r="EJ88" i="3"/>
  <c r="EK88" i="3"/>
  <c r="EL88" i="3"/>
  <c r="EM88" i="3"/>
  <c r="EN88" i="3"/>
  <c r="EO88" i="3"/>
  <c r="EP88" i="3"/>
  <c r="EQ88" i="3"/>
  <c r="ER88" i="3"/>
  <c r="ES88" i="3"/>
  <c r="ET88" i="3"/>
  <c r="EU88" i="3"/>
  <c r="EV88" i="3"/>
  <c r="EW88" i="3"/>
  <c r="EX88" i="3"/>
  <c r="EY88" i="3"/>
  <c r="EZ88" i="3"/>
  <c r="FA88" i="3"/>
  <c r="FB88" i="3"/>
  <c r="FC88" i="3"/>
  <c r="FD88" i="3"/>
  <c r="FE88" i="3"/>
  <c r="FF88" i="3"/>
  <c r="FG88" i="3"/>
  <c r="FH88" i="3"/>
  <c r="FI88" i="3"/>
  <c r="FJ88" i="3"/>
  <c r="FK88" i="3"/>
  <c r="FL88" i="3"/>
  <c r="FM88" i="3"/>
  <c r="FN88" i="3"/>
  <c r="FO88" i="3"/>
  <c r="FP88" i="3"/>
  <c r="FQ88" i="3"/>
  <c r="FR88" i="3"/>
  <c r="FS88" i="3"/>
  <c r="FT88" i="3"/>
  <c r="FU88" i="3"/>
  <c r="FV88" i="3"/>
  <c r="FW88" i="3"/>
  <c r="FX88" i="3"/>
  <c r="FY88" i="3"/>
  <c r="FZ88" i="3"/>
  <c r="GA88" i="3"/>
  <c r="GB88" i="3"/>
  <c r="GC88" i="3"/>
  <c r="GD88" i="3"/>
  <c r="GE88" i="3"/>
  <c r="GF88" i="3"/>
  <c r="GG88" i="3"/>
  <c r="GH88" i="3"/>
  <c r="GI88" i="3"/>
  <c r="GJ88" i="3"/>
  <c r="GK88" i="3"/>
  <c r="GL88" i="3"/>
  <c r="GM88" i="3"/>
  <c r="GN88" i="3"/>
  <c r="GO88" i="3"/>
  <c r="GP88" i="3"/>
  <c r="GQ88" i="3"/>
  <c r="GR88" i="3"/>
  <c r="GS88" i="3"/>
  <c r="GT88" i="3"/>
  <c r="GU88" i="3"/>
  <c r="GV88" i="3"/>
  <c r="GW88" i="3"/>
  <c r="GX88" i="3"/>
  <c r="GY88" i="3"/>
  <c r="GZ88" i="3"/>
  <c r="HA88" i="3"/>
  <c r="HB88" i="3"/>
  <c r="HC88" i="3"/>
  <c r="HD88" i="3"/>
  <c r="HE88" i="3"/>
  <c r="HF88" i="3"/>
  <c r="HG88" i="3"/>
  <c r="HH88" i="3"/>
  <c r="HI88" i="3"/>
  <c r="HJ88" i="3"/>
  <c r="HK88" i="3"/>
  <c r="HL88" i="3"/>
  <c r="HM88" i="3"/>
  <c r="HN88" i="3"/>
  <c r="HO88" i="3"/>
  <c r="HP88" i="3"/>
  <c r="HQ88" i="3"/>
  <c r="HR88" i="3"/>
  <c r="HS88" i="3"/>
  <c r="HT88" i="3"/>
  <c r="HU88" i="3"/>
  <c r="HV88" i="3"/>
  <c r="HW88" i="3"/>
  <c r="HX88" i="3"/>
  <c r="HY88" i="3"/>
  <c r="HZ88" i="3"/>
  <c r="IA88" i="3"/>
  <c r="IB88" i="3"/>
  <c r="IC88" i="3"/>
  <c r="ID88" i="3"/>
  <c r="IE88" i="3"/>
  <c r="IF88" i="3"/>
  <c r="IG88" i="3"/>
  <c r="IH88" i="3"/>
  <c r="II88" i="3"/>
  <c r="IJ88" i="3"/>
  <c r="IK88" i="3"/>
  <c r="IL88" i="3"/>
  <c r="IM88" i="3"/>
  <c r="IN88" i="3"/>
  <c r="IO88" i="3"/>
  <c r="IP88" i="3"/>
  <c r="IQ88" i="3"/>
  <c r="IR88" i="3"/>
  <c r="IS88" i="3"/>
  <c r="IT88" i="3"/>
  <c r="IU88" i="3"/>
  <c r="IV88" i="3"/>
  <c r="A87" i="3"/>
  <c r="B87" i="3"/>
  <c r="C87" i="3"/>
  <c r="D87" i="3"/>
  <c r="E87" i="3"/>
  <c r="F87" i="3"/>
  <c r="G87" i="3"/>
  <c r="H87" i="3"/>
  <c r="I87" i="3"/>
  <c r="J87" i="3"/>
  <c r="K87" i="3"/>
  <c r="L87" i="3"/>
  <c r="M87" i="3"/>
  <c r="N87" i="3"/>
  <c r="O87" i="3"/>
  <c r="P87" i="3"/>
  <c r="Q87" i="3"/>
  <c r="R87" i="3"/>
  <c r="S87" i="3"/>
  <c r="T87" i="3"/>
  <c r="U87" i="3"/>
  <c r="V87" i="3"/>
  <c r="W87" i="3"/>
  <c r="X87" i="3"/>
  <c r="Y87" i="3"/>
  <c r="Z87" i="3"/>
  <c r="AA87" i="3"/>
  <c r="AB87" i="3"/>
  <c r="AC87" i="3"/>
  <c r="AD87" i="3"/>
  <c r="AE87" i="3"/>
  <c r="AF87" i="3"/>
  <c r="AG87" i="3"/>
  <c r="AH87" i="3"/>
  <c r="AI87" i="3"/>
  <c r="AJ87" i="3"/>
  <c r="AK87" i="3"/>
  <c r="AL87" i="3"/>
  <c r="AM87" i="3"/>
  <c r="AN87" i="3"/>
  <c r="AO87" i="3"/>
  <c r="AP87" i="3"/>
  <c r="AQ87" i="3"/>
  <c r="AR87" i="3"/>
  <c r="AS87" i="3"/>
  <c r="AT87" i="3"/>
  <c r="AU87" i="3"/>
  <c r="AV87" i="3"/>
  <c r="AW87" i="3"/>
  <c r="AX87" i="3"/>
  <c r="AY87" i="3"/>
  <c r="AZ87" i="3"/>
  <c r="BA87" i="3"/>
  <c r="BB87" i="3"/>
  <c r="BC87" i="3"/>
  <c r="BD87" i="3"/>
  <c r="BE87" i="3"/>
  <c r="BF87" i="3"/>
  <c r="BG87" i="3"/>
  <c r="BH87" i="3"/>
  <c r="BI87" i="3"/>
  <c r="BJ87" i="3"/>
  <c r="BK87" i="3"/>
  <c r="BL87" i="3"/>
  <c r="BM87" i="3"/>
  <c r="BN87" i="3"/>
  <c r="BO87" i="3"/>
  <c r="BP87" i="3"/>
  <c r="BQ87" i="3"/>
  <c r="BR87" i="3"/>
  <c r="BS87" i="3"/>
  <c r="BT87" i="3"/>
  <c r="BU87" i="3"/>
  <c r="BV87" i="3"/>
  <c r="BW87" i="3"/>
  <c r="BX87" i="3"/>
  <c r="BY87" i="3"/>
  <c r="BZ87" i="3"/>
  <c r="CA87" i="3"/>
  <c r="CB87" i="3"/>
  <c r="CC87" i="3"/>
  <c r="CD87" i="3"/>
  <c r="CE87" i="3"/>
  <c r="CF87" i="3"/>
  <c r="CG87" i="3"/>
  <c r="CH87" i="3"/>
  <c r="CI87" i="3"/>
  <c r="CJ87" i="3"/>
  <c r="CK87" i="3"/>
  <c r="CL87" i="3"/>
  <c r="CM87" i="3"/>
  <c r="CN87" i="3"/>
  <c r="CO87" i="3"/>
  <c r="CP87" i="3"/>
  <c r="CQ87" i="3"/>
  <c r="CR87" i="3"/>
  <c r="CS87" i="3"/>
  <c r="CT87" i="3"/>
  <c r="CU87" i="3"/>
  <c r="CV87" i="3"/>
  <c r="CW87" i="3"/>
  <c r="CX87" i="3"/>
  <c r="CY87" i="3"/>
  <c r="CZ87" i="3"/>
  <c r="DA87" i="3"/>
  <c r="DB87" i="3"/>
  <c r="DC87" i="3"/>
  <c r="DD87" i="3"/>
  <c r="DE87" i="3"/>
  <c r="DF87" i="3"/>
  <c r="DG87" i="3"/>
  <c r="DH87" i="3"/>
  <c r="DI87" i="3"/>
  <c r="DJ87" i="3"/>
  <c r="DK87" i="3"/>
  <c r="DL87" i="3"/>
  <c r="DM87" i="3"/>
  <c r="DN87" i="3"/>
  <c r="DO87" i="3"/>
  <c r="DP87" i="3"/>
  <c r="DQ87" i="3"/>
  <c r="DR87" i="3"/>
  <c r="DS87" i="3"/>
  <c r="DT87" i="3"/>
  <c r="DU87" i="3"/>
  <c r="DV87" i="3"/>
  <c r="DW87" i="3"/>
  <c r="DX87" i="3"/>
  <c r="DY87" i="3"/>
  <c r="DZ87" i="3"/>
  <c r="EA87" i="3"/>
  <c r="EB87" i="3"/>
  <c r="EC87" i="3"/>
  <c r="ED87" i="3"/>
  <c r="EE87" i="3"/>
  <c r="EF87" i="3"/>
  <c r="EG87" i="3"/>
  <c r="EH87" i="3"/>
  <c r="EI87" i="3"/>
  <c r="EJ87" i="3"/>
  <c r="EK87" i="3"/>
  <c r="EL87" i="3"/>
  <c r="EM87" i="3"/>
  <c r="EN87" i="3"/>
  <c r="EO87" i="3"/>
  <c r="EP87" i="3"/>
  <c r="EQ87" i="3"/>
  <c r="ER87" i="3"/>
  <c r="ES87" i="3"/>
  <c r="ET87" i="3"/>
  <c r="EU87" i="3"/>
  <c r="EV87" i="3"/>
  <c r="EW87" i="3"/>
  <c r="EX87" i="3"/>
  <c r="EY87" i="3"/>
  <c r="EZ87" i="3"/>
  <c r="FA87" i="3"/>
  <c r="FB87" i="3"/>
  <c r="FC87" i="3"/>
  <c r="FD87" i="3"/>
  <c r="FE87" i="3"/>
  <c r="FF87" i="3"/>
  <c r="FG87" i="3"/>
  <c r="FH87" i="3"/>
  <c r="FI87" i="3"/>
  <c r="FJ87" i="3"/>
  <c r="FK87" i="3"/>
  <c r="FL87" i="3"/>
  <c r="FM87" i="3"/>
  <c r="FN87" i="3"/>
  <c r="FO87" i="3"/>
  <c r="FP87" i="3"/>
  <c r="FQ87" i="3"/>
  <c r="FR87" i="3"/>
  <c r="FS87" i="3"/>
  <c r="FT87" i="3"/>
  <c r="FU87" i="3"/>
  <c r="FV87" i="3"/>
  <c r="FW87" i="3"/>
  <c r="FX87" i="3"/>
  <c r="FY87" i="3"/>
  <c r="FZ87" i="3"/>
  <c r="GA87" i="3"/>
  <c r="GB87" i="3"/>
  <c r="GC87" i="3"/>
  <c r="GD87" i="3"/>
  <c r="GE87" i="3"/>
  <c r="GF87" i="3"/>
  <c r="GG87" i="3"/>
  <c r="GH87" i="3"/>
  <c r="GI87" i="3"/>
  <c r="GJ87" i="3"/>
  <c r="GK87" i="3"/>
  <c r="GL87" i="3"/>
  <c r="GM87" i="3"/>
  <c r="GN87" i="3"/>
  <c r="GO87" i="3"/>
  <c r="GP87" i="3"/>
  <c r="GQ87" i="3"/>
  <c r="GR87" i="3"/>
  <c r="GS87" i="3"/>
  <c r="GT87" i="3"/>
  <c r="GU87" i="3"/>
  <c r="GV87" i="3"/>
  <c r="GW87" i="3"/>
  <c r="GX87" i="3"/>
  <c r="GY87" i="3"/>
  <c r="GZ87" i="3"/>
  <c r="HA87" i="3"/>
  <c r="HB87" i="3"/>
  <c r="HC87" i="3"/>
  <c r="HD87" i="3"/>
  <c r="HE87" i="3"/>
  <c r="HF87" i="3"/>
  <c r="HG87" i="3"/>
  <c r="HH87" i="3"/>
  <c r="HI87" i="3"/>
  <c r="HJ87" i="3"/>
  <c r="HK87" i="3"/>
  <c r="HL87" i="3"/>
  <c r="HM87" i="3"/>
  <c r="HN87" i="3"/>
  <c r="HO87" i="3"/>
  <c r="HP87" i="3"/>
  <c r="HQ87" i="3"/>
  <c r="HR87" i="3"/>
  <c r="HS87" i="3"/>
  <c r="HT87" i="3"/>
  <c r="HU87" i="3"/>
  <c r="HV87" i="3"/>
  <c r="HW87" i="3"/>
  <c r="HX87" i="3"/>
  <c r="HY87" i="3"/>
  <c r="HZ87" i="3"/>
  <c r="IA87" i="3"/>
  <c r="IB87" i="3"/>
  <c r="IC87" i="3"/>
  <c r="ID87" i="3"/>
  <c r="IE87" i="3"/>
  <c r="IF87" i="3"/>
  <c r="IG87" i="3"/>
  <c r="IH87" i="3"/>
  <c r="II87" i="3"/>
  <c r="IJ87" i="3"/>
  <c r="IK87" i="3"/>
  <c r="IL87" i="3"/>
  <c r="IM87" i="3"/>
  <c r="IN87" i="3"/>
  <c r="IO87" i="3"/>
  <c r="IP87" i="3"/>
  <c r="IQ87" i="3"/>
  <c r="IR87" i="3"/>
  <c r="IS87" i="3"/>
  <c r="IT87" i="3"/>
  <c r="IU87" i="3"/>
  <c r="IV87" i="3"/>
  <c r="A86" i="3"/>
  <c r="B86" i="3"/>
  <c r="C86" i="3"/>
  <c r="D86" i="3"/>
  <c r="E86" i="3"/>
  <c r="F86" i="3"/>
  <c r="G86" i="3"/>
  <c r="H86" i="3"/>
  <c r="I86" i="3"/>
  <c r="J86" i="3"/>
  <c r="K86" i="3"/>
  <c r="L86" i="3"/>
  <c r="M86" i="3"/>
  <c r="N86" i="3"/>
  <c r="O86" i="3"/>
  <c r="P86" i="3"/>
  <c r="Q86" i="3"/>
  <c r="R86" i="3"/>
  <c r="S86" i="3"/>
  <c r="T86" i="3"/>
  <c r="U86" i="3"/>
  <c r="V86" i="3"/>
  <c r="W86" i="3"/>
  <c r="X86" i="3"/>
  <c r="Y86" i="3"/>
  <c r="Z86" i="3"/>
  <c r="AA86" i="3"/>
  <c r="AB86" i="3"/>
  <c r="AC86" i="3"/>
  <c r="AD86" i="3"/>
  <c r="AE86" i="3"/>
  <c r="AF86" i="3"/>
  <c r="AG86" i="3"/>
  <c r="AH86" i="3"/>
  <c r="AI86" i="3"/>
  <c r="AJ86" i="3"/>
  <c r="AK86" i="3"/>
  <c r="AL86" i="3"/>
  <c r="AM86" i="3"/>
  <c r="AN86" i="3"/>
  <c r="AO86" i="3"/>
  <c r="AP86" i="3"/>
  <c r="AQ86" i="3"/>
  <c r="AR86" i="3"/>
  <c r="AS86" i="3"/>
  <c r="AT86" i="3"/>
  <c r="AU86" i="3"/>
  <c r="AV86" i="3"/>
  <c r="AW86" i="3"/>
  <c r="AX86" i="3"/>
  <c r="AY86" i="3"/>
  <c r="AZ86" i="3"/>
  <c r="BA86" i="3"/>
  <c r="BB86" i="3"/>
  <c r="BC86" i="3"/>
  <c r="BD86" i="3"/>
  <c r="BE86" i="3"/>
  <c r="BF86" i="3"/>
  <c r="BG86" i="3"/>
  <c r="BH86" i="3"/>
  <c r="BI86" i="3"/>
  <c r="BJ86" i="3"/>
  <c r="BK86" i="3"/>
  <c r="BL86" i="3"/>
  <c r="BM86" i="3"/>
  <c r="BN86" i="3"/>
  <c r="BO86" i="3"/>
  <c r="BP86" i="3"/>
  <c r="BQ86" i="3"/>
  <c r="BR86" i="3"/>
  <c r="BS86" i="3"/>
  <c r="BT86" i="3"/>
  <c r="BU86" i="3"/>
  <c r="BV86" i="3"/>
  <c r="BW86" i="3"/>
  <c r="BX86" i="3"/>
  <c r="BY86" i="3"/>
  <c r="BZ86" i="3"/>
  <c r="CA86" i="3"/>
  <c r="CB86" i="3"/>
  <c r="CC86" i="3"/>
  <c r="CD86" i="3"/>
  <c r="CE86" i="3"/>
  <c r="CF86" i="3"/>
  <c r="CG86" i="3"/>
  <c r="CH86" i="3"/>
  <c r="CI86" i="3"/>
  <c r="CJ86" i="3"/>
  <c r="CK86" i="3"/>
  <c r="CL86" i="3"/>
  <c r="CM86" i="3"/>
  <c r="CN86" i="3"/>
  <c r="CO86" i="3"/>
  <c r="CP86" i="3"/>
  <c r="CQ86" i="3"/>
  <c r="CR86" i="3"/>
  <c r="CS86" i="3"/>
  <c r="CT86" i="3"/>
  <c r="CU86" i="3"/>
  <c r="CV86" i="3"/>
  <c r="CW86" i="3"/>
  <c r="CX86" i="3"/>
  <c r="CY86" i="3"/>
  <c r="CZ86" i="3"/>
  <c r="DA86" i="3"/>
  <c r="DB86" i="3"/>
  <c r="DC86" i="3"/>
  <c r="DD86" i="3"/>
  <c r="DE86" i="3"/>
  <c r="DF86" i="3"/>
  <c r="DG86" i="3"/>
  <c r="DH86" i="3"/>
  <c r="DI86" i="3"/>
  <c r="DJ86" i="3"/>
  <c r="DK86" i="3"/>
  <c r="DL86" i="3"/>
  <c r="DM86" i="3"/>
  <c r="DN86" i="3"/>
  <c r="DO86" i="3"/>
  <c r="DP86" i="3"/>
  <c r="DQ86" i="3"/>
  <c r="DR86" i="3"/>
  <c r="DS86" i="3"/>
  <c r="DT86" i="3"/>
  <c r="DU86" i="3"/>
  <c r="DV86" i="3"/>
  <c r="DW86" i="3"/>
  <c r="DX86" i="3"/>
  <c r="DY86" i="3"/>
  <c r="DZ86" i="3"/>
  <c r="EA86" i="3"/>
  <c r="EB86" i="3"/>
  <c r="EC86" i="3"/>
  <c r="ED86" i="3"/>
  <c r="EE86" i="3"/>
  <c r="EF86" i="3"/>
  <c r="EG86" i="3"/>
  <c r="EH86" i="3"/>
  <c r="EI86" i="3"/>
  <c r="EJ86" i="3"/>
  <c r="EK86" i="3"/>
  <c r="EL86" i="3"/>
  <c r="EM86" i="3"/>
  <c r="EN86" i="3"/>
  <c r="EO86" i="3"/>
  <c r="EP86" i="3"/>
  <c r="EQ86" i="3"/>
  <c r="ER86" i="3"/>
  <c r="ES86" i="3"/>
  <c r="ET86" i="3"/>
  <c r="EU86" i="3"/>
  <c r="EV86" i="3"/>
  <c r="EW86" i="3"/>
  <c r="EX86" i="3"/>
  <c r="EY86" i="3"/>
  <c r="EZ86" i="3"/>
  <c r="FA86" i="3"/>
  <c r="FB86" i="3"/>
  <c r="FC86" i="3"/>
  <c r="FD86" i="3"/>
  <c r="FE86" i="3"/>
  <c r="FF86" i="3"/>
  <c r="FG86" i="3"/>
  <c r="FH86" i="3"/>
  <c r="FI86" i="3"/>
  <c r="FJ86" i="3"/>
  <c r="FK86" i="3"/>
  <c r="FL86" i="3"/>
  <c r="FM86" i="3"/>
  <c r="FN86" i="3"/>
  <c r="FO86" i="3"/>
  <c r="FP86" i="3"/>
  <c r="FQ86" i="3"/>
  <c r="FR86" i="3"/>
  <c r="FS86" i="3"/>
  <c r="FT86" i="3"/>
  <c r="FU86" i="3"/>
  <c r="FV86" i="3"/>
  <c r="FW86" i="3"/>
  <c r="FX86" i="3"/>
  <c r="FY86" i="3"/>
  <c r="FZ86" i="3"/>
  <c r="GA86" i="3"/>
  <c r="GB86" i="3"/>
  <c r="GC86" i="3"/>
  <c r="GD86" i="3"/>
  <c r="GE86" i="3"/>
  <c r="GF86" i="3"/>
  <c r="GG86" i="3"/>
  <c r="GH86" i="3"/>
  <c r="GI86" i="3"/>
  <c r="GJ86" i="3"/>
  <c r="GK86" i="3"/>
  <c r="GL86" i="3"/>
  <c r="GM86" i="3"/>
  <c r="GN86" i="3"/>
  <c r="GO86" i="3"/>
  <c r="GP86" i="3"/>
  <c r="GQ86" i="3"/>
  <c r="GR86" i="3"/>
  <c r="GS86" i="3"/>
  <c r="GT86" i="3"/>
  <c r="GU86" i="3"/>
  <c r="GV86" i="3"/>
  <c r="GW86" i="3"/>
  <c r="GX86" i="3"/>
  <c r="GY86" i="3"/>
  <c r="GZ86" i="3"/>
  <c r="HA86" i="3"/>
  <c r="HB86" i="3"/>
  <c r="HC86" i="3"/>
  <c r="HD86" i="3"/>
  <c r="HE86" i="3"/>
  <c r="HF86" i="3"/>
  <c r="HG86" i="3"/>
  <c r="HH86" i="3"/>
  <c r="HI86" i="3"/>
  <c r="HJ86" i="3"/>
  <c r="HK86" i="3"/>
  <c r="HL86" i="3"/>
  <c r="HM86" i="3"/>
  <c r="HN86" i="3"/>
  <c r="HO86" i="3"/>
  <c r="HP86" i="3"/>
  <c r="HQ86" i="3"/>
  <c r="HR86" i="3"/>
  <c r="HS86" i="3"/>
  <c r="HT86" i="3"/>
  <c r="HU86" i="3"/>
  <c r="HV86" i="3"/>
  <c r="HW86" i="3"/>
  <c r="HX86" i="3"/>
  <c r="HY86" i="3"/>
  <c r="HZ86" i="3"/>
  <c r="IA86" i="3"/>
  <c r="IB86" i="3"/>
  <c r="IC86" i="3"/>
  <c r="ID86" i="3"/>
  <c r="IE86" i="3"/>
  <c r="IF86" i="3"/>
  <c r="IG86" i="3"/>
  <c r="IH86" i="3"/>
  <c r="II86" i="3"/>
  <c r="IJ86" i="3"/>
  <c r="IK86" i="3"/>
  <c r="IL86" i="3"/>
  <c r="IM86" i="3"/>
  <c r="IN86" i="3"/>
  <c r="IO86" i="3"/>
  <c r="IP86" i="3"/>
  <c r="IQ86" i="3"/>
  <c r="IR86" i="3"/>
  <c r="IS86" i="3"/>
  <c r="IT86" i="3"/>
  <c r="IU86" i="3"/>
  <c r="IV86" i="3"/>
  <c r="A85" i="3"/>
  <c r="B85" i="3"/>
  <c r="C85" i="3"/>
  <c r="D85" i="3"/>
  <c r="E85" i="3"/>
  <c r="F85" i="3"/>
  <c r="G85" i="3"/>
  <c r="H85" i="3"/>
  <c r="I85" i="3"/>
  <c r="J85" i="3"/>
  <c r="K85" i="3"/>
  <c r="L85" i="3"/>
  <c r="M85" i="3"/>
  <c r="N85" i="3"/>
  <c r="O85" i="3"/>
  <c r="P85" i="3"/>
  <c r="Q85" i="3"/>
  <c r="R85" i="3"/>
  <c r="S85" i="3"/>
  <c r="T85" i="3"/>
  <c r="U85" i="3"/>
  <c r="V85" i="3"/>
  <c r="W85" i="3"/>
  <c r="X85" i="3"/>
  <c r="Y85" i="3"/>
  <c r="Z85" i="3"/>
  <c r="AA85" i="3"/>
  <c r="AB85" i="3"/>
  <c r="AC85" i="3"/>
  <c r="AD85" i="3"/>
  <c r="AE85" i="3"/>
  <c r="AF85" i="3"/>
  <c r="AG85" i="3"/>
  <c r="AH85" i="3"/>
  <c r="AI85" i="3"/>
  <c r="AJ85" i="3"/>
  <c r="AK85" i="3"/>
  <c r="AL85" i="3"/>
  <c r="AM85" i="3"/>
  <c r="AN85" i="3"/>
  <c r="AO85" i="3"/>
  <c r="AP85" i="3"/>
  <c r="AQ85" i="3"/>
  <c r="AR85" i="3"/>
  <c r="AS85" i="3"/>
  <c r="AT85" i="3"/>
  <c r="AU85" i="3"/>
  <c r="AV85" i="3"/>
  <c r="AW85" i="3"/>
  <c r="AX85" i="3"/>
  <c r="AY85" i="3"/>
  <c r="AZ85" i="3"/>
  <c r="BA85" i="3"/>
  <c r="BB85" i="3"/>
  <c r="BC85" i="3"/>
  <c r="BD85" i="3"/>
  <c r="BE85" i="3"/>
  <c r="BF85" i="3"/>
  <c r="BG85" i="3"/>
  <c r="BH85" i="3"/>
  <c r="BI85" i="3"/>
  <c r="BJ85" i="3"/>
  <c r="BK85" i="3"/>
  <c r="BL85" i="3"/>
  <c r="BM85" i="3"/>
  <c r="BN85" i="3"/>
  <c r="BO85" i="3"/>
  <c r="BP85" i="3"/>
  <c r="BQ85" i="3"/>
  <c r="BR85" i="3"/>
  <c r="BS85" i="3"/>
  <c r="BT85" i="3"/>
  <c r="BU85" i="3"/>
  <c r="BV85" i="3"/>
  <c r="BW85" i="3"/>
  <c r="BX85" i="3"/>
  <c r="BY85" i="3"/>
  <c r="BZ85" i="3"/>
  <c r="CA85" i="3"/>
  <c r="CB85" i="3"/>
  <c r="CC85" i="3"/>
  <c r="CD85" i="3"/>
  <c r="CE85" i="3"/>
  <c r="CF85" i="3"/>
  <c r="CG85" i="3"/>
  <c r="CH85" i="3"/>
  <c r="CI85" i="3"/>
  <c r="CJ85" i="3"/>
  <c r="CK85" i="3"/>
  <c r="CL85" i="3"/>
  <c r="CM85" i="3"/>
  <c r="CN85" i="3"/>
  <c r="CO85" i="3"/>
  <c r="CP85" i="3"/>
  <c r="CQ85" i="3"/>
  <c r="CR85" i="3"/>
  <c r="CS85" i="3"/>
  <c r="CT85" i="3"/>
  <c r="CU85" i="3"/>
  <c r="CV85" i="3"/>
  <c r="CW85" i="3"/>
  <c r="CX85" i="3"/>
  <c r="CY85" i="3"/>
  <c r="CZ85" i="3"/>
  <c r="DA85" i="3"/>
  <c r="DB85" i="3"/>
  <c r="DC85" i="3"/>
  <c r="DD85" i="3"/>
  <c r="DE85" i="3"/>
  <c r="DF85" i="3"/>
  <c r="DG85" i="3"/>
  <c r="DH85" i="3"/>
  <c r="DI85" i="3"/>
  <c r="DJ85" i="3"/>
  <c r="DK85" i="3"/>
  <c r="DL85" i="3"/>
  <c r="DM85" i="3"/>
  <c r="DN85" i="3"/>
  <c r="DO85" i="3"/>
  <c r="DP85" i="3"/>
  <c r="DQ85" i="3"/>
  <c r="DR85" i="3"/>
  <c r="DS85" i="3"/>
  <c r="DT85" i="3"/>
  <c r="DU85" i="3"/>
  <c r="DV85" i="3"/>
  <c r="DW85" i="3"/>
  <c r="DX85" i="3"/>
  <c r="DY85" i="3"/>
  <c r="DZ85" i="3"/>
  <c r="EA85" i="3"/>
  <c r="EB85" i="3"/>
  <c r="EC85" i="3"/>
  <c r="ED85" i="3"/>
  <c r="EE85" i="3"/>
  <c r="EF85" i="3"/>
  <c r="EG85" i="3"/>
  <c r="EH85" i="3"/>
  <c r="EI85" i="3"/>
  <c r="EJ85" i="3"/>
  <c r="EK85" i="3"/>
  <c r="EL85" i="3"/>
  <c r="EM85" i="3"/>
  <c r="EN85" i="3"/>
  <c r="EO85" i="3"/>
  <c r="EP85" i="3"/>
  <c r="EQ85" i="3"/>
  <c r="ER85" i="3"/>
  <c r="ES85" i="3"/>
  <c r="ET85" i="3"/>
  <c r="EU85" i="3"/>
  <c r="EV85" i="3"/>
  <c r="EW85" i="3"/>
  <c r="EX85" i="3"/>
  <c r="EY85" i="3"/>
  <c r="EZ85" i="3"/>
  <c r="FA85" i="3"/>
  <c r="FB85" i="3"/>
  <c r="FC85" i="3"/>
  <c r="FD85" i="3"/>
  <c r="FE85" i="3"/>
  <c r="FF85" i="3"/>
  <c r="FG85" i="3"/>
  <c r="FH85" i="3"/>
  <c r="FI85" i="3"/>
  <c r="FJ85" i="3"/>
  <c r="FK85" i="3"/>
  <c r="FL85" i="3"/>
  <c r="FM85" i="3"/>
  <c r="FN85" i="3"/>
  <c r="FO85" i="3"/>
  <c r="FP85" i="3"/>
  <c r="FQ85" i="3"/>
  <c r="FR85" i="3"/>
  <c r="FS85" i="3"/>
  <c r="FT85" i="3"/>
  <c r="FU85" i="3"/>
  <c r="FV85" i="3"/>
  <c r="FW85" i="3"/>
  <c r="FX85" i="3"/>
  <c r="FY85" i="3"/>
  <c r="FZ85" i="3"/>
  <c r="GA85" i="3"/>
  <c r="GB85" i="3"/>
  <c r="GC85" i="3"/>
  <c r="GD85" i="3"/>
  <c r="GE85" i="3"/>
  <c r="GF85" i="3"/>
  <c r="GG85" i="3"/>
  <c r="GH85" i="3"/>
  <c r="GI85" i="3"/>
  <c r="GJ85" i="3"/>
  <c r="GK85" i="3"/>
  <c r="GL85" i="3"/>
  <c r="GM85" i="3"/>
  <c r="GN85" i="3"/>
  <c r="GO85" i="3"/>
  <c r="GP85" i="3"/>
  <c r="GQ85" i="3"/>
  <c r="GR85" i="3"/>
  <c r="GS85" i="3"/>
  <c r="GT85" i="3"/>
  <c r="GU85" i="3"/>
  <c r="GV85" i="3"/>
  <c r="GW85" i="3"/>
  <c r="GX85" i="3"/>
  <c r="GY85" i="3"/>
  <c r="GZ85" i="3"/>
  <c r="HA85" i="3"/>
  <c r="HB85" i="3"/>
  <c r="HC85" i="3"/>
  <c r="HD85" i="3"/>
  <c r="HE85" i="3"/>
  <c r="HF85" i="3"/>
  <c r="HG85" i="3"/>
  <c r="HH85" i="3"/>
  <c r="HI85" i="3"/>
  <c r="HJ85" i="3"/>
  <c r="HK85" i="3"/>
  <c r="HL85" i="3"/>
  <c r="HM85" i="3"/>
  <c r="HN85" i="3"/>
  <c r="HO85" i="3"/>
  <c r="HP85" i="3"/>
  <c r="HQ85" i="3"/>
  <c r="HR85" i="3"/>
  <c r="HS85" i="3"/>
  <c r="HT85" i="3"/>
  <c r="HU85" i="3"/>
  <c r="HV85" i="3"/>
  <c r="HW85" i="3"/>
  <c r="HX85" i="3"/>
  <c r="HY85" i="3"/>
  <c r="HZ85" i="3"/>
  <c r="IA85" i="3"/>
  <c r="IB85" i="3"/>
  <c r="IC85" i="3"/>
  <c r="ID85" i="3"/>
  <c r="IE85" i="3"/>
  <c r="IF85" i="3"/>
  <c r="IG85" i="3"/>
  <c r="IH85" i="3"/>
  <c r="II85" i="3"/>
  <c r="IJ85" i="3"/>
  <c r="IK85" i="3"/>
  <c r="IL85" i="3"/>
  <c r="IM85" i="3"/>
  <c r="IN85" i="3"/>
  <c r="IO85" i="3"/>
  <c r="IP85" i="3"/>
  <c r="IQ85" i="3"/>
  <c r="IR85" i="3"/>
  <c r="IS85" i="3"/>
  <c r="IT85" i="3"/>
  <c r="IU85" i="3"/>
  <c r="IV85" i="3"/>
  <c r="A84" i="3"/>
  <c r="B84" i="3"/>
  <c r="C84" i="3"/>
  <c r="D84" i="3"/>
  <c r="E84" i="3"/>
  <c r="F84" i="3"/>
  <c r="G84" i="3"/>
  <c r="H84" i="3"/>
  <c r="I84" i="3"/>
  <c r="J84" i="3"/>
  <c r="K84" i="3"/>
  <c r="L84" i="3"/>
  <c r="M84" i="3"/>
  <c r="N84" i="3"/>
  <c r="O84" i="3"/>
  <c r="P84" i="3"/>
  <c r="Q84" i="3"/>
  <c r="R84" i="3"/>
  <c r="S84" i="3"/>
  <c r="T84" i="3"/>
  <c r="U84" i="3"/>
  <c r="V84" i="3"/>
  <c r="W84" i="3"/>
  <c r="X84" i="3"/>
  <c r="Y84" i="3"/>
  <c r="Z84" i="3"/>
  <c r="AA84" i="3"/>
  <c r="AB84" i="3"/>
  <c r="AC84" i="3"/>
  <c r="AD84" i="3"/>
  <c r="AE84" i="3"/>
  <c r="AF84" i="3"/>
  <c r="AG84" i="3"/>
  <c r="AH84" i="3"/>
  <c r="AI84" i="3"/>
  <c r="AJ84" i="3"/>
  <c r="AK84" i="3"/>
  <c r="AL84" i="3"/>
  <c r="AM84" i="3"/>
  <c r="AN84" i="3"/>
  <c r="AO84" i="3"/>
  <c r="AP84" i="3"/>
  <c r="AQ84" i="3"/>
  <c r="AR84" i="3"/>
  <c r="AS84" i="3"/>
  <c r="AT84" i="3"/>
  <c r="AU84" i="3"/>
  <c r="AV84" i="3"/>
  <c r="AW84" i="3"/>
  <c r="AX84" i="3"/>
  <c r="AY84" i="3"/>
  <c r="AZ84" i="3"/>
  <c r="BA84" i="3"/>
  <c r="BB84" i="3"/>
  <c r="BC84" i="3"/>
  <c r="BD84" i="3"/>
  <c r="BE84" i="3"/>
  <c r="BF84" i="3"/>
  <c r="BG84" i="3"/>
  <c r="BH84" i="3"/>
  <c r="BI84" i="3"/>
  <c r="BJ84" i="3"/>
  <c r="BK84" i="3"/>
  <c r="BL84" i="3"/>
  <c r="BM84" i="3"/>
  <c r="BN84" i="3"/>
  <c r="BO84" i="3"/>
  <c r="BP84" i="3"/>
  <c r="BQ84" i="3"/>
  <c r="BR84" i="3"/>
  <c r="BS84" i="3"/>
  <c r="BT84" i="3"/>
  <c r="BU84" i="3"/>
  <c r="BV84" i="3"/>
  <c r="BW84" i="3"/>
  <c r="BX84" i="3"/>
  <c r="BY84" i="3"/>
  <c r="BZ84" i="3"/>
  <c r="CA84" i="3"/>
  <c r="CB84" i="3"/>
  <c r="CC84" i="3"/>
  <c r="CD84" i="3"/>
  <c r="CE84" i="3"/>
  <c r="CF84" i="3"/>
  <c r="CG84" i="3"/>
  <c r="CH84" i="3"/>
  <c r="CI84" i="3"/>
  <c r="CJ84" i="3"/>
  <c r="CK84" i="3"/>
  <c r="CL84" i="3"/>
  <c r="CM84" i="3"/>
  <c r="CN84" i="3"/>
  <c r="CO84" i="3"/>
  <c r="CP84" i="3"/>
  <c r="CQ84" i="3"/>
  <c r="CR84" i="3"/>
  <c r="CS84" i="3"/>
  <c r="CT84" i="3"/>
  <c r="CU84" i="3"/>
  <c r="CV84" i="3"/>
  <c r="CW84" i="3"/>
  <c r="CX84" i="3"/>
  <c r="CY84" i="3"/>
  <c r="CZ84" i="3"/>
  <c r="DA84" i="3"/>
  <c r="DB84" i="3"/>
  <c r="DC84" i="3"/>
  <c r="DD84" i="3"/>
  <c r="DE84" i="3"/>
  <c r="DF84" i="3"/>
  <c r="DG84" i="3"/>
  <c r="DH84" i="3"/>
  <c r="DI84" i="3"/>
  <c r="DJ84" i="3"/>
  <c r="DK84" i="3"/>
  <c r="DL84" i="3"/>
  <c r="DM84" i="3"/>
  <c r="DN84" i="3"/>
  <c r="DO84" i="3"/>
  <c r="DP84" i="3"/>
  <c r="DQ84" i="3"/>
  <c r="DR84" i="3"/>
  <c r="DS84" i="3"/>
  <c r="DT84" i="3"/>
  <c r="DU84" i="3"/>
  <c r="DV84" i="3"/>
  <c r="DW84" i="3"/>
  <c r="DX84" i="3"/>
  <c r="DY84" i="3"/>
  <c r="DZ84" i="3"/>
  <c r="EA84" i="3"/>
  <c r="EB84" i="3"/>
  <c r="EC84" i="3"/>
  <c r="ED84" i="3"/>
  <c r="EE84" i="3"/>
  <c r="EF84" i="3"/>
  <c r="EG84" i="3"/>
  <c r="EH84" i="3"/>
  <c r="EI84" i="3"/>
  <c r="EJ84" i="3"/>
  <c r="EK84" i="3"/>
  <c r="EL84" i="3"/>
  <c r="EM84" i="3"/>
  <c r="EN84" i="3"/>
  <c r="EO84" i="3"/>
  <c r="EP84" i="3"/>
  <c r="EQ84" i="3"/>
  <c r="ER84" i="3"/>
  <c r="ES84" i="3"/>
  <c r="ET84" i="3"/>
  <c r="EU84" i="3"/>
  <c r="EV84" i="3"/>
  <c r="EW84" i="3"/>
  <c r="EX84" i="3"/>
  <c r="EY84" i="3"/>
  <c r="EZ84" i="3"/>
  <c r="FA84" i="3"/>
  <c r="FB84" i="3"/>
  <c r="FC84" i="3"/>
  <c r="FD84" i="3"/>
  <c r="FE84" i="3"/>
  <c r="FF84" i="3"/>
  <c r="FG84" i="3"/>
  <c r="FH84" i="3"/>
  <c r="FI84" i="3"/>
  <c r="FJ84" i="3"/>
  <c r="FK84" i="3"/>
  <c r="FL84" i="3"/>
  <c r="FM84" i="3"/>
  <c r="FN84" i="3"/>
  <c r="FO84" i="3"/>
  <c r="FP84" i="3"/>
  <c r="FQ84" i="3"/>
  <c r="FR84" i="3"/>
  <c r="FS84" i="3"/>
  <c r="FT84" i="3"/>
  <c r="FU84" i="3"/>
  <c r="FV84" i="3"/>
  <c r="FW84" i="3"/>
  <c r="FX84" i="3"/>
  <c r="FY84" i="3"/>
  <c r="FZ84" i="3"/>
  <c r="GA84" i="3"/>
  <c r="GB84" i="3"/>
  <c r="GC84" i="3"/>
  <c r="GD84" i="3"/>
  <c r="GE84" i="3"/>
  <c r="GF84" i="3"/>
  <c r="GG84" i="3"/>
  <c r="GH84" i="3"/>
  <c r="GI84" i="3"/>
  <c r="GJ84" i="3"/>
  <c r="GK84" i="3"/>
  <c r="GL84" i="3"/>
  <c r="GM84" i="3"/>
  <c r="GN84" i="3"/>
  <c r="GO84" i="3"/>
  <c r="GP84" i="3"/>
  <c r="GQ84" i="3"/>
  <c r="GR84" i="3"/>
  <c r="GS84" i="3"/>
  <c r="GT84" i="3"/>
  <c r="GU84" i="3"/>
  <c r="GV84" i="3"/>
  <c r="GW84" i="3"/>
  <c r="GX84" i="3"/>
  <c r="GY84" i="3"/>
  <c r="GZ84" i="3"/>
  <c r="HA84" i="3"/>
  <c r="HB84" i="3"/>
  <c r="HC84" i="3"/>
  <c r="HD84" i="3"/>
  <c r="HE84" i="3"/>
  <c r="HF84" i="3"/>
  <c r="HG84" i="3"/>
  <c r="HH84" i="3"/>
  <c r="HI84" i="3"/>
  <c r="HJ84" i="3"/>
  <c r="HK84" i="3"/>
  <c r="HL84" i="3"/>
  <c r="HM84" i="3"/>
  <c r="HN84" i="3"/>
  <c r="HO84" i="3"/>
  <c r="HP84" i="3"/>
  <c r="HQ84" i="3"/>
  <c r="HR84" i="3"/>
  <c r="HS84" i="3"/>
  <c r="HT84" i="3"/>
  <c r="HU84" i="3"/>
  <c r="HV84" i="3"/>
  <c r="HW84" i="3"/>
  <c r="HX84" i="3"/>
  <c r="HY84" i="3"/>
  <c r="HZ84" i="3"/>
  <c r="IA84" i="3"/>
  <c r="IB84" i="3"/>
  <c r="IC84" i="3"/>
  <c r="ID84" i="3"/>
  <c r="IE84" i="3"/>
  <c r="IF84" i="3"/>
  <c r="IG84" i="3"/>
  <c r="IH84" i="3"/>
  <c r="II84" i="3"/>
  <c r="IJ84" i="3"/>
  <c r="IK84" i="3"/>
  <c r="IL84" i="3"/>
  <c r="IM84" i="3"/>
  <c r="IN84" i="3"/>
  <c r="IO84" i="3"/>
  <c r="IP84" i="3"/>
  <c r="IQ84" i="3"/>
  <c r="IR84" i="3"/>
  <c r="IS84" i="3"/>
  <c r="IT84" i="3"/>
  <c r="IU84" i="3"/>
  <c r="IV84" i="3"/>
  <c r="A83" i="3"/>
  <c r="B83" i="3"/>
  <c r="C83" i="3"/>
  <c r="D83" i="3"/>
  <c r="E83" i="3"/>
  <c r="F83" i="3"/>
  <c r="G83" i="3"/>
  <c r="H83" i="3"/>
  <c r="I83" i="3"/>
  <c r="J83" i="3"/>
  <c r="K83" i="3"/>
  <c r="L83" i="3"/>
  <c r="M83" i="3"/>
  <c r="N83" i="3"/>
  <c r="O83" i="3"/>
  <c r="P83" i="3"/>
  <c r="Q83" i="3"/>
  <c r="R83" i="3"/>
  <c r="S83" i="3"/>
  <c r="T83" i="3"/>
  <c r="U83" i="3"/>
  <c r="V83" i="3"/>
  <c r="W83" i="3"/>
  <c r="X83" i="3"/>
  <c r="Y83" i="3"/>
  <c r="Z83" i="3"/>
  <c r="AA83" i="3"/>
  <c r="AB83" i="3"/>
  <c r="AC83" i="3"/>
  <c r="AD83" i="3"/>
  <c r="AE83" i="3"/>
  <c r="AF83" i="3"/>
  <c r="AG83" i="3"/>
  <c r="AH83" i="3"/>
  <c r="AI83" i="3"/>
  <c r="AJ83" i="3"/>
  <c r="AK83" i="3"/>
  <c r="AL83" i="3"/>
  <c r="AM83" i="3"/>
  <c r="AN83" i="3"/>
  <c r="AO83" i="3"/>
  <c r="AP83" i="3"/>
  <c r="AQ83" i="3"/>
  <c r="AR83" i="3"/>
  <c r="AS83" i="3"/>
  <c r="AT83" i="3"/>
  <c r="AU83" i="3"/>
  <c r="AV83" i="3"/>
  <c r="AW83" i="3"/>
  <c r="AX83" i="3"/>
  <c r="AY83" i="3"/>
  <c r="AZ83" i="3"/>
  <c r="BA83" i="3"/>
  <c r="BB83" i="3"/>
  <c r="BC83" i="3"/>
  <c r="BD83" i="3"/>
  <c r="BE83" i="3"/>
  <c r="BF83" i="3"/>
  <c r="BG83" i="3"/>
  <c r="BH83" i="3"/>
  <c r="BI83" i="3"/>
  <c r="BJ83" i="3"/>
  <c r="BK83" i="3"/>
  <c r="BL83" i="3"/>
  <c r="BM83" i="3"/>
  <c r="BN83" i="3"/>
  <c r="BO83" i="3"/>
  <c r="BP83" i="3"/>
  <c r="BQ83" i="3"/>
  <c r="BR83" i="3"/>
  <c r="BS83" i="3"/>
  <c r="BT83" i="3"/>
  <c r="BU83" i="3"/>
  <c r="BV83" i="3"/>
  <c r="BW83" i="3"/>
  <c r="BX83" i="3"/>
  <c r="BY83" i="3"/>
  <c r="BZ83" i="3"/>
  <c r="CA83" i="3"/>
  <c r="CB83" i="3"/>
  <c r="CC83" i="3"/>
  <c r="CD83" i="3"/>
  <c r="CE83" i="3"/>
  <c r="CF83" i="3"/>
  <c r="CG83" i="3"/>
  <c r="CH83" i="3"/>
  <c r="CI83" i="3"/>
  <c r="CJ83" i="3"/>
  <c r="CK83" i="3"/>
  <c r="CL83" i="3"/>
  <c r="CM83" i="3"/>
  <c r="CN83" i="3"/>
  <c r="CO83" i="3"/>
  <c r="CP83" i="3"/>
  <c r="CQ83" i="3"/>
  <c r="CR83" i="3"/>
  <c r="CS83" i="3"/>
  <c r="CT83" i="3"/>
  <c r="CU83" i="3"/>
  <c r="CV83" i="3"/>
  <c r="CW83" i="3"/>
  <c r="CX83" i="3"/>
  <c r="CY83" i="3"/>
  <c r="CZ83" i="3"/>
  <c r="DA83" i="3"/>
  <c r="DB83" i="3"/>
  <c r="DC83" i="3"/>
  <c r="DD83" i="3"/>
  <c r="DE83" i="3"/>
  <c r="DF83" i="3"/>
  <c r="DG83" i="3"/>
  <c r="DH83" i="3"/>
  <c r="DI83" i="3"/>
  <c r="DJ83" i="3"/>
  <c r="DK83" i="3"/>
  <c r="DL83" i="3"/>
  <c r="DM83" i="3"/>
  <c r="DN83" i="3"/>
  <c r="DO83" i="3"/>
  <c r="DP83" i="3"/>
  <c r="DQ83" i="3"/>
  <c r="DR83" i="3"/>
  <c r="DS83" i="3"/>
  <c r="DT83" i="3"/>
  <c r="DU83" i="3"/>
  <c r="DV83" i="3"/>
  <c r="DW83" i="3"/>
  <c r="DX83" i="3"/>
  <c r="DY83" i="3"/>
  <c r="DZ83" i="3"/>
  <c r="EA83" i="3"/>
  <c r="EB83" i="3"/>
  <c r="EC83" i="3"/>
  <c r="ED83" i="3"/>
  <c r="EE83" i="3"/>
  <c r="EF83" i="3"/>
  <c r="EG83" i="3"/>
  <c r="EH83" i="3"/>
  <c r="EI83" i="3"/>
  <c r="EJ83" i="3"/>
  <c r="EK83" i="3"/>
  <c r="EL83" i="3"/>
  <c r="EM83" i="3"/>
  <c r="EN83" i="3"/>
  <c r="EO83" i="3"/>
  <c r="EP83" i="3"/>
  <c r="EQ83" i="3"/>
  <c r="ER83" i="3"/>
  <c r="ES83" i="3"/>
  <c r="ET83" i="3"/>
  <c r="EU83" i="3"/>
  <c r="EV83" i="3"/>
  <c r="EW83" i="3"/>
  <c r="EX83" i="3"/>
  <c r="EY83" i="3"/>
  <c r="EZ83" i="3"/>
  <c r="FA83" i="3"/>
  <c r="FB83" i="3"/>
  <c r="FC83" i="3"/>
  <c r="FD83" i="3"/>
  <c r="FE83" i="3"/>
  <c r="FF83" i="3"/>
  <c r="FG83" i="3"/>
  <c r="FH83" i="3"/>
  <c r="FI83" i="3"/>
  <c r="FJ83" i="3"/>
  <c r="FK83" i="3"/>
  <c r="FL83" i="3"/>
  <c r="FM83" i="3"/>
  <c r="FN83" i="3"/>
  <c r="FO83" i="3"/>
  <c r="FP83" i="3"/>
  <c r="FQ83" i="3"/>
  <c r="FR83" i="3"/>
  <c r="FS83" i="3"/>
  <c r="FT83" i="3"/>
  <c r="FU83" i="3"/>
  <c r="FV83" i="3"/>
  <c r="FW83" i="3"/>
  <c r="FX83" i="3"/>
  <c r="FY83" i="3"/>
  <c r="FZ83" i="3"/>
  <c r="GA83" i="3"/>
  <c r="GB83" i="3"/>
  <c r="GC83" i="3"/>
  <c r="GD83" i="3"/>
  <c r="GE83" i="3"/>
  <c r="GF83" i="3"/>
  <c r="GG83" i="3"/>
  <c r="GH83" i="3"/>
  <c r="GI83" i="3"/>
  <c r="GJ83" i="3"/>
  <c r="GK83" i="3"/>
  <c r="GL83" i="3"/>
  <c r="GM83" i="3"/>
  <c r="GN83" i="3"/>
  <c r="GO83" i="3"/>
  <c r="GP83" i="3"/>
  <c r="GQ83" i="3"/>
  <c r="GR83" i="3"/>
  <c r="GS83" i="3"/>
  <c r="GT83" i="3"/>
  <c r="GU83" i="3"/>
  <c r="GV83" i="3"/>
  <c r="GW83" i="3"/>
  <c r="GX83" i="3"/>
  <c r="GY83" i="3"/>
  <c r="GZ83" i="3"/>
  <c r="HA83" i="3"/>
  <c r="HB83" i="3"/>
  <c r="HC83" i="3"/>
  <c r="HD83" i="3"/>
  <c r="HE83" i="3"/>
  <c r="HF83" i="3"/>
  <c r="HG83" i="3"/>
  <c r="HH83" i="3"/>
  <c r="HI83" i="3"/>
  <c r="HJ83" i="3"/>
  <c r="HK83" i="3"/>
  <c r="HL83" i="3"/>
  <c r="HM83" i="3"/>
  <c r="HN83" i="3"/>
  <c r="HO83" i="3"/>
  <c r="HP83" i="3"/>
  <c r="HQ83" i="3"/>
  <c r="HR83" i="3"/>
  <c r="HS83" i="3"/>
  <c r="HT83" i="3"/>
  <c r="HU83" i="3"/>
  <c r="HV83" i="3"/>
  <c r="HW83" i="3"/>
  <c r="HX83" i="3"/>
  <c r="HY83" i="3"/>
  <c r="HZ83" i="3"/>
  <c r="IA83" i="3"/>
  <c r="IB83" i="3"/>
  <c r="IC83" i="3"/>
  <c r="ID83" i="3"/>
  <c r="IE83" i="3"/>
  <c r="IF83" i="3"/>
  <c r="IG83" i="3"/>
  <c r="IH83" i="3"/>
  <c r="II83" i="3"/>
  <c r="IJ83" i="3"/>
  <c r="IK83" i="3"/>
  <c r="IL83" i="3"/>
  <c r="IM83" i="3"/>
  <c r="IN83" i="3"/>
  <c r="IO83" i="3"/>
  <c r="IP83" i="3"/>
  <c r="IQ83" i="3"/>
  <c r="IR83" i="3"/>
  <c r="IS83" i="3"/>
  <c r="IT83" i="3"/>
  <c r="IU83" i="3"/>
  <c r="IV83" i="3"/>
  <c r="A82" i="3"/>
  <c r="B82" i="3"/>
  <c r="C82" i="3"/>
  <c r="D82" i="3"/>
  <c r="E82" i="3"/>
  <c r="F82" i="3"/>
  <c r="G82" i="3"/>
  <c r="H82" i="3"/>
  <c r="I82" i="3"/>
  <c r="J82" i="3"/>
  <c r="K82" i="3"/>
  <c r="L82" i="3"/>
  <c r="M82" i="3"/>
  <c r="N82" i="3"/>
  <c r="O82" i="3"/>
  <c r="P82" i="3"/>
  <c r="Q82" i="3"/>
  <c r="R82" i="3"/>
  <c r="S82" i="3"/>
  <c r="T82" i="3"/>
  <c r="U82" i="3"/>
  <c r="V82" i="3"/>
  <c r="W82" i="3"/>
  <c r="X82" i="3"/>
  <c r="Y82" i="3"/>
  <c r="Z82" i="3"/>
  <c r="AA82" i="3"/>
  <c r="AB82" i="3"/>
  <c r="AC82" i="3"/>
  <c r="AD82" i="3"/>
  <c r="AE82" i="3"/>
  <c r="AF82" i="3"/>
  <c r="AG82" i="3"/>
  <c r="AH82" i="3"/>
  <c r="AI82" i="3"/>
  <c r="AJ82" i="3"/>
  <c r="AK82" i="3"/>
  <c r="AL82" i="3"/>
  <c r="AM82" i="3"/>
  <c r="AN82" i="3"/>
  <c r="AO82" i="3"/>
  <c r="AP82" i="3"/>
  <c r="AQ82" i="3"/>
  <c r="AR82" i="3"/>
  <c r="AS82" i="3"/>
  <c r="AT82" i="3"/>
  <c r="AU82" i="3"/>
  <c r="AV82" i="3"/>
  <c r="AW82" i="3"/>
  <c r="AX82" i="3"/>
  <c r="AY82" i="3"/>
  <c r="AZ82" i="3"/>
  <c r="BA82" i="3"/>
  <c r="BB82" i="3"/>
  <c r="BC82" i="3"/>
  <c r="BD82" i="3"/>
  <c r="BE82" i="3"/>
  <c r="BF82" i="3"/>
  <c r="BG82" i="3"/>
  <c r="BH82" i="3"/>
  <c r="BI82" i="3"/>
  <c r="BJ82" i="3"/>
  <c r="BK82" i="3"/>
  <c r="BL82" i="3"/>
  <c r="BM82" i="3"/>
  <c r="BN82" i="3"/>
  <c r="BO82" i="3"/>
  <c r="BP82" i="3"/>
  <c r="BQ82" i="3"/>
  <c r="BR82" i="3"/>
  <c r="BS82" i="3"/>
  <c r="BT82" i="3"/>
  <c r="BU82" i="3"/>
  <c r="BV82" i="3"/>
  <c r="BW82" i="3"/>
  <c r="BX82" i="3"/>
  <c r="BY82" i="3"/>
  <c r="BZ82" i="3"/>
  <c r="CA82" i="3"/>
  <c r="CB82" i="3"/>
  <c r="CC82" i="3"/>
  <c r="CD82" i="3"/>
  <c r="CE82" i="3"/>
  <c r="CF82" i="3"/>
  <c r="CG82" i="3"/>
  <c r="CH82" i="3"/>
  <c r="CI82" i="3"/>
  <c r="CJ82" i="3"/>
  <c r="CK82" i="3"/>
  <c r="CL82" i="3"/>
  <c r="CM82" i="3"/>
  <c r="CN82" i="3"/>
  <c r="CO82" i="3"/>
  <c r="CP82" i="3"/>
  <c r="CQ82" i="3"/>
  <c r="CR82" i="3"/>
  <c r="CS82" i="3"/>
  <c r="CT82" i="3"/>
  <c r="CU82" i="3"/>
  <c r="CV82" i="3"/>
  <c r="CW82" i="3"/>
  <c r="CX82" i="3"/>
  <c r="CY82" i="3"/>
  <c r="CZ82" i="3"/>
  <c r="DA82" i="3"/>
  <c r="DB82" i="3"/>
  <c r="DC82" i="3"/>
  <c r="DD82" i="3"/>
  <c r="DE82" i="3"/>
  <c r="DF82" i="3"/>
  <c r="DG82" i="3"/>
  <c r="DH82" i="3"/>
  <c r="DI82" i="3"/>
  <c r="DJ82" i="3"/>
  <c r="DK82" i="3"/>
  <c r="DL82" i="3"/>
  <c r="DM82" i="3"/>
  <c r="DN82" i="3"/>
  <c r="DO82" i="3"/>
  <c r="DP82" i="3"/>
  <c r="DQ82" i="3"/>
  <c r="DR82" i="3"/>
  <c r="DS82" i="3"/>
  <c r="DT82" i="3"/>
  <c r="DU82" i="3"/>
  <c r="DV82" i="3"/>
  <c r="DW82" i="3"/>
  <c r="DX82" i="3"/>
  <c r="DY82" i="3"/>
  <c r="DZ82" i="3"/>
  <c r="EA82" i="3"/>
  <c r="EB82" i="3"/>
  <c r="EC82" i="3"/>
  <c r="ED82" i="3"/>
  <c r="EE82" i="3"/>
  <c r="EF82" i="3"/>
  <c r="EG82" i="3"/>
  <c r="EH82" i="3"/>
  <c r="EI82" i="3"/>
  <c r="EJ82" i="3"/>
  <c r="EK82" i="3"/>
  <c r="EL82" i="3"/>
  <c r="EM82" i="3"/>
  <c r="EN82" i="3"/>
  <c r="EO82" i="3"/>
  <c r="EP82" i="3"/>
  <c r="EQ82" i="3"/>
  <c r="ER82" i="3"/>
  <c r="ES82" i="3"/>
  <c r="ET82" i="3"/>
  <c r="EU82" i="3"/>
  <c r="EV82" i="3"/>
  <c r="EW82" i="3"/>
  <c r="EX82" i="3"/>
  <c r="EY82" i="3"/>
  <c r="EZ82" i="3"/>
  <c r="FA82" i="3"/>
  <c r="FB82" i="3"/>
  <c r="FC82" i="3"/>
  <c r="FD82" i="3"/>
  <c r="FE82" i="3"/>
  <c r="FF82" i="3"/>
  <c r="FG82" i="3"/>
  <c r="FH82" i="3"/>
  <c r="FI82" i="3"/>
  <c r="FJ82" i="3"/>
  <c r="FK82" i="3"/>
  <c r="FL82" i="3"/>
  <c r="FM82" i="3"/>
  <c r="FN82" i="3"/>
  <c r="FO82" i="3"/>
  <c r="FP82" i="3"/>
  <c r="FQ82" i="3"/>
  <c r="FR82" i="3"/>
  <c r="FS82" i="3"/>
  <c r="FT82" i="3"/>
  <c r="FU82" i="3"/>
  <c r="FV82" i="3"/>
  <c r="FW82" i="3"/>
  <c r="FX82" i="3"/>
  <c r="FY82" i="3"/>
  <c r="FZ82" i="3"/>
  <c r="GA82" i="3"/>
  <c r="GB82" i="3"/>
  <c r="GC82" i="3"/>
  <c r="GD82" i="3"/>
  <c r="GE82" i="3"/>
  <c r="GF82" i="3"/>
  <c r="GG82" i="3"/>
  <c r="GH82" i="3"/>
  <c r="GI82" i="3"/>
  <c r="GJ82" i="3"/>
  <c r="GK82" i="3"/>
  <c r="GL82" i="3"/>
  <c r="GM82" i="3"/>
  <c r="GN82" i="3"/>
  <c r="GO82" i="3"/>
  <c r="GP82" i="3"/>
  <c r="GQ82" i="3"/>
  <c r="GR82" i="3"/>
  <c r="GS82" i="3"/>
  <c r="GT82" i="3"/>
  <c r="GU82" i="3"/>
  <c r="GV82" i="3"/>
  <c r="GW82" i="3"/>
  <c r="GX82" i="3"/>
  <c r="GY82" i="3"/>
  <c r="GZ82" i="3"/>
  <c r="HA82" i="3"/>
  <c r="HB82" i="3"/>
  <c r="HC82" i="3"/>
  <c r="HD82" i="3"/>
  <c r="HE82" i="3"/>
  <c r="HF82" i="3"/>
  <c r="HG82" i="3"/>
  <c r="HH82" i="3"/>
  <c r="HI82" i="3"/>
  <c r="HJ82" i="3"/>
  <c r="HK82" i="3"/>
  <c r="HL82" i="3"/>
  <c r="HM82" i="3"/>
  <c r="HN82" i="3"/>
  <c r="HO82" i="3"/>
  <c r="HP82" i="3"/>
  <c r="HQ82" i="3"/>
  <c r="HR82" i="3"/>
  <c r="HS82" i="3"/>
  <c r="HT82" i="3"/>
  <c r="HU82" i="3"/>
  <c r="HV82" i="3"/>
  <c r="HW82" i="3"/>
  <c r="HX82" i="3"/>
  <c r="HY82" i="3"/>
  <c r="HZ82" i="3"/>
  <c r="IA82" i="3"/>
  <c r="IB82" i="3"/>
  <c r="IC82" i="3"/>
  <c r="ID82" i="3"/>
  <c r="IE82" i="3"/>
  <c r="IF82" i="3"/>
  <c r="IG82" i="3"/>
  <c r="IH82" i="3"/>
  <c r="II82" i="3"/>
  <c r="IJ82" i="3"/>
  <c r="IK82" i="3"/>
  <c r="IL82" i="3"/>
  <c r="IM82" i="3"/>
  <c r="IN82" i="3"/>
  <c r="IO82" i="3"/>
  <c r="IP82" i="3"/>
  <c r="IQ82" i="3"/>
  <c r="IR82" i="3"/>
  <c r="IS82" i="3"/>
  <c r="IT82" i="3"/>
  <c r="IU82" i="3"/>
  <c r="IV82" i="3"/>
  <c r="A81" i="3"/>
  <c r="B81" i="3"/>
  <c r="C81" i="3"/>
  <c r="D81" i="3"/>
  <c r="E81" i="3"/>
  <c r="F81" i="3"/>
  <c r="G81" i="3"/>
  <c r="H81" i="3"/>
  <c r="I81" i="3"/>
  <c r="J81" i="3"/>
  <c r="K81" i="3"/>
  <c r="L81" i="3"/>
  <c r="M81" i="3"/>
  <c r="N81" i="3"/>
  <c r="O81" i="3"/>
  <c r="P81" i="3"/>
  <c r="Q81" i="3"/>
  <c r="R81" i="3"/>
  <c r="S81" i="3"/>
  <c r="T81" i="3"/>
  <c r="U81" i="3"/>
  <c r="V81" i="3"/>
  <c r="W81" i="3"/>
  <c r="X81" i="3"/>
  <c r="Y81" i="3"/>
  <c r="Z81" i="3"/>
  <c r="AA81" i="3"/>
  <c r="AB81" i="3"/>
  <c r="AC81" i="3"/>
  <c r="AD81" i="3"/>
  <c r="AE81" i="3"/>
  <c r="AF81" i="3"/>
  <c r="AG81" i="3"/>
  <c r="AH81" i="3"/>
  <c r="AI81" i="3"/>
  <c r="AJ81" i="3"/>
  <c r="AK81" i="3"/>
  <c r="AL81" i="3"/>
  <c r="AM81" i="3"/>
  <c r="AN81" i="3"/>
  <c r="AO81" i="3"/>
  <c r="AP81" i="3"/>
  <c r="AQ81" i="3"/>
  <c r="AR81" i="3"/>
  <c r="AS81" i="3"/>
  <c r="AT81" i="3"/>
  <c r="AU81" i="3"/>
  <c r="AV81" i="3"/>
  <c r="AW81" i="3"/>
  <c r="AX81" i="3"/>
  <c r="AY81" i="3"/>
  <c r="AZ81" i="3"/>
  <c r="BA81" i="3"/>
  <c r="BB81" i="3"/>
  <c r="BC81" i="3"/>
  <c r="BD81" i="3"/>
  <c r="BE81" i="3"/>
  <c r="BF81" i="3"/>
  <c r="BG81" i="3"/>
  <c r="BH81" i="3"/>
  <c r="BI81" i="3"/>
  <c r="BJ81" i="3"/>
  <c r="BK81" i="3"/>
  <c r="BL81" i="3"/>
  <c r="BM81" i="3"/>
  <c r="BN81" i="3"/>
  <c r="BO81" i="3"/>
  <c r="BP81" i="3"/>
  <c r="BQ81" i="3"/>
  <c r="BR81" i="3"/>
  <c r="BS81" i="3"/>
  <c r="BT81" i="3"/>
  <c r="BU81" i="3"/>
  <c r="BV81" i="3"/>
  <c r="BW81" i="3"/>
  <c r="BX81" i="3"/>
  <c r="BY81" i="3"/>
  <c r="BZ81" i="3"/>
  <c r="CA81" i="3"/>
  <c r="CB81" i="3"/>
  <c r="CC81" i="3"/>
  <c r="CD81" i="3"/>
  <c r="CE81" i="3"/>
  <c r="CF81" i="3"/>
  <c r="CG81" i="3"/>
  <c r="CH81" i="3"/>
  <c r="CI81" i="3"/>
  <c r="CJ81" i="3"/>
  <c r="CK81" i="3"/>
  <c r="CL81" i="3"/>
  <c r="CM81" i="3"/>
  <c r="CN81" i="3"/>
  <c r="CO81" i="3"/>
  <c r="CP81" i="3"/>
  <c r="CQ81" i="3"/>
  <c r="CR81" i="3"/>
  <c r="CS81" i="3"/>
  <c r="CT81" i="3"/>
  <c r="CU81" i="3"/>
  <c r="CV81" i="3"/>
  <c r="CW81" i="3"/>
  <c r="CX81" i="3"/>
  <c r="CY81" i="3"/>
  <c r="CZ81" i="3"/>
  <c r="DA81" i="3"/>
  <c r="DB81" i="3"/>
  <c r="DC81" i="3"/>
  <c r="DD81" i="3"/>
  <c r="DE81" i="3"/>
  <c r="DF81" i="3"/>
  <c r="DG81" i="3"/>
  <c r="DH81" i="3"/>
  <c r="DI81" i="3"/>
  <c r="DJ81" i="3"/>
  <c r="DK81" i="3"/>
  <c r="DL81" i="3"/>
  <c r="DM81" i="3"/>
  <c r="DN81" i="3"/>
  <c r="DO81" i="3"/>
  <c r="DP81" i="3"/>
  <c r="DQ81" i="3"/>
  <c r="DR81" i="3"/>
  <c r="DS81" i="3"/>
  <c r="DT81" i="3"/>
  <c r="DU81" i="3"/>
  <c r="DV81" i="3"/>
  <c r="DW81" i="3"/>
  <c r="DX81" i="3"/>
  <c r="DY81" i="3"/>
  <c r="DZ81" i="3"/>
  <c r="EA81" i="3"/>
  <c r="EB81" i="3"/>
  <c r="EC81" i="3"/>
  <c r="ED81" i="3"/>
  <c r="EE81" i="3"/>
  <c r="EF81" i="3"/>
  <c r="EG81" i="3"/>
  <c r="EH81" i="3"/>
  <c r="EI81" i="3"/>
  <c r="EJ81" i="3"/>
  <c r="EK81" i="3"/>
  <c r="EL81" i="3"/>
  <c r="EM81" i="3"/>
  <c r="EN81" i="3"/>
  <c r="EO81" i="3"/>
  <c r="EP81" i="3"/>
  <c r="EQ81" i="3"/>
  <c r="ER81" i="3"/>
  <c r="ES81" i="3"/>
  <c r="ET81" i="3"/>
  <c r="EU81" i="3"/>
  <c r="EV81" i="3"/>
  <c r="EW81" i="3"/>
  <c r="EX81" i="3"/>
  <c r="EY81" i="3"/>
  <c r="EZ81" i="3"/>
  <c r="FA81" i="3"/>
  <c r="FB81" i="3"/>
  <c r="FC81" i="3"/>
  <c r="FD81" i="3"/>
  <c r="FE81" i="3"/>
  <c r="FF81" i="3"/>
  <c r="FG81" i="3"/>
  <c r="FH81" i="3"/>
  <c r="FI81" i="3"/>
  <c r="FJ81" i="3"/>
  <c r="FK81" i="3"/>
  <c r="FL81" i="3"/>
  <c r="FM81" i="3"/>
  <c r="FN81" i="3"/>
  <c r="FO81" i="3"/>
  <c r="FP81" i="3"/>
  <c r="FQ81" i="3"/>
  <c r="FR81" i="3"/>
  <c r="FS81" i="3"/>
  <c r="FT81" i="3"/>
  <c r="FU81" i="3"/>
  <c r="FV81" i="3"/>
  <c r="FW81" i="3"/>
  <c r="FX81" i="3"/>
  <c r="FY81" i="3"/>
  <c r="FZ81" i="3"/>
  <c r="GA81" i="3"/>
  <c r="GB81" i="3"/>
  <c r="GC81" i="3"/>
  <c r="GD81" i="3"/>
  <c r="GE81" i="3"/>
  <c r="GF81" i="3"/>
  <c r="GG81" i="3"/>
  <c r="GH81" i="3"/>
  <c r="GI81" i="3"/>
  <c r="GJ81" i="3"/>
  <c r="GK81" i="3"/>
  <c r="GL81" i="3"/>
  <c r="GM81" i="3"/>
  <c r="GN81" i="3"/>
  <c r="GO81" i="3"/>
  <c r="GP81" i="3"/>
  <c r="GQ81" i="3"/>
  <c r="GR81" i="3"/>
  <c r="GS81" i="3"/>
  <c r="GT81" i="3"/>
  <c r="GU81" i="3"/>
  <c r="GV81" i="3"/>
  <c r="GW81" i="3"/>
  <c r="GX81" i="3"/>
  <c r="GY81" i="3"/>
  <c r="GZ81" i="3"/>
  <c r="HA81" i="3"/>
  <c r="HB81" i="3"/>
  <c r="HC81" i="3"/>
  <c r="HD81" i="3"/>
  <c r="HE81" i="3"/>
  <c r="HF81" i="3"/>
  <c r="HG81" i="3"/>
  <c r="HH81" i="3"/>
  <c r="HI81" i="3"/>
  <c r="HJ81" i="3"/>
  <c r="HK81" i="3"/>
  <c r="HL81" i="3"/>
  <c r="HM81" i="3"/>
  <c r="HN81" i="3"/>
  <c r="HO81" i="3"/>
  <c r="HP81" i="3"/>
  <c r="HQ81" i="3"/>
  <c r="HR81" i="3"/>
  <c r="HS81" i="3"/>
  <c r="HT81" i="3"/>
  <c r="HU81" i="3"/>
  <c r="HV81" i="3"/>
  <c r="HW81" i="3"/>
  <c r="HX81" i="3"/>
  <c r="HY81" i="3"/>
  <c r="HZ81" i="3"/>
  <c r="IA81" i="3"/>
  <c r="IB81" i="3"/>
  <c r="IC81" i="3"/>
  <c r="ID81" i="3"/>
  <c r="IE81" i="3"/>
  <c r="IF81" i="3"/>
  <c r="IG81" i="3"/>
  <c r="IH81" i="3"/>
  <c r="II81" i="3"/>
  <c r="IJ81" i="3"/>
  <c r="IK81" i="3"/>
  <c r="IL81" i="3"/>
  <c r="IM81" i="3"/>
  <c r="IN81" i="3"/>
  <c r="IO81" i="3"/>
  <c r="IP81" i="3"/>
  <c r="IQ81" i="3"/>
  <c r="IR81" i="3"/>
  <c r="IS81" i="3"/>
  <c r="IT81" i="3"/>
  <c r="IU81" i="3"/>
  <c r="IV81" i="3"/>
  <c r="A80" i="3"/>
  <c r="B80" i="3"/>
  <c r="C80" i="3"/>
  <c r="D80" i="3"/>
  <c r="E80" i="3"/>
  <c r="F80" i="3"/>
  <c r="G80" i="3"/>
  <c r="H80" i="3"/>
  <c r="I80" i="3"/>
  <c r="J80" i="3"/>
  <c r="K80" i="3"/>
  <c r="L80" i="3"/>
  <c r="M80" i="3"/>
  <c r="N80" i="3"/>
  <c r="O80" i="3"/>
  <c r="P80" i="3"/>
  <c r="Q80" i="3"/>
  <c r="R80" i="3"/>
  <c r="S80" i="3"/>
  <c r="T80" i="3"/>
  <c r="U80" i="3"/>
  <c r="V80" i="3"/>
  <c r="W80" i="3"/>
  <c r="X80" i="3"/>
  <c r="Y80" i="3"/>
  <c r="Z80" i="3"/>
  <c r="AA80" i="3"/>
  <c r="AB80" i="3"/>
  <c r="AC80" i="3"/>
  <c r="AD80" i="3"/>
  <c r="AE80" i="3"/>
  <c r="AF80" i="3"/>
  <c r="AG80" i="3"/>
  <c r="AH80" i="3"/>
  <c r="AI80" i="3"/>
  <c r="AJ80" i="3"/>
  <c r="AK80" i="3"/>
  <c r="AL80" i="3"/>
  <c r="AM80" i="3"/>
  <c r="AN80" i="3"/>
  <c r="AO80" i="3"/>
  <c r="AP80" i="3"/>
  <c r="AQ80" i="3"/>
  <c r="AR80" i="3"/>
  <c r="AS80" i="3"/>
  <c r="AT80" i="3"/>
  <c r="AU80" i="3"/>
  <c r="AV80" i="3"/>
  <c r="AW80" i="3"/>
  <c r="AX80" i="3"/>
  <c r="AY80" i="3"/>
  <c r="AZ80" i="3"/>
  <c r="BA80" i="3"/>
  <c r="BB80" i="3"/>
  <c r="BC80" i="3"/>
  <c r="BD80" i="3"/>
  <c r="BE80" i="3"/>
  <c r="BF80" i="3"/>
  <c r="BG80" i="3"/>
  <c r="BH80" i="3"/>
  <c r="BI80" i="3"/>
  <c r="BJ80" i="3"/>
  <c r="BK80" i="3"/>
  <c r="BL80" i="3"/>
  <c r="BM80" i="3"/>
  <c r="BN80" i="3"/>
  <c r="BO80" i="3"/>
  <c r="BP80" i="3"/>
  <c r="BQ80" i="3"/>
  <c r="BR80" i="3"/>
  <c r="BS80" i="3"/>
  <c r="BT80" i="3"/>
  <c r="BU80" i="3"/>
  <c r="BV80" i="3"/>
  <c r="BW80" i="3"/>
  <c r="BX80" i="3"/>
  <c r="BY80" i="3"/>
  <c r="BZ80" i="3"/>
  <c r="CA80" i="3"/>
  <c r="CB80" i="3"/>
  <c r="CC80" i="3"/>
  <c r="CD80" i="3"/>
  <c r="CE80" i="3"/>
  <c r="CF80" i="3"/>
  <c r="CG80" i="3"/>
  <c r="CH80" i="3"/>
  <c r="CI80" i="3"/>
  <c r="CJ80" i="3"/>
  <c r="CK80" i="3"/>
  <c r="CL80" i="3"/>
  <c r="CM80" i="3"/>
  <c r="CN80" i="3"/>
  <c r="CO80" i="3"/>
  <c r="CP80" i="3"/>
  <c r="CQ80" i="3"/>
  <c r="CR80" i="3"/>
  <c r="CS80" i="3"/>
  <c r="CT80" i="3"/>
  <c r="CU80" i="3"/>
  <c r="CV80" i="3"/>
  <c r="CW80" i="3"/>
  <c r="CX80" i="3"/>
  <c r="CY80" i="3"/>
  <c r="CZ80" i="3"/>
  <c r="DA80" i="3"/>
  <c r="DB80" i="3"/>
  <c r="DC80" i="3"/>
  <c r="DD80" i="3"/>
  <c r="DE80" i="3"/>
  <c r="DF80" i="3"/>
  <c r="DG80" i="3"/>
  <c r="DH80" i="3"/>
  <c r="DI80" i="3"/>
  <c r="DJ80" i="3"/>
  <c r="DK80" i="3"/>
  <c r="DL80" i="3"/>
  <c r="DM80" i="3"/>
  <c r="DN80" i="3"/>
  <c r="DO80" i="3"/>
  <c r="DP80" i="3"/>
  <c r="DQ80" i="3"/>
  <c r="DR80" i="3"/>
  <c r="DS80" i="3"/>
  <c r="DT80" i="3"/>
  <c r="DU80" i="3"/>
  <c r="DV80" i="3"/>
  <c r="DW80" i="3"/>
  <c r="DX80" i="3"/>
  <c r="DY80" i="3"/>
  <c r="DZ80" i="3"/>
  <c r="EA80" i="3"/>
  <c r="EB80" i="3"/>
  <c r="EC80" i="3"/>
  <c r="ED80" i="3"/>
  <c r="EE80" i="3"/>
  <c r="EF80" i="3"/>
  <c r="EG80" i="3"/>
  <c r="EH80" i="3"/>
  <c r="EI80" i="3"/>
  <c r="EJ80" i="3"/>
  <c r="EK80" i="3"/>
  <c r="EL80" i="3"/>
  <c r="EM80" i="3"/>
  <c r="EN80" i="3"/>
  <c r="EO80" i="3"/>
  <c r="EP80" i="3"/>
  <c r="EQ80" i="3"/>
  <c r="ER80" i="3"/>
  <c r="ES80" i="3"/>
  <c r="ET80" i="3"/>
  <c r="EU80" i="3"/>
  <c r="EV80" i="3"/>
  <c r="EW80" i="3"/>
  <c r="EX80" i="3"/>
  <c r="EY80" i="3"/>
  <c r="EZ80" i="3"/>
  <c r="FA80" i="3"/>
  <c r="FB80" i="3"/>
  <c r="FC80" i="3"/>
  <c r="FD80" i="3"/>
  <c r="FE80" i="3"/>
  <c r="FF80" i="3"/>
  <c r="FG80" i="3"/>
  <c r="FH80" i="3"/>
  <c r="FI80" i="3"/>
  <c r="FJ80" i="3"/>
  <c r="FK80" i="3"/>
  <c r="FL80" i="3"/>
  <c r="FM80" i="3"/>
  <c r="FN80" i="3"/>
  <c r="FO80" i="3"/>
  <c r="FP80" i="3"/>
  <c r="FQ80" i="3"/>
  <c r="FR80" i="3"/>
  <c r="FS80" i="3"/>
  <c r="FT80" i="3"/>
  <c r="FU80" i="3"/>
  <c r="FV80" i="3"/>
  <c r="FW80" i="3"/>
  <c r="FX80" i="3"/>
  <c r="FY80" i="3"/>
  <c r="FZ80" i="3"/>
  <c r="GA80" i="3"/>
  <c r="GB80" i="3"/>
  <c r="GC80" i="3"/>
  <c r="GD80" i="3"/>
  <c r="GE80" i="3"/>
  <c r="GF80" i="3"/>
  <c r="GG80" i="3"/>
  <c r="GH80" i="3"/>
  <c r="GI80" i="3"/>
  <c r="GJ80" i="3"/>
  <c r="GK80" i="3"/>
  <c r="GL80" i="3"/>
  <c r="GM80" i="3"/>
  <c r="GN80" i="3"/>
  <c r="GO80" i="3"/>
  <c r="GP80" i="3"/>
  <c r="GQ80" i="3"/>
  <c r="GR80" i="3"/>
  <c r="GS80" i="3"/>
  <c r="GT80" i="3"/>
  <c r="GU80" i="3"/>
  <c r="GV80" i="3"/>
  <c r="GW80" i="3"/>
  <c r="GX80" i="3"/>
  <c r="GY80" i="3"/>
  <c r="GZ80" i="3"/>
  <c r="HA80" i="3"/>
  <c r="HB80" i="3"/>
  <c r="HC80" i="3"/>
  <c r="HD80" i="3"/>
  <c r="HE80" i="3"/>
  <c r="HF80" i="3"/>
  <c r="HG80" i="3"/>
  <c r="HH80" i="3"/>
  <c r="HI80" i="3"/>
  <c r="HJ80" i="3"/>
  <c r="HK80" i="3"/>
  <c r="HL80" i="3"/>
  <c r="HM80" i="3"/>
  <c r="HN80" i="3"/>
  <c r="HO80" i="3"/>
  <c r="HP80" i="3"/>
  <c r="HQ80" i="3"/>
  <c r="HR80" i="3"/>
  <c r="HS80" i="3"/>
  <c r="HT80" i="3"/>
  <c r="HU80" i="3"/>
  <c r="HV80" i="3"/>
  <c r="HW80" i="3"/>
  <c r="HX80" i="3"/>
  <c r="HY80" i="3"/>
  <c r="HZ80" i="3"/>
  <c r="IA80" i="3"/>
  <c r="IB80" i="3"/>
  <c r="IC80" i="3"/>
  <c r="ID80" i="3"/>
  <c r="IE80" i="3"/>
  <c r="IF80" i="3"/>
  <c r="IG80" i="3"/>
  <c r="IH80" i="3"/>
  <c r="II80" i="3"/>
  <c r="IJ80" i="3"/>
  <c r="IK80" i="3"/>
  <c r="IL80" i="3"/>
  <c r="IM80" i="3"/>
  <c r="IN80" i="3"/>
  <c r="IO80" i="3"/>
  <c r="IP80" i="3"/>
  <c r="IQ80" i="3"/>
  <c r="IR80" i="3"/>
  <c r="IS80" i="3"/>
  <c r="IT80" i="3"/>
  <c r="IU80" i="3"/>
  <c r="IV80" i="3"/>
  <c r="A79" i="3"/>
  <c r="B79" i="3"/>
  <c r="C79" i="3"/>
  <c r="D79" i="3"/>
  <c r="E79" i="3"/>
  <c r="F79" i="3"/>
  <c r="G79" i="3"/>
  <c r="H79" i="3"/>
  <c r="I79" i="3"/>
  <c r="J79" i="3"/>
  <c r="K79" i="3"/>
  <c r="L79" i="3"/>
  <c r="M79" i="3"/>
  <c r="N79" i="3"/>
  <c r="O79" i="3"/>
  <c r="P79" i="3"/>
  <c r="Q79" i="3"/>
  <c r="R79" i="3"/>
  <c r="S79" i="3"/>
  <c r="T79" i="3"/>
  <c r="U79" i="3"/>
  <c r="V79" i="3"/>
  <c r="W79" i="3"/>
  <c r="X79" i="3"/>
  <c r="Y79" i="3"/>
  <c r="Z79" i="3"/>
  <c r="AA79" i="3"/>
  <c r="AB79" i="3"/>
  <c r="AC79" i="3"/>
  <c r="AD79" i="3"/>
  <c r="AE79" i="3"/>
  <c r="AF79" i="3"/>
  <c r="AG79" i="3"/>
  <c r="AH79" i="3"/>
  <c r="AI79" i="3"/>
  <c r="AJ79" i="3"/>
  <c r="AK79" i="3"/>
  <c r="AL79" i="3"/>
  <c r="AM79" i="3"/>
  <c r="AN79" i="3"/>
  <c r="AO79" i="3"/>
  <c r="AP79" i="3"/>
  <c r="AQ79" i="3"/>
  <c r="AR79" i="3"/>
  <c r="AS79" i="3"/>
  <c r="AT79" i="3"/>
  <c r="AU79" i="3"/>
  <c r="AV79" i="3"/>
  <c r="AW79" i="3"/>
  <c r="AX79" i="3"/>
  <c r="AY79" i="3"/>
  <c r="AZ79" i="3"/>
  <c r="BA79" i="3"/>
  <c r="BB79" i="3"/>
  <c r="BC79" i="3"/>
  <c r="BD79" i="3"/>
  <c r="BE79" i="3"/>
  <c r="BF79" i="3"/>
  <c r="BG79" i="3"/>
  <c r="BH79" i="3"/>
  <c r="BI79" i="3"/>
  <c r="BJ79" i="3"/>
  <c r="BK79" i="3"/>
  <c r="BL79" i="3"/>
  <c r="BM79" i="3"/>
  <c r="BN79" i="3"/>
  <c r="BO79" i="3"/>
  <c r="BP79" i="3"/>
  <c r="BQ79" i="3"/>
  <c r="BR79" i="3"/>
  <c r="BS79" i="3"/>
  <c r="BT79" i="3"/>
  <c r="BU79" i="3"/>
  <c r="BV79" i="3"/>
  <c r="BW79" i="3"/>
  <c r="BX79" i="3"/>
  <c r="BY79" i="3"/>
  <c r="BZ79" i="3"/>
  <c r="CA79" i="3"/>
  <c r="CB79" i="3"/>
  <c r="CC79" i="3"/>
  <c r="CD79" i="3"/>
  <c r="CE79" i="3"/>
  <c r="CF79" i="3"/>
  <c r="CG79" i="3"/>
  <c r="CH79" i="3"/>
  <c r="CI79" i="3"/>
  <c r="CJ79" i="3"/>
  <c r="CK79" i="3"/>
  <c r="CL79" i="3"/>
  <c r="CM79" i="3"/>
  <c r="CN79" i="3"/>
  <c r="CO79" i="3"/>
  <c r="CP79" i="3"/>
  <c r="CQ79" i="3"/>
  <c r="CR79" i="3"/>
  <c r="CS79" i="3"/>
  <c r="CT79" i="3"/>
  <c r="CU79" i="3"/>
  <c r="CV79" i="3"/>
  <c r="CW79" i="3"/>
  <c r="CX79" i="3"/>
  <c r="CY79" i="3"/>
  <c r="CZ79" i="3"/>
  <c r="DA79" i="3"/>
  <c r="DB79" i="3"/>
  <c r="DC79" i="3"/>
  <c r="DD79" i="3"/>
  <c r="DE79" i="3"/>
  <c r="DF79" i="3"/>
  <c r="DG79" i="3"/>
  <c r="DH79" i="3"/>
  <c r="DI79" i="3"/>
  <c r="DJ79" i="3"/>
  <c r="DK79" i="3"/>
  <c r="DL79" i="3"/>
  <c r="DM79" i="3"/>
  <c r="DN79" i="3"/>
  <c r="DO79" i="3"/>
  <c r="DP79" i="3"/>
  <c r="DQ79" i="3"/>
  <c r="DR79" i="3"/>
  <c r="DS79" i="3"/>
  <c r="DT79" i="3"/>
  <c r="DU79" i="3"/>
  <c r="DV79" i="3"/>
  <c r="DW79" i="3"/>
  <c r="DX79" i="3"/>
  <c r="DY79" i="3"/>
  <c r="DZ79" i="3"/>
  <c r="EA79" i="3"/>
  <c r="EB79" i="3"/>
  <c r="EC79" i="3"/>
  <c r="ED79" i="3"/>
  <c r="EE79" i="3"/>
  <c r="EF79" i="3"/>
  <c r="EG79" i="3"/>
  <c r="EH79" i="3"/>
  <c r="EI79" i="3"/>
  <c r="EJ79" i="3"/>
  <c r="EK79" i="3"/>
  <c r="EL79" i="3"/>
  <c r="EM79" i="3"/>
  <c r="EN79" i="3"/>
  <c r="EO79" i="3"/>
  <c r="EP79" i="3"/>
  <c r="EQ79" i="3"/>
  <c r="ER79" i="3"/>
  <c r="ES79" i="3"/>
  <c r="ET79" i="3"/>
  <c r="EU79" i="3"/>
  <c r="EV79" i="3"/>
  <c r="EW79" i="3"/>
  <c r="EX79" i="3"/>
  <c r="EY79" i="3"/>
  <c r="EZ79" i="3"/>
  <c r="FA79" i="3"/>
  <c r="FB79" i="3"/>
  <c r="FC79" i="3"/>
  <c r="FD79" i="3"/>
  <c r="FE79" i="3"/>
  <c r="FF79" i="3"/>
  <c r="FG79" i="3"/>
  <c r="FH79" i="3"/>
  <c r="FI79" i="3"/>
  <c r="FJ79" i="3"/>
  <c r="FK79" i="3"/>
  <c r="FL79" i="3"/>
  <c r="FM79" i="3"/>
  <c r="FN79" i="3"/>
  <c r="FO79" i="3"/>
  <c r="FP79" i="3"/>
  <c r="FQ79" i="3"/>
  <c r="FR79" i="3"/>
  <c r="FS79" i="3"/>
  <c r="FT79" i="3"/>
  <c r="FU79" i="3"/>
  <c r="FV79" i="3"/>
  <c r="FW79" i="3"/>
  <c r="FX79" i="3"/>
  <c r="FY79" i="3"/>
  <c r="FZ79" i="3"/>
  <c r="GA79" i="3"/>
  <c r="GB79" i="3"/>
  <c r="GC79" i="3"/>
  <c r="GD79" i="3"/>
  <c r="GE79" i="3"/>
  <c r="GF79" i="3"/>
  <c r="GG79" i="3"/>
  <c r="GH79" i="3"/>
  <c r="GI79" i="3"/>
  <c r="GJ79" i="3"/>
  <c r="GK79" i="3"/>
  <c r="GL79" i="3"/>
  <c r="GM79" i="3"/>
  <c r="GN79" i="3"/>
  <c r="GO79" i="3"/>
  <c r="GP79" i="3"/>
  <c r="GQ79" i="3"/>
  <c r="GR79" i="3"/>
  <c r="GS79" i="3"/>
  <c r="GT79" i="3"/>
  <c r="GU79" i="3"/>
  <c r="GV79" i="3"/>
  <c r="GW79" i="3"/>
  <c r="GX79" i="3"/>
  <c r="GY79" i="3"/>
  <c r="GZ79" i="3"/>
  <c r="HA79" i="3"/>
  <c r="HB79" i="3"/>
  <c r="HC79" i="3"/>
  <c r="HD79" i="3"/>
  <c r="HE79" i="3"/>
  <c r="HF79" i="3"/>
  <c r="HG79" i="3"/>
  <c r="HH79" i="3"/>
  <c r="HI79" i="3"/>
  <c r="HJ79" i="3"/>
  <c r="HK79" i="3"/>
  <c r="HL79" i="3"/>
  <c r="HM79" i="3"/>
  <c r="HN79" i="3"/>
  <c r="HO79" i="3"/>
  <c r="HP79" i="3"/>
  <c r="HQ79" i="3"/>
  <c r="HR79" i="3"/>
  <c r="HS79" i="3"/>
  <c r="HT79" i="3"/>
  <c r="HU79" i="3"/>
  <c r="HV79" i="3"/>
  <c r="HW79" i="3"/>
  <c r="HX79" i="3"/>
  <c r="HY79" i="3"/>
  <c r="HZ79" i="3"/>
  <c r="IA79" i="3"/>
  <c r="IB79" i="3"/>
  <c r="IC79" i="3"/>
  <c r="ID79" i="3"/>
  <c r="IE79" i="3"/>
  <c r="IF79" i="3"/>
  <c r="IG79" i="3"/>
  <c r="IH79" i="3"/>
  <c r="II79" i="3"/>
  <c r="IJ79" i="3"/>
  <c r="IK79" i="3"/>
  <c r="IL79" i="3"/>
  <c r="IM79" i="3"/>
  <c r="IN79" i="3"/>
  <c r="IO79" i="3"/>
  <c r="IP79" i="3"/>
  <c r="IQ79" i="3"/>
  <c r="IR79" i="3"/>
  <c r="IS79" i="3"/>
  <c r="IT79" i="3"/>
  <c r="IU79" i="3"/>
  <c r="IV79" i="3"/>
  <c r="A78" i="3"/>
  <c r="B78" i="3"/>
  <c r="C78" i="3"/>
  <c r="D78" i="3"/>
  <c r="E78" i="3"/>
  <c r="F78" i="3"/>
  <c r="G78" i="3"/>
  <c r="H78" i="3"/>
  <c r="I78" i="3"/>
  <c r="J78" i="3"/>
  <c r="K78" i="3"/>
  <c r="L78" i="3"/>
  <c r="M78" i="3"/>
  <c r="N78" i="3"/>
  <c r="O78" i="3"/>
  <c r="P78" i="3"/>
  <c r="Q78" i="3"/>
  <c r="R78" i="3"/>
  <c r="S78" i="3"/>
  <c r="T78" i="3"/>
  <c r="U78" i="3"/>
  <c r="V78" i="3"/>
  <c r="W78" i="3"/>
  <c r="X78" i="3"/>
  <c r="Y78" i="3"/>
  <c r="Z78" i="3"/>
  <c r="AA78" i="3"/>
  <c r="AB78" i="3"/>
  <c r="AC78" i="3"/>
  <c r="AD78" i="3"/>
  <c r="AE78" i="3"/>
  <c r="AF78" i="3"/>
  <c r="AG78" i="3"/>
  <c r="AH78" i="3"/>
  <c r="AI78" i="3"/>
  <c r="AJ78" i="3"/>
  <c r="AK78" i="3"/>
  <c r="AL78" i="3"/>
  <c r="AM78" i="3"/>
  <c r="AN78" i="3"/>
  <c r="AO78" i="3"/>
  <c r="AP78" i="3"/>
  <c r="AQ78" i="3"/>
  <c r="AR78" i="3"/>
  <c r="AS78" i="3"/>
  <c r="AT78" i="3"/>
  <c r="AU78" i="3"/>
  <c r="AV78" i="3"/>
  <c r="AW78" i="3"/>
  <c r="AX78" i="3"/>
  <c r="AY78" i="3"/>
  <c r="AZ78" i="3"/>
  <c r="BA78" i="3"/>
  <c r="BB78" i="3"/>
  <c r="BC78" i="3"/>
  <c r="BD78" i="3"/>
  <c r="BE78" i="3"/>
  <c r="BF78" i="3"/>
  <c r="BG78" i="3"/>
  <c r="BH78" i="3"/>
  <c r="BI78" i="3"/>
  <c r="BJ78" i="3"/>
  <c r="BK78" i="3"/>
  <c r="BL78" i="3"/>
  <c r="BM78" i="3"/>
  <c r="BN78" i="3"/>
  <c r="BO78" i="3"/>
  <c r="BP78" i="3"/>
  <c r="BQ78" i="3"/>
  <c r="BR78" i="3"/>
  <c r="BS78" i="3"/>
  <c r="BT78" i="3"/>
  <c r="BU78" i="3"/>
  <c r="BV78" i="3"/>
  <c r="BW78" i="3"/>
  <c r="BX78" i="3"/>
  <c r="BY78" i="3"/>
  <c r="BZ78" i="3"/>
  <c r="CA78" i="3"/>
  <c r="CB78" i="3"/>
  <c r="CC78" i="3"/>
  <c r="CD78" i="3"/>
  <c r="CE78" i="3"/>
  <c r="CF78" i="3"/>
  <c r="CG78" i="3"/>
  <c r="CH78" i="3"/>
  <c r="CI78" i="3"/>
  <c r="CJ78" i="3"/>
  <c r="CK78" i="3"/>
  <c r="CL78" i="3"/>
  <c r="CM78" i="3"/>
  <c r="CN78" i="3"/>
  <c r="CO78" i="3"/>
  <c r="CP78" i="3"/>
  <c r="CQ78" i="3"/>
  <c r="CR78" i="3"/>
  <c r="CS78" i="3"/>
  <c r="CT78" i="3"/>
  <c r="CU78" i="3"/>
  <c r="CV78" i="3"/>
  <c r="CW78" i="3"/>
  <c r="CX78" i="3"/>
  <c r="CY78" i="3"/>
  <c r="CZ78" i="3"/>
  <c r="DA78" i="3"/>
  <c r="DB78" i="3"/>
  <c r="DC78" i="3"/>
  <c r="DD78" i="3"/>
  <c r="DE78" i="3"/>
  <c r="DF78" i="3"/>
  <c r="DG78" i="3"/>
  <c r="DH78" i="3"/>
  <c r="DI78" i="3"/>
  <c r="DJ78" i="3"/>
  <c r="DK78" i="3"/>
  <c r="DL78" i="3"/>
  <c r="DM78" i="3"/>
  <c r="DN78" i="3"/>
  <c r="DO78" i="3"/>
  <c r="DP78" i="3"/>
  <c r="DQ78" i="3"/>
  <c r="DR78" i="3"/>
  <c r="DS78" i="3"/>
  <c r="DT78" i="3"/>
  <c r="DU78" i="3"/>
  <c r="DV78" i="3"/>
  <c r="DW78" i="3"/>
  <c r="DX78" i="3"/>
  <c r="DY78" i="3"/>
  <c r="DZ78" i="3"/>
  <c r="EA78" i="3"/>
  <c r="EB78" i="3"/>
  <c r="EC78" i="3"/>
  <c r="ED78" i="3"/>
  <c r="EE78" i="3"/>
  <c r="EF78" i="3"/>
  <c r="EG78" i="3"/>
  <c r="EH78" i="3"/>
  <c r="EI78" i="3"/>
  <c r="EJ78" i="3"/>
  <c r="EK78" i="3"/>
  <c r="EL78" i="3"/>
  <c r="EM78" i="3"/>
  <c r="EN78" i="3"/>
  <c r="EO78" i="3"/>
  <c r="EP78" i="3"/>
  <c r="EQ78" i="3"/>
  <c r="ER78" i="3"/>
  <c r="ES78" i="3"/>
  <c r="ET78" i="3"/>
  <c r="EU78" i="3"/>
  <c r="EV78" i="3"/>
  <c r="EW78" i="3"/>
  <c r="EX78" i="3"/>
  <c r="EY78" i="3"/>
  <c r="EZ78" i="3"/>
  <c r="FA78" i="3"/>
  <c r="FB78" i="3"/>
  <c r="FC78" i="3"/>
  <c r="FD78" i="3"/>
  <c r="FE78" i="3"/>
  <c r="FF78" i="3"/>
  <c r="FG78" i="3"/>
  <c r="FH78" i="3"/>
  <c r="FI78" i="3"/>
  <c r="FJ78" i="3"/>
  <c r="FK78" i="3"/>
  <c r="FL78" i="3"/>
  <c r="FM78" i="3"/>
  <c r="FN78" i="3"/>
  <c r="FO78" i="3"/>
  <c r="FP78" i="3"/>
  <c r="FQ78" i="3"/>
  <c r="FR78" i="3"/>
  <c r="FS78" i="3"/>
  <c r="FT78" i="3"/>
  <c r="FU78" i="3"/>
  <c r="FV78" i="3"/>
  <c r="FW78" i="3"/>
  <c r="FX78" i="3"/>
  <c r="FY78" i="3"/>
  <c r="FZ78" i="3"/>
  <c r="GA78" i="3"/>
  <c r="GB78" i="3"/>
  <c r="GC78" i="3"/>
  <c r="GD78" i="3"/>
  <c r="GE78" i="3"/>
  <c r="GF78" i="3"/>
  <c r="GG78" i="3"/>
  <c r="GH78" i="3"/>
  <c r="GI78" i="3"/>
  <c r="GJ78" i="3"/>
  <c r="GK78" i="3"/>
  <c r="GL78" i="3"/>
  <c r="GM78" i="3"/>
  <c r="GN78" i="3"/>
  <c r="GO78" i="3"/>
  <c r="GP78" i="3"/>
  <c r="GQ78" i="3"/>
  <c r="GR78" i="3"/>
  <c r="GS78" i="3"/>
  <c r="GT78" i="3"/>
  <c r="GU78" i="3"/>
  <c r="GV78" i="3"/>
  <c r="GW78" i="3"/>
  <c r="GX78" i="3"/>
  <c r="GY78" i="3"/>
  <c r="GZ78" i="3"/>
  <c r="HA78" i="3"/>
  <c r="HB78" i="3"/>
  <c r="HC78" i="3"/>
  <c r="HD78" i="3"/>
  <c r="HE78" i="3"/>
  <c r="HF78" i="3"/>
  <c r="HG78" i="3"/>
  <c r="HH78" i="3"/>
  <c r="HI78" i="3"/>
  <c r="HJ78" i="3"/>
  <c r="HK78" i="3"/>
  <c r="HL78" i="3"/>
  <c r="HM78" i="3"/>
  <c r="HN78" i="3"/>
  <c r="HO78" i="3"/>
  <c r="HP78" i="3"/>
  <c r="HQ78" i="3"/>
  <c r="HR78" i="3"/>
  <c r="HS78" i="3"/>
  <c r="HT78" i="3"/>
  <c r="HU78" i="3"/>
  <c r="HV78" i="3"/>
  <c r="HW78" i="3"/>
  <c r="HX78" i="3"/>
  <c r="HY78" i="3"/>
  <c r="HZ78" i="3"/>
  <c r="IA78" i="3"/>
  <c r="IB78" i="3"/>
  <c r="IC78" i="3"/>
  <c r="ID78" i="3"/>
  <c r="IE78" i="3"/>
  <c r="IF78" i="3"/>
  <c r="IG78" i="3"/>
  <c r="IH78" i="3"/>
  <c r="II78" i="3"/>
  <c r="IJ78" i="3"/>
  <c r="IK78" i="3"/>
  <c r="IL78" i="3"/>
  <c r="IM78" i="3"/>
  <c r="IN78" i="3"/>
  <c r="IO78" i="3"/>
  <c r="IP78" i="3"/>
  <c r="IQ78" i="3"/>
  <c r="IR78" i="3"/>
  <c r="IS78" i="3"/>
  <c r="IT78" i="3"/>
  <c r="IU78" i="3"/>
  <c r="IV78" i="3"/>
  <c r="A77" i="3"/>
  <c r="B77" i="3"/>
  <c r="C77" i="3"/>
  <c r="D77" i="3"/>
  <c r="E77" i="3"/>
  <c r="F77" i="3"/>
  <c r="G77" i="3"/>
  <c r="H77" i="3"/>
  <c r="I77" i="3"/>
  <c r="J77" i="3"/>
  <c r="K77" i="3"/>
  <c r="L77" i="3"/>
  <c r="M77" i="3"/>
  <c r="N77" i="3"/>
  <c r="O77" i="3"/>
  <c r="P77" i="3"/>
  <c r="Q77" i="3"/>
  <c r="R77" i="3"/>
  <c r="S77" i="3"/>
  <c r="T77" i="3"/>
  <c r="U77" i="3"/>
  <c r="V77" i="3"/>
  <c r="W77" i="3"/>
  <c r="X77" i="3"/>
  <c r="Y77" i="3"/>
  <c r="Z77" i="3"/>
  <c r="AA77" i="3"/>
  <c r="AB77" i="3"/>
  <c r="AC77" i="3"/>
  <c r="AD77" i="3"/>
  <c r="AE77" i="3"/>
  <c r="AF77" i="3"/>
  <c r="AG77" i="3"/>
  <c r="AH77" i="3"/>
  <c r="AI77" i="3"/>
  <c r="AJ77" i="3"/>
  <c r="AK77" i="3"/>
  <c r="AL77" i="3"/>
  <c r="AM77" i="3"/>
  <c r="AN77" i="3"/>
  <c r="AO77" i="3"/>
  <c r="AP77" i="3"/>
  <c r="AQ77" i="3"/>
  <c r="AR77" i="3"/>
  <c r="AS77" i="3"/>
  <c r="AT77" i="3"/>
  <c r="AU77" i="3"/>
  <c r="AV77" i="3"/>
  <c r="AW77" i="3"/>
  <c r="AX77" i="3"/>
  <c r="AY77" i="3"/>
  <c r="AZ77" i="3"/>
  <c r="BA77" i="3"/>
  <c r="BB77" i="3"/>
  <c r="BC77" i="3"/>
  <c r="BD77" i="3"/>
  <c r="BE77" i="3"/>
  <c r="BF77" i="3"/>
  <c r="BG77" i="3"/>
  <c r="BH77" i="3"/>
  <c r="BI77" i="3"/>
  <c r="BJ77" i="3"/>
  <c r="BK77" i="3"/>
  <c r="BL77" i="3"/>
  <c r="BM77" i="3"/>
  <c r="BN77" i="3"/>
  <c r="BO77" i="3"/>
  <c r="BP77" i="3"/>
  <c r="BQ77" i="3"/>
  <c r="BR77" i="3"/>
  <c r="BS77" i="3"/>
  <c r="BT77" i="3"/>
  <c r="BU77" i="3"/>
  <c r="BV77" i="3"/>
  <c r="BW77" i="3"/>
  <c r="BX77" i="3"/>
  <c r="BY77" i="3"/>
  <c r="BZ77" i="3"/>
  <c r="CA77" i="3"/>
  <c r="CB77" i="3"/>
  <c r="CC77" i="3"/>
  <c r="CD77" i="3"/>
  <c r="CE77" i="3"/>
  <c r="CF77" i="3"/>
  <c r="CG77" i="3"/>
  <c r="CH77" i="3"/>
  <c r="CI77" i="3"/>
  <c r="CJ77" i="3"/>
  <c r="CK77" i="3"/>
  <c r="CL77" i="3"/>
  <c r="CM77" i="3"/>
  <c r="CN77" i="3"/>
  <c r="CO77" i="3"/>
  <c r="CP77" i="3"/>
  <c r="CQ77" i="3"/>
  <c r="CR77" i="3"/>
  <c r="CS77" i="3"/>
  <c r="CT77" i="3"/>
  <c r="CU77" i="3"/>
  <c r="CV77" i="3"/>
  <c r="CW77" i="3"/>
  <c r="CX77" i="3"/>
  <c r="CY77" i="3"/>
  <c r="CZ77" i="3"/>
  <c r="DA77" i="3"/>
  <c r="DB77" i="3"/>
  <c r="DC77" i="3"/>
  <c r="DD77" i="3"/>
  <c r="DE77" i="3"/>
  <c r="DF77" i="3"/>
  <c r="DG77" i="3"/>
  <c r="DH77" i="3"/>
  <c r="DI77" i="3"/>
  <c r="DJ77" i="3"/>
  <c r="DK77" i="3"/>
  <c r="DL77" i="3"/>
  <c r="DM77" i="3"/>
  <c r="DN77" i="3"/>
  <c r="DO77" i="3"/>
  <c r="DP77" i="3"/>
  <c r="DQ77" i="3"/>
  <c r="DR77" i="3"/>
  <c r="DS77" i="3"/>
  <c r="DT77" i="3"/>
  <c r="DU77" i="3"/>
  <c r="DV77" i="3"/>
  <c r="DW77" i="3"/>
  <c r="DX77" i="3"/>
  <c r="DY77" i="3"/>
  <c r="DZ77" i="3"/>
  <c r="EA77" i="3"/>
  <c r="EB77" i="3"/>
  <c r="EC77" i="3"/>
  <c r="ED77" i="3"/>
  <c r="EE77" i="3"/>
  <c r="EF77" i="3"/>
  <c r="EG77" i="3"/>
  <c r="EH77" i="3"/>
  <c r="EI77" i="3"/>
  <c r="EJ77" i="3"/>
  <c r="EK77" i="3"/>
  <c r="EL77" i="3"/>
  <c r="EM77" i="3"/>
  <c r="EN77" i="3"/>
  <c r="EO77" i="3"/>
  <c r="EP77" i="3"/>
  <c r="EQ77" i="3"/>
  <c r="ER77" i="3"/>
  <c r="ES77" i="3"/>
  <c r="ET77" i="3"/>
  <c r="EU77" i="3"/>
  <c r="EV77" i="3"/>
  <c r="EW77" i="3"/>
  <c r="EX77" i="3"/>
  <c r="EY77" i="3"/>
  <c r="EZ77" i="3"/>
  <c r="FA77" i="3"/>
  <c r="FB77" i="3"/>
  <c r="FC77" i="3"/>
  <c r="FD77" i="3"/>
  <c r="FE77" i="3"/>
  <c r="FF77" i="3"/>
  <c r="FG77" i="3"/>
  <c r="FH77" i="3"/>
  <c r="FI77" i="3"/>
  <c r="FJ77" i="3"/>
  <c r="FK77" i="3"/>
  <c r="FL77" i="3"/>
  <c r="FM77" i="3"/>
  <c r="FN77" i="3"/>
  <c r="FO77" i="3"/>
  <c r="FP77" i="3"/>
  <c r="FQ77" i="3"/>
  <c r="FR77" i="3"/>
  <c r="FS77" i="3"/>
  <c r="FT77" i="3"/>
  <c r="FU77" i="3"/>
  <c r="FV77" i="3"/>
  <c r="FW77" i="3"/>
  <c r="FX77" i="3"/>
  <c r="FY77" i="3"/>
  <c r="FZ77" i="3"/>
  <c r="GA77" i="3"/>
  <c r="GB77" i="3"/>
  <c r="GC77" i="3"/>
  <c r="GD77" i="3"/>
  <c r="GE77" i="3"/>
  <c r="GF77" i="3"/>
  <c r="GG77" i="3"/>
  <c r="GH77" i="3"/>
  <c r="GI77" i="3"/>
  <c r="GJ77" i="3"/>
  <c r="GK77" i="3"/>
  <c r="GL77" i="3"/>
  <c r="GM77" i="3"/>
  <c r="GN77" i="3"/>
  <c r="GO77" i="3"/>
  <c r="GP77" i="3"/>
  <c r="GQ77" i="3"/>
  <c r="GR77" i="3"/>
  <c r="GS77" i="3"/>
  <c r="GT77" i="3"/>
  <c r="GU77" i="3"/>
  <c r="GV77" i="3"/>
  <c r="GW77" i="3"/>
  <c r="GX77" i="3"/>
  <c r="GY77" i="3"/>
  <c r="GZ77" i="3"/>
  <c r="HA77" i="3"/>
  <c r="HB77" i="3"/>
  <c r="HC77" i="3"/>
  <c r="HD77" i="3"/>
  <c r="HE77" i="3"/>
  <c r="HF77" i="3"/>
  <c r="HG77" i="3"/>
  <c r="HH77" i="3"/>
  <c r="HI77" i="3"/>
  <c r="HJ77" i="3"/>
  <c r="HK77" i="3"/>
  <c r="HL77" i="3"/>
  <c r="HM77" i="3"/>
  <c r="HN77" i="3"/>
  <c r="HO77" i="3"/>
  <c r="HP77" i="3"/>
  <c r="HQ77" i="3"/>
  <c r="HR77" i="3"/>
  <c r="HS77" i="3"/>
  <c r="HT77" i="3"/>
  <c r="HU77" i="3"/>
  <c r="HV77" i="3"/>
  <c r="HW77" i="3"/>
  <c r="HX77" i="3"/>
  <c r="HY77" i="3"/>
  <c r="HZ77" i="3"/>
  <c r="IA77" i="3"/>
  <c r="IB77" i="3"/>
  <c r="IC77" i="3"/>
  <c r="ID77" i="3"/>
  <c r="IE77" i="3"/>
  <c r="IF77" i="3"/>
  <c r="IG77" i="3"/>
  <c r="IH77" i="3"/>
  <c r="II77" i="3"/>
  <c r="IJ77" i="3"/>
  <c r="IK77" i="3"/>
  <c r="IL77" i="3"/>
  <c r="IM77" i="3"/>
  <c r="IN77" i="3"/>
  <c r="IO77" i="3"/>
  <c r="IP77" i="3"/>
  <c r="IQ77" i="3"/>
  <c r="IR77" i="3"/>
  <c r="IS77" i="3"/>
  <c r="IT77" i="3"/>
  <c r="IU77" i="3"/>
  <c r="IV77" i="3"/>
  <c r="A76" i="3"/>
  <c r="B76" i="3"/>
  <c r="C76" i="3"/>
  <c r="D76" i="3"/>
  <c r="E76" i="3"/>
  <c r="F76" i="3"/>
  <c r="G76" i="3"/>
  <c r="H76" i="3"/>
  <c r="I76" i="3"/>
  <c r="J76" i="3"/>
  <c r="K76" i="3"/>
  <c r="L76" i="3"/>
  <c r="M76" i="3"/>
  <c r="N76" i="3"/>
  <c r="O76" i="3"/>
  <c r="P76" i="3"/>
  <c r="Q76" i="3"/>
  <c r="R76" i="3"/>
  <c r="S76" i="3"/>
  <c r="T76" i="3"/>
  <c r="U76" i="3"/>
  <c r="V76" i="3"/>
  <c r="W76" i="3"/>
  <c r="X76" i="3"/>
  <c r="Y76" i="3"/>
  <c r="Z76" i="3"/>
  <c r="AA76" i="3"/>
  <c r="AB76" i="3"/>
  <c r="AC76" i="3"/>
  <c r="AD76" i="3"/>
  <c r="AE76" i="3"/>
  <c r="AF76" i="3"/>
  <c r="AG76" i="3"/>
  <c r="AH76" i="3"/>
  <c r="AI76" i="3"/>
  <c r="AJ76" i="3"/>
  <c r="AK76" i="3"/>
  <c r="AL76" i="3"/>
  <c r="AM76" i="3"/>
  <c r="AN76" i="3"/>
  <c r="AO76" i="3"/>
  <c r="AP76" i="3"/>
  <c r="AQ76" i="3"/>
  <c r="AR76" i="3"/>
  <c r="AS76" i="3"/>
  <c r="AT76" i="3"/>
  <c r="AU76" i="3"/>
  <c r="AV76" i="3"/>
  <c r="AW76" i="3"/>
  <c r="AX76" i="3"/>
  <c r="AY76" i="3"/>
  <c r="AZ76" i="3"/>
  <c r="BA76" i="3"/>
  <c r="BB76" i="3"/>
  <c r="BC76" i="3"/>
  <c r="BD76" i="3"/>
  <c r="BE76" i="3"/>
  <c r="BF76" i="3"/>
  <c r="BG76" i="3"/>
  <c r="BH76" i="3"/>
  <c r="BI76" i="3"/>
  <c r="BJ76" i="3"/>
  <c r="BK76" i="3"/>
  <c r="BL76" i="3"/>
  <c r="BM76" i="3"/>
  <c r="BN76" i="3"/>
  <c r="BO76" i="3"/>
  <c r="BP76" i="3"/>
  <c r="BQ76" i="3"/>
  <c r="BR76" i="3"/>
  <c r="BS76" i="3"/>
  <c r="BT76" i="3"/>
  <c r="BU76" i="3"/>
  <c r="BV76" i="3"/>
  <c r="BW76" i="3"/>
  <c r="BX76" i="3"/>
  <c r="BY76" i="3"/>
  <c r="BZ76" i="3"/>
  <c r="CA76" i="3"/>
  <c r="CB76" i="3"/>
  <c r="CC76" i="3"/>
  <c r="CD76" i="3"/>
  <c r="CE76" i="3"/>
  <c r="CF76" i="3"/>
  <c r="CG76" i="3"/>
  <c r="CH76" i="3"/>
  <c r="CI76" i="3"/>
  <c r="CJ76" i="3"/>
  <c r="CK76" i="3"/>
  <c r="CL76" i="3"/>
  <c r="CM76" i="3"/>
  <c r="CN76" i="3"/>
  <c r="CO76" i="3"/>
  <c r="CP76" i="3"/>
  <c r="CQ76" i="3"/>
  <c r="CR76" i="3"/>
  <c r="CS76" i="3"/>
  <c r="CT76" i="3"/>
  <c r="CU76" i="3"/>
  <c r="CV76" i="3"/>
  <c r="CW76" i="3"/>
  <c r="CX76" i="3"/>
  <c r="CY76" i="3"/>
  <c r="CZ76" i="3"/>
  <c r="DA76" i="3"/>
  <c r="DB76" i="3"/>
  <c r="DC76" i="3"/>
  <c r="DD76" i="3"/>
  <c r="DE76" i="3"/>
  <c r="DF76" i="3"/>
  <c r="DG76" i="3"/>
  <c r="DH76" i="3"/>
  <c r="DI76" i="3"/>
  <c r="DJ76" i="3"/>
  <c r="DK76" i="3"/>
  <c r="DL76" i="3"/>
  <c r="DM76" i="3"/>
  <c r="DN76" i="3"/>
  <c r="DO76" i="3"/>
  <c r="DP76" i="3"/>
  <c r="DQ76" i="3"/>
  <c r="DR76" i="3"/>
  <c r="DS76" i="3"/>
  <c r="DT76" i="3"/>
  <c r="DU76" i="3"/>
  <c r="DV76" i="3"/>
  <c r="DW76" i="3"/>
  <c r="DX76" i="3"/>
  <c r="DY76" i="3"/>
  <c r="DZ76" i="3"/>
  <c r="EA76" i="3"/>
  <c r="EB76" i="3"/>
  <c r="EC76" i="3"/>
  <c r="ED76" i="3"/>
  <c r="EE76" i="3"/>
  <c r="EF76" i="3"/>
  <c r="EG76" i="3"/>
  <c r="EH76" i="3"/>
  <c r="EI76" i="3"/>
  <c r="EJ76" i="3"/>
  <c r="EK76" i="3"/>
  <c r="EL76" i="3"/>
  <c r="EM76" i="3"/>
  <c r="EN76" i="3"/>
  <c r="EO76" i="3"/>
  <c r="EP76" i="3"/>
  <c r="EQ76" i="3"/>
  <c r="ER76" i="3"/>
  <c r="ES76" i="3"/>
  <c r="ET76" i="3"/>
  <c r="EU76" i="3"/>
  <c r="EV76" i="3"/>
  <c r="EW76" i="3"/>
  <c r="EX76" i="3"/>
  <c r="EY76" i="3"/>
  <c r="EZ76" i="3"/>
  <c r="FA76" i="3"/>
  <c r="FB76" i="3"/>
  <c r="FC76" i="3"/>
  <c r="FD76" i="3"/>
  <c r="FE76" i="3"/>
  <c r="FF76" i="3"/>
  <c r="FG76" i="3"/>
  <c r="FH76" i="3"/>
  <c r="FI76" i="3"/>
  <c r="FJ76" i="3"/>
  <c r="FK76" i="3"/>
  <c r="FL76" i="3"/>
  <c r="FM76" i="3"/>
  <c r="FN76" i="3"/>
  <c r="FO76" i="3"/>
  <c r="FP76" i="3"/>
  <c r="FQ76" i="3"/>
  <c r="FR76" i="3"/>
  <c r="FS76" i="3"/>
  <c r="FT76" i="3"/>
  <c r="FU76" i="3"/>
  <c r="FV76" i="3"/>
  <c r="FW76" i="3"/>
  <c r="FX76" i="3"/>
  <c r="FY76" i="3"/>
  <c r="FZ76" i="3"/>
  <c r="GA76" i="3"/>
  <c r="GB76" i="3"/>
  <c r="GC76" i="3"/>
  <c r="GD76" i="3"/>
  <c r="GE76" i="3"/>
  <c r="GF76" i="3"/>
  <c r="GG76" i="3"/>
  <c r="GH76" i="3"/>
  <c r="GI76" i="3"/>
  <c r="GJ76" i="3"/>
  <c r="GK76" i="3"/>
  <c r="GL76" i="3"/>
  <c r="GM76" i="3"/>
  <c r="GN76" i="3"/>
  <c r="GO76" i="3"/>
  <c r="GP76" i="3"/>
  <c r="GQ76" i="3"/>
  <c r="GR76" i="3"/>
  <c r="GS76" i="3"/>
  <c r="GT76" i="3"/>
  <c r="GU76" i="3"/>
  <c r="GV76" i="3"/>
  <c r="GW76" i="3"/>
  <c r="GX76" i="3"/>
  <c r="GY76" i="3"/>
  <c r="GZ76" i="3"/>
  <c r="HA76" i="3"/>
  <c r="HB76" i="3"/>
  <c r="HC76" i="3"/>
  <c r="HD76" i="3"/>
  <c r="HE76" i="3"/>
  <c r="HF76" i="3"/>
  <c r="HG76" i="3"/>
  <c r="HH76" i="3"/>
  <c r="HI76" i="3"/>
  <c r="HJ76" i="3"/>
  <c r="HK76" i="3"/>
  <c r="HL76" i="3"/>
  <c r="HM76" i="3"/>
  <c r="HN76" i="3"/>
  <c r="HO76" i="3"/>
  <c r="HP76" i="3"/>
  <c r="HQ76" i="3"/>
  <c r="HR76" i="3"/>
  <c r="HS76" i="3"/>
  <c r="HT76" i="3"/>
  <c r="HU76" i="3"/>
  <c r="HV76" i="3"/>
  <c r="HW76" i="3"/>
  <c r="HX76" i="3"/>
  <c r="HY76" i="3"/>
  <c r="HZ76" i="3"/>
  <c r="IA76" i="3"/>
  <c r="IB76" i="3"/>
  <c r="IC76" i="3"/>
  <c r="ID76" i="3"/>
  <c r="IE76" i="3"/>
  <c r="IF76" i="3"/>
  <c r="IG76" i="3"/>
  <c r="IH76" i="3"/>
  <c r="II76" i="3"/>
  <c r="IJ76" i="3"/>
  <c r="IK76" i="3"/>
  <c r="IL76" i="3"/>
  <c r="IM76" i="3"/>
  <c r="IN76" i="3"/>
  <c r="IO76" i="3"/>
  <c r="IP76" i="3"/>
  <c r="IQ76" i="3"/>
  <c r="IR76" i="3"/>
  <c r="IS76" i="3"/>
  <c r="IT76" i="3"/>
  <c r="IU76" i="3"/>
  <c r="IV76" i="3"/>
  <c r="A75" i="3"/>
  <c r="B75" i="3"/>
  <c r="C75" i="3"/>
  <c r="D75" i="3"/>
  <c r="E75" i="3"/>
  <c r="F75" i="3"/>
  <c r="G75" i="3"/>
  <c r="H75" i="3"/>
  <c r="I75" i="3"/>
  <c r="J75" i="3"/>
  <c r="K75" i="3"/>
  <c r="L75" i="3"/>
  <c r="M75" i="3"/>
  <c r="N75" i="3"/>
  <c r="O75" i="3"/>
  <c r="P75" i="3"/>
  <c r="Q75" i="3"/>
  <c r="R75" i="3"/>
  <c r="S75" i="3"/>
  <c r="T75" i="3"/>
  <c r="U75" i="3"/>
  <c r="V75" i="3"/>
  <c r="W75" i="3"/>
  <c r="X75" i="3"/>
  <c r="Y75" i="3"/>
  <c r="Z75" i="3"/>
  <c r="AA75" i="3"/>
  <c r="AB75" i="3"/>
  <c r="AC75" i="3"/>
  <c r="AD75" i="3"/>
  <c r="AE75" i="3"/>
  <c r="AF75" i="3"/>
  <c r="AG75" i="3"/>
  <c r="AH75" i="3"/>
  <c r="AI75" i="3"/>
  <c r="AJ75" i="3"/>
  <c r="AK75" i="3"/>
  <c r="AL75" i="3"/>
  <c r="AM75" i="3"/>
  <c r="AN75" i="3"/>
  <c r="AO75" i="3"/>
  <c r="AP75" i="3"/>
  <c r="AQ75" i="3"/>
  <c r="AR75" i="3"/>
  <c r="AS75" i="3"/>
  <c r="AT75" i="3"/>
  <c r="AU75" i="3"/>
  <c r="AV75" i="3"/>
  <c r="AW75" i="3"/>
  <c r="AX75" i="3"/>
  <c r="AY75" i="3"/>
  <c r="AZ75" i="3"/>
  <c r="BA75" i="3"/>
  <c r="BB75" i="3"/>
  <c r="BC75" i="3"/>
  <c r="BD75" i="3"/>
  <c r="BE75" i="3"/>
  <c r="BF75" i="3"/>
  <c r="BG75" i="3"/>
  <c r="BH75" i="3"/>
  <c r="BI75" i="3"/>
  <c r="BJ75" i="3"/>
  <c r="BK75" i="3"/>
  <c r="BL75" i="3"/>
  <c r="BM75" i="3"/>
  <c r="BN75" i="3"/>
  <c r="BO75" i="3"/>
  <c r="BP75" i="3"/>
  <c r="BQ75" i="3"/>
  <c r="BR75" i="3"/>
  <c r="BS75" i="3"/>
  <c r="BT75" i="3"/>
  <c r="BU75" i="3"/>
  <c r="BV75" i="3"/>
  <c r="BW75" i="3"/>
  <c r="BX75" i="3"/>
  <c r="BY75" i="3"/>
  <c r="BZ75" i="3"/>
  <c r="CA75" i="3"/>
  <c r="CB75" i="3"/>
  <c r="CC75" i="3"/>
  <c r="CD75" i="3"/>
  <c r="CE75" i="3"/>
  <c r="CF75" i="3"/>
  <c r="CG75" i="3"/>
  <c r="CH75" i="3"/>
  <c r="CI75" i="3"/>
  <c r="CJ75" i="3"/>
  <c r="CK75" i="3"/>
  <c r="CL75" i="3"/>
  <c r="CM75" i="3"/>
  <c r="CN75" i="3"/>
  <c r="CO75" i="3"/>
  <c r="CP75" i="3"/>
  <c r="CQ75" i="3"/>
  <c r="CR75" i="3"/>
  <c r="CS75" i="3"/>
  <c r="CT75" i="3"/>
  <c r="CU75" i="3"/>
  <c r="CV75" i="3"/>
  <c r="CW75" i="3"/>
  <c r="CX75" i="3"/>
  <c r="CY75" i="3"/>
  <c r="CZ75" i="3"/>
  <c r="DA75" i="3"/>
  <c r="DB75" i="3"/>
  <c r="DC75" i="3"/>
  <c r="DD75" i="3"/>
  <c r="DE75" i="3"/>
  <c r="DF75" i="3"/>
  <c r="DG75" i="3"/>
  <c r="DH75" i="3"/>
  <c r="DI75" i="3"/>
  <c r="DJ75" i="3"/>
  <c r="DK75" i="3"/>
  <c r="DL75" i="3"/>
  <c r="DM75" i="3"/>
  <c r="DN75" i="3"/>
  <c r="DO75" i="3"/>
  <c r="DP75" i="3"/>
  <c r="DQ75" i="3"/>
  <c r="DR75" i="3"/>
  <c r="DS75" i="3"/>
  <c r="DT75" i="3"/>
  <c r="DU75" i="3"/>
  <c r="DV75" i="3"/>
  <c r="DW75" i="3"/>
  <c r="DX75" i="3"/>
  <c r="DY75" i="3"/>
  <c r="DZ75" i="3"/>
  <c r="EA75" i="3"/>
  <c r="EB75" i="3"/>
  <c r="EC75" i="3"/>
  <c r="ED75" i="3"/>
  <c r="EE75" i="3"/>
  <c r="EF75" i="3"/>
  <c r="EG75" i="3"/>
  <c r="EH75" i="3"/>
  <c r="EI75" i="3"/>
  <c r="EJ75" i="3"/>
  <c r="EK75" i="3"/>
  <c r="EL75" i="3"/>
  <c r="EM75" i="3"/>
  <c r="EN75" i="3"/>
  <c r="EO75" i="3"/>
  <c r="EP75" i="3"/>
  <c r="EQ75" i="3"/>
  <c r="ER75" i="3"/>
  <c r="ES75" i="3"/>
  <c r="ET75" i="3"/>
  <c r="EU75" i="3"/>
  <c r="EV75" i="3"/>
  <c r="EW75" i="3"/>
  <c r="EX75" i="3"/>
  <c r="EY75" i="3"/>
  <c r="EZ75" i="3"/>
  <c r="FA75" i="3"/>
  <c r="FB75" i="3"/>
  <c r="FC75" i="3"/>
  <c r="FD75" i="3"/>
  <c r="FE75" i="3"/>
  <c r="FF75" i="3"/>
  <c r="FG75" i="3"/>
  <c r="FH75" i="3"/>
  <c r="FI75" i="3"/>
  <c r="FJ75" i="3"/>
  <c r="FK75" i="3"/>
  <c r="FL75" i="3"/>
  <c r="FM75" i="3"/>
  <c r="FN75" i="3"/>
  <c r="FO75" i="3"/>
  <c r="FP75" i="3"/>
  <c r="FQ75" i="3"/>
  <c r="FR75" i="3"/>
  <c r="FS75" i="3"/>
  <c r="FT75" i="3"/>
  <c r="FU75" i="3"/>
  <c r="FV75" i="3"/>
  <c r="FW75" i="3"/>
  <c r="FX75" i="3"/>
  <c r="FY75" i="3"/>
  <c r="FZ75" i="3"/>
  <c r="GA75" i="3"/>
  <c r="GB75" i="3"/>
  <c r="GC75" i="3"/>
  <c r="GD75" i="3"/>
  <c r="GE75" i="3"/>
  <c r="GF75" i="3"/>
  <c r="GG75" i="3"/>
  <c r="GH75" i="3"/>
  <c r="GI75" i="3"/>
  <c r="GJ75" i="3"/>
  <c r="GK75" i="3"/>
  <c r="GL75" i="3"/>
  <c r="GM75" i="3"/>
  <c r="GN75" i="3"/>
  <c r="GO75" i="3"/>
  <c r="GP75" i="3"/>
  <c r="GQ75" i="3"/>
  <c r="GR75" i="3"/>
  <c r="GS75" i="3"/>
  <c r="GT75" i="3"/>
  <c r="GU75" i="3"/>
  <c r="GV75" i="3"/>
  <c r="GW75" i="3"/>
  <c r="GX75" i="3"/>
  <c r="GY75" i="3"/>
  <c r="GZ75" i="3"/>
  <c r="HA75" i="3"/>
  <c r="HB75" i="3"/>
  <c r="HC75" i="3"/>
  <c r="HD75" i="3"/>
  <c r="HE75" i="3"/>
  <c r="HF75" i="3"/>
  <c r="HG75" i="3"/>
  <c r="HH75" i="3"/>
  <c r="HI75" i="3"/>
  <c r="HJ75" i="3"/>
  <c r="HK75" i="3"/>
  <c r="HL75" i="3"/>
  <c r="HM75" i="3"/>
  <c r="HN75" i="3"/>
  <c r="HO75" i="3"/>
  <c r="HP75" i="3"/>
  <c r="HQ75" i="3"/>
  <c r="HR75" i="3"/>
  <c r="HS75" i="3"/>
  <c r="HT75" i="3"/>
  <c r="HU75" i="3"/>
  <c r="HV75" i="3"/>
  <c r="HW75" i="3"/>
  <c r="HX75" i="3"/>
  <c r="HY75" i="3"/>
  <c r="HZ75" i="3"/>
  <c r="IA75" i="3"/>
  <c r="IB75" i="3"/>
  <c r="IC75" i="3"/>
  <c r="ID75" i="3"/>
  <c r="IE75" i="3"/>
  <c r="IF75" i="3"/>
  <c r="IG75" i="3"/>
  <c r="IH75" i="3"/>
  <c r="II75" i="3"/>
  <c r="IJ75" i="3"/>
  <c r="IK75" i="3"/>
  <c r="IL75" i="3"/>
  <c r="IM75" i="3"/>
  <c r="IN75" i="3"/>
  <c r="IO75" i="3"/>
  <c r="IP75" i="3"/>
  <c r="IQ75" i="3"/>
  <c r="IR75" i="3"/>
  <c r="IS75" i="3"/>
  <c r="IT75" i="3"/>
  <c r="IU75" i="3"/>
  <c r="IV75" i="3"/>
  <c r="A74" i="3"/>
  <c r="B74" i="3"/>
  <c r="C74" i="3"/>
  <c r="D74" i="3"/>
  <c r="E74" i="3"/>
  <c r="F74" i="3"/>
  <c r="G74" i="3"/>
  <c r="H74" i="3"/>
  <c r="I74" i="3"/>
  <c r="J74" i="3"/>
  <c r="K74" i="3"/>
  <c r="L74" i="3"/>
  <c r="M74" i="3"/>
  <c r="N74" i="3"/>
  <c r="O74" i="3"/>
  <c r="P74" i="3"/>
  <c r="Q74" i="3"/>
  <c r="R74" i="3"/>
  <c r="S74" i="3"/>
  <c r="T74" i="3"/>
  <c r="U74" i="3"/>
  <c r="V74" i="3"/>
  <c r="W74" i="3"/>
  <c r="X74" i="3"/>
  <c r="Y74" i="3"/>
  <c r="Z74" i="3"/>
  <c r="AA74" i="3"/>
  <c r="AB74" i="3"/>
  <c r="AC74" i="3"/>
  <c r="AD74" i="3"/>
  <c r="AE74" i="3"/>
  <c r="AF74" i="3"/>
  <c r="AG74" i="3"/>
  <c r="AH74" i="3"/>
  <c r="AI74" i="3"/>
  <c r="AJ74" i="3"/>
  <c r="AK74" i="3"/>
  <c r="AL74" i="3"/>
  <c r="AM74" i="3"/>
  <c r="AN74" i="3"/>
  <c r="AO74" i="3"/>
  <c r="AP74" i="3"/>
  <c r="AQ74" i="3"/>
  <c r="AR74" i="3"/>
  <c r="AS74" i="3"/>
  <c r="AT74" i="3"/>
  <c r="AU74" i="3"/>
  <c r="AV74" i="3"/>
  <c r="AW74" i="3"/>
  <c r="AX74" i="3"/>
  <c r="AY74" i="3"/>
  <c r="AZ74" i="3"/>
  <c r="BA74" i="3"/>
  <c r="BB74" i="3"/>
  <c r="BC74" i="3"/>
  <c r="BD74" i="3"/>
  <c r="BE74" i="3"/>
  <c r="BF74" i="3"/>
  <c r="BG74" i="3"/>
  <c r="BH74" i="3"/>
  <c r="BI74" i="3"/>
  <c r="BJ74" i="3"/>
  <c r="BK74" i="3"/>
  <c r="BL74" i="3"/>
  <c r="BM74" i="3"/>
  <c r="BN74" i="3"/>
  <c r="BO74" i="3"/>
  <c r="BP74" i="3"/>
  <c r="BQ74" i="3"/>
  <c r="BR74" i="3"/>
  <c r="BS74" i="3"/>
  <c r="BT74" i="3"/>
  <c r="BU74" i="3"/>
  <c r="BV74" i="3"/>
  <c r="BW74" i="3"/>
  <c r="BX74" i="3"/>
  <c r="BY74" i="3"/>
  <c r="BZ74" i="3"/>
  <c r="CA74" i="3"/>
  <c r="CB74" i="3"/>
  <c r="CC74" i="3"/>
  <c r="CD74" i="3"/>
  <c r="CE74" i="3"/>
  <c r="CF74" i="3"/>
  <c r="CG74" i="3"/>
  <c r="CH74" i="3"/>
  <c r="CI74" i="3"/>
  <c r="CJ74" i="3"/>
  <c r="CK74" i="3"/>
  <c r="CL74" i="3"/>
  <c r="CM74" i="3"/>
  <c r="CN74" i="3"/>
  <c r="CO74" i="3"/>
  <c r="CP74" i="3"/>
  <c r="CQ74" i="3"/>
  <c r="CR74" i="3"/>
  <c r="CS74" i="3"/>
  <c r="CT74" i="3"/>
  <c r="CU74" i="3"/>
  <c r="CV74" i="3"/>
  <c r="CW74" i="3"/>
  <c r="CX74" i="3"/>
  <c r="CY74" i="3"/>
  <c r="CZ74" i="3"/>
  <c r="DA74" i="3"/>
  <c r="DB74" i="3"/>
  <c r="DC74" i="3"/>
  <c r="DD74" i="3"/>
  <c r="DE74" i="3"/>
  <c r="DF74" i="3"/>
  <c r="DG74" i="3"/>
  <c r="DH74" i="3"/>
  <c r="DI74" i="3"/>
  <c r="DJ74" i="3"/>
  <c r="DK74" i="3"/>
  <c r="DL74" i="3"/>
  <c r="DM74" i="3"/>
  <c r="DN74" i="3"/>
  <c r="DO74" i="3"/>
  <c r="DP74" i="3"/>
  <c r="DQ74" i="3"/>
  <c r="DR74" i="3"/>
  <c r="DS74" i="3"/>
  <c r="DT74" i="3"/>
  <c r="DU74" i="3"/>
  <c r="DV74" i="3"/>
  <c r="DW74" i="3"/>
  <c r="DX74" i="3"/>
  <c r="DY74" i="3"/>
  <c r="DZ74" i="3"/>
  <c r="EA74" i="3"/>
  <c r="EB74" i="3"/>
  <c r="EC74" i="3"/>
  <c r="ED74" i="3"/>
  <c r="EE74" i="3"/>
  <c r="EF74" i="3"/>
  <c r="EG74" i="3"/>
  <c r="EH74" i="3"/>
  <c r="EI74" i="3"/>
  <c r="EJ74" i="3"/>
  <c r="EK74" i="3"/>
  <c r="EL74" i="3"/>
  <c r="EM74" i="3"/>
  <c r="EN74" i="3"/>
  <c r="EO74" i="3"/>
  <c r="EP74" i="3"/>
  <c r="EQ74" i="3"/>
  <c r="ER74" i="3"/>
  <c r="ES74" i="3"/>
  <c r="ET74" i="3"/>
  <c r="EU74" i="3"/>
  <c r="EV74" i="3"/>
  <c r="EW74" i="3"/>
  <c r="EX74" i="3"/>
  <c r="EY74" i="3"/>
  <c r="EZ74" i="3"/>
  <c r="FA74" i="3"/>
  <c r="FB74" i="3"/>
  <c r="FC74" i="3"/>
  <c r="FD74" i="3"/>
  <c r="FE74" i="3"/>
  <c r="FF74" i="3"/>
  <c r="FG74" i="3"/>
  <c r="FH74" i="3"/>
  <c r="FI74" i="3"/>
  <c r="FJ74" i="3"/>
  <c r="FK74" i="3"/>
  <c r="FL74" i="3"/>
  <c r="FM74" i="3"/>
  <c r="FN74" i="3"/>
  <c r="FO74" i="3"/>
  <c r="FP74" i="3"/>
  <c r="FQ74" i="3"/>
  <c r="FR74" i="3"/>
  <c r="FS74" i="3"/>
  <c r="FT74" i="3"/>
  <c r="FU74" i="3"/>
  <c r="FV74" i="3"/>
  <c r="FW74" i="3"/>
  <c r="FX74" i="3"/>
  <c r="FY74" i="3"/>
  <c r="FZ74" i="3"/>
  <c r="GA74" i="3"/>
  <c r="GB74" i="3"/>
  <c r="GC74" i="3"/>
  <c r="GD74" i="3"/>
  <c r="GE74" i="3"/>
  <c r="GF74" i="3"/>
  <c r="GG74" i="3"/>
  <c r="GH74" i="3"/>
  <c r="GI74" i="3"/>
  <c r="GJ74" i="3"/>
  <c r="GK74" i="3"/>
  <c r="GL74" i="3"/>
  <c r="GM74" i="3"/>
  <c r="GN74" i="3"/>
  <c r="GO74" i="3"/>
  <c r="GP74" i="3"/>
  <c r="GQ74" i="3"/>
  <c r="GR74" i="3"/>
  <c r="GS74" i="3"/>
  <c r="GT74" i="3"/>
  <c r="GU74" i="3"/>
  <c r="GV74" i="3"/>
  <c r="GW74" i="3"/>
  <c r="GX74" i="3"/>
  <c r="GY74" i="3"/>
  <c r="GZ74" i="3"/>
  <c r="HA74" i="3"/>
  <c r="HB74" i="3"/>
  <c r="HC74" i="3"/>
  <c r="HD74" i="3"/>
  <c r="HE74" i="3"/>
  <c r="HF74" i="3"/>
  <c r="HG74" i="3"/>
  <c r="HH74" i="3"/>
  <c r="HI74" i="3"/>
  <c r="HJ74" i="3"/>
  <c r="HK74" i="3"/>
  <c r="HL74" i="3"/>
  <c r="HM74" i="3"/>
  <c r="HN74" i="3"/>
  <c r="HO74" i="3"/>
  <c r="HP74" i="3"/>
  <c r="HQ74" i="3"/>
  <c r="HR74" i="3"/>
  <c r="HS74" i="3"/>
  <c r="HT74" i="3"/>
  <c r="HU74" i="3"/>
  <c r="HV74" i="3"/>
  <c r="HW74" i="3"/>
  <c r="HX74" i="3"/>
  <c r="HY74" i="3"/>
  <c r="HZ74" i="3"/>
  <c r="IA74" i="3"/>
  <c r="IB74" i="3"/>
  <c r="IC74" i="3"/>
  <c r="ID74" i="3"/>
  <c r="IE74" i="3"/>
  <c r="IF74" i="3"/>
  <c r="IG74" i="3"/>
  <c r="IH74" i="3"/>
  <c r="II74" i="3"/>
  <c r="IJ74" i="3"/>
  <c r="IK74" i="3"/>
  <c r="IL74" i="3"/>
  <c r="IM74" i="3"/>
  <c r="IN74" i="3"/>
  <c r="IO74" i="3"/>
  <c r="IP74" i="3"/>
  <c r="IQ74" i="3"/>
  <c r="IR74" i="3"/>
  <c r="IS74" i="3"/>
  <c r="IT74" i="3"/>
  <c r="IU74" i="3"/>
  <c r="IV74" i="3"/>
  <c r="A73" i="3"/>
  <c r="B73" i="3"/>
  <c r="C73" i="3"/>
  <c r="D73" i="3"/>
  <c r="E73" i="3"/>
  <c r="F73" i="3"/>
  <c r="G73" i="3"/>
  <c r="H73" i="3"/>
  <c r="I73" i="3"/>
  <c r="J73" i="3"/>
  <c r="K73" i="3"/>
  <c r="L73" i="3"/>
  <c r="M73" i="3"/>
  <c r="N73" i="3"/>
  <c r="O73" i="3"/>
  <c r="P73" i="3"/>
  <c r="Q73" i="3"/>
  <c r="R73" i="3"/>
  <c r="S73" i="3"/>
  <c r="T73" i="3"/>
  <c r="U73" i="3"/>
  <c r="V73" i="3"/>
  <c r="W73" i="3"/>
  <c r="X73" i="3"/>
  <c r="Y73" i="3"/>
  <c r="Z73" i="3"/>
  <c r="AA73" i="3"/>
  <c r="AB73" i="3"/>
  <c r="AC73" i="3"/>
  <c r="AD73" i="3"/>
  <c r="AE73" i="3"/>
  <c r="AF73" i="3"/>
  <c r="AG73" i="3"/>
  <c r="AH73" i="3"/>
  <c r="AI73" i="3"/>
  <c r="AJ73" i="3"/>
  <c r="AK73" i="3"/>
  <c r="AL73" i="3"/>
  <c r="AM73" i="3"/>
  <c r="AN73" i="3"/>
  <c r="AO73" i="3"/>
  <c r="AP73" i="3"/>
  <c r="AQ73" i="3"/>
  <c r="AR73" i="3"/>
  <c r="AS73" i="3"/>
  <c r="AT73" i="3"/>
  <c r="AU73" i="3"/>
  <c r="AV73" i="3"/>
  <c r="AW73" i="3"/>
  <c r="AX73" i="3"/>
  <c r="AY73" i="3"/>
  <c r="AZ73" i="3"/>
  <c r="BA73" i="3"/>
  <c r="BB73" i="3"/>
  <c r="BC73" i="3"/>
  <c r="BD73" i="3"/>
  <c r="BE73" i="3"/>
  <c r="BF73" i="3"/>
  <c r="BG73" i="3"/>
  <c r="BH73" i="3"/>
  <c r="BI73" i="3"/>
  <c r="BJ73" i="3"/>
  <c r="BK73" i="3"/>
  <c r="BL73" i="3"/>
  <c r="BM73" i="3"/>
  <c r="BN73" i="3"/>
  <c r="BO73" i="3"/>
  <c r="BP73" i="3"/>
  <c r="BQ73" i="3"/>
  <c r="BR73" i="3"/>
  <c r="BS73" i="3"/>
  <c r="BT73" i="3"/>
  <c r="BU73" i="3"/>
  <c r="BV73" i="3"/>
  <c r="BW73" i="3"/>
  <c r="BX73" i="3"/>
  <c r="BY73" i="3"/>
  <c r="BZ73" i="3"/>
  <c r="CA73" i="3"/>
  <c r="CB73" i="3"/>
  <c r="CC73" i="3"/>
  <c r="CD73" i="3"/>
  <c r="CE73" i="3"/>
  <c r="CF73" i="3"/>
  <c r="CG73" i="3"/>
  <c r="CH73" i="3"/>
  <c r="CI73" i="3"/>
  <c r="CJ73" i="3"/>
  <c r="CK73" i="3"/>
  <c r="CL73" i="3"/>
  <c r="CM73" i="3"/>
  <c r="CN73" i="3"/>
  <c r="CO73" i="3"/>
  <c r="CP73" i="3"/>
  <c r="CQ73" i="3"/>
  <c r="CR73" i="3"/>
  <c r="CS73" i="3"/>
  <c r="CT73" i="3"/>
  <c r="CU73" i="3"/>
  <c r="CV73" i="3"/>
  <c r="CW73" i="3"/>
  <c r="CX73" i="3"/>
  <c r="CY73" i="3"/>
  <c r="CZ73" i="3"/>
  <c r="DA73" i="3"/>
  <c r="DB73" i="3"/>
  <c r="DC73" i="3"/>
  <c r="DD73" i="3"/>
  <c r="DE73" i="3"/>
  <c r="DF73" i="3"/>
  <c r="DG73" i="3"/>
  <c r="DH73" i="3"/>
  <c r="DI73" i="3"/>
  <c r="DJ73" i="3"/>
  <c r="DK73" i="3"/>
  <c r="DL73" i="3"/>
  <c r="DM73" i="3"/>
  <c r="DN73" i="3"/>
  <c r="DO73" i="3"/>
  <c r="DP73" i="3"/>
  <c r="DQ73" i="3"/>
  <c r="DR73" i="3"/>
  <c r="DS73" i="3"/>
  <c r="DT73" i="3"/>
  <c r="DU73" i="3"/>
  <c r="DV73" i="3"/>
  <c r="DW73" i="3"/>
  <c r="DX73" i="3"/>
  <c r="DY73" i="3"/>
  <c r="DZ73" i="3"/>
  <c r="EA73" i="3"/>
  <c r="EB73" i="3"/>
  <c r="EC73" i="3"/>
  <c r="ED73" i="3"/>
  <c r="EE73" i="3"/>
  <c r="EF73" i="3"/>
  <c r="EG73" i="3"/>
  <c r="EH73" i="3"/>
  <c r="EI73" i="3"/>
  <c r="EJ73" i="3"/>
  <c r="EK73" i="3"/>
  <c r="EL73" i="3"/>
  <c r="EM73" i="3"/>
  <c r="EN73" i="3"/>
  <c r="EO73" i="3"/>
  <c r="EP73" i="3"/>
  <c r="EQ73" i="3"/>
  <c r="ER73" i="3"/>
  <c r="ES73" i="3"/>
  <c r="ET73" i="3"/>
  <c r="EU73" i="3"/>
  <c r="EV73" i="3"/>
  <c r="EW73" i="3"/>
  <c r="EX73" i="3"/>
  <c r="EY73" i="3"/>
  <c r="EZ73" i="3"/>
  <c r="FA73" i="3"/>
  <c r="FB73" i="3"/>
  <c r="FC73" i="3"/>
  <c r="FD73" i="3"/>
  <c r="FE73" i="3"/>
  <c r="FF73" i="3"/>
  <c r="FG73" i="3"/>
  <c r="FH73" i="3"/>
  <c r="FI73" i="3"/>
  <c r="FJ73" i="3"/>
  <c r="FK73" i="3"/>
  <c r="FL73" i="3"/>
  <c r="FM73" i="3"/>
  <c r="FN73" i="3"/>
  <c r="FO73" i="3"/>
  <c r="FP73" i="3"/>
  <c r="FQ73" i="3"/>
  <c r="FR73" i="3"/>
  <c r="FS73" i="3"/>
  <c r="FT73" i="3"/>
  <c r="FU73" i="3"/>
  <c r="FV73" i="3"/>
  <c r="FW73" i="3"/>
  <c r="FX73" i="3"/>
  <c r="FY73" i="3"/>
  <c r="FZ73" i="3"/>
  <c r="GA73" i="3"/>
  <c r="GB73" i="3"/>
  <c r="GC73" i="3"/>
  <c r="GD73" i="3"/>
  <c r="GE73" i="3"/>
  <c r="GF73" i="3"/>
  <c r="GG73" i="3"/>
  <c r="GH73" i="3"/>
  <c r="GI73" i="3"/>
  <c r="GJ73" i="3"/>
  <c r="GK73" i="3"/>
  <c r="GL73" i="3"/>
  <c r="GM73" i="3"/>
  <c r="GN73" i="3"/>
  <c r="GO73" i="3"/>
  <c r="GP73" i="3"/>
  <c r="GQ73" i="3"/>
  <c r="GR73" i="3"/>
  <c r="GS73" i="3"/>
  <c r="GT73" i="3"/>
  <c r="GU73" i="3"/>
  <c r="GV73" i="3"/>
  <c r="GW73" i="3"/>
  <c r="GX73" i="3"/>
  <c r="GY73" i="3"/>
  <c r="GZ73" i="3"/>
  <c r="HA73" i="3"/>
  <c r="HB73" i="3"/>
  <c r="HC73" i="3"/>
  <c r="HD73" i="3"/>
  <c r="HE73" i="3"/>
  <c r="HF73" i="3"/>
  <c r="HG73" i="3"/>
  <c r="HH73" i="3"/>
  <c r="HI73" i="3"/>
  <c r="HJ73" i="3"/>
  <c r="HK73" i="3"/>
  <c r="HL73" i="3"/>
  <c r="HM73" i="3"/>
  <c r="HN73" i="3"/>
  <c r="HO73" i="3"/>
  <c r="HP73" i="3"/>
  <c r="HQ73" i="3"/>
  <c r="HR73" i="3"/>
  <c r="HS73" i="3"/>
  <c r="HT73" i="3"/>
  <c r="HU73" i="3"/>
  <c r="HV73" i="3"/>
  <c r="HW73" i="3"/>
  <c r="HX73" i="3"/>
  <c r="HY73" i="3"/>
  <c r="HZ73" i="3"/>
  <c r="IA73" i="3"/>
  <c r="IB73" i="3"/>
  <c r="IC73" i="3"/>
  <c r="ID73" i="3"/>
  <c r="IE73" i="3"/>
  <c r="IF73" i="3"/>
  <c r="IG73" i="3"/>
  <c r="IH73" i="3"/>
  <c r="II73" i="3"/>
  <c r="IJ73" i="3"/>
  <c r="IK73" i="3"/>
  <c r="IL73" i="3"/>
  <c r="IM73" i="3"/>
  <c r="IN73" i="3"/>
  <c r="IO73" i="3"/>
  <c r="IP73" i="3"/>
  <c r="IQ73" i="3"/>
  <c r="IR73" i="3"/>
  <c r="IS73" i="3"/>
  <c r="IT73" i="3"/>
  <c r="IU73" i="3"/>
  <c r="IV73" i="3"/>
  <c r="A72" i="3"/>
  <c r="B72" i="3"/>
  <c r="C72" i="3"/>
  <c r="D72" i="3"/>
  <c r="E72" i="3"/>
  <c r="F72" i="3"/>
  <c r="G72" i="3"/>
  <c r="H72" i="3"/>
  <c r="I72" i="3"/>
  <c r="J72" i="3"/>
  <c r="K72" i="3"/>
  <c r="L72" i="3"/>
  <c r="M72" i="3"/>
  <c r="N72" i="3"/>
  <c r="O72" i="3"/>
  <c r="P72" i="3"/>
  <c r="Q72" i="3"/>
  <c r="R72" i="3"/>
  <c r="S72" i="3"/>
  <c r="T72" i="3"/>
  <c r="U72" i="3"/>
  <c r="V72" i="3"/>
  <c r="W72" i="3"/>
  <c r="X72" i="3"/>
  <c r="Y72" i="3"/>
  <c r="Z72" i="3"/>
  <c r="AA72" i="3"/>
  <c r="AB72" i="3"/>
  <c r="AC72" i="3"/>
  <c r="AD72" i="3"/>
  <c r="AE72" i="3"/>
  <c r="AF72" i="3"/>
  <c r="AG72" i="3"/>
  <c r="AH72" i="3"/>
  <c r="AI72" i="3"/>
  <c r="AJ72" i="3"/>
  <c r="AK72" i="3"/>
  <c r="AL72" i="3"/>
  <c r="AM72" i="3"/>
  <c r="AN72" i="3"/>
  <c r="AO72" i="3"/>
  <c r="AP72" i="3"/>
  <c r="AQ72" i="3"/>
  <c r="AR72" i="3"/>
  <c r="AS72" i="3"/>
  <c r="AT72" i="3"/>
  <c r="AU72" i="3"/>
  <c r="AV72" i="3"/>
  <c r="AW72" i="3"/>
  <c r="AX72" i="3"/>
  <c r="AY72" i="3"/>
  <c r="AZ72" i="3"/>
  <c r="BA72" i="3"/>
  <c r="BB72" i="3"/>
  <c r="BC72" i="3"/>
  <c r="BD72" i="3"/>
  <c r="BE72" i="3"/>
  <c r="BF72" i="3"/>
  <c r="BG72" i="3"/>
  <c r="BH72" i="3"/>
  <c r="BI72" i="3"/>
  <c r="BJ72" i="3"/>
  <c r="BK72" i="3"/>
  <c r="BL72" i="3"/>
  <c r="BM72" i="3"/>
  <c r="BN72" i="3"/>
  <c r="BO72" i="3"/>
  <c r="BP72" i="3"/>
  <c r="BQ72" i="3"/>
  <c r="BR72" i="3"/>
  <c r="BS72" i="3"/>
  <c r="BT72" i="3"/>
  <c r="BU72" i="3"/>
  <c r="BV72" i="3"/>
  <c r="BW72" i="3"/>
  <c r="BX72" i="3"/>
  <c r="BY72" i="3"/>
  <c r="BZ72" i="3"/>
  <c r="CA72" i="3"/>
  <c r="CB72" i="3"/>
  <c r="CC72" i="3"/>
  <c r="CD72" i="3"/>
  <c r="CE72" i="3"/>
  <c r="CF72" i="3"/>
  <c r="CG72" i="3"/>
  <c r="CH72" i="3"/>
  <c r="CI72" i="3"/>
  <c r="CJ72" i="3"/>
  <c r="CK72" i="3"/>
  <c r="CL72" i="3"/>
  <c r="CM72" i="3"/>
  <c r="CN72" i="3"/>
  <c r="CO72" i="3"/>
  <c r="CP72" i="3"/>
  <c r="CQ72" i="3"/>
  <c r="CR72" i="3"/>
  <c r="CS72" i="3"/>
  <c r="CT72" i="3"/>
  <c r="CU72" i="3"/>
  <c r="CV72" i="3"/>
  <c r="CW72" i="3"/>
  <c r="CX72" i="3"/>
  <c r="CY72" i="3"/>
  <c r="CZ72" i="3"/>
  <c r="DA72" i="3"/>
  <c r="DB72" i="3"/>
  <c r="DC72" i="3"/>
  <c r="DD72" i="3"/>
  <c r="DE72" i="3"/>
  <c r="DF72" i="3"/>
  <c r="DG72" i="3"/>
  <c r="DH72" i="3"/>
  <c r="DI72" i="3"/>
  <c r="DJ72" i="3"/>
  <c r="DK72" i="3"/>
  <c r="DL72" i="3"/>
  <c r="DM72" i="3"/>
  <c r="DN72" i="3"/>
  <c r="DO72" i="3"/>
  <c r="DP72" i="3"/>
  <c r="DQ72" i="3"/>
  <c r="DR72" i="3"/>
  <c r="DS72" i="3"/>
  <c r="DT72" i="3"/>
  <c r="DU72" i="3"/>
  <c r="DV72" i="3"/>
  <c r="DW72" i="3"/>
  <c r="DX72" i="3"/>
  <c r="DY72" i="3"/>
  <c r="DZ72" i="3"/>
  <c r="EA72" i="3"/>
  <c r="EB72" i="3"/>
  <c r="EC72" i="3"/>
  <c r="ED72" i="3"/>
  <c r="EE72" i="3"/>
  <c r="EF72" i="3"/>
  <c r="EG72" i="3"/>
  <c r="EH72" i="3"/>
  <c r="EI72" i="3"/>
  <c r="EJ72" i="3"/>
  <c r="EK72" i="3"/>
  <c r="EL72" i="3"/>
  <c r="EM72" i="3"/>
  <c r="EN72" i="3"/>
  <c r="EO72" i="3"/>
  <c r="EP72" i="3"/>
  <c r="EQ72" i="3"/>
  <c r="ER72" i="3"/>
  <c r="ES72" i="3"/>
  <c r="ET72" i="3"/>
  <c r="EU72" i="3"/>
  <c r="EV72" i="3"/>
  <c r="EW72" i="3"/>
  <c r="EX72" i="3"/>
  <c r="EY72" i="3"/>
  <c r="EZ72" i="3"/>
  <c r="FA72" i="3"/>
  <c r="FB72" i="3"/>
  <c r="FC72" i="3"/>
  <c r="FD72" i="3"/>
  <c r="FE72" i="3"/>
  <c r="FF72" i="3"/>
  <c r="FG72" i="3"/>
  <c r="FH72" i="3"/>
  <c r="FI72" i="3"/>
  <c r="FJ72" i="3"/>
  <c r="FK72" i="3"/>
  <c r="FL72" i="3"/>
  <c r="FM72" i="3"/>
  <c r="FN72" i="3"/>
  <c r="FO72" i="3"/>
  <c r="FP72" i="3"/>
  <c r="FQ72" i="3"/>
  <c r="FR72" i="3"/>
  <c r="FS72" i="3"/>
  <c r="FT72" i="3"/>
  <c r="FU72" i="3"/>
  <c r="FV72" i="3"/>
  <c r="FW72" i="3"/>
  <c r="FX72" i="3"/>
  <c r="FY72" i="3"/>
  <c r="FZ72" i="3"/>
  <c r="GA72" i="3"/>
  <c r="GB72" i="3"/>
  <c r="GC72" i="3"/>
  <c r="GD72" i="3"/>
  <c r="GE72" i="3"/>
  <c r="GF72" i="3"/>
  <c r="GG72" i="3"/>
  <c r="GH72" i="3"/>
  <c r="GI72" i="3"/>
  <c r="GJ72" i="3"/>
  <c r="GK72" i="3"/>
  <c r="GL72" i="3"/>
  <c r="GM72" i="3"/>
  <c r="GN72" i="3"/>
  <c r="GO72" i="3"/>
  <c r="GP72" i="3"/>
  <c r="GQ72" i="3"/>
  <c r="GR72" i="3"/>
  <c r="GS72" i="3"/>
  <c r="GT72" i="3"/>
  <c r="GU72" i="3"/>
  <c r="GV72" i="3"/>
  <c r="GW72" i="3"/>
  <c r="GX72" i="3"/>
  <c r="GY72" i="3"/>
  <c r="GZ72" i="3"/>
  <c r="HA72" i="3"/>
  <c r="HB72" i="3"/>
  <c r="HC72" i="3"/>
  <c r="HD72" i="3"/>
  <c r="HE72" i="3"/>
  <c r="HF72" i="3"/>
  <c r="HG72" i="3"/>
  <c r="HH72" i="3"/>
  <c r="HI72" i="3"/>
  <c r="HJ72" i="3"/>
  <c r="HK72" i="3"/>
  <c r="HL72" i="3"/>
  <c r="HM72" i="3"/>
  <c r="HN72" i="3"/>
  <c r="HO72" i="3"/>
  <c r="HP72" i="3"/>
  <c r="HQ72" i="3"/>
  <c r="HR72" i="3"/>
  <c r="HS72" i="3"/>
  <c r="HT72" i="3"/>
  <c r="HU72" i="3"/>
  <c r="HV72" i="3"/>
  <c r="HW72" i="3"/>
  <c r="HX72" i="3"/>
  <c r="HY72" i="3"/>
  <c r="HZ72" i="3"/>
  <c r="IA72" i="3"/>
  <c r="IB72" i="3"/>
  <c r="IC72" i="3"/>
  <c r="ID72" i="3"/>
  <c r="IE72" i="3"/>
  <c r="IF72" i="3"/>
  <c r="IG72" i="3"/>
  <c r="IH72" i="3"/>
  <c r="II72" i="3"/>
  <c r="IJ72" i="3"/>
  <c r="IK72" i="3"/>
  <c r="IL72" i="3"/>
  <c r="IM72" i="3"/>
  <c r="IN72" i="3"/>
  <c r="IO72" i="3"/>
  <c r="IP72" i="3"/>
  <c r="IQ72" i="3"/>
  <c r="IR72" i="3"/>
  <c r="IS72" i="3"/>
  <c r="IT72" i="3"/>
  <c r="IU72" i="3"/>
  <c r="IV72" i="3"/>
  <c r="A71" i="3"/>
  <c r="B71" i="3"/>
  <c r="C71" i="3"/>
  <c r="D71" i="3"/>
  <c r="E71" i="3"/>
  <c r="F71" i="3"/>
  <c r="G71" i="3"/>
  <c r="H71" i="3"/>
  <c r="I71" i="3"/>
  <c r="J71" i="3"/>
  <c r="K71" i="3"/>
  <c r="L71" i="3"/>
  <c r="M71" i="3"/>
  <c r="N71" i="3"/>
  <c r="O71" i="3"/>
  <c r="P71" i="3"/>
  <c r="Q71" i="3"/>
  <c r="R71" i="3"/>
  <c r="S71" i="3"/>
  <c r="T71" i="3"/>
  <c r="U71" i="3"/>
  <c r="V71" i="3"/>
  <c r="W71" i="3"/>
  <c r="X71" i="3"/>
  <c r="Y71" i="3"/>
  <c r="Z71" i="3"/>
  <c r="AA71" i="3"/>
  <c r="AB71" i="3"/>
  <c r="AC71" i="3"/>
  <c r="AD71" i="3"/>
  <c r="AE71" i="3"/>
  <c r="AF71" i="3"/>
  <c r="AG71" i="3"/>
  <c r="AH71" i="3"/>
  <c r="AI71" i="3"/>
  <c r="AJ71" i="3"/>
  <c r="AK71" i="3"/>
  <c r="AL71" i="3"/>
  <c r="AM71" i="3"/>
  <c r="AN71" i="3"/>
  <c r="AO71" i="3"/>
  <c r="AP71" i="3"/>
  <c r="AQ71" i="3"/>
  <c r="AR71" i="3"/>
  <c r="AS71" i="3"/>
  <c r="AT71" i="3"/>
  <c r="AU71" i="3"/>
  <c r="AV71" i="3"/>
  <c r="AW71" i="3"/>
  <c r="AX71" i="3"/>
  <c r="AY71" i="3"/>
  <c r="AZ71" i="3"/>
  <c r="BA71" i="3"/>
  <c r="BB71" i="3"/>
  <c r="BC71" i="3"/>
  <c r="BD71" i="3"/>
  <c r="BE71" i="3"/>
  <c r="BF71" i="3"/>
  <c r="BG71" i="3"/>
  <c r="BH71" i="3"/>
  <c r="BI71" i="3"/>
  <c r="BJ71" i="3"/>
  <c r="BK71" i="3"/>
  <c r="BL71" i="3"/>
  <c r="BM71" i="3"/>
  <c r="BN71" i="3"/>
  <c r="BO71" i="3"/>
  <c r="BP71" i="3"/>
  <c r="BQ71" i="3"/>
  <c r="BR71" i="3"/>
  <c r="BS71" i="3"/>
  <c r="BT71" i="3"/>
  <c r="BU71" i="3"/>
  <c r="BV71" i="3"/>
  <c r="BW71" i="3"/>
  <c r="BX71" i="3"/>
  <c r="BY71" i="3"/>
  <c r="BZ71" i="3"/>
  <c r="CA71" i="3"/>
  <c r="CB71" i="3"/>
  <c r="CC71" i="3"/>
  <c r="CD71" i="3"/>
  <c r="CE71" i="3"/>
  <c r="CF71" i="3"/>
  <c r="CG71" i="3"/>
  <c r="CH71" i="3"/>
  <c r="CI71" i="3"/>
  <c r="CJ71" i="3"/>
  <c r="CK71" i="3"/>
  <c r="CL71" i="3"/>
  <c r="CM71" i="3"/>
  <c r="CN71" i="3"/>
  <c r="CO71" i="3"/>
  <c r="CP71" i="3"/>
  <c r="CQ71" i="3"/>
  <c r="CR71" i="3"/>
  <c r="CS71" i="3"/>
  <c r="CT71" i="3"/>
  <c r="CU71" i="3"/>
  <c r="CV71" i="3"/>
  <c r="CW71" i="3"/>
  <c r="CX71" i="3"/>
  <c r="CY71" i="3"/>
  <c r="CZ71" i="3"/>
  <c r="DA71" i="3"/>
  <c r="DB71" i="3"/>
  <c r="DC71" i="3"/>
  <c r="DD71" i="3"/>
  <c r="DE71" i="3"/>
  <c r="DF71" i="3"/>
  <c r="DG71" i="3"/>
  <c r="DH71" i="3"/>
  <c r="DI71" i="3"/>
  <c r="DJ71" i="3"/>
  <c r="DK71" i="3"/>
  <c r="DL71" i="3"/>
  <c r="DM71" i="3"/>
  <c r="DN71" i="3"/>
  <c r="DO71" i="3"/>
  <c r="DP71" i="3"/>
  <c r="DQ71" i="3"/>
  <c r="DR71" i="3"/>
  <c r="DS71" i="3"/>
  <c r="DT71" i="3"/>
  <c r="DU71" i="3"/>
  <c r="DV71" i="3"/>
  <c r="DW71" i="3"/>
  <c r="DX71" i="3"/>
  <c r="DY71" i="3"/>
  <c r="DZ71" i="3"/>
  <c r="EA71" i="3"/>
  <c r="EB71" i="3"/>
  <c r="EC71" i="3"/>
  <c r="ED71" i="3"/>
  <c r="EE71" i="3"/>
  <c r="EF71" i="3"/>
  <c r="EG71" i="3"/>
  <c r="EH71" i="3"/>
  <c r="EI71" i="3"/>
  <c r="EJ71" i="3"/>
  <c r="EK71" i="3"/>
  <c r="EL71" i="3"/>
  <c r="EM71" i="3"/>
  <c r="EN71" i="3"/>
  <c r="EO71" i="3"/>
  <c r="EP71" i="3"/>
  <c r="EQ71" i="3"/>
  <c r="ER71" i="3"/>
  <c r="ES71" i="3"/>
  <c r="ET71" i="3"/>
  <c r="EU71" i="3"/>
  <c r="EV71" i="3"/>
  <c r="EW71" i="3"/>
  <c r="EX71" i="3"/>
  <c r="EY71" i="3"/>
  <c r="EZ71" i="3"/>
  <c r="FA71" i="3"/>
  <c r="FB71" i="3"/>
  <c r="FC71" i="3"/>
  <c r="FD71" i="3"/>
  <c r="FE71" i="3"/>
  <c r="FF71" i="3"/>
  <c r="FG71" i="3"/>
  <c r="FH71" i="3"/>
  <c r="FI71" i="3"/>
  <c r="FJ71" i="3"/>
  <c r="FK71" i="3"/>
  <c r="FL71" i="3"/>
  <c r="FM71" i="3"/>
  <c r="FN71" i="3"/>
  <c r="FO71" i="3"/>
  <c r="FP71" i="3"/>
  <c r="FQ71" i="3"/>
  <c r="FR71" i="3"/>
  <c r="FS71" i="3"/>
  <c r="FT71" i="3"/>
  <c r="FU71" i="3"/>
  <c r="FV71" i="3"/>
  <c r="FW71" i="3"/>
  <c r="FX71" i="3"/>
  <c r="FY71" i="3"/>
  <c r="FZ71" i="3"/>
  <c r="GA71" i="3"/>
  <c r="GB71" i="3"/>
  <c r="GC71" i="3"/>
  <c r="GD71" i="3"/>
  <c r="GE71" i="3"/>
  <c r="GF71" i="3"/>
  <c r="GG71" i="3"/>
  <c r="GH71" i="3"/>
  <c r="GI71" i="3"/>
  <c r="GJ71" i="3"/>
  <c r="GK71" i="3"/>
  <c r="GL71" i="3"/>
  <c r="GM71" i="3"/>
  <c r="GN71" i="3"/>
  <c r="GO71" i="3"/>
  <c r="GP71" i="3"/>
  <c r="GQ71" i="3"/>
  <c r="GR71" i="3"/>
  <c r="GS71" i="3"/>
  <c r="GT71" i="3"/>
  <c r="GU71" i="3"/>
  <c r="GV71" i="3"/>
  <c r="GW71" i="3"/>
  <c r="GX71" i="3"/>
  <c r="GY71" i="3"/>
  <c r="GZ71" i="3"/>
  <c r="HA71" i="3"/>
  <c r="HB71" i="3"/>
  <c r="HC71" i="3"/>
  <c r="HD71" i="3"/>
  <c r="HE71" i="3"/>
  <c r="HF71" i="3"/>
  <c r="HG71" i="3"/>
  <c r="HH71" i="3"/>
  <c r="HI71" i="3"/>
  <c r="HJ71" i="3"/>
  <c r="HK71" i="3"/>
  <c r="HL71" i="3"/>
  <c r="HM71" i="3"/>
  <c r="HN71" i="3"/>
  <c r="HO71" i="3"/>
  <c r="HP71" i="3"/>
  <c r="HQ71" i="3"/>
  <c r="HR71" i="3"/>
  <c r="HS71" i="3"/>
  <c r="HT71" i="3"/>
  <c r="HU71" i="3"/>
  <c r="HV71" i="3"/>
  <c r="HW71" i="3"/>
  <c r="HX71" i="3"/>
  <c r="HY71" i="3"/>
  <c r="HZ71" i="3"/>
  <c r="IA71" i="3"/>
  <c r="IB71" i="3"/>
  <c r="IC71" i="3"/>
  <c r="ID71" i="3"/>
  <c r="IE71" i="3"/>
  <c r="IF71" i="3"/>
  <c r="IG71" i="3"/>
  <c r="IH71" i="3"/>
  <c r="II71" i="3"/>
  <c r="IJ71" i="3"/>
  <c r="IK71" i="3"/>
  <c r="IL71" i="3"/>
  <c r="IM71" i="3"/>
  <c r="IN71" i="3"/>
  <c r="IO71" i="3"/>
  <c r="IP71" i="3"/>
  <c r="IQ71" i="3"/>
  <c r="IR71" i="3"/>
  <c r="IS71" i="3"/>
  <c r="IT71" i="3"/>
  <c r="IU71" i="3"/>
  <c r="IV71" i="3"/>
  <c r="A70" i="3"/>
  <c r="B70" i="3"/>
  <c r="C70" i="3"/>
  <c r="D70" i="3"/>
  <c r="E70" i="3"/>
  <c r="F70" i="3"/>
  <c r="G70" i="3"/>
  <c r="H70" i="3"/>
  <c r="I70" i="3"/>
  <c r="J70" i="3"/>
  <c r="K70" i="3"/>
  <c r="L70" i="3"/>
  <c r="M70" i="3"/>
  <c r="N70" i="3"/>
  <c r="O70" i="3"/>
  <c r="P70" i="3"/>
  <c r="Q70" i="3"/>
  <c r="R70" i="3"/>
  <c r="S70" i="3"/>
  <c r="T70" i="3"/>
  <c r="U70" i="3"/>
  <c r="V70" i="3"/>
  <c r="W70" i="3"/>
  <c r="X70" i="3"/>
  <c r="Y70" i="3"/>
  <c r="Z70" i="3"/>
  <c r="AA70" i="3"/>
  <c r="AB70" i="3"/>
  <c r="AC70" i="3"/>
  <c r="AD70" i="3"/>
  <c r="AE70" i="3"/>
  <c r="AF70" i="3"/>
  <c r="AG70" i="3"/>
  <c r="AH70" i="3"/>
  <c r="AI70" i="3"/>
  <c r="AJ70" i="3"/>
  <c r="AK70" i="3"/>
  <c r="AL70" i="3"/>
  <c r="AM70" i="3"/>
  <c r="AN70" i="3"/>
  <c r="AO70" i="3"/>
  <c r="AP70" i="3"/>
  <c r="AQ70" i="3"/>
  <c r="AR70" i="3"/>
  <c r="AS70" i="3"/>
  <c r="AT70" i="3"/>
  <c r="AU70" i="3"/>
  <c r="AV70" i="3"/>
  <c r="AW70" i="3"/>
  <c r="AX70" i="3"/>
  <c r="AY70" i="3"/>
  <c r="AZ70" i="3"/>
  <c r="BA70" i="3"/>
  <c r="BB70" i="3"/>
  <c r="BC70" i="3"/>
  <c r="BD70" i="3"/>
  <c r="BE70" i="3"/>
  <c r="BF70" i="3"/>
  <c r="BG70" i="3"/>
  <c r="BH70" i="3"/>
  <c r="BI70" i="3"/>
  <c r="BJ70" i="3"/>
  <c r="BK70" i="3"/>
  <c r="BL70" i="3"/>
  <c r="BM70" i="3"/>
  <c r="BN70" i="3"/>
  <c r="BO70" i="3"/>
  <c r="BP70" i="3"/>
  <c r="BQ70" i="3"/>
  <c r="BR70" i="3"/>
  <c r="BS70" i="3"/>
  <c r="BT70" i="3"/>
  <c r="BU70" i="3"/>
  <c r="BV70" i="3"/>
  <c r="BW70" i="3"/>
  <c r="BX70" i="3"/>
  <c r="BY70" i="3"/>
  <c r="BZ70" i="3"/>
  <c r="CA70" i="3"/>
  <c r="CB70" i="3"/>
  <c r="CC70" i="3"/>
  <c r="CD70" i="3"/>
  <c r="CE70" i="3"/>
  <c r="CF70" i="3"/>
  <c r="CG70" i="3"/>
  <c r="CH70" i="3"/>
  <c r="CI70" i="3"/>
  <c r="CJ70" i="3"/>
  <c r="CK70" i="3"/>
  <c r="CL70" i="3"/>
  <c r="CM70" i="3"/>
  <c r="CN70" i="3"/>
  <c r="CO70" i="3"/>
  <c r="CP70" i="3"/>
  <c r="CQ70" i="3"/>
  <c r="CR70" i="3"/>
  <c r="CS70" i="3"/>
  <c r="CT70" i="3"/>
  <c r="CU70" i="3"/>
  <c r="CV70" i="3"/>
  <c r="CW70" i="3"/>
  <c r="CX70" i="3"/>
  <c r="CY70" i="3"/>
  <c r="CZ70" i="3"/>
  <c r="DA70" i="3"/>
  <c r="DB70" i="3"/>
  <c r="DC70" i="3"/>
  <c r="DD70" i="3"/>
  <c r="DE70" i="3"/>
  <c r="DF70" i="3"/>
  <c r="DG70" i="3"/>
  <c r="DH70" i="3"/>
  <c r="DI70" i="3"/>
  <c r="DJ70" i="3"/>
  <c r="DK70" i="3"/>
  <c r="DL70" i="3"/>
  <c r="DM70" i="3"/>
  <c r="DN70" i="3"/>
  <c r="DO70" i="3"/>
  <c r="DP70" i="3"/>
  <c r="DQ70" i="3"/>
  <c r="DR70" i="3"/>
  <c r="DS70" i="3"/>
  <c r="DT70" i="3"/>
  <c r="DU70" i="3"/>
  <c r="DV70" i="3"/>
  <c r="DW70" i="3"/>
  <c r="DX70" i="3"/>
  <c r="DY70" i="3"/>
  <c r="DZ70" i="3"/>
  <c r="EA70" i="3"/>
  <c r="EB70" i="3"/>
  <c r="EC70" i="3"/>
  <c r="ED70" i="3"/>
  <c r="EE70" i="3"/>
  <c r="EF70" i="3"/>
  <c r="EG70" i="3"/>
  <c r="EH70" i="3"/>
  <c r="EI70" i="3"/>
  <c r="EJ70" i="3"/>
  <c r="EK70" i="3"/>
  <c r="EL70" i="3"/>
  <c r="EM70" i="3"/>
  <c r="EN70" i="3"/>
  <c r="EO70" i="3"/>
  <c r="EP70" i="3"/>
  <c r="EQ70" i="3"/>
  <c r="ER70" i="3"/>
  <c r="ES70" i="3"/>
  <c r="ET70" i="3"/>
  <c r="EU70" i="3"/>
  <c r="EV70" i="3"/>
  <c r="EW70" i="3"/>
  <c r="EX70" i="3"/>
  <c r="EY70" i="3"/>
  <c r="EZ70" i="3"/>
  <c r="FA70" i="3"/>
  <c r="FB70" i="3"/>
  <c r="FC70" i="3"/>
  <c r="FD70" i="3"/>
  <c r="FE70" i="3"/>
  <c r="FF70" i="3"/>
  <c r="FG70" i="3"/>
  <c r="FH70" i="3"/>
  <c r="FI70" i="3"/>
  <c r="FJ70" i="3"/>
  <c r="FK70" i="3"/>
  <c r="FL70" i="3"/>
  <c r="FM70" i="3"/>
  <c r="FN70" i="3"/>
  <c r="FO70" i="3"/>
  <c r="FP70" i="3"/>
  <c r="FQ70" i="3"/>
  <c r="FR70" i="3"/>
  <c r="FS70" i="3"/>
  <c r="FT70" i="3"/>
  <c r="FU70" i="3"/>
  <c r="FV70" i="3"/>
  <c r="FW70" i="3"/>
  <c r="FX70" i="3"/>
  <c r="FY70" i="3"/>
  <c r="FZ70" i="3"/>
  <c r="GA70" i="3"/>
  <c r="GB70" i="3"/>
  <c r="GC70" i="3"/>
  <c r="GD70" i="3"/>
  <c r="GE70" i="3"/>
  <c r="GF70" i="3"/>
  <c r="GG70" i="3"/>
  <c r="GH70" i="3"/>
  <c r="GI70" i="3"/>
  <c r="GJ70" i="3"/>
  <c r="GK70" i="3"/>
  <c r="GL70" i="3"/>
  <c r="GM70" i="3"/>
  <c r="GN70" i="3"/>
  <c r="GO70" i="3"/>
  <c r="GP70" i="3"/>
  <c r="GQ70" i="3"/>
  <c r="GR70" i="3"/>
  <c r="GS70" i="3"/>
  <c r="GT70" i="3"/>
  <c r="GU70" i="3"/>
  <c r="GV70" i="3"/>
  <c r="GW70" i="3"/>
  <c r="GX70" i="3"/>
  <c r="GY70" i="3"/>
  <c r="GZ70" i="3"/>
  <c r="HA70" i="3"/>
  <c r="HB70" i="3"/>
  <c r="HC70" i="3"/>
  <c r="HD70" i="3"/>
  <c r="HE70" i="3"/>
  <c r="HF70" i="3"/>
  <c r="HG70" i="3"/>
  <c r="HH70" i="3"/>
  <c r="HI70" i="3"/>
  <c r="HJ70" i="3"/>
  <c r="HK70" i="3"/>
  <c r="HL70" i="3"/>
  <c r="HM70" i="3"/>
  <c r="HN70" i="3"/>
  <c r="HO70" i="3"/>
  <c r="HP70" i="3"/>
  <c r="HQ70" i="3"/>
  <c r="HR70" i="3"/>
  <c r="HS70" i="3"/>
  <c r="HT70" i="3"/>
  <c r="HU70" i="3"/>
  <c r="HV70" i="3"/>
  <c r="HW70" i="3"/>
  <c r="HX70" i="3"/>
  <c r="HY70" i="3"/>
  <c r="HZ70" i="3"/>
  <c r="IA70" i="3"/>
  <c r="IB70" i="3"/>
  <c r="IC70" i="3"/>
  <c r="ID70" i="3"/>
  <c r="IE70" i="3"/>
  <c r="IF70" i="3"/>
  <c r="IG70" i="3"/>
  <c r="IH70" i="3"/>
  <c r="II70" i="3"/>
  <c r="IJ70" i="3"/>
  <c r="IK70" i="3"/>
  <c r="IL70" i="3"/>
  <c r="IM70" i="3"/>
  <c r="IN70" i="3"/>
  <c r="IO70" i="3"/>
  <c r="IP70" i="3"/>
  <c r="IQ70" i="3"/>
  <c r="IR70" i="3"/>
  <c r="IS70" i="3"/>
  <c r="IT70" i="3"/>
  <c r="IU70" i="3"/>
  <c r="IV70" i="3"/>
  <c r="A69" i="3"/>
  <c r="B69" i="3"/>
  <c r="C69" i="3"/>
  <c r="D69" i="3"/>
  <c r="E69" i="3"/>
  <c r="F69" i="3"/>
  <c r="G69" i="3"/>
  <c r="H69" i="3"/>
  <c r="I69" i="3"/>
  <c r="J69" i="3"/>
  <c r="K69" i="3"/>
  <c r="L69" i="3"/>
  <c r="M69" i="3"/>
  <c r="N69" i="3"/>
  <c r="O69" i="3"/>
  <c r="P69" i="3"/>
  <c r="Q69" i="3"/>
  <c r="R69" i="3"/>
  <c r="S69" i="3"/>
  <c r="T69" i="3"/>
  <c r="U69" i="3"/>
  <c r="V69" i="3"/>
  <c r="W69" i="3"/>
  <c r="X69" i="3"/>
  <c r="Y69" i="3"/>
  <c r="Z69" i="3"/>
  <c r="AA69" i="3"/>
  <c r="AB69" i="3"/>
  <c r="AC69" i="3"/>
  <c r="AD69" i="3"/>
  <c r="AE69" i="3"/>
  <c r="AF69" i="3"/>
  <c r="AG69" i="3"/>
  <c r="AH69" i="3"/>
  <c r="AI69" i="3"/>
  <c r="AJ69" i="3"/>
  <c r="AK69" i="3"/>
  <c r="AL69" i="3"/>
  <c r="AM69" i="3"/>
  <c r="AN69" i="3"/>
  <c r="AO69" i="3"/>
  <c r="AP69" i="3"/>
  <c r="AQ69" i="3"/>
  <c r="AR69" i="3"/>
  <c r="AS69" i="3"/>
  <c r="AT69" i="3"/>
  <c r="AU69" i="3"/>
  <c r="AV69" i="3"/>
  <c r="AW69" i="3"/>
  <c r="AX69" i="3"/>
  <c r="AY69" i="3"/>
  <c r="AZ69" i="3"/>
  <c r="BA69" i="3"/>
  <c r="BB69" i="3"/>
  <c r="BC69" i="3"/>
  <c r="BD69" i="3"/>
  <c r="BE69" i="3"/>
  <c r="BF69" i="3"/>
  <c r="BG69" i="3"/>
  <c r="BH69" i="3"/>
  <c r="BI69" i="3"/>
  <c r="BJ69" i="3"/>
  <c r="BK69" i="3"/>
  <c r="BL69" i="3"/>
  <c r="BM69" i="3"/>
  <c r="BN69" i="3"/>
  <c r="BO69" i="3"/>
  <c r="BP69" i="3"/>
  <c r="BQ69" i="3"/>
  <c r="BR69" i="3"/>
  <c r="BS69" i="3"/>
  <c r="BT69" i="3"/>
  <c r="BU69" i="3"/>
  <c r="BV69" i="3"/>
  <c r="BW69" i="3"/>
  <c r="BX69" i="3"/>
  <c r="BY69" i="3"/>
  <c r="BZ69" i="3"/>
  <c r="CA69" i="3"/>
  <c r="CB69" i="3"/>
  <c r="CC69" i="3"/>
  <c r="CD69" i="3"/>
  <c r="CE69" i="3"/>
  <c r="CF69" i="3"/>
  <c r="CG69" i="3"/>
  <c r="CH69" i="3"/>
  <c r="CI69" i="3"/>
  <c r="CJ69" i="3"/>
  <c r="CK69" i="3"/>
  <c r="CL69" i="3"/>
  <c r="CM69" i="3"/>
  <c r="CN69" i="3"/>
  <c r="CO69" i="3"/>
  <c r="CP69" i="3"/>
  <c r="CQ69" i="3"/>
  <c r="CR69" i="3"/>
  <c r="CS69" i="3"/>
  <c r="CT69" i="3"/>
  <c r="CU69" i="3"/>
  <c r="CV69" i="3"/>
  <c r="CW69" i="3"/>
  <c r="CX69" i="3"/>
  <c r="CY69" i="3"/>
  <c r="CZ69" i="3"/>
  <c r="DA69" i="3"/>
  <c r="DB69" i="3"/>
  <c r="DC69" i="3"/>
  <c r="DD69" i="3"/>
  <c r="DE69" i="3"/>
  <c r="DF69" i="3"/>
  <c r="DG69" i="3"/>
  <c r="DH69" i="3"/>
  <c r="DI69" i="3"/>
  <c r="DJ69" i="3"/>
  <c r="DK69" i="3"/>
  <c r="DL69" i="3"/>
  <c r="DM69" i="3"/>
  <c r="DN69" i="3"/>
  <c r="DO69" i="3"/>
  <c r="DP69" i="3"/>
  <c r="DQ69" i="3"/>
  <c r="DR69" i="3"/>
  <c r="DS69" i="3"/>
  <c r="DT69" i="3"/>
  <c r="DU69" i="3"/>
  <c r="DV69" i="3"/>
  <c r="DW69" i="3"/>
  <c r="DX69" i="3"/>
  <c r="DY69" i="3"/>
  <c r="DZ69" i="3"/>
  <c r="EA69" i="3"/>
  <c r="EB69" i="3"/>
  <c r="EC69" i="3"/>
  <c r="ED69" i="3"/>
  <c r="EE69" i="3"/>
  <c r="EF69" i="3"/>
  <c r="EG69" i="3"/>
  <c r="EH69" i="3"/>
  <c r="EI69" i="3"/>
  <c r="EJ69" i="3"/>
  <c r="EK69" i="3"/>
  <c r="EL69" i="3"/>
  <c r="EM69" i="3"/>
  <c r="EN69" i="3"/>
  <c r="EO69" i="3"/>
  <c r="EP69" i="3"/>
  <c r="EQ69" i="3"/>
  <c r="ER69" i="3"/>
  <c r="ES69" i="3"/>
  <c r="ET69" i="3"/>
  <c r="EU69" i="3"/>
  <c r="EV69" i="3"/>
  <c r="EW69" i="3"/>
  <c r="EX69" i="3"/>
  <c r="EY69" i="3"/>
  <c r="EZ69" i="3"/>
  <c r="FA69" i="3"/>
  <c r="FB69" i="3"/>
  <c r="FC69" i="3"/>
  <c r="FD69" i="3"/>
  <c r="FE69" i="3"/>
  <c r="FF69" i="3"/>
  <c r="FG69" i="3"/>
  <c r="FH69" i="3"/>
  <c r="FI69" i="3"/>
  <c r="FJ69" i="3"/>
  <c r="FK69" i="3"/>
  <c r="FL69" i="3"/>
  <c r="FM69" i="3"/>
  <c r="FN69" i="3"/>
  <c r="FO69" i="3"/>
  <c r="FP69" i="3"/>
  <c r="FQ69" i="3"/>
  <c r="FR69" i="3"/>
  <c r="FS69" i="3"/>
  <c r="FT69" i="3"/>
  <c r="FU69" i="3"/>
  <c r="FV69" i="3"/>
  <c r="FW69" i="3"/>
  <c r="FX69" i="3"/>
  <c r="FY69" i="3"/>
  <c r="FZ69" i="3"/>
  <c r="GA69" i="3"/>
  <c r="GB69" i="3"/>
  <c r="GC69" i="3"/>
  <c r="GD69" i="3"/>
  <c r="GE69" i="3"/>
  <c r="GF69" i="3"/>
  <c r="GG69" i="3"/>
  <c r="GH69" i="3"/>
  <c r="GI69" i="3"/>
  <c r="GJ69" i="3"/>
  <c r="GK69" i="3"/>
  <c r="GL69" i="3"/>
  <c r="GM69" i="3"/>
  <c r="GN69" i="3"/>
  <c r="GO69" i="3"/>
  <c r="GP69" i="3"/>
  <c r="GQ69" i="3"/>
  <c r="GR69" i="3"/>
  <c r="GS69" i="3"/>
  <c r="GT69" i="3"/>
  <c r="GU69" i="3"/>
  <c r="GV69" i="3"/>
  <c r="GW69" i="3"/>
  <c r="GX69" i="3"/>
  <c r="GY69" i="3"/>
  <c r="GZ69" i="3"/>
  <c r="HA69" i="3"/>
  <c r="HB69" i="3"/>
  <c r="HC69" i="3"/>
  <c r="HD69" i="3"/>
  <c r="HE69" i="3"/>
  <c r="HF69" i="3"/>
  <c r="HG69" i="3"/>
  <c r="HH69" i="3"/>
  <c r="HI69" i="3"/>
  <c r="HJ69" i="3"/>
  <c r="HK69" i="3"/>
  <c r="HL69" i="3"/>
  <c r="HM69" i="3"/>
  <c r="HN69" i="3"/>
  <c r="HO69" i="3"/>
  <c r="HP69" i="3"/>
  <c r="HQ69" i="3"/>
  <c r="HR69" i="3"/>
  <c r="HS69" i="3"/>
  <c r="HT69" i="3"/>
  <c r="HU69" i="3"/>
  <c r="HV69" i="3"/>
  <c r="HW69" i="3"/>
  <c r="HX69" i="3"/>
  <c r="HY69" i="3"/>
  <c r="HZ69" i="3"/>
  <c r="IA69" i="3"/>
  <c r="IB69" i="3"/>
  <c r="IC69" i="3"/>
  <c r="ID69" i="3"/>
  <c r="IE69" i="3"/>
  <c r="IF69" i="3"/>
  <c r="IG69" i="3"/>
  <c r="IH69" i="3"/>
  <c r="II69" i="3"/>
  <c r="IJ69" i="3"/>
  <c r="IK69" i="3"/>
  <c r="IL69" i="3"/>
  <c r="IM69" i="3"/>
  <c r="IN69" i="3"/>
  <c r="IO69" i="3"/>
  <c r="IP69" i="3"/>
  <c r="IQ69" i="3"/>
  <c r="IR69" i="3"/>
  <c r="IS69" i="3"/>
  <c r="IT69" i="3"/>
  <c r="IU69" i="3"/>
  <c r="IV69" i="3"/>
  <c r="A68" i="3"/>
  <c r="B68" i="3"/>
  <c r="C68" i="3"/>
  <c r="D68" i="3"/>
  <c r="E68" i="3"/>
  <c r="F68" i="3"/>
  <c r="G68" i="3"/>
  <c r="H68" i="3"/>
  <c r="I68" i="3"/>
  <c r="J68" i="3"/>
  <c r="K68" i="3"/>
  <c r="L68" i="3"/>
  <c r="M68" i="3"/>
  <c r="N68" i="3"/>
  <c r="O68" i="3"/>
  <c r="P68" i="3"/>
  <c r="Q68" i="3"/>
  <c r="R68" i="3"/>
  <c r="S68" i="3"/>
  <c r="T68" i="3"/>
  <c r="U68" i="3"/>
  <c r="V68" i="3"/>
  <c r="W68" i="3"/>
  <c r="X68" i="3"/>
  <c r="Y68" i="3"/>
  <c r="Z68" i="3"/>
  <c r="AA68" i="3"/>
  <c r="AB68" i="3"/>
  <c r="AC68" i="3"/>
  <c r="AD68" i="3"/>
  <c r="AE68" i="3"/>
  <c r="AF68" i="3"/>
  <c r="AG68" i="3"/>
  <c r="AH68" i="3"/>
  <c r="AI68" i="3"/>
  <c r="AJ68" i="3"/>
  <c r="AK68" i="3"/>
  <c r="AL68" i="3"/>
  <c r="AM68" i="3"/>
  <c r="AN68" i="3"/>
  <c r="AO68" i="3"/>
  <c r="AP68" i="3"/>
  <c r="AQ68" i="3"/>
  <c r="AR68" i="3"/>
  <c r="AS68" i="3"/>
  <c r="AT68" i="3"/>
  <c r="AU68" i="3"/>
  <c r="AV68" i="3"/>
  <c r="AW68" i="3"/>
  <c r="AX68" i="3"/>
  <c r="AY68" i="3"/>
  <c r="AZ68" i="3"/>
  <c r="BA68" i="3"/>
  <c r="BB68" i="3"/>
  <c r="BC68" i="3"/>
  <c r="BD68" i="3"/>
  <c r="BE68" i="3"/>
  <c r="BF68" i="3"/>
  <c r="BG68" i="3"/>
  <c r="BH68" i="3"/>
  <c r="BI68" i="3"/>
  <c r="BJ68" i="3"/>
  <c r="BK68" i="3"/>
  <c r="BL68" i="3"/>
  <c r="BM68" i="3"/>
  <c r="BN68" i="3"/>
  <c r="BO68" i="3"/>
  <c r="BP68" i="3"/>
  <c r="BQ68" i="3"/>
  <c r="BR68" i="3"/>
  <c r="BS68" i="3"/>
  <c r="BT68" i="3"/>
  <c r="BU68" i="3"/>
  <c r="BV68" i="3"/>
  <c r="BW68" i="3"/>
  <c r="BX68" i="3"/>
  <c r="BY68" i="3"/>
  <c r="BZ68" i="3"/>
  <c r="CA68" i="3"/>
  <c r="CB68" i="3"/>
  <c r="CC68" i="3"/>
  <c r="CD68" i="3"/>
  <c r="CE68" i="3"/>
  <c r="CF68" i="3"/>
  <c r="CG68" i="3"/>
  <c r="CH68" i="3"/>
  <c r="CI68" i="3"/>
  <c r="CJ68" i="3"/>
  <c r="CK68" i="3"/>
  <c r="CL68" i="3"/>
  <c r="CM68" i="3"/>
  <c r="CN68" i="3"/>
  <c r="CO68" i="3"/>
  <c r="CP68" i="3"/>
  <c r="CQ68" i="3"/>
  <c r="CR68" i="3"/>
  <c r="CS68" i="3"/>
  <c r="CT68" i="3"/>
  <c r="CU68" i="3"/>
  <c r="CV68" i="3"/>
  <c r="CW68" i="3"/>
  <c r="CX68" i="3"/>
  <c r="CY68" i="3"/>
  <c r="CZ68" i="3"/>
  <c r="DA68" i="3"/>
  <c r="DB68" i="3"/>
  <c r="DC68" i="3"/>
  <c r="DD68" i="3"/>
  <c r="DE68" i="3"/>
  <c r="DF68" i="3"/>
  <c r="DG68" i="3"/>
  <c r="DH68" i="3"/>
  <c r="DI68" i="3"/>
  <c r="DJ68" i="3"/>
  <c r="DK68" i="3"/>
  <c r="DL68" i="3"/>
  <c r="DM68" i="3"/>
  <c r="DN68" i="3"/>
  <c r="DO68" i="3"/>
  <c r="DP68" i="3"/>
  <c r="DQ68" i="3"/>
  <c r="DR68" i="3"/>
  <c r="DS68" i="3"/>
  <c r="DT68" i="3"/>
  <c r="DU68" i="3"/>
  <c r="DV68" i="3"/>
  <c r="DW68" i="3"/>
  <c r="DX68" i="3"/>
  <c r="DY68" i="3"/>
  <c r="DZ68" i="3"/>
  <c r="EA68" i="3"/>
  <c r="EB68" i="3"/>
  <c r="EC68" i="3"/>
  <c r="ED68" i="3"/>
  <c r="EE68" i="3"/>
  <c r="EF68" i="3"/>
  <c r="EG68" i="3"/>
  <c r="EH68" i="3"/>
  <c r="EI68" i="3"/>
  <c r="EJ68" i="3"/>
  <c r="EK68" i="3"/>
  <c r="EL68" i="3"/>
  <c r="EM68" i="3"/>
  <c r="EN68" i="3"/>
  <c r="EO68" i="3"/>
  <c r="EP68" i="3"/>
  <c r="EQ68" i="3"/>
  <c r="ER68" i="3"/>
  <c r="ES68" i="3"/>
  <c r="ET68" i="3"/>
  <c r="EU68" i="3"/>
  <c r="EV68" i="3"/>
  <c r="EW68" i="3"/>
  <c r="EX68" i="3"/>
  <c r="EY68" i="3"/>
  <c r="EZ68" i="3"/>
  <c r="FA68" i="3"/>
  <c r="FB68" i="3"/>
  <c r="FC68" i="3"/>
  <c r="FD68" i="3"/>
  <c r="FE68" i="3"/>
  <c r="FF68" i="3"/>
  <c r="FG68" i="3"/>
  <c r="FH68" i="3"/>
  <c r="FI68" i="3"/>
  <c r="FJ68" i="3"/>
  <c r="FK68" i="3"/>
  <c r="FL68" i="3"/>
  <c r="FM68" i="3"/>
  <c r="FN68" i="3"/>
  <c r="FO68" i="3"/>
  <c r="FP68" i="3"/>
  <c r="FQ68" i="3"/>
  <c r="FR68" i="3"/>
  <c r="FS68" i="3"/>
  <c r="FT68" i="3"/>
  <c r="FU68" i="3"/>
  <c r="FV68" i="3"/>
  <c r="FW68" i="3"/>
  <c r="FX68" i="3"/>
  <c r="FY68" i="3"/>
  <c r="FZ68" i="3"/>
  <c r="GA68" i="3"/>
  <c r="GB68" i="3"/>
  <c r="GC68" i="3"/>
  <c r="GD68" i="3"/>
  <c r="GE68" i="3"/>
  <c r="GF68" i="3"/>
  <c r="GG68" i="3"/>
  <c r="GH68" i="3"/>
  <c r="GI68" i="3"/>
  <c r="GJ68" i="3"/>
  <c r="GK68" i="3"/>
  <c r="GL68" i="3"/>
  <c r="GM68" i="3"/>
  <c r="GN68" i="3"/>
  <c r="GO68" i="3"/>
  <c r="GP68" i="3"/>
  <c r="GQ68" i="3"/>
  <c r="GR68" i="3"/>
  <c r="GS68" i="3"/>
  <c r="GT68" i="3"/>
  <c r="GU68" i="3"/>
  <c r="GV68" i="3"/>
  <c r="GW68" i="3"/>
  <c r="GX68" i="3"/>
  <c r="GY68" i="3"/>
  <c r="GZ68" i="3"/>
  <c r="HA68" i="3"/>
  <c r="HB68" i="3"/>
  <c r="HC68" i="3"/>
  <c r="HD68" i="3"/>
  <c r="HE68" i="3"/>
  <c r="HF68" i="3"/>
  <c r="HG68" i="3"/>
  <c r="HH68" i="3"/>
  <c r="HI68" i="3"/>
  <c r="HJ68" i="3"/>
  <c r="HK68" i="3"/>
  <c r="HL68" i="3"/>
  <c r="HM68" i="3"/>
  <c r="HN68" i="3"/>
  <c r="HO68" i="3"/>
  <c r="HP68" i="3"/>
  <c r="HQ68" i="3"/>
  <c r="HR68" i="3"/>
  <c r="HS68" i="3"/>
  <c r="HT68" i="3"/>
  <c r="HU68" i="3"/>
  <c r="HV68" i="3"/>
  <c r="HW68" i="3"/>
  <c r="HX68" i="3"/>
  <c r="HY68" i="3"/>
  <c r="HZ68" i="3"/>
  <c r="IA68" i="3"/>
  <c r="IB68" i="3"/>
  <c r="IC68" i="3"/>
  <c r="ID68" i="3"/>
  <c r="IE68" i="3"/>
  <c r="IF68" i="3"/>
  <c r="IG68" i="3"/>
  <c r="IH68" i="3"/>
  <c r="II68" i="3"/>
  <c r="IJ68" i="3"/>
  <c r="IK68" i="3"/>
  <c r="IL68" i="3"/>
  <c r="IM68" i="3"/>
  <c r="IN68" i="3"/>
  <c r="IO68" i="3"/>
  <c r="IP68" i="3"/>
  <c r="IQ68" i="3"/>
  <c r="IR68" i="3"/>
  <c r="IS68" i="3"/>
  <c r="IT68" i="3"/>
  <c r="IU68" i="3"/>
  <c r="IV68" i="3"/>
  <c r="A67" i="3"/>
  <c r="B67" i="3"/>
  <c r="C67" i="3"/>
  <c r="D67" i="3"/>
  <c r="E67" i="3"/>
  <c r="F67" i="3"/>
  <c r="G67" i="3"/>
  <c r="H67" i="3"/>
  <c r="I67" i="3"/>
  <c r="J67" i="3"/>
  <c r="K67" i="3"/>
  <c r="L67" i="3"/>
  <c r="M67" i="3"/>
  <c r="N67" i="3"/>
  <c r="O67" i="3"/>
  <c r="P67" i="3"/>
  <c r="Q67" i="3"/>
  <c r="R67" i="3"/>
  <c r="S67" i="3"/>
  <c r="T67" i="3"/>
  <c r="U67" i="3"/>
  <c r="V67" i="3"/>
  <c r="W67" i="3"/>
  <c r="X67" i="3"/>
  <c r="Y67" i="3"/>
  <c r="Z67" i="3"/>
  <c r="AA67" i="3"/>
  <c r="AB67" i="3"/>
  <c r="AC67" i="3"/>
  <c r="AD67" i="3"/>
  <c r="AE67" i="3"/>
  <c r="AF67" i="3"/>
  <c r="AG67" i="3"/>
  <c r="AH67" i="3"/>
  <c r="AI67" i="3"/>
  <c r="AJ67" i="3"/>
  <c r="AK67" i="3"/>
  <c r="AL67" i="3"/>
  <c r="AM67" i="3"/>
  <c r="AN67" i="3"/>
  <c r="AO67" i="3"/>
  <c r="AP67" i="3"/>
  <c r="AQ67" i="3"/>
  <c r="AR67" i="3"/>
  <c r="AS67" i="3"/>
  <c r="AT67" i="3"/>
  <c r="AU67" i="3"/>
  <c r="AV67" i="3"/>
  <c r="AW67" i="3"/>
  <c r="AX67" i="3"/>
  <c r="AY67" i="3"/>
  <c r="AZ67" i="3"/>
  <c r="BA67" i="3"/>
  <c r="BB67" i="3"/>
  <c r="BC67" i="3"/>
  <c r="BD67" i="3"/>
  <c r="BE67" i="3"/>
  <c r="BF67" i="3"/>
  <c r="BG67" i="3"/>
  <c r="BH67" i="3"/>
  <c r="BI67" i="3"/>
  <c r="BJ67" i="3"/>
  <c r="BK67" i="3"/>
  <c r="BL67" i="3"/>
  <c r="BM67" i="3"/>
  <c r="BN67" i="3"/>
  <c r="BO67" i="3"/>
  <c r="BP67" i="3"/>
  <c r="BQ67" i="3"/>
  <c r="BR67" i="3"/>
  <c r="BS67" i="3"/>
  <c r="BT67" i="3"/>
  <c r="BU67" i="3"/>
  <c r="BV67" i="3"/>
  <c r="BW67" i="3"/>
  <c r="BX67" i="3"/>
  <c r="BY67" i="3"/>
  <c r="BZ67" i="3"/>
  <c r="CA67" i="3"/>
  <c r="CB67" i="3"/>
  <c r="CC67" i="3"/>
  <c r="CD67" i="3"/>
  <c r="CE67" i="3"/>
  <c r="CF67" i="3"/>
  <c r="CG67" i="3"/>
  <c r="CH67" i="3"/>
  <c r="CI67" i="3"/>
  <c r="CJ67" i="3"/>
  <c r="CK67" i="3"/>
  <c r="CL67" i="3"/>
  <c r="CM67" i="3"/>
  <c r="CN67" i="3"/>
  <c r="CO67" i="3"/>
  <c r="CP67" i="3"/>
  <c r="CQ67" i="3"/>
  <c r="CR67" i="3"/>
  <c r="CS67" i="3"/>
  <c r="CT67" i="3"/>
  <c r="CU67" i="3"/>
  <c r="CV67" i="3"/>
  <c r="CW67" i="3"/>
  <c r="CX67" i="3"/>
  <c r="CY67" i="3"/>
  <c r="CZ67" i="3"/>
  <c r="DA67" i="3"/>
  <c r="DB67" i="3"/>
  <c r="DC67" i="3"/>
  <c r="DD67" i="3"/>
  <c r="DE67" i="3"/>
  <c r="DF67" i="3"/>
  <c r="DG67" i="3"/>
  <c r="DH67" i="3"/>
  <c r="DI67" i="3"/>
  <c r="DJ67" i="3"/>
  <c r="DK67" i="3"/>
  <c r="DL67" i="3"/>
  <c r="DM67" i="3"/>
  <c r="DN67" i="3"/>
  <c r="DO67" i="3"/>
  <c r="DP67" i="3"/>
  <c r="DQ67" i="3"/>
  <c r="DR67" i="3"/>
  <c r="DS67" i="3"/>
  <c r="DT67" i="3"/>
  <c r="DU67" i="3"/>
  <c r="DV67" i="3"/>
  <c r="DW67" i="3"/>
  <c r="DX67" i="3"/>
  <c r="DY67" i="3"/>
  <c r="DZ67" i="3"/>
  <c r="EA67" i="3"/>
  <c r="EB67" i="3"/>
  <c r="EC67" i="3"/>
  <c r="ED67" i="3"/>
  <c r="EE67" i="3"/>
  <c r="EF67" i="3"/>
  <c r="EG67" i="3"/>
  <c r="EH67" i="3"/>
  <c r="EI67" i="3"/>
  <c r="EJ67" i="3"/>
  <c r="EK67" i="3"/>
  <c r="EL67" i="3"/>
  <c r="EM67" i="3"/>
  <c r="EN67" i="3"/>
  <c r="EO67" i="3"/>
  <c r="EP67" i="3"/>
  <c r="EQ67" i="3"/>
  <c r="ER67" i="3"/>
  <c r="ES67" i="3"/>
  <c r="ET67" i="3"/>
  <c r="EU67" i="3"/>
  <c r="EV67" i="3"/>
  <c r="EW67" i="3"/>
  <c r="EX67" i="3"/>
  <c r="EY67" i="3"/>
  <c r="EZ67" i="3"/>
  <c r="FA67" i="3"/>
  <c r="FB67" i="3"/>
  <c r="FC67" i="3"/>
  <c r="FD67" i="3"/>
  <c r="FE67" i="3"/>
  <c r="FF67" i="3"/>
  <c r="FG67" i="3"/>
  <c r="FH67" i="3"/>
  <c r="FI67" i="3"/>
  <c r="FJ67" i="3"/>
  <c r="FK67" i="3"/>
  <c r="FL67" i="3"/>
  <c r="FM67" i="3"/>
  <c r="FN67" i="3"/>
  <c r="FO67" i="3"/>
  <c r="FP67" i="3"/>
  <c r="FQ67" i="3"/>
  <c r="FR67" i="3"/>
  <c r="FS67" i="3"/>
  <c r="FT67" i="3"/>
  <c r="FU67" i="3"/>
  <c r="FV67" i="3"/>
  <c r="FW67" i="3"/>
  <c r="FX67" i="3"/>
  <c r="FY67" i="3"/>
  <c r="FZ67" i="3"/>
  <c r="GA67" i="3"/>
  <c r="GB67" i="3"/>
  <c r="GC67" i="3"/>
  <c r="GD67" i="3"/>
  <c r="GE67" i="3"/>
  <c r="GF67" i="3"/>
  <c r="GG67" i="3"/>
  <c r="GH67" i="3"/>
  <c r="GI67" i="3"/>
  <c r="GJ67" i="3"/>
  <c r="GK67" i="3"/>
  <c r="GL67" i="3"/>
  <c r="GM67" i="3"/>
  <c r="GN67" i="3"/>
  <c r="GO67" i="3"/>
  <c r="GP67" i="3"/>
  <c r="GQ67" i="3"/>
  <c r="GR67" i="3"/>
  <c r="GS67" i="3"/>
  <c r="GT67" i="3"/>
  <c r="GU67" i="3"/>
  <c r="GV67" i="3"/>
  <c r="GW67" i="3"/>
  <c r="GX67" i="3"/>
  <c r="GY67" i="3"/>
  <c r="GZ67" i="3"/>
  <c r="HA67" i="3"/>
  <c r="HB67" i="3"/>
  <c r="HC67" i="3"/>
  <c r="HD67" i="3"/>
  <c r="HE67" i="3"/>
  <c r="HF67" i="3"/>
  <c r="HG67" i="3"/>
  <c r="HH67" i="3"/>
  <c r="HI67" i="3"/>
  <c r="HJ67" i="3"/>
  <c r="HK67" i="3"/>
  <c r="HL67" i="3"/>
  <c r="HM67" i="3"/>
  <c r="HN67" i="3"/>
  <c r="HO67" i="3"/>
  <c r="HP67" i="3"/>
  <c r="HQ67" i="3"/>
  <c r="HR67" i="3"/>
  <c r="HS67" i="3"/>
  <c r="HT67" i="3"/>
  <c r="HU67" i="3"/>
  <c r="HV67" i="3"/>
  <c r="HW67" i="3"/>
  <c r="HX67" i="3"/>
  <c r="HY67" i="3"/>
  <c r="HZ67" i="3"/>
  <c r="IA67" i="3"/>
  <c r="IB67" i="3"/>
  <c r="IC67" i="3"/>
  <c r="ID67" i="3"/>
  <c r="IE67" i="3"/>
  <c r="IF67" i="3"/>
  <c r="IG67" i="3"/>
  <c r="IH67" i="3"/>
  <c r="II67" i="3"/>
  <c r="IJ67" i="3"/>
  <c r="IK67" i="3"/>
  <c r="IL67" i="3"/>
  <c r="IM67" i="3"/>
  <c r="IN67" i="3"/>
  <c r="IO67" i="3"/>
  <c r="IP67" i="3"/>
  <c r="IQ67" i="3"/>
  <c r="IR67" i="3"/>
  <c r="IS67" i="3"/>
  <c r="IT67" i="3"/>
  <c r="IU67" i="3"/>
  <c r="IV67" i="3"/>
  <c r="A66" i="3"/>
  <c r="B66" i="3"/>
  <c r="C66" i="3"/>
  <c r="D66" i="3"/>
  <c r="E66" i="3"/>
  <c r="F66" i="3"/>
  <c r="G66" i="3"/>
  <c r="H66" i="3"/>
  <c r="I66" i="3"/>
  <c r="J66" i="3"/>
  <c r="K66" i="3"/>
  <c r="L66" i="3"/>
  <c r="M66" i="3"/>
  <c r="N66" i="3"/>
  <c r="O66" i="3"/>
  <c r="P66" i="3"/>
  <c r="Q66" i="3"/>
  <c r="R66" i="3"/>
  <c r="S66" i="3"/>
  <c r="T66" i="3"/>
  <c r="U66" i="3"/>
  <c r="V66" i="3"/>
  <c r="W66" i="3"/>
  <c r="X66" i="3"/>
  <c r="Y66" i="3"/>
  <c r="Z66" i="3"/>
  <c r="AA66" i="3"/>
  <c r="AB66" i="3"/>
  <c r="AC66" i="3"/>
  <c r="AD66" i="3"/>
  <c r="AE66" i="3"/>
  <c r="AF66" i="3"/>
  <c r="AG66" i="3"/>
  <c r="AH66" i="3"/>
  <c r="AI66" i="3"/>
  <c r="AJ66" i="3"/>
  <c r="AK66" i="3"/>
  <c r="AL66" i="3"/>
  <c r="AM66" i="3"/>
  <c r="AN66" i="3"/>
  <c r="AO66" i="3"/>
  <c r="AP66" i="3"/>
  <c r="AQ66" i="3"/>
  <c r="AR66" i="3"/>
  <c r="AS66" i="3"/>
  <c r="AT66" i="3"/>
  <c r="AU66" i="3"/>
  <c r="AV66" i="3"/>
  <c r="AW66" i="3"/>
  <c r="AX66" i="3"/>
  <c r="AY66" i="3"/>
  <c r="AZ66" i="3"/>
  <c r="BA66" i="3"/>
  <c r="BB66" i="3"/>
  <c r="BC66" i="3"/>
  <c r="BD66" i="3"/>
  <c r="BE66" i="3"/>
  <c r="BF66" i="3"/>
  <c r="BG66" i="3"/>
  <c r="BH66" i="3"/>
  <c r="BI66" i="3"/>
  <c r="BJ66" i="3"/>
  <c r="BK66" i="3"/>
  <c r="BL66" i="3"/>
  <c r="BM66" i="3"/>
  <c r="BN66" i="3"/>
  <c r="BO66" i="3"/>
  <c r="BP66" i="3"/>
  <c r="BQ66" i="3"/>
  <c r="BR66" i="3"/>
  <c r="BS66" i="3"/>
  <c r="BT66" i="3"/>
  <c r="BU66" i="3"/>
  <c r="BV66" i="3"/>
  <c r="BW66" i="3"/>
  <c r="BX66" i="3"/>
  <c r="BY66" i="3"/>
  <c r="BZ66" i="3"/>
  <c r="CA66" i="3"/>
  <c r="CB66" i="3"/>
  <c r="CC66" i="3"/>
  <c r="CD66" i="3"/>
  <c r="CE66" i="3"/>
  <c r="CF66" i="3"/>
  <c r="CG66" i="3"/>
  <c r="CH66" i="3"/>
  <c r="CI66" i="3"/>
  <c r="CJ66" i="3"/>
  <c r="CK66" i="3"/>
  <c r="CL66" i="3"/>
  <c r="CM66" i="3"/>
  <c r="CN66" i="3"/>
  <c r="CO66" i="3"/>
  <c r="CP66" i="3"/>
  <c r="CQ66" i="3"/>
  <c r="CR66" i="3"/>
  <c r="CS66" i="3"/>
  <c r="CT66" i="3"/>
  <c r="CU66" i="3"/>
  <c r="CV66" i="3"/>
  <c r="CW66" i="3"/>
  <c r="CX66" i="3"/>
  <c r="CY66" i="3"/>
  <c r="CZ66" i="3"/>
  <c r="DA66" i="3"/>
  <c r="DB66" i="3"/>
  <c r="DC66" i="3"/>
  <c r="DD66" i="3"/>
  <c r="DE66" i="3"/>
  <c r="DF66" i="3"/>
  <c r="DG66" i="3"/>
  <c r="DH66" i="3"/>
  <c r="DI66" i="3"/>
  <c r="DJ66" i="3"/>
  <c r="DK66" i="3"/>
  <c r="DL66" i="3"/>
  <c r="DM66" i="3"/>
  <c r="DN66" i="3"/>
  <c r="DO66" i="3"/>
  <c r="DP66" i="3"/>
  <c r="DQ66" i="3"/>
  <c r="DR66" i="3"/>
  <c r="DS66" i="3"/>
  <c r="DT66" i="3"/>
  <c r="DU66" i="3"/>
  <c r="DV66" i="3"/>
  <c r="DW66" i="3"/>
  <c r="DX66" i="3"/>
  <c r="DY66" i="3"/>
  <c r="DZ66" i="3"/>
  <c r="EA66" i="3"/>
  <c r="EB66" i="3"/>
  <c r="EC66" i="3"/>
  <c r="ED66" i="3"/>
  <c r="EE66" i="3"/>
  <c r="EF66" i="3"/>
  <c r="EG66" i="3"/>
  <c r="EH66" i="3"/>
  <c r="EI66" i="3"/>
  <c r="EJ66" i="3"/>
  <c r="EK66" i="3"/>
  <c r="EL66" i="3"/>
  <c r="EM66" i="3"/>
  <c r="EN66" i="3"/>
  <c r="EO66" i="3"/>
  <c r="EP66" i="3"/>
  <c r="EQ66" i="3"/>
  <c r="ER66" i="3"/>
  <c r="ES66" i="3"/>
  <c r="ET66" i="3"/>
  <c r="EU66" i="3"/>
  <c r="EV66" i="3"/>
  <c r="EW66" i="3"/>
  <c r="EX66" i="3"/>
  <c r="EY66" i="3"/>
  <c r="EZ66" i="3"/>
  <c r="FA66" i="3"/>
  <c r="FB66" i="3"/>
  <c r="FC66" i="3"/>
  <c r="FD66" i="3"/>
  <c r="FE66" i="3"/>
  <c r="FF66" i="3"/>
  <c r="FG66" i="3"/>
  <c r="FH66" i="3"/>
  <c r="FI66" i="3"/>
  <c r="FJ66" i="3"/>
  <c r="FK66" i="3"/>
  <c r="FL66" i="3"/>
  <c r="FM66" i="3"/>
  <c r="FN66" i="3"/>
  <c r="FO66" i="3"/>
  <c r="FP66" i="3"/>
  <c r="FQ66" i="3"/>
  <c r="FR66" i="3"/>
  <c r="FS66" i="3"/>
  <c r="FT66" i="3"/>
  <c r="FU66" i="3"/>
  <c r="FV66" i="3"/>
  <c r="FW66" i="3"/>
  <c r="FX66" i="3"/>
  <c r="FY66" i="3"/>
  <c r="FZ66" i="3"/>
  <c r="GA66" i="3"/>
  <c r="GB66" i="3"/>
  <c r="GC66" i="3"/>
  <c r="GD66" i="3"/>
  <c r="GE66" i="3"/>
  <c r="GF66" i="3"/>
  <c r="GG66" i="3"/>
  <c r="GH66" i="3"/>
  <c r="GI66" i="3"/>
  <c r="GJ66" i="3"/>
  <c r="GK66" i="3"/>
  <c r="GL66" i="3"/>
  <c r="GM66" i="3"/>
  <c r="GN66" i="3"/>
  <c r="GO66" i="3"/>
  <c r="GP66" i="3"/>
  <c r="GQ66" i="3"/>
  <c r="GR66" i="3"/>
  <c r="GS66" i="3"/>
  <c r="GT66" i="3"/>
  <c r="GU66" i="3"/>
  <c r="GV66" i="3"/>
  <c r="GW66" i="3"/>
  <c r="GX66" i="3"/>
  <c r="GY66" i="3"/>
  <c r="GZ66" i="3"/>
  <c r="HA66" i="3"/>
  <c r="HB66" i="3"/>
  <c r="HC66" i="3"/>
  <c r="HD66" i="3"/>
  <c r="HE66" i="3"/>
  <c r="HF66" i="3"/>
  <c r="HG66" i="3"/>
  <c r="HH66" i="3"/>
  <c r="HI66" i="3"/>
  <c r="HJ66" i="3"/>
  <c r="HK66" i="3"/>
  <c r="HL66" i="3"/>
  <c r="HM66" i="3"/>
  <c r="HN66" i="3"/>
  <c r="HO66" i="3"/>
  <c r="HP66" i="3"/>
  <c r="HQ66" i="3"/>
  <c r="HR66" i="3"/>
  <c r="HS66" i="3"/>
  <c r="HT66" i="3"/>
  <c r="HU66" i="3"/>
  <c r="HV66" i="3"/>
  <c r="HW66" i="3"/>
  <c r="HX66" i="3"/>
  <c r="HY66" i="3"/>
  <c r="HZ66" i="3"/>
  <c r="IA66" i="3"/>
  <c r="IB66" i="3"/>
  <c r="IC66" i="3"/>
  <c r="ID66" i="3"/>
  <c r="IE66" i="3"/>
  <c r="IF66" i="3"/>
  <c r="IG66" i="3"/>
  <c r="IH66" i="3"/>
  <c r="II66" i="3"/>
  <c r="IJ66" i="3"/>
  <c r="IK66" i="3"/>
  <c r="IL66" i="3"/>
  <c r="IM66" i="3"/>
  <c r="IN66" i="3"/>
  <c r="IO66" i="3"/>
  <c r="IP66" i="3"/>
  <c r="IQ66" i="3"/>
  <c r="IR66" i="3"/>
  <c r="IS66" i="3"/>
  <c r="IT66" i="3"/>
  <c r="IU66" i="3"/>
  <c r="IV66" i="3"/>
  <c r="A65" i="3"/>
  <c r="B65" i="3"/>
  <c r="C65" i="3"/>
  <c r="D65" i="3"/>
  <c r="E65" i="3"/>
  <c r="F65" i="3"/>
  <c r="G65" i="3"/>
  <c r="H65" i="3"/>
  <c r="I65" i="3"/>
  <c r="J65" i="3"/>
  <c r="K65" i="3"/>
  <c r="L65" i="3"/>
  <c r="M65" i="3"/>
  <c r="N65" i="3"/>
  <c r="O65" i="3"/>
  <c r="P65" i="3"/>
  <c r="Q65" i="3"/>
  <c r="R65" i="3"/>
  <c r="S65" i="3"/>
  <c r="T65" i="3"/>
  <c r="U65" i="3"/>
  <c r="V65" i="3"/>
  <c r="W65" i="3"/>
  <c r="X65" i="3"/>
  <c r="Y65" i="3"/>
  <c r="Z65" i="3"/>
  <c r="AA65" i="3"/>
  <c r="AB65" i="3"/>
  <c r="AC65" i="3"/>
  <c r="AD65" i="3"/>
  <c r="AE65" i="3"/>
  <c r="AF65" i="3"/>
  <c r="AG65" i="3"/>
  <c r="AH65" i="3"/>
  <c r="AI65" i="3"/>
  <c r="AJ65" i="3"/>
  <c r="AK65" i="3"/>
  <c r="AL65" i="3"/>
  <c r="AM65" i="3"/>
  <c r="AN65" i="3"/>
  <c r="AO65" i="3"/>
  <c r="AP65" i="3"/>
  <c r="AQ65" i="3"/>
  <c r="AR65" i="3"/>
  <c r="AS65" i="3"/>
  <c r="AT65" i="3"/>
  <c r="AU65" i="3"/>
  <c r="AV65" i="3"/>
  <c r="AW65" i="3"/>
  <c r="AX65" i="3"/>
  <c r="AY65" i="3"/>
  <c r="AZ65" i="3"/>
  <c r="BA65" i="3"/>
  <c r="BB65" i="3"/>
  <c r="BC65" i="3"/>
  <c r="BD65" i="3"/>
  <c r="BE65" i="3"/>
  <c r="BF65" i="3"/>
  <c r="BG65" i="3"/>
  <c r="BH65" i="3"/>
  <c r="BI65" i="3"/>
  <c r="BJ65" i="3"/>
  <c r="BK65" i="3"/>
  <c r="BL65" i="3"/>
  <c r="BM65" i="3"/>
  <c r="BN65" i="3"/>
  <c r="BO65" i="3"/>
  <c r="BP65" i="3"/>
  <c r="BQ65" i="3"/>
  <c r="BR65" i="3"/>
  <c r="BS65" i="3"/>
  <c r="BT65" i="3"/>
  <c r="BU65" i="3"/>
  <c r="BV65" i="3"/>
  <c r="BW65" i="3"/>
  <c r="BX65" i="3"/>
  <c r="BY65" i="3"/>
  <c r="BZ65" i="3"/>
  <c r="CA65" i="3"/>
  <c r="CB65" i="3"/>
  <c r="CC65" i="3"/>
  <c r="CD65" i="3"/>
  <c r="CE65" i="3"/>
  <c r="CF65" i="3"/>
  <c r="CG65" i="3"/>
  <c r="CH65" i="3"/>
  <c r="CI65" i="3"/>
  <c r="CJ65" i="3"/>
  <c r="CK65" i="3"/>
  <c r="CL65" i="3"/>
  <c r="CM65" i="3"/>
  <c r="CN65" i="3"/>
  <c r="CO65" i="3"/>
  <c r="CP65" i="3"/>
  <c r="CQ65" i="3"/>
  <c r="CR65" i="3"/>
  <c r="CS65" i="3"/>
  <c r="CT65" i="3"/>
  <c r="CU65" i="3"/>
  <c r="CV65" i="3"/>
  <c r="CW65" i="3"/>
  <c r="CX65" i="3"/>
  <c r="CY65" i="3"/>
  <c r="CZ65" i="3"/>
  <c r="DA65" i="3"/>
  <c r="DB65" i="3"/>
  <c r="DC65" i="3"/>
  <c r="DD65" i="3"/>
  <c r="DE65" i="3"/>
  <c r="DF65" i="3"/>
  <c r="DG65" i="3"/>
  <c r="DH65" i="3"/>
  <c r="DI65" i="3"/>
  <c r="DJ65" i="3"/>
  <c r="DK65" i="3"/>
  <c r="DL65" i="3"/>
  <c r="DM65" i="3"/>
  <c r="DN65" i="3"/>
  <c r="DO65" i="3"/>
  <c r="DP65" i="3"/>
  <c r="DQ65" i="3"/>
  <c r="DR65" i="3"/>
  <c r="DS65" i="3"/>
  <c r="DT65" i="3"/>
  <c r="DU65" i="3"/>
  <c r="DV65" i="3"/>
  <c r="DW65" i="3"/>
  <c r="DX65" i="3"/>
  <c r="DY65" i="3"/>
  <c r="DZ65" i="3"/>
  <c r="EA65" i="3"/>
  <c r="EB65" i="3"/>
  <c r="EC65" i="3"/>
  <c r="ED65" i="3"/>
  <c r="EE65" i="3"/>
  <c r="EF65" i="3"/>
  <c r="EG65" i="3"/>
  <c r="EH65" i="3"/>
  <c r="EI65" i="3"/>
  <c r="EJ65" i="3"/>
  <c r="EK65" i="3"/>
  <c r="EL65" i="3"/>
  <c r="EM65" i="3"/>
  <c r="EN65" i="3"/>
  <c r="EO65" i="3"/>
  <c r="EP65" i="3"/>
  <c r="EQ65" i="3"/>
  <c r="ER65" i="3"/>
  <c r="ES65" i="3"/>
  <c r="ET65" i="3"/>
  <c r="EU65" i="3"/>
  <c r="EV65" i="3"/>
  <c r="EW65" i="3"/>
  <c r="EX65" i="3"/>
  <c r="EY65" i="3"/>
  <c r="EZ65" i="3"/>
  <c r="FA65" i="3"/>
  <c r="FB65" i="3"/>
  <c r="FC65" i="3"/>
  <c r="FD65" i="3"/>
  <c r="FE65" i="3"/>
  <c r="FF65" i="3"/>
  <c r="FG65" i="3"/>
  <c r="FH65" i="3"/>
  <c r="FI65" i="3"/>
  <c r="FJ65" i="3"/>
  <c r="FK65" i="3"/>
  <c r="FL65" i="3"/>
  <c r="FM65" i="3"/>
  <c r="FN65" i="3"/>
  <c r="FO65" i="3"/>
  <c r="FP65" i="3"/>
  <c r="FQ65" i="3"/>
  <c r="FR65" i="3"/>
  <c r="FS65" i="3"/>
  <c r="FT65" i="3"/>
  <c r="FU65" i="3"/>
  <c r="FV65" i="3"/>
  <c r="FW65" i="3"/>
  <c r="FX65" i="3"/>
  <c r="FY65" i="3"/>
  <c r="FZ65" i="3"/>
  <c r="GA65" i="3"/>
  <c r="GB65" i="3"/>
  <c r="GC65" i="3"/>
  <c r="GD65" i="3"/>
  <c r="GE65" i="3"/>
  <c r="GF65" i="3"/>
  <c r="GG65" i="3"/>
  <c r="GH65" i="3"/>
  <c r="GI65" i="3"/>
  <c r="GJ65" i="3"/>
  <c r="GK65" i="3"/>
  <c r="GL65" i="3"/>
  <c r="GM65" i="3"/>
  <c r="GN65" i="3"/>
  <c r="GO65" i="3"/>
  <c r="GP65" i="3"/>
  <c r="GQ65" i="3"/>
  <c r="GR65" i="3"/>
  <c r="GS65" i="3"/>
  <c r="GT65" i="3"/>
  <c r="GU65" i="3"/>
  <c r="GV65" i="3"/>
  <c r="GW65" i="3"/>
  <c r="GX65" i="3"/>
  <c r="GY65" i="3"/>
  <c r="GZ65" i="3"/>
  <c r="HA65" i="3"/>
  <c r="HB65" i="3"/>
  <c r="HC65" i="3"/>
  <c r="HD65" i="3"/>
  <c r="HE65" i="3"/>
  <c r="HF65" i="3"/>
  <c r="HG65" i="3"/>
  <c r="HH65" i="3"/>
  <c r="HI65" i="3"/>
  <c r="HJ65" i="3"/>
  <c r="HK65" i="3"/>
  <c r="HL65" i="3"/>
  <c r="HM65" i="3"/>
  <c r="HN65" i="3"/>
  <c r="HO65" i="3"/>
  <c r="HP65" i="3"/>
  <c r="HQ65" i="3"/>
  <c r="HR65" i="3"/>
  <c r="HS65" i="3"/>
  <c r="HT65" i="3"/>
  <c r="HU65" i="3"/>
  <c r="HV65" i="3"/>
  <c r="HW65" i="3"/>
  <c r="HX65" i="3"/>
  <c r="HY65" i="3"/>
  <c r="HZ65" i="3"/>
  <c r="IA65" i="3"/>
  <c r="IB65" i="3"/>
  <c r="IC65" i="3"/>
  <c r="ID65" i="3"/>
  <c r="IE65" i="3"/>
  <c r="IF65" i="3"/>
  <c r="IG65" i="3"/>
  <c r="IH65" i="3"/>
  <c r="II65" i="3"/>
  <c r="IJ65" i="3"/>
  <c r="IK65" i="3"/>
  <c r="IL65" i="3"/>
  <c r="IM65" i="3"/>
  <c r="IN65" i="3"/>
  <c r="IO65" i="3"/>
  <c r="IP65" i="3"/>
  <c r="IQ65" i="3"/>
  <c r="IR65" i="3"/>
  <c r="IS65" i="3"/>
  <c r="IT65" i="3"/>
  <c r="IU65" i="3"/>
  <c r="IV65" i="3"/>
  <c r="A64" i="3"/>
  <c r="B64" i="3"/>
  <c r="C64" i="3"/>
  <c r="D64" i="3"/>
  <c r="E64" i="3"/>
  <c r="F64" i="3"/>
  <c r="G64" i="3"/>
  <c r="H64" i="3"/>
  <c r="I64" i="3"/>
  <c r="J64" i="3"/>
  <c r="K64" i="3"/>
  <c r="L64" i="3"/>
  <c r="M64" i="3"/>
  <c r="N64" i="3"/>
  <c r="O64" i="3"/>
  <c r="P64" i="3"/>
  <c r="Q64" i="3"/>
  <c r="R64" i="3"/>
  <c r="S64" i="3"/>
  <c r="T64" i="3"/>
  <c r="U64" i="3"/>
  <c r="V64" i="3"/>
  <c r="W64" i="3"/>
  <c r="X64" i="3"/>
  <c r="Y64" i="3"/>
  <c r="Z64" i="3"/>
  <c r="AA64" i="3"/>
  <c r="AB64" i="3"/>
  <c r="AC64" i="3"/>
  <c r="AD64" i="3"/>
  <c r="AE64" i="3"/>
  <c r="AF64" i="3"/>
  <c r="AG64" i="3"/>
  <c r="AH64" i="3"/>
  <c r="AI64" i="3"/>
  <c r="AJ64" i="3"/>
  <c r="AK64" i="3"/>
  <c r="AL64" i="3"/>
  <c r="AM64" i="3"/>
  <c r="AN64" i="3"/>
  <c r="AO64" i="3"/>
  <c r="AP64" i="3"/>
  <c r="AQ64" i="3"/>
  <c r="AR64" i="3"/>
  <c r="AS64" i="3"/>
  <c r="AT64" i="3"/>
  <c r="AU64" i="3"/>
  <c r="AV64" i="3"/>
  <c r="AW64" i="3"/>
  <c r="AX64" i="3"/>
  <c r="AY64" i="3"/>
  <c r="AZ64" i="3"/>
  <c r="BA64" i="3"/>
  <c r="BB64" i="3"/>
  <c r="BC64" i="3"/>
  <c r="BD64" i="3"/>
  <c r="BE64" i="3"/>
  <c r="BF64" i="3"/>
  <c r="BG64" i="3"/>
  <c r="BH64" i="3"/>
  <c r="BI64" i="3"/>
  <c r="BJ64" i="3"/>
  <c r="BK64" i="3"/>
  <c r="BL64" i="3"/>
  <c r="BM64" i="3"/>
  <c r="BN64" i="3"/>
  <c r="BO64" i="3"/>
  <c r="BP64" i="3"/>
  <c r="BQ64" i="3"/>
  <c r="BR64" i="3"/>
  <c r="BS64" i="3"/>
  <c r="BT64" i="3"/>
  <c r="BU64" i="3"/>
  <c r="BV64" i="3"/>
  <c r="BW64" i="3"/>
  <c r="BX64" i="3"/>
  <c r="BY64" i="3"/>
  <c r="BZ64" i="3"/>
  <c r="CA64" i="3"/>
  <c r="CB64" i="3"/>
  <c r="CC64" i="3"/>
  <c r="CD64" i="3"/>
  <c r="CE64" i="3"/>
  <c r="CF64" i="3"/>
  <c r="CG64" i="3"/>
  <c r="CH64" i="3"/>
  <c r="CI64" i="3"/>
  <c r="CJ64" i="3"/>
  <c r="CK64" i="3"/>
  <c r="CL64" i="3"/>
  <c r="CM64" i="3"/>
  <c r="CN64" i="3"/>
  <c r="CO64" i="3"/>
  <c r="CP64" i="3"/>
  <c r="CQ64" i="3"/>
  <c r="CR64" i="3"/>
  <c r="CS64" i="3"/>
  <c r="CT64" i="3"/>
  <c r="CU64" i="3"/>
  <c r="CV64" i="3"/>
  <c r="CW64" i="3"/>
  <c r="CX64" i="3"/>
  <c r="CY64" i="3"/>
  <c r="CZ64" i="3"/>
  <c r="DA64" i="3"/>
  <c r="DB64" i="3"/>
  <c r="DC64" i="3"/>
  <c r="DD64" i="3"/>
  <c r="DE64" i="3"/>
  <c r="DF64" i="3"/>
  <c r="DG64" i="3"/>
  <c r="DH64" i="3"/>
  <c r="DI64" i="3"/>
  <c r="DJ64" i="3"/>
  <c r="DK64" i="3"/>
  <c r="DL64" i="3"/>
  <c r="DM64" i="3"/>
  <c r="DN64" i="3"/>
  <c r="DO64" i="3"/>
  <c r="DP64" i="3"/>
  <c r="DQ64" i="3"/>
  <c r="DR64" i="3"/>
  <c r="DS64" i="3"/>
  <c r="DT64" i="3"/>
  <c r="DU64" i="3"/>
  <c r="DV64" i="3"/>
  <c r="DW64" i="3"/>
  <c r="DX64" i="3"/>
  <c r="DY64" i="3"/>
  <c r="DZ64" i="3"/>
  <c r="EA64" i="3"/>
  <c r="EB64" i="3"/>
  <c r="EC64" i="3"/>
  <c r="ED64" i="3"/>
  <c r="EE64" i="3"/>
  <c r="EF64" i="3"/>
  <c r="EG64" i="3"/>
  <c r="EH64" i="3"/>
  <c r="EI64" i="3"/>
  <c r="EJ64" i="3"/>
  <c r="EK64" i="3"/>
  <c r="EL64" i="3"/>
  <c r="EM64" i="3"/>
  <c r="EN64" i="3"/>
  <c r="EO64" i="3"/>
  <c r="EP64" i="3"/>
  <c r="EQ64" i="3"/>
  <c r="ER64" i="3"/>
  <c r="ES64" i="3"/>
  <c r="ET64" i="3"/>
  <c r="EU64" i="3"/>
  <c r="EV64" i="3"/>
  <c r="EW64" i="3"/>
  <c r="EX64" i="3"/>
  <c r="EY64" i="3"/>
  <c r="EZ64" i="3"/>
  <c r="FA64" i="3"/>
  <c r="FB64" i="3"/>
  <c r="FC64" i="3"/>
  <c r="FD64" i="3"/>
  <c r="FE64" i="3"/>
  <c r="FF64" i="3"/>
  <c r="FG64" i="3"/>
  <c r="FH64" i="3"/>
  <c r="FI64" i="3"/>
  <c r="FJ64" i="3"/>
  <c r="FK64" i="3"/>
  <c r="FL64" i="3"/>
  <c r="FM64" i="3"/>
  <c r="FN64" i="3"/>
  <c r="FO64" i="3"/>
  <c r="FP64" i="3"/>
  <c r="FQ64" i="3"/>
  <c r="FR64" i="3"/>
  <c r="FS64" i="3"/>
  <c r="FT64" i="3"/>
  <c r="FU64" i="3"/>
  <c r="FV64" i="3"/>
  <c r="FW64" i="3"/>
  <c r="FX64" i="3"/>
  <c r="FY64" i="3"/>
  <c r="FZ64" i="3"/>
  <c r="GA64" i="3"/>
  <c r="GB64" i="3"/>
  <c r="GC64" i="3"/>
  <c r="GD64" i="3"/>
  <c r="GE64" i="3"/>
  <c r="GF64" i="3"/>
  <c r="GG64" i="3"/>
  <c r="GH64" i="3"/>
  <c r="GI64" i="3"/>
  <c r="GJ64" i="3"/>
  <c r="GK64" i="3"/>
  <c r="GL64" i="3"/>
  <c r="GM64" i="3"/>
  <c r="GN64" i="3"/>
  <c r="GO64" i="3"/>
  <c r="GP64" i="3"/>
  <c r="GQ64" i="3"/>
  <c r="GR64" i="3"/>
  <c r="GS64" i="3"/>
  <c r="GT64" i="3"/>
  <c r="GU64" i="3"/>
  <c r="GV64" i="3"/>
  <c r="GW64" i="3"/>
  <c r="GX64" i="3"/>
  <c r="GY64" i="3"/>
  <c r="GZ64" i="3"/>
  <c r="HA64" i="3"/>
  <c r="HB64" i="3"/>
  <c r="HC64" i="3"/>
  <c r="HD64" i="3"/>
  <c r="HE64" i="3"/>
  <c r="HF64" i="3"/>
  <c r="HG64" i="3"/>
  <c r="HH64" i="3"/>
  <c r="HI64" i="3"/>
  <c r="HJ64" i="3"/>
  <c r="HK64" i="3"/>
  <c r="HL64" i="3"/>
  <c r="HM64" i="3"/>
  <c r="HN64" i="3"/>
  <c r="HO64" i="3"/>
  <c r="HP64" i="3"/>
  <c r="HQ64" i="3"/>
  <c r="HR64" i="3"/>
  <c r="HS64" i="3"/>
  <c r="HT64" i="3"/>
  <c r="HU64" i="3"/>
  <c r="HV64" i="3"/>
  <c r="HW64" i="3"/>
  <c r="HX64" i="3"/>
  <c r="HY64" i="3"/>
  <c r="HZ64" i="3"/>
  <c r="IA64" i="3"/>
  <c r="IB64" i="3"/>
  <c r="IC64" i="3"/>
  <c r="ID64" i="3"/>
  <c r="IE64" i="3"/>
  <c r="IF64" i="3"/>
  <c r="IG64" i="3"/>
  <c r="IH64" i="3"/>
  <c r="II64" i="3"/>
  <c r="IJ64" i="3"/>
  <c r="IK64" i="3"/>
  <c r="IL64" i="3"/>
  <c r="IM64" i="3"/>
  <c r="IN64" i="3"/>
  <c r="IO64" i="3"/>
  <c r="IP64" i="3"/>
  <c r="IQ64" i="3"/>
  <c r="IR64" i="3"/>
  <c r="IS64" i="3"/>
  <c r="IT64" i="3"/>
  <c r="IU64" i="3"/>
  <c r="IV64" i="3"/>
  <c r="A63" i="3"/>
  <c r="B63" i="3"/>
  <c r="C63" i="3"/>
  <c r="D63" i="3"/>
  <c r="E63" i="3"/>
  <c r="F63" i="3"/>
  <c r="G63" i="3"/>
  <c r="H63" i="3"/>
  <c r="I63" i="3"/>
  <c r="J63" i="3"/>
  <c r="K63" i="3"/>
  <c r="L63" i="3"/>
  <c r="M63" i="3"/>
  <c r="N63" i="3"/>
  <c r="O63" i="3"/>
  <c r="P63" i="3"/>
  <c r="Q63" i="3"/>
  <c r="R63" i="3"/>
  <c r="S63" i="3"/>
  <c r="T63" i="3"/>
  <c r="U63" i="3"/>
  <c r="V63" i="3"/>
  <c r="W63" i="3"/>
  <c r="X63" i="3"/>
  <c r="Y63" i="3"/>
  <c r="Z63" i="3"/>
  <c r="AA63" i="3"/>
  <c r="AB63" i="3"/>
  <c r="AC63" i="3"/>
  <c r="AD63" i="3"/>
  <c r="AE63" i="3"/>
  <c r="AF63" i="3"/>
  <c r="AG63" i="3"/>
  <c r="AH63" i="3"/>
  <c r="AI63" i="3"/>
  <c r="AJ63" i="3"/>
  <c r="AK63" i="3"/>
  <c r="AL63" i="3"/>
  <c r="AM63" i="3"/>
  <c r="AN63" i="3"/>
  <c r="AO63" i="3"/>
  <c r="AP63" i="3"/>
  <c r="AQ63" i="3"/>
  <c r="AR63" i="3"/>
  <c r="AS63" i="3"/>
  <c r="AT63" i="3"/>
  <c r="AU63" i="3"/>
  <c r="AV63" i="3"/>
  <c r="AW63" i="3"/>
  <c r="AX63" i="3"/>
  <c r="AY63" i="3"/>
  <c r="AZ63" i="3"/>
  <c r="BA63" i="3"/>
  <c r="BB63" i="3"/>
  <c r="BC63" i="3"/>
  <c r="BD63" i="3"/>
  <c r="BE63" i="3"/>
  <c r="BF63" i="3"/>
  <c r="BG63" i="3"/>
  <c r="BH63" i="3"/>
  <c r="BI63" i="3"/>
  <c r="BJ63" i="3"/>
  <c r="BK63" i="3"/>
  <c r="BL63" i="3"/>
  <c r="BM63" i="3"/>
  <c r="BN63" i="3"/>
  <c r="BO63" i="3"/>
  <c r="BP63" i="3"/>
  <c r="BQ63" i="3"/>
  <c r="BR63" i="3"/>
  <c r="BS63" i="3"/>
  <c r="BT63" i="3"/>
  <c r="BU63" i="3"/>
  <c r="BV63" i="3"/>
  <c r="BW63" i="3"/>
  <c r="BX63" i="3"/>
  <c r="BY63" i="3"/>
  <c r="BZ63" i="3"/>
  <c r="CA63" i="3"/>
  <c r="CB63" i="3"/>
  <c r="CC63" i="3"/>
  <c r="CD63" i="3"/>
  <c r="CE63" i="3"/>
  <c r="CF63" i="3"/>
  <c r="CG63" i="3"/>
  <c r="CH63" i="3"/>
  <c r="CI63" i="3"/>
  <c r="CJ63" i="3"/>
  <c r="CK63" i="3"/>
  <c r="CL63" i="3"/>
  <c r="CM63" i="3"/>
  <c r="CN63" i="3"/>
  <c r="CO63" i="3"/>
  <c r="CP63" i="3"/>
  <c r="CQ63" i="3"/>
  <c r="CR63" i="3"/>
  <c r="CS63" i="3"/>
  <c r="CT63" i="3"/>
  <c r="CU63" i="3"/>
  <c r="CV63" i="3"/>
  <c r="CW63" i="3"/>
  <c r="CX63" i="3"/>
  <c r="CY63" i="3"/>
  <c r="CZ63" i="3"/>
  <c r="DA63" i="3"/>
  <c r="DB63" i="3"/>
  <c r="DC63" i="3"/>
  <c r="DD63" i="3"/>
  <c r="DE63" i="3"/>
  <c r="DF63" i="3"/>
  <c r="DG63" i="3"/>
  <c r="DH63" i="3"/>
  <c r="DI63" i="3"/>
  <c r="DJ63" i="3"/>
  <c r="DK63" i="3"/>
  <c r="DL63" i="3"/>
  <c r="DM63" i="3"/>
  <c r="DN63" i="3"/>
  <c r="DO63" i="3"/>
  <c r="DP63" i="3"/>
  <c r="DQ63" i="3"/>
  <c r="DR63" i="3"/>
  <c r="DS63" i="3"/>
  <c r="DT63" i="3"/>
  <c r="DU63" i="3"/>
  <c r="DV63" i="3"/>
  <c r="DW63" i="3"/>
  <c r="DX63" i="3"/>
  <c r="DY63" i="3"/>
  <c r="DZ63" i="3"/>
  <c r="EA63" i="3"/>
  <c r="EB63" i="3"/>
  <c r="EC63" i="3"/>
  <c r="ED63" i="3"/>
  <c r="EE63" i="3"/>
  <c r="EF63" i="3"/>
  <c r="EG63" i="3"/>
  <c r="EH63" i="3"/>
  <c r="EI63" i="3"/>
  <c r="EJ63" i="3"/>
  <c r="EK63" i="3"/>
  <c r="EL63" i="3"/>
  <c r="EM63" i="3"/>
  <c r="EN63" i="3"/>
  <c r="EO63" i="3"/>
  <c r="EP63" i="3"/>
  <c r="EQ63" i="3"/>
  <c r="ER63" i="3"/>
  <c r="ES63" i="3"/>
  <c r="ET63" i="3"/>
  <c r="EU63" i="3"/>
  <c r="EV63" i="3"/>
  <c r="EW63" i="3"/>
  <c r="EX63" i="3"/>
  <c r="EY63" i="3"/>
  <c r="EZ63" i="3"/>
  <c r="FA63" i="3"/>
  <c r="FB63" i="3"/>
  <c r="FC63" i="3"/>
  <c r="FD63" i="3"/>
  <c r="FE63" i="3"/>
  <c r="FF63" i="3"/>
  <c r="FG63" i="3"/>
  <c r="FH63" i="3"/>
  <c r="FI63" i="3"/>
  <c r="FJ63" i="3"/>
  <c r="FK63" i="3"/>
  <c r="FL63" i="3"/>
  <c r="FM63" i="3"/>
  <c r="FN63" i="3"/>
  <c r="FO63" i="3"/>
  <c r="FP63" i="3"/>
  <c r="FQ63" i="3"/>
  <c r="FR63" i="3"/>
  <c r="FS63" i="3"/>
  <c r="FT63" i="3"/>
  <c r="FU63" i="3"/>
  <c r="FV63" i="3"/>
  <c r="FW63" i="3"/>
  <c r="FX63" i="3"/>
  <c r="FY63" i="3"/>
  <c r="FZ63" i="3"/>
  <c r="GA63" i="3"/>
  <c r="GB63" i="3"/>
  <c r="GC63" i="3"/>
  <c r="GD63" i="3"/>
  <c r="GE63" i="3"/>
  <c r="GF63" i="3"/>
  <c r="GG63" i="3"/>
  <c r="GH63" i="3"/>
  <c r="GI63" i="3"/>
  <c r="GJ63" i="3"/>
  <c r="GK63" i="3"/>
  <c r="GL63" i="3"/>
  <c r="GM63" i="3"/>
  <c r="GN63" i="3"/>
  <c r="GO63" i="3"/>
  <c r="GP63" i="3"/>
  <c r="GQ63" i="3"/>
  <c r="GR63" i="3"/>
  <c r="GS63" i="3"/>
  <c r="GT63" i="3"/>
  <c r="GU63" i="3"/>
  <c r="GV63" i="3"/>
  <c r="GW63" i="3"/>
  <c r="GX63" i="3"/>
  <c r="GY63" i="3"/>
  <c r="GZ63" i="3"/>
  <c r="HA63" i="3"/>
  <c r="HB63" i="3"/>
  <c r="HC63" i="3"/>
  <c r="HD63" i="3"/>
  <c r="HE63" i="3"/>
  <c r="HF63" i="3"/>
  <c r="HG63" i="3"/>
  <c r="HH63" i="3"/>
  <c r="HI63" i="3"/>
  <c r="HJ63" i="3"/>
  <c r="HK63" i="3"/>
  <c r="HL63" i="3"/>
  <c r="HM63" i="3"/>
  <c r="HN63" i="3"/>
  <c r="HO63" i="3"/>
  <c r="HP63" i="3"/>
  <c r="HQ63" i="3"/>
  <c r="HR63" i="3"/>
  <c r="HS63" i="3"/>
  <c r="HT63" i="3"/>
  <c r="HU63" i="3"/>
  <c r="HV63" i="3"/>
  <c r="HW63" i="3"/>
  <c r="HX63" i="3"/>
  <c r="HY63" i="3"/>
  <c r="HZ63" i="3"/>
  <c r="IA63" i="3"/>
  <c r="IB63" i="3"/>
  <c r="IC63" i="3"/>
  <c r="ID63" i="3"/>
  <c r="IE63" i="3"/>
  <c r="IF63" i="3"/>
  <c r="IG63" i="3"/>
  <c r="IH63" i="3"/>
  <c r="II63" i="3"/>
  <c r="IJ63" i="3"/>
  <c r="IK63" i="3"/>
  <c r="IL63" i="3"/>
  <c r="IM63" i="3"/>
  <c r="IN63" i="3"/>
  <c r="IO63" i="3"/>
  <c r="IP63" i="3"/>
  <c r="IQ63" i="3"/>
  <c r="IR63" i="3"/>
  <c r="IS63" i="3"/>
  <c r="IT63" i="3"/>
  <c r="IU63" i="3"/>
  <c r="IV63" i="3"/>
  <c r="A62" i="3"/>
  <c r="B62" i="3"/>
  <c r="C62" i="3"/>
  <c r="D62" i="3"/>
  <c r="E62" i="3"/>
  <c r="F62" i="3"/>
  <c r="G62" i="3"/>
  <c r="H62" i="3"/>
  <c r="I62" i="3"/>
  <c r="J62" i="3"/>
  <c r="K62" i="3"/>
  <c r="L62" i="3"/>
  <c r="M62" i="3"/>
  <c r="N62" i="3"/>
  <c r="O62" i="3"/>
  <c r="P62" i="3"/>
  <c r="Q62" i="3"/>
  <c r="R62" i="3"/>
  <c r="S62" i="3"/>
  <c r="T62" i="3"/>
  <c r="U62" i="3"/>
  <c r="V62" i="3"/>
  <c r="W62" i="3"/>
  <c r="X62" i="3"/>
  <c r="Y62" i="3"/>
  <c r="Z62" i="3"/>
  <c r="AA62" i="3"/>
  <c r="AB62" i="3"/>
  <c r="AC62" i="3"/>
  <c r="AD62" i="3"/>
  <c r="AE62" i="3"/>
  <c r="AF62" i="3"/>
  <c r="AG62" i="3"/>
  <c r="AH62" i="3"/>
  <c r="AI62" i="3"/>
  <c r="AJ62" i="3"/>
  <c r="AK62" i="3"/>
  <c r="AL62" i="3"/>
  <c r="AM62" i="3"/>
  <c r="AN62" i="3"/>
  <c r="AO62" i="3"/>
  <c r="AP62" i="3"/>
  <c r="AQ62" i="3"/>
  <c r="AR62" i="3"/>
  <c r="AS62" i="3"/>
  <c r="AT62" i="3"/>
  <c r="AU62" i="3"/>
  <c r="AV62" i="3"/>
  <c r="AW62" i="3"/>
  <c r="AX62" i="3"/>
  <c r="AY62" i="3"/>
  <c r="AZ62" i="3"/>
  <c r="BA62" i="3"/>
  <c r="BB62" i="3"/>
  <c r="BC62" i="3"/>
  <c r="BD62" i="3"/>
  <c r="BE62" i="3"/>
  <c r="BF62" i="3"/>
  <c r="BG62" i="3"/>
  <c r="BH62" i="3"/>
  <c r="BI62" i="3"/>
  <c r="BJ62" i="3"/>
  <c r="BK62" i="3"/>
  <c r="BL62" i="3"/>
  <c r="BM62" i="3"/>
  <c r="BN62" i="3"/>
  <c r="BO62" i="3"/>
  <c r="BP62" i="3"/>
  <c r="BQ62" i="3"/>
  <c r="BR62" i="3"/>
  <c r="BS62" i="3"/>
  <c r="BT62" i="3"/>
  <c r="BU62" i="3"/>
  <c r="BV62" i="3"/>
  <c r="BW62" i="3"/>
  <c r="BX62" i="3"/>
  <c r="BY62" i="3"/>
  <c r="BZ62" i="3"/>
  <c r="CA62" i="3"/>
  <c r="CB62" i="3"/>
  <c r="CC62" i="3"/>
  <c r="CD62" i="3"/>
  <c r="CE62" i="3"/>
  <c r="CF62" i="3"/>
  <c r="CG62" i="3"/>
  <c r="CH62" i="3"/>
  <c r="CI62" i="3"/>
  <c r="CJ62" i="3"/>
  <c r="CK62" i="3"/>
  <c r="CL62" i="3"/>
  <c r="CM62" i="3"/>
  <c r="CN62" i="3"/>
  <c r="CO62" i="3"/>
  <c r="CP62" i="3"/>
  <c r="CQ62" i="3"/>
  <c r="CR62" i="3"/>
  <c r="CS62" i="3"/>
  <c r="CT62" i="3"/>
  <c r="CU62" i="3"/>
  <c r="CV62" i="3"/>
  <c r="CW62" i="3"/>
  <c r="CX62" i="3"/>
  <c r="CY62" i="3"/>
  <c r="CZ62" i="3"/>
  <c r="DA62" i="3"/>
  <c r="DB62" i="3"/>
  <c r="DC62" i="3"/>
  <c r="DD62" i="3"/>
  <c r="DE62" i="3"/>
  <c r="DF62" i="3"/>
  <c r="DG62" i="3"/>
  <c r="DH62" i="3"/>
  <c r="DI62" i="3"/>
  <c r="DJ62" i="3"/>
  <c r="DK62" i="3"/>
  <c r="DL62" i="3"/>
  <c r="DM62" i="3"/>
  <c r="DN62" i="3"/>
  <c r="DO62" i="3"/>
  <c r="DP62" i="3"/>
  <c r="DQ62" i="3"/>
  <c r="DR62" i="3"/>
  <c r="DS62" i="3"/>
  <c r="DT62" i="3"/>
  <c r="DU62" i="3"/>
  <c r="DV62" i="3"/>
  <c r="DW62" i="3"/>
  <c r="DX62" i="3"/>
  <c r="DY62" i="3"/>
  <c r="DZ62" i="3"/>
  <c r="EA62" i="3"/>
  <c r="EB62" i="3"/>
  <c r="EC62" i="3"/>
  <c r="ED62" i="3"/>
  <c r="EE62" i="3"/>
  <c r="EF62" i="3"/>
  <c r="EG62" i="3"/>
  <c r="EH62" i="3"/>
  <c r="EI62" i="3"/>
  <c r="EJ62" i="3"/>
  <c r="EK62" i="3"/>
  <c r="EL62" i="3"/>
  <c r="EM62" i="3"/>
  <c r="EN62" i="3"/>
  <c r="EO62" i="3"/>
  <c r="EP62" i="3"/>
  <c r="EQ62" i="3"/>
  <c r="ER62" i="3"/>
  <c r="ES62" i="3"/>
  <c r="ET62" i="3"/>
  <c r="EU62" i="3"/>
  <c r="EV62" i="3"/>
  <c r="EW62" i="3"/>
  <c r="EX62" i="3"/>
  <c r="EY62" i="3"/>
  <c r="EZ62" i="3"/>
  <c r="FA62" i="3"/>
  <c r="FB62" i="3"/>
  <c r="FC62" i="3"/>
  <c r="FD62" i="3"/>
  <c r="FE62" i="3"/>
  <c r="FF62" i="3"/>
  <c r="FG62" i="3"/>
  <c r="FH62" i="3"/>
  <c r="FI62" i="3"/>
  <c r="FJ62" i="3"/>
  <c r="FK62" i="3"/>
  <c r="FL62" i="3"/>
  <c r="FM62" i="3"/>
  <c r="FN62" i="3"/>
  <c r="FO62" i="3"/>
  <c r="FP62" i="3"/>
  <c r="FQ62" i="3"/>
  <c r="FR62" i="3"/>
  <c r="FS62" i="3"/>
  <c r="FT62" i="3"/>
  <c r="FU62" i="3"/>
  <c r="FV62" i="3"/>
  <c r="FW62" i="3"/>
  <c r="FX62" i="3"/>
  <c r="FY62" i="3"/>
  <c r="FZ62" i="3"/>
  <c r="GA62" i="3"/>
  <c r="GB62" i="3"/>
  <c r="GC62" i="3"/>
  <c r="GD62" i="3"/>
  <c r="GE62" i="3"/>
  <c r="GF62" i="3"/>
  <c r="GG62" i="3"/>
  <c r="GH62" i="3"/>
  <c r="GI62" i="3"/>
  <c r="GJ62" i="3"/>
  <c r="GK62" i="3"/>
  <c r="GL62" i="3"/>
  <c r="GM62" i="3"/>
  <c r="GN62" i="3"/>
  <c r="GO62" i="3"/>
  <c r="GP62" i="3"/>
  <c r="GQ62" i="3"/>
  <c r="GR62" i="3"/>
  <c r="GS62" i="3"/>
  <c r="GT62" i="3"/>
  <c r="GU62" i="3"/>
  <c r="GV62" i="3"/>
  <c r="GW62" i="3"/>
  <c r="GX62" i="3"/>
  <c r="GY62" i="3"/>
  <c r="GZ62" i="3"/>
  <c r="HA62" i="3"/>
  <c r="HB62" i="3"/>
  <c r="HC62" i="3"/>
  <c r="HD62" i="3"/>
  <c r="HE62" i="3"/>
  <c r="HF62" i="3"/>
  <c r="HG62" i="3"/>
  <c r="HH62" i="3"/>
  <c r="HI62" i="3"/>
  <c r="HJ62" i="3"/>
  <c r="HK62" i="3"/>
  <c r="HL62" i="3"/>
  <c r="HM62" i="3"/>
  <c r="HN62" i="3"/>
  <c r="HO62" i="3"/>
  <c r="HP62" i="3"/>
  <c r="HQ62" i="3"/>
  <c r="HR62" i="3"/>
  <c r="HS62" i="3"/>
  <c r="HT62" i="3"/>
  <c r="HU62" i="3"/>
  <c r="HV62" i="3"/>
  <c r="HW62" i="3"/>
  <c r="HX62" i="3"/>
  <c r="HY62" i="3"/>
  <c r="HZ62" i="3"/>
  <c r="IA62" i="3"/>
  <c r="IB62" i="3"/>
  <c r="IC62" i="3"/>
  <c r="ID62" i="3"/>
  <c r="IE62" i="3"/>
  <c r="IF62" i="3"/>
  <c r="IG62" i="3"/>
  <c r="IH62" i="3"/>
  <c r="II62" i="3"/>
  <c r="IJ62" i="3"/>
  <c r="IK62" i="3"/>
  <c r="IL62" i="3"/>
  <c r="IM62" i="3"/>
  <c r="IN62" i="3"/>
  <c r="IO62" i="3"/>
  <c r="IP62" i="3"/>
  <c r="IQ62" i="3"/>
  <c r="IR62" i="3"/>
  <c r="IS62" i="3"/>
  <c r="IT62" i="3"/>
  <c r="IU62" i="3"/>
  <c r="IV62" i="3"/>
  <c r="A61" i="3"/>
  <c r="B61" i="3"/>
  <c r="C61" i="3"/>
  <c r="D61" i="3"/>
  <c r="E61" i="3"/>
  <c r="F61" i="3"/>
  <c r="G61" i="3"/>
  <c r="H61" i="3"/>
  <c r="I61" i="3"/>
  <c r="J61" i="3"/>
  <c r="K61" i="3"/>
  <c r="L61" i="3"/>
  <c r="M61" i="3"/>
  <c r="N61" i="3"/>
  <c r="O61" i="3"/>
  <c r="P61" i="3"/>
  <c r="Q61" i="3"/>
  <c r="R61" i="3"/>
  <c r="S61" i="3"/>
  <c r="T61" i="3"/>
  <c r="U61" i="3"/>
  <c r="V61" i="3"/>
  <c r="W61" i="3"/>
  <c r="X61" i="3"/>
  <c r="Y61" i="3"/>
  <c r="Z61" i="3"/>
  <c r="AA61" i="3"/>
  <c r="AB61" i="3"/>
  <c r="AC61" i="3"/>
  <c r="AD61" i="3"/>
  <c r="AE61" i="3"/>
  <c r="AF61" i="3"/>
  <c r="AG61" i="3"/>
  <c r="AH61" i="3"/>
  <c r="AI61" i="3"/>
  <c r="AJ61" i="3"/>
  <c r="AK61" i="3"/>
  <c r="AL61" i="3"/>
  <c r="AM61" i="3"/>
  <c r="AN61" i="3"/>
  <c r="AO61" i="3"/>
  <c r="AP61" i="3"/>
  <c r="AQ61" i="3"/>
  <c r="AR61" i="3"/>
  <c r="AS61" i="3"/>
  <c r="AT61" i="3"/>
  <c r="AU61" i="3"/>
  <c r="AV61" i="3"/>
  <c r="AW61" i="3"/>
  <c r="AX61" i="3"/>
  <c r="AY61" i="3"/>
  <c r="AZ61" i="3"/>
  <c r="BA61" i="3"/>
  <c r="BB61" i="3"/>
  <c r="BC61" i="3"/>
  <c r="BD61" i="3"/>
  <c r="BE61" i="3"/>
  <c r="BF61" i="3"/>
  <c r="BG61" i="3"/>
  <c r="BH61" i="3"/>
  <c r="BI61" i="3"/>
  <c r="BJ61" i="3"/>
  <c r="BK61" i="3"/>
  <c r="BL61" i="3"/>
  <c r="BM61" i="3"/>
  <c r="BN61" i="3"/>
  <c r="BO61" i="3"/>
  <c r="BP61" i="3"/>
  <c r="BQ61" i="3"/>
  <c r="BR61" i="3"/>
  <c r="BS61" i="3"/>
  <c r="BT61" i="3"/>
  <c r="BU61" i="3"/>
  <c r="BV61" i="3"/>
  <c r="BW61" i="3"/>
  <c r="BX61" i="3"/>
  <c r="BY61" i="3"/>
  <c r="BZ61" i="3"/>
  <c r="CA61" i="3"/>
  <c r="CB61" i="3"/>
  <c r="CC61" i="3"/>
  <c r="CD61" i="3"/>
  <c r="CE61" i="3"/>
  <c r="CF61" i="3"/>
  <c r="CG61" i="3"/>
  <c r="CH61" i="3"/>
  <c r="CI61" i="3"/>
  <c r="CJ61" i="3"/>
  <c r="CK61" i="3"/>
  <c r="CL61" i="3"/>
  <c r="CM61" i="3"/>
  <c r="CN61" i="3"/>
  <c r="CO61" i="3"/>
  <c r="CP61" i="3"/>
  <c r="CQ61" i="3"/>
  <c r="CR61" i="3"/>
  <c r="CS61" i="3"/>
  <c r="CT61" i="3"/>
  <c r="CU61" i="3"/>
  <c r="CV61" i="3"/>
  <c r="CW61" i="3"/>
  <c r="CX61" i="3"/>
  <c r="CY61" i="3"/>
  <c r="CZ61" i="3"/>
  <c r="DA61" i="3"/>
  <c r="DB61" i="3"/>
  <c r="DC61" i="3"/>
  <c r="DD61" i="3"/>
  <c r="DE61" i="3"/>
  <c r="DF61" i="3"/>
  <c r="DG61" i="3"/>
  <c r="DH61" i="3"/>
  <c r="DI61" i="3"/>
  <c r="DJ61" i="3"/>
  <c r="DK61" i="3"/>
  <c r="DL61" i="3"/>
  <c r="DM61" i="3"/>
  <c r="DN61" i="3"/>
  <c r="DO61" i="3"/>
  <c r="DP61" i="3"/>
  <c r="DQ61" i="3"/>
  <c r="DR61" i="3"/>
  <c r="DS61" i="3"/>
  <c r="DT61" i="3"/>
  <c r="DU61" i="3"/>
  <c r="DV61" i="3"/>
  <c r="DW61" i="3"/>
  <c r="DX61" i="3"/>
  <c r="DY61" i="3"/>
  <c r="DZ61" i="3"/>
  <c r="EA61" i="3"/>
  <c r="EB61" i="3"/>
  <c r="EC61" i="3"/>
  <c r="ED61" i="3"/>
  <c r="EE61" i="3"/>
  <c r="EF61" i="3"/>
  <c r="EG61" i="3"/>
  <c r="EH61" i="3"/>
  <c r="EI61" i="3"/>
  <c r="EJ61" i="3"/>
  <c r="EK61" i="3"/>
  <c r="EL61" i="3"/>
  <c r="EM61" i="3"/>
  <c r="EN61" i="3"/>
  <c r="EO61" i="3"/>
  <c r="EP61" i="3"/>
  <c r="EQ61" i="3"/>
  <c r="ER61" i="3"/>
  <c r="ES61" i="3"/>
  <c r="ET61" i="3"/>
  <c r="EU61" i="3"/>
  <c r="EV61" i="3"/>
  <c r="EW61" i="3"/>
  <c r="EX61" i="3"/>
  <c r="EY61" i="3"/>
  <c r="EZ61" i="3"/>
  <c r="FA61" i="3"/>
  <c r="FB61" i="3"/>
  <c r="FC61" i="3"/>
  <c r="FD61" i="3"/>
  <c r="FE61" i="3"/>
  <c r="FF61" i="3"/>
  <c r="FG61" i="3"/>
  <c r="FH61" i="3"/>
  <c r="FI61" i="3"/>
  <c r="FJ61" i="3"/>
  <c r="FK61" i="3"/>
  <c r="FL61" i="3"/>
  <c r="FM61" i="3"/>
  <c r="FN61" i="3"/>
  <c r="FO61" i="3"/>
  <c r="FP61" i="3"/>
  <c r="FQ61" i="3"/>
  <c r="FR61" i="3"/>
  <c r="FS61" i="3"/>
  <c r="FT61" i="3"/>
  <c r="FU61" i="3"/>
  <c r="FV61" i="3"/>
  <c r="FW61" i="3"/>
  <c r="FX61" i="3"/>
  <c r="FY61" i="3"/>
  <c r="FZ61" i="3"/>
  <c r="GA61" i="3"/>
  <c r="GB61" i="3"/>
  <c r="GC61" i="3"/>
  <c r="GD61" i="3"/>
  <c r="GE61" i="3"/>
  <c r="GF61" i="3"/>
  <c r="GG61" i="3"/>
  <c r="GH61" i="3"/>
  <c r="GI61" i="3"/>
  <c r="GJ61" i="3"/>
  <c r="GK61" i="3"/>
  <c r="GL61" i="3"/>
  <c r="GM61" i="3"/>
  <c r="GN61" i="3"/>
  <c r="GO61" i="3"/>
  <c r="GP61" i="3"/>
  <c r="GQ61" i="3"/>
  <c r="GR61" i="3"/>
  <c r="GS61" i="3"/>
  <c r="GT61" i="3"/>
  <c r="GU61" i="3"/>
  <c r="GV61" i="3"/>
  <c r="GW61" i="3"/>
  <c r="GX61" i="3"/>
  <c r="GY61" i="3"/>
  <c r="GZ61" i="3"/>
  <c r="HA61" i="3"/>
  <c r="HB61" i="3"/>
  <c r="HC61" i="3"/>
  <c r="HD61" i="3"/>
  <c r="HE61" i="3"/>
  <c r="HF61" i="3"/>
  <c r="HG61" i="3"/>
  <c r="HH61" i="3"/>
  <c r="HI61" i="3"/>
  <c r="HJ61" i="3"/>
  <c r="HK61" i="3"/>
  <c r="HL61" i="3"/>
  <c r="HM61" i="3"/>
  <c r="HN61" i="3"/>
  <c r="HO61" i="3"/>
  <c r="HP61" i="3"/>
  <c r="HQ61" i="3"/>
  <c r="HR61" i="3"/>
  <c r="HS61" i="3"/>
  <c r="HT61" i="3"/>
  <c r="HU61" i="3"/>
  <c r="HV61" i="3"/>
  <c r="HW61" i="3"/>
  <c r="HX61" i="3"/>
  <c r="HY61" i="3"/>
  <c r="HZ61" i="3"/>
  <c r="IA61" i="3"/>
  <c r="IB61" i="3"/>
  <c r="IC61" i="3"/>
  <c r="ID61" i="3"/>
  <c r="IE61" i="3"/>
  <c r="IF61" i="3"/>
  <c r="IG61" i="3"/>
  <c r="IH61" i="3"/>
  <c r="II61" i="3"/>
  <c r="IJ61" i="3"/>
  <c r="IK61" i="3"/>
  <c r="IL61" i="3"/>
  <c r="IM61" i="3"/>
  <c r="IN61" i="3"/>
  <c r="IO61" i="3"/>
  <c r="IP61" i="3"/>
  <c r="IQ61" i="3"/>
  <c r="IR61" i="3"/>
  <c r="IS61" i="3"/>
  <c r="IT61" i="3"/>
  <c r="IU61" i="3"/>
  <c r="IV61" i="3"/>
  <c r="A60" i="3"/>
  <c r="B60" i="3"/>
  <c r="C60" i="3"/>
  <c r="D60" i="3"/>
  <c r="E60" i="3"/>
  <c r="F60" i="3"/>
  <c r="G60" i="3"/>
  <c r="H60" i="3"/>
  <c r="I60" i="3"/>
  <c r="J60" i="3"/>
  <c r="K60" i="3"/>
  <c r="L60" i="3"/>
  <c r="M60" i="3"/>
  <c r="N60" i="3"/>
  <c r="O60" i="3"/>
  <c r="P60" i="3"/>
  <c r="Q60" i="3"/>
  <c r="R60" i="3"/>
  <c r="S60" i="3"/>
  <c r="T60" i="3"/>
  <c r="U60" i="3"/>
  <c r="V60" i="3"/>
  <c r="W60" i="3"/>
  <c r="X60" i="3"/>
  <c r="Y60" i="3"/>
  <c r="Z60" i="3"/>
  <c r="AA60" i="3"/>
  <c r="AB60" i="3"/>
  <c r="AC60" i="3"/>
  <c r="AD60" i="3"/>
  <c r="AE60" i="3"/>
  <c r="AF60" i="3"/>
  <c r="AG60" i="3"/>
  <c r="AH60" i="3"/>
  <c r="AI60" i="3"/>
  <c r="AJ60" i="3"/>
  <c r="AK60" i="3"/>
  <c r="AL60" i="3"/>
  <c r="AM60" i="3"/>
  <c r="AN60" i="3"/>
  <c r="AO60" i="3"/>
  <c r="AP60" i="3"/>
  <c r="AQ60" i="3"/>
  <c r="AR60" i="3"/>
  <c r="AS60" i="3"/>
  <c r="AT60" i="3"/>
  <c r="AU60" i="3"/>
  <c r="AV60" i="3"/>
  <c r="AW60" i="3"/>
  <c r="AX60" i="3"/>
  <c r="AY60" i="3"/>
  <c r="AZ60" i="3"/>
  <c r="BA60" i="3"/>
  <c r="BB60" i="3"/>
  <c r="BC60" i="3"/>
  <c r="BD60" i="3"/>
  <c r="BE60" i="3"/>
  <c r="BF60" i="3"/>
  <c r="BG60" i="3"/>
  <c r="BH60" i="3"/>
  <c r="BI60" i="3"/>
  <c r="BJ60" i="3"/>
  <c r="BK60" i="3"/>
  <c r="BL60" i="3"/>
  <c r="BM60" i="3"/>
  <c r="BN60" i="3"/>
  <c r="BO60" i="3"/>
  <c r="BP60" i="3"/>
  <c r="BQ60" i="3"/>
  <c r="BR60" i="3"/>
  <c r="BS60" i="3"/>
  <c r="BT60" i="3"/>
  <c r="BU60" i="3"/>
  <c r="BV60" i="3"/>
  <c r="BW60" i="3"/>
  <c r="BX60" i="3"/>
  <c r="BY60" i="3"/>
  <c r="BZ60" i="3"/>
  <c r="CA60" i="3"/>
  <c r="CB60" i="3"/>
  <c r="CC60" i="3"/>
  <c r="CD60" i="3"/>
  <c r="CE60" i="3"/>
  <c r="CF60" i="3"/>
  <c r="CG60" i="3"/>
  <c r="CH60" i="3"/>
  <c r="CI60" i="3"/>
  <c r="CJ60" i="3"/>
  <c r="CK60" i="3"/>
  <c r="CL60" i="3"/>
  <c r="CM60" i="3"/>
  <c r="CN60" i="3"/>
  <c r="CO60" i="3"/>
  <c r="CP60" i="3"/>
  <c r="CQ60" i="3"/>
  <c r="CR60" i="3"/>
  <c r="CS60" i="3"/>
  <c r="CT60" i="3"/>
  <c r="CU60" i="3"/>
  <c r="CV60" i="3"/>
  <c r="CW60" i="3"/>
  <c r="CX60" i="3"/>
  <c r="CY60" i="3"/>
  <c r="CZ60" i="3"/>
  <c r="DA60" i="3"/>
  <c r="DB60" i="3"/>
  <c r="DC60" i="3"/>
  <c r="DD60" i="3"/>
  <c r="DE60" i="3"/>
  <c r="DF60" i="3"/>
  <c r="DG60" i="3"/>
  <c r="DH60" i="3"/>
  <c r="DI60" i="3"/>
  <c r="DJ60" i="3"/>
  <c r="DK60" i="3"/>
  <c r="DL60" i="3"/>
  <c r="DM60" i="3"/>
  <c r="DN60" i="3"/>
  <c r="DO60" i="3"/>
  <c r="DP60" i="3"/>
  <c r="DQ60" i="3"/>
  <c r="DR60" i="3"/>
  <c r="DS60" i="3"/>
  <c r="DT60" i="3"/>
  <c r="DU60" i="3"/>
  <c r="DV60" i="3"/>
  <c r="DW60" i="3"/>
  <c r="DX60" i="3"/>
  <c r="DY60" i="3"/>
  <c r="DZ60" i="3"/>
  <c r="EA60" i="3"/>
  <c r="EB60" i="3"/>
  <c r="EC60" i="3"/>
  <c r="ED60" i="3"/>
  <c r="EE60" i="3"/>
  <c r="EF60" i="3"/>
  <c r="EG60" i="3"/>
  <c r="EH60" i="3"/>
  <c r="EI60" i="3"/>
  <c r="EJ60" i="3"/>
  <c r="EK60" i="3"/>
  <c r="EL60" i="3"/>
  <c r="EM60" i="3"/>
  <c r="EN60" i="3"/>
  <c r="EO60" i="3"/>
  <c r="EP60" i="3"/>
  <c r="EQ60" i="3"/>
  <c r="ER60" i="3"/>
  <c r="ES60" i="3"/>
  <c r="ET60" i="3"/>
  <c r="EU60" i="3"/>
  <c r="EV60" i="3"/>
  <c r="EW60" i="3"/>
  <c r="EX60" i="3"/>
  <c r="EY60" i="3"/>
  <c r="EZ60" i="3"/>
  <c r="FA60" i="3"/>
  <c r="FB60" i="3"/>
  <c r="FC60" i="3"/>
  <c r="FD60" i="3"/>
  <c r="FE60" i="3"/>
  <c r="FF60" i="3"/>
  <c r="FG60" i="3"/>
  <c r="FH60" i="3"/>
  <c r="FI60" i="3"/>
  <c r="FJ60" i="3"/>
  <c r="FK60" i="3"/>
  <c r="FL60" i="3"/>
  <c r="FM60" i="3"/>
  <c r="FN60" i="3"/>
  <c r="FO60" i="3"/>
  <c r="FP60" i="3"/>
  <c r="FQ60" i="3"/>
  <c r="FR60" i="3"/>
  <c r="FS60" i="3"/>
  <c r="FT60" i="3"/>
  <c r="FU60" i="3"/>
  <c r="FV60" i="3"/>
  <c r="FW60" i="3"/>
  <c r="FX60" i="3"/>
  <c r="FY60" i="3"/>
  <c r="FZ60" i="3"/>
  <c r="GA60" i="3"/>
  <c r="GB60" i="3"/>
  <c r="GC60" i="3"/>
  <c r="GD60" i="3"/>
  <c r="GE60" i="3"/>
  <c r="GF60" i="3"/>
  <c r="GG60" i="3"/>
  <c r="GH60" i="3"/>
  <c r="GI60" i="3"/>
  <c r="GJ60" i="3"/>
  <c r="GK60" i="3"/>
  <c r="GL60" i="3"/>
  <c r="GM60" i="3"/>
  <c r="GN60" i="3"/>
  <c r="GO60" i="3"/>
  <c r="GP60" i="3"/>
  <c r="GQ60" i="3"/>
  <c r="GR60" i="3"/>
  <c r="GS60" i="3"/>
  <c r="GT60" i="3"/>
  <c r="GU60" i="3"/>
  <c r="GV60" i="3"/>
  <c r="GW60" i="3"/>
  <c r="GX60" i="3"/>
  <c r="GY60" i="3"/>
  <c r="GZ60" i="3"/>
  <c r="HA60" i="3"/>
  <c r="HB60" i="3"/>
  <c r="HC60" i="3"/>
  <c r="HD60" i="3"/>
  <c r="HE60" i="3"/>
  <c r="HF60" i="3"/>
  <c r="HG60" i="3"/>
  <c r="HH60" i="3"/>
  <c r="HI60" i="3"/>
  <c r="HJ60" i="3"/>
  <c r="HK60" i="3"/>
  <c r="HL60" i="3"/>
  <c r="HM60" i="3"/>
  <c r="HN60" i="3"/>
  <c r="HO60" i="3"/>
  <c r="HP60" i="3"/>
  <c r="HQ60" i="3"/>
  <c r="HR60" i="3"/>
  <c r="HS60" i="3"/>
  <c r="HT60" i="3"/>
  <c r="HU60" i="3"/>
  <c r="HV60" i="3"/>
  <c r="HW60" i="3"/>
  <c r="HX60" i="3"/>
  <c r="HY60" i="3"/>
  <c r="HZ60" i="3"/>
  <c r="IA60" i="3"/>
  <c r="IB60" i="3"/>
  <c r="IC60" i="3"/>
  <c r="ID60" i="3"/>
  <c r="IE60" i="3"/>
  <c r="IF60" i="3"/>
  <c r="IG60" i="3"/>
  <c r="IH60" i="3"/>
  <c r="II60" i="3"/>
  <c r="IJ60" i="3"/>
  <c r="IK60" i="3"/>
  <c r="IL60" i="3"/>
  <c r="IM60" i="3"/>
  <c r="IN60" i="3"/>
  <c r="IO60" i="3"/>
  <c r="IP60" i="3"/>
  <c r="IQ60" i="3"/>
  <c r="IR60" i="3"/>
  <c r="IS60" i="3"/>
  <c r="IT60" i="3"/>
  <c r="IU60" i="3"/>
  <c r="IV60" i="3"/>
  <c r="A59" i="3"/>
  <c r="B59" i="3"/>
  <c r="C59" i="3"/>
  <c r="D59" i="3"/>
  <c r="E59" i="3"/>
  <c r="F59" i="3"/>
  <c r="G59" i="3"/>
  <c r="H59" i="3"/>
  <c r="I59" i="3"/>
  <c r="J59" i="3"/>
  <c r="K59" i="3"/>
  <c r="L59" i="3"/>
  <c r="M59" i="3"/>
  <c r="N59" i="3"/>
  <c r="O59" i="3"/>
  <c r="P59" i="3"/>
  <c r="Q59" i="3"/>
  <c r="R59" i="3"/>
  <c r="S59" i="3"/>
  <c r="T59" i="3"/>
  <c r="U59" i="3"/>
  <c r="V59" i="3"/>
  <c r="W59" i="3"/>
  <c r="X59" i="3"/>
  <c r="Y59" i="3"/>
  <c r="Z59" i="3"/>
  <c r="AA59" i="3"/>
  <c r="AB59" i="3"/>
  <c r="AC59" i="3"/>
  <c r="AD59" i="3"/>
  <c r="AE59" i="3"/>
  <c r="AF59" i="3"/>
  <c r="AG59" i="3"/>
  <c r="AH59" i="3"/>
  <c r="AI59" i="3"/>
  <c r="AJ59" i="3"/>
  <c r="AK59" i="3"/>
  <c r="AL59" i="3"/>
  <c r="AM59" i="3"/>
  <c r="AN59" i="3"/>
  <c r="AO59" i="3"/>
  <c r="AP59" i="3"/>
  <c r="AQ59" i="3"/>
  <c r="AR59" i="3"/>
  <c r="AS59" i="3"/>
  <c r="AT59" i="3"/>
  <c r="AU59" i="3"/>
  <c r="AV59" i="3"/>
  <c r="AW59" i="3"/>
  <c r="AX59" i="3"/>
  <c r="AY59" i="3"/>
  <c r="AZ59" i="3"/>
  <c r="BA59" i="3"/>
  <c r="BB59" i="3"/>
  <c r="BC59" i="3"/>
  <c r="BD59" i="3"/>
  <c r="BE59" i="3"/>
  <c r="BF59" i="3"/>
  <c r="BG59" i="3"/>
  <c r="BH59" i="3"/>
  <c r="BI59" i="3"/>
  <c r="BJ59" i="3"/>
  <c r="BK59" i="3"/>
  <c r="BL59" i="3"/>
  <c r="BM59" i="3"/>
  <c r="BN59" i="3"/>
  <c r="BO59" i="3"/>
  <c r="BP59" i="3"/>
  <c r="BQ59" i="3"/>
  <c r="BR59" i="3"/>
  <c r="BS59" i="3"/>
  <c r="BT59" i="3"/>
  <c r="BU59" i="3"/>
  <c r="BV59" i="3"/>
  <c r="BW59" i="3"/>
  <c r="BX59" i="3"/>
  <c r="BY59" i="3"/>
  <c r="BZ59" i="3"/>
  <c r="CA59" i="3"/>
  <c r="CB59" i="3"/>
  <c r="CC59" i="3"/>
  <c r="CD59" i="3"/>
  <c r="CE59" i="3"/>
  <c r="CF59" i="3"/>
  <c r="CG59" i="3"/>
  <c r="CH59" i="3"/>
  <c r="CI59" i="3"/>
  <c r="CJ59" i="3"/>
  <c r="CK59" i="3"/>
  <c r="CL59" i="3"/>
  <c r="CM59" i="3"/>
  <c r="CN59" i="3"/>
  <c r="CO59" i="3"/>
  <c r="CP59" i="3"/>
  <c r="CQ59" i="3"/>
  <c r="CR59" i="3"/>
  <c r="CS59" i="3"/>
  <c r="CT59" i="3"/>
  <c r="CU59" i="3"/>
  <c r="CV59" i="3"/>
  <c r="CW59" i="3"/>
  <c r="CX59" i="3"/>
  <c r="CY59" i="3"/>
  <c r="CZ59" i="3"/>
  <c r="DA59" i="3"/>
  <c r="DB59" i="3"/>
  <c r="DC59" i="3"/>
  <c r="DD59" i="3"/>
  <c r="DE59" i="3"/>
  <c r="DF59" i="3"/>
  <c r="DG59" i="3"/>
  <c r="DH59" i="3"/>
  <c r="DI59" i="3"/>
  <c r="DJ59" i="3"/>
  <c r="DK59" i="3"/>
  <c r="DL59" i="3"/>
  <c r="DM59" i="3"/>
  <c r="DN59" i="3"/>
  <c r="DO59" i="3"/>
  <c r="DP59" i="3"/>
  <c r="DQ59" i="3"/>
  <c r="DR59" i="3"/>
  <c r="DS59" i="3"/>
  <c r="DT59" i="3"/>
  <c r="DU59" i="3"/>
  <c r="DV59" i="3"/>
  <c r="DW59" i="3"/>
  <c r="DX59" i="3"/>
  <c r="DY59" i="3"/>
  <c r="DZ59" i="3"/>
  <c r="EA59" i="3"/>
  <c r="EB59" i="3"/>
  <c r="EC59" i="3"/>
  <c r="ED59" i="3"/>
  <c r="EE59" i="3"/>
  <c r="EF59" i="3"/>
  <c r="EG59" i="3"/>
  <c r="EH59" i="3"/>
  <c r="EI59" i="3"/>
  <c r="EJ59" i="3"/>
  <c r="EK59" i="3"/>
  <c r="EL59" i="3"/>
  <c r="EM59" i="3"/>
  <c r="EN59" i="3"/>
  <c r="EO59" i="3"/>
  <c r="EP59" i="3"/>
  <c r="EQ59" i="3"/>
  <c r="ER59" i="3"/>
  <c r="ES59" i="3"/>
  <c r="ET59" i="3"/>
  <c r="EU59" i="3"/>
  <c r="EV59" i="3"/>
  <c r="EW59" i="3"/>
  <c r="EX59" i="3"/>
  <c r="EY59" i="3"/>
  <c r="EZ59" i="3"/>
  <c r="FA59" i="3"/>
  <c r="FB59" i="3"/>
  <c r="FC59" i="3"/>
  <c r="FD59" i="3"/>
  <c r="FE59" i="3"/>
  <c r="FF59" i="3"/>
  <c r="FG59" i="3"/>
  <c r="FH59" i="3"/>
  <c r="FI59" i="3"/>
  <c r="FJ59" i="3"/>
  <c r="FK59" i="3"/>
  <c r="FL59" i="3"/>
  <c r="FM59" i="3"/>
  <c r="FN59" i="3"/>
  <c r="FO59" i="3"/>
  <c r="FP59" i="3"/>
  <c r="FQ59" i="3"/>
  <c r="FR59" i="3"/>
  <c r="FS59" i="3"/>
  <c r="FT59" i="3"/>
  <c r="FU59" i="3"/>
  <c r="FV59" i="3"/>
  <c r="FW59" i="3"/>
  <c r="FX59" i="3"/>
  <c r="FY59" i="3"/>
  <c r="FZ59" i="3"/>
  <c r="GA59" i="3"/>
  <c r="GB59" i="3"/>
  <c r="GC59" i="3"/>
  <c r="GD59" i="3"/>
  <c r="GE59" i="3"/>
  <c r="GF59" i="3"/>
  <c r="GG59" i="3"/>
  <c r="GH59" i="3"/>
  <c r="GI59" i="3"/>
  <c r="GJ59" i="3"/>
  <c r="GK59" i="3"/>
  <c r="GL59" i="3"/>
  <c r="GM59" i="3"/>
  <c r="GN59" i="3"/>
  <c r="GO59" i="3"/>
  <c r="GP59" i="3"/>
  <c r="GQ59" i="3"/>
  <c r="GR59" i="3"/>
  <c r="GS59" i="3"/>
  <c r="GT59" i="3"/>
  <c r="GU59" i="3"/>
  <c r="GV59" i="3"/>
  <c r="GW59" i="3"/>
  <c r="GX59" i="3"/>
  <c r="GY59" i="3"/>
  <c r="GZ59" i="3"/>
  <c r="HA59" i="3"/>
  <c r="HB59" i="3"/>
  <c r="HC59" i="3"/>
  <c r="HD59" i="3"/>
  <c r="HE59" i="3"/>
  <c r="HF59" i="3"/>
  <c r="HG59" i="3"/>
  <c r="HH59" i="3"/>
  <c r="HI59" i="3"/>
  <c r="HJ59" i="3"/>
  <c r="HK59" i="3"/>
  <c r="HL59" i="3"/>
  <c r="HM59" i="3"/>
  <c r="HN59" i="3"/>
  <c r="HO59" i="3"/>
  <c r="HP59" i="3"/>
  <c r="HQ59" i="3"/>
  <c r="HR59" i="3"/>
  <c r="HS59" i="3"/>
  <c r="HT59" i="3"/>
  <c r="HU59" i="3"/>
  <c r="HV59" i="3"/>
  <c r="HW59" i="3"/>
  <c r="HX59" i="3"/>
  <c r="HY59" i="3"/>
  <c r="HZ59" i="3"/>
  <c r="IA59" i="3"/>
  <c r="IB59" i="3"/>
  <c r="IC59" i="3"/>
  <c r="ID59" i="3"/>
  <c r="IE59" i="3"/>
  <c r="IF59" i="3"/>
  <c r="IG59" i="3"/>
  <c r="IH59" i="3"/>
  <c r="II59" i="3"/>
  <c r="IJ59" i="3"/>
  <c r="IK59" i="3"/>
  <c r="IL59" i="3"/>
  <c r="IM59" i="3"/>
  <c r="IN59" i="3"/>
  <c r="IO59" i="3"/>
  <c r="IP59" i="3"/>
  <c r="IQ59" i="3"/>
  <c r="IR59" i="3"/>
  <c r="IS59" i="3"/>
  <c r="IT59" i="3"/>
  <c r="IU59" i="3"/>
  <c r="IV59" i="3"/>
  <c r="A58" i="3"/>
  <c r="B58" i="3"/>
  <c r="C58" i="3"/>
  <c r="D58" i="3"/>
  <c r="E58" i="3"/>
  <c r="F58" i="3"/>
  <c r="G58" i="3"/>
  <c r="H58" i="3"/>
  <c r="I58" i="3"/>
  <c r="J58" i="3"/>
  <c r="K58" i="3"/>
  <c r="L58" i="3"/>
  <c r="M58" i="3"/>
  <c r="N58" i="3"/>
  <c r="O58" i="3"/>
  <c r="P58" i="3"/>
  <c r="Q58" i="3"/>
  <c r="R58" i="3"/>
  <c r="S58" i="3"/>
  <c r="T58" i="3"/>
  <c r="U58" i="3"/>
  <c r="V58" i="3"/>
  <c r="W58" i="3"/>
  <c r="X58" i="3"/>
  <c r="Y58" i="3"/>
  <c r="Z58" i="3"/>
  <c r="AA58" i="3"/>
  <c r="AB58" i="3"/>
  <c r="AC58" i="3"/>
  <c r="AD58" i="3"/>
  <c r="AE58" i="3"/>
  <c r="AF58" i="3"/>
  <c r="AG58" i="3"/>
  <c r="AH58" i="3"/>
  <c r="AI58" i="3"/>
  <c r="AJ58" i="3"/>
  <c r="AK58" i="3"/>
  <c r="AL58" i="3"/>
  <c r="AM58" i="3"/>
  <c r="AN58" i="3"/>
  <c r="AO58" i="3"/>
  <c r="AP58" i="3"/>
  <c r="AQ58" i="3"/>
  <c r="AR58" i="3"/>
  <c r="AS58" i="3"/>
  <c r="AT58" i="3"/>
  <c r="AU58" i="3"/>
  <c r="AV58" i="3"/>
  <c r="AW58" i="3"/>
  <c r="AX58" i="3"/>
  <c r="AY58" i="3"/>
  <c r="AZ58" i="3"/>
  <c r="BA58" i="3"/>
  <c r="BB58" i="3"/>
  <c r="BC58" i="3"/>
  <c r="BD58" i="3"/>
  <c r="BE58" i="3"/>
  <c r="BF58" i="3"/>
  <c r="BG58" i="3"/>
  <c r="BH58" i="3"/>
  <c r="BI58" i="3"/>
  <c r="BJ58" i="3"/>
  <c r="BK58" i="3"/>
  <c r="BL58" i="3"/>
  <c r="BM58" i="3"/>
  <c r="BN58" i="3"/>
  <c r="BO58" i="3"/>
  <c r="BP58" i="3"/>
  <c r="BQ58" i="3"/>
  <c r="BR58" i="3"/>
  <c r="BS58" i="3"/>
  <c r="BT58" i="3"/>
  <c r="BU58" i="3"/>
  <c r="BV58" i="3"/>
  <c r="BW58" i="3"/>
  <c r="BX58" i="3"/>
  <c r="BY58" i="3"/>
  <c r="BZ58" i="3"/>
  <c r="CA58" i="3"/>
  <c r="CB58" i="3"/>
  <c r="CC58" i="3"/>
  <c r="CD58" i="3"/>
  <c r="CE58" i="3"/>
  <c r="CF58" i="3"/>
  <c r="CG58" i="3"/>
  <c r="CH58" i="3"/>
  <c r="CI58" i="3"/>
  <c r="CJ58" i="3"/>
  <c r="CK58" i="3"/>
  <c r="CL58" i="3"/>
  <c r="CM58" i="3"/>
  <c r="CN58" i="3"/>
  <c r="CO58" i="3"/>
  <c r="CP58" i="3"/>
  <c r="CQ58" i="3"/>
  <c r="CR58" i="3"/>
  <c r="CS58" i="3"/>
  <c r="CT58" i="3"/>
  <c r="CU58" i="3"/>
  <c r="CV58" i="3"/>
  <c r="CW58" i="3"/>
  <c r="CX58" i="3"/>
  <c r="CY58" i="3"/>
  <c r="CZ58" i="3"/>
  <c r="DA58" i="3"/>
  <c r="DB58" i="3"/>
  <c r="DC58" i="3"/>
  <c r="DD58" i="3"/>
  <c r="DE58" i="3"/>
  <c r="DF58" i="3"/>
  <c r="DG58" i="3"/>
  <c r="DH58" i="3"/>
  <c r="DI58" i="3"/>
  <c r="DJ58" i="3"/>
  <c r="DK58" i="3"/>
  <c r="DL58" i="3"/>
  <c r="DM58" i="3"/>
  <c r="DN58" i="3"/>
  <c r="DO58" i="3"/>
  <c r="DP58" i="3"/>
  <c r="DQ58" i="3"/>
  <c r="DR58" i="3"/>
  <c r="DS58" i="3"/>
  <c r="DT58" i="3"/>
  <c r="DU58" i="3"/>
  <c r="DV58" i="3"/>
  <c r="DW58" i="3"/>
  <c r="DX58" i="3"/>
  <c r="DY58" i="3"/>
  <c r="DZ58" i="3"/>
  <c r="EA58" i="3"/>
  <c r="EB58" i="3"/>
  <c r="EC58" i="3"/>
  <c r="ED58" i="3"/>
  <c r="EE58" i="3"/>
  <c r="EF58" i="3"/>
  <c r="EG58" i="3"/>
  <c r="EH58" i="3"/>
  <c r="EI58" i="3"/>
  <c r="EJ58" i="3"/>
  <c r="EK58" i="3"/>
  <c r="EL58" i="3"/>
  <c r="EM58" i="3"/>
  <c r="EN58" i="3"/>
  <c r="EO58" i="3"/>
  <c r="EP58" i="3"/>
  <c r="EQ58" i="3"/>
  <c r="ER58" i="3"/>
  <c r="ES58" i="3"/>
  <c r="ET58" i="3"/>
  <c r="EU58" i="3"/>
  <c r="EV58" i="3"/>
  <c r="EW58" i="3"/>
  <c r="EX58" i="3"/>
  <c r="EY58" i="3"/>
  <c r="EZ58" i="3"/>
  <c r="FA58" i="3"/>
  <c r="FB58" i="3"/>
  <c r="FC58" i="3"/>
  <c r="FD58" i="3"/>
  <c r="FE58" i="3"/>
  <c r="FF58" i="3"/>
  <c r="FG58" i="3"/>
  <c r="FH58" i="3"/>
  <c r="FI58" i="3"/>
  <c r="FJ58" i="3"/>
  <c r="FK58" i="3"/>
  <c r="FL58" i="3"/>
  <c r="FM58" i="3"/>
  <c r="FN58" i="3"/>
  <c r="FO58" i="3"/>
  <c r="FP58" i="3"/>
  <c r="FQ58" i="3"/>
  <c r="FR58" i="3"/>
  <c r="FS58" i="3"/>
  <c r="FT58" i="3"/>
  <c r="FU58" i="3"/>
  <c r="FV58" i="3"/>
  <c r="FW58" i="3"/>
  <c r="FX58" i="3"/>
  <c r="FY58" i="3"/>
  <c r="FZ58" i="3"/>
  <c r="GA58" i="3"/>
  <c r="GB58" i="3"/>
  <c r="GC58" i="3"/>
  <c r="GD58" i="3"/>
  <c r="GE58" i="3"/>
  <c r="GF58" i="3"/>
  <c r="GG58" i="3"/>
  <c r="GH58" i="3"/>
  <c r="GI58" i="3"/>
  <c r="GJ58" i="3"/>
  <c r="GK58" i="3"/>
  <c r="GL58" i="3"/>
  <c r="GM58" i="3"/>
  <c r="GN58" i="3"/>
  <c r="GO58" i="3"/>
  <c r="GP58" i="3"/>
  <c r="GQ58" i="3"/>
  <c r="GR58" i="3"/>
  <c r="GS58" i="3"/>
  <c r="GT58" i="3"/>
  <c r="GU58" i="3"/>
  <c r="GV58" i="3"/>
  <c r="GW58" i="3"/>
  <c r="GX58" i="3"/>
  <c r="GY58" i="3"/>
  <c r="GZ58" i="3"/>
  <c r="HA58" i="3"/>
  <c r="HB58" i="3"/>
  <c r="HC58" i="3"/>
  <c r="HD58" i="3"/>
  <c r="HE58" i="3"/>
  <c r="HF58" i="3"/>
  <c r="HG58" i="3"/>
  <c r="HH58" i="3"/>
  <c r="HI58" i="3"/>
  <c r="HJ58" i="3"/>
  <c r="HK58" i="3"/>
  <c r="HL58" i="3"/>
  <c r="HM58" i="3"/>
  <c r="HN58" i="3"/>
  <c r="HO58" i="3"/>
  <c r="HP58" i="3"/>
  <c r="HQ58" i="3"/>
  <c r="HR58" i="3"/>
  <c r="HS58" i="3"/>
  <c r="HT58" i="3"/>
  <c r="HU58" i="3"/>
  <c r="HV58" i="3"/>
  <c r="HW58" i="3"/>
  <c r="HX58" i="3"/>
  <c r="HY58" i="3"/>
  <c r="HZ58" i="3"/>
  <c r="IA58" i="3"/>
  <c r="IB58" i="3"/>
  <c r="IC58" i="3"/>
  <c r="ID58" i="3"/>
  <c r="IE58" i="3"/>
  <c r="IF58" i="3"/>
  <c r="IG58" i="3"/>
  <c r="IH58" i="3"/>
  <c r="II58" i="3"/>
  <c r="IJ58" i="3"/>
  <c r="IK58" i="3"/>
  <c r="IL58" i="3"/>
  <c r="IM58" i="3"/>
  <c r="IN58" i="3"/>
  <c r="IO58" i="3"/>
  <c r="IP58" i="3"/>
  <c r="IQ58" i="3"/>
  <c r="IR58" i="3"/>
  <c r="IS58" i="3"/>
  <c r="IT58" i="3"/>
  <c r="IU58" i="3"/>
  <c r="IV58" i="3"/>
  <c r="A57" i="3"/>
  <c r="B57" i="3"/>
  <c r="C57" i="3"/>
  <c r="D57" i="3"/>
  <c r="E57" i="3"/>
  <c r="F57" i="3"/>
  <c r="G57" i="3"/>
  <c r="H57" i="3"/>
  <c r="I57" i="3"/>
  <c r="J57" i="3"/>
  <c r="K57" i="3"/>
  <c r="L57" i="3"/>
  <c r="M57" i="3"/>
  <c r="N57" i="3"/>
  <c r="O57" i="3"/>
  <c r="P57" i="3"/>
  <c r="Q57" i="3"/>
  <c r="R57" i="3"/>
  <c r="S57" i="3"/>
  <c r="T57" i="3"/>
  <c r="U57" i="3"/>
  <c r="V57" i="3"/>
  <c r="W57" i="3"/>
  <c r="X57" i="3"/>
  <c r="Y57" i="3"/>
  <c r="Z57" i="3"/>
  <c r="AA57" i="3"/>
  <c r="AB57" i="3"/>
  <c r="AC57" i="3"/>
  <c r="AD57" i="3"/>
  <c r="AE57" i="3"/>
  <c r="AF57" i="3"/>
  <c r="AG57" i="3"/>
  <c r="AH57" i="3"/>
  <c r="AI57" i="3"/>
  <c r="AJ57" i="3"/>
  <c r="AK57" i="3"/>
  <c r="AL57" i="3"/>
  <c r="AM57" i="3"/>
  <c r="AN57" i="3"/>
  <c r="AO57" i="3"/>
  <c r="AP57" i="3"/>
  <c r="AQ57" i="3"/>
  <c r="AR57" i="3"/>
  <c r="AS57" i="3"/>
  <c r="AT57" i="3"/>
  <c r="AU57" i="3"/>
  <c r="AV57" i="3"/>
  <c r="AW57" i="3"/>
  <c r="AX57" i="3"/>
  <c r="AY57" i="3"/>
  <c r="AZ57" i="3"/>
  <c r="BA57" i="3"/>
  <c r="BB57" i="3"/>
  <c r="BC57" i="3"/>
  <c r="BD57" i="3"/>
  <c r="BE57" i="3"/>
  <c r="BF57" i="3"/>
  <c r="BG57" i="3"/>
  <c r="BH57" i="3"/>
  <c r="BI57" i="3"/>
  <c r="BJ57" i="3"/>
  <c r="BK57" i="3"/>
  <c r="BL57" i="3"/>
  <c r="BM57" i="3"/>
  <c r="BN57" i="3"/>
  <c r="BO57" i="3"/>
  <c r="BP57" i="3"/>
  <c r="BQ57" i="3"/>
  <c r="BR57" i="3"/>
  <c r="BS57" i="3"/>
  <c r="BT57" i="3"/>
  <c r="BU57" i="3"/>
  <c r="BV57" i="3"/>
  <c r="BW57" i="3"/>
  <c r="BX57" i="3"/>
  <c r="BY57" i="3"/>
  <c r="BZ57" i="3"/>
  <c r="CA57" i="3"/>
  <c r="CB57" i="3"/>
  <c r="CC57" i="3"/>
  <c r="CD57" i="3"/>
  <c r="CE57" i="3"/>
  <c r="CF57" i="3"/>
  <c r="CG57" i="3"/>
  <c r="CH57" i="3"/>
  <c r="CI57" i="3"/>
  <c r="CJ57" i="3"/>
  <c r="CK57" i="3"/>
  <c r="CL57" i="3"/>
  <c r="CM57" i="3"/>
  <c r="CN57" i="3"/>
  <c r="CO57" i="3"/>
  <c r="CP57" i="3"/>
  <c r="CQ57" i="3"/>
  <c r="CR57" i="3"/>
  <c r="CS57" i="3"/>
  <c r="CT57" i="3"/>
  <c r="CU57" i="3"/>
  <c r="CV57" i="3"/>
  <c r="CW57" i="3"/>
  <c r="CX57" i="3"/>
  <c r="CY57" i="3"/>
  <c r="CZ57" i="3"/>
  <c r="DA57" i="3"/>
  <c r="DB57" i="3"/>
  <c r="DC57" i="3"/>
  <c r="DD57" i="3"/>
  <c r="DE57" i="3"/>
  <c r="DF57" i="3"/>
  <c r="DG57" i="3"/>
  <c r="DH57" i="3"/>
  <c r="DI57" i="3"/>
  <c r="DJ57" i="3"/>
  <c r="DK57" i="3"/>
  <c r="DL57" i="3"/>
  <c r="DM57" i="3"/>
  <c r="DN57" i="3"/>
  <c r="DO57" i="3"/>
  <c r="DP57" i="3"/>
  <c r="DQ57" i="3"/>
  <c r="DR57" i="3"/>
  <c r="DS57" i="3"/>
  <c r="DT57" i="3"/>
  <c r="DU57" i="3"/>
  <c r="DV57" i="3"/>
  <c r="DW57" i="3"/>
  <c r="DX57" i="3"/>
  <c r="DY57" i="3"/>
  <c r="DZ57" i="3"/>
  <c r="EA57" i="3"/>
  <c r="EB57" i="3"/>
  <c r="EC57" i="3"/>
  <c r="ED57" i="3"/>
  <c r="EE57" i="3"/>
  <c r="EF57" i="3"/>
  <c r="EG57" i="3"/>
  <c r="EH57" i="3"/>
  <c r="EI57" i="3"/>
  <c r="EJ57" i="3"/>
  <c r="EK57" i="3"/>
  <c r="EL57" i="3"/>
  <c r="EM57" i="3"/>
  <c r="EN57" i="3"/>
  <c r="EO57" i="3"/>
  <c r="EP57" i="3"/>
  <c r="EQ57" i="3"/>
  <c r="ER57" i="3"/>
  <c r="ES57" i="3"/>
  <c r="ET57" i="3"/>
  <c r="EU57" i="3"/>
  <c r="EV57" i="3"/>
  <c r="EW57" i="3"/>
  <c r="EX57" i="3"/>
  <c r="EY57" i="3"/>
  <c r="EZ57" i="3"/>
  <c r="FA57" i="3"/>
  <c r="FB57" i="3"/>
  <c r="FC57" i="3"/>
  <c r="FD57" i="3"/>
  <c r="FE57" i="3"/>
  <c r="FF57" i="3"/>
  <c r="FG57" i="3"/>
  <c r="FH57" i="3"/>
  <c r="FI57" i="3"/>
  <c r="FJ57" i="3"/>
  <c r="FK57" i="3"/>
  <c r="FL57" i="3"/>
  <c r="FM57" i="3"/>
  <c r="FN57" i="3"/>
  <c r="FO57" i="3"/>
  <c r="FP57" i="3"/>
  <c r="FQ57" i="3"/>
  <c r="FR57" i="3"/>
  <c r="FS57" i="3"/>
  <c r="FT57" i="3"/>
  <c r="FU57" i="3"/>
  <c r="FV57" i="3"/>
  <c r="FW57" i="3"/>
  <c r="FX57" i="3"/>
  <c r="FY57" i="3"/>
  <c r="FZ57" i="3"/>
  <c r="GA57" i="3"/>
  <c r="GB57" i="3"/>
  <c r="GC57" i="3"/>
  <c r="GD57" i="3"/>
  <c r="GE57" i="3"/>
  <c r="GF57" i="3"/>
  <c r="GG57" i="3"/>
  <c r="GH57" i="3"/>
  <c r="GI57" i="3"/>
  <c r="GJ57" i="3"/>
  <c r="GK57" i="3"/>
  <c r="GL57" i="3"/>
  <c r="GM57" i="3"/>
  <c r="GN57" i="3"/>
  <c r="GO57" i="3"/>
  <c r="GP57" i="3"/>
  <c r="GQ57" i="3"/>
  <c r="GR57" i="3"/>
  <c r="GS57" i="3"/>
  <c r="GT57" i="3"/>
  <c r="GU57" i="3"/>
  <c r="GV57" i="3"/>
  <c r="GW57" i="3"/>
  <c r="GX57" i="3"/>
  <c r="GY57" i="3"/>
  <c r="GZ57" i="3"/>
  <c r="HA57" i="3"/>
  <c r="HB57" i="3"/>
  <c r="HC57" i="3"/>
  <c r="HD57" i="3"/>
  <c r="HE57" i="3"/>
  <c r="HF57" i="3"/>
  <c r="HG57" i="3"/>
  <c r="HH57" i="3"/>
  <c r="HI57" i="3"/>
  <c r="HJ57" i="3"/>
  <c r="HK57" i="3"/>
  <c r="HL57" i="3"/>
  <c r="HM57" i="3"/>
  <c r="HN57" i="3"/>
  <c r="HO57" i="3"/>
  <c r="HP57" i="3"/>
  <c r="HQ57" i="3"/>
  <c r="HR57" i="3"/>
  <c r="HS57" i="3"/>
  <c r="HT57" i="3"/>
  <c r="HU57" i="3"/>
  <c r="HV57" i="3"/>
  <c r="HW57" i="3"/>
  <c r="HX57" i="3"/>
  <c r="HY57" i="3"/>
  <c r="HZ57" i="3"/>
  <c r="IA57" i="3"/>
  <c r="IB57" i="3"/>
  <c r="IC57" i="3"/>
  <c r="ID57" i="3"/>
  <c r="IE57" i="3"/>
  <c r="IF57" i="3"/>
  <c r="IG57" i="3"/>
  <c r="IH57" i="3"/>
  <c r="II57" i="3"/>
  <c r="IJ57" i="3"/>
  <c r="IK57" i="3"/>
  <c r="IL57" i="3"/>
  <c r="IM57" i="3"/>
  <c r="IN57" i="3"/>
  <c r="IO57" i="3"/>
  <c r="IP57" i="3"/>
  <c r="IQ57" i="3"/>
  <c r="IR57" i="3"/>
  <c r="IS57" i="3"/>
  <c r="IT57" i="3"/>
  <c r="IU57" i="3"/>
  <c r="IV57" i="3"/>
  <c r="A56" i="3"/>
  <c r="B56" i="3"/>
  <c r="C56" i="3"/>
  <c r="D56" i="3"/>
  <c r="E56" i="3"/>
  <c r="F56" i="3"/>
  <c r="G56" i="3"/>
  <c r="H56" i="3"/>
  <c r="I56" i="3"/>
  <c r="J56" i="3"/>
  <c r="K56" i="3"/>
  <c r="L56" i="3"/>
  <c r="M56" i="3"/>
  <c r="N56" i="3"/>
  <c r="O56" i="3"/>
  <c r="P56" i="3"/>
  <c r="Q56" i="3"/>
  <c r="R56" i="3"/>
  <c r="S56" i="3"/>
  <c r="T56" i="3"/>
  <c r="U56" i="3"/>
  <c r="V56" i="3"/>
  <c r="W56" i="3"/>
  <c r="X56" i="3"/>
  <c r="Y56" i="3"/>
  <c r="Z56" i="3"/>
  <c r="AA56" i="3"/>
  <c r="AB56" i="3"/>
  <c r="AC56" i="3"/>
  <c r="AD56" i="3"/>
  <c r="AE56" i="3"/>
  <c r="AF56" i="3"/>
  <c r="AG56" i="3"/>
  <c r="AH56" i="3"/>
  <c r="AI56" i="3"/>
  <c r="AJ56" i="3"/>
  <c r="AK56" i="3"/>
  <c r="AL56" i="3"/>
  <c r="AM56" i="3"/>
  <c r="AN56" i="3"/>
  <c r="AO56" i="3"/>
  <c r="AP56" i="3"/>
  <c r="AQ56" i="3"/>
  <c r="AR56" i="3"/>
  <c r="AS56" i="3"/>
  <c r="AT56" i="3"/>
  <c r="AU56" i="3"/>
  <c r="AV56" i="3"/>
  <c r="AW56" i="3"/>
  <c r="AX56" i="3"/>
  <c r="AY56" i="3"/>
  <c r="AZ56" i="3"/>
  <c r="BA56" i="3"/>
  <c r="BB56" i="3"/>
  <c r="BC56" i="3"/>
  <c r="BD56" i="3"/>
  <c r="BE56" i="3"/>
  <c r="BF56" i="3"/>
  <c r="BG56" i="3"/>
  <c r="BH56" i="3"/>
  <c r="BI56" i="3"/>
  <c r="BJ56" i="3"/>
  <c r="BK56" i="3"/>
  <c r="BL56" i="3"/>
  <c r="BM56" i="3"/>
  <c r="BN56" i="3"/>
  <c r="BO56" i="3"/>
  <c r="BP56" i="3"/>
  <c r="BQ56" i="3"/>
  <c r="BR56" i="3"/>
  <c r="BS56" i="3"/>
  <c r="BT56" i="3"/>
  <c r="BU56" i="3"/>
  <c r="BV56" i="3"/>
  <c r="BW56" i="3"/>
  <c r="BX56" i="3"/>
  <c r="BY56" i="3"/>
  <c r="BZ56" i="3"/>
  <c r="CA56" i="3"/>
  <c r="CB56" i="3"/>
  <c r="CC56" i="3"/>
  <c r="CD56" i="3"/>
  <c r="CE56" i="3"/>
  <c r="CF56" i="3"/>
  <c r="CG56" i="3"/>
  <c r="CH56" i="3"/>
  <c r="CI56" i="3"/>
  <c r="CJ56" i="3"/>
  <c r="CK56" i="3"/>
  <c r="CL56" i="3"/>
  <c r="CM56" i="3"/>
  <c r="CN56" i="3"/>
  <c r="CO56" i="3"/>
  <c r="CP56" i="3"/>
  <c r="CQ56" i="3"/>
  <c r="CR56" i="3"/>
  <c r="CS56" i="3"/>
  <c r="CT56" i="3"/>
  <c r="CU56" i="3"/>
  <c r="CV56" i="3"/>
  <c r="CW56" i="3"/>
  <c r="CX56" i="3"/>
  <c r="CY56" i="3"/>
  <c r="CZ56" i="3"/>
  <c r="DA56" i="3"/>
  <c r="DB56" i="3"/>
  <c r="DC56" i="3"/>
  <c r="DD56" i="3"/>
  <c r="DE56" i="3"/>
  <c r="DF56" i="3"/>
  <c r="DG56" i="3"/>
  <c r="DH56" i="3"/>
  <c r="DI56" i="3"/>
  <c r="DJ56" i="3"/>
  <c r="DK56" i="3"/>
  <c r="DL56" i="3"/>
  <c r="DM56" i="3"/>
  <c r="DN56" i="3"/>
  <c r="DO56" i="3"/>
  <c r="DP56" i="3"/>
  <c r="DQ56" i="3"/>
  <c r="DR56" i="3"/>
  <c r="DS56" i="3"/>
  <c r="DT56" i="3"/>
  <c r="DU56" i="3"/>
  <c r="DV56" i="3"/>
  <c r="DW56" i="3"/>
  <c r="DX56" i="3"/>
  <c r="DY56" i="3"/>
  <c r="DZ56" i="3"/>
  <c r="EA56" i="3"/>
  <c r="EB56" i="3"/>
  <c r="EC56" i="3"/>
  <c r="ED56" i="3"/>
  <c r="EE56" i="3"/>
  <c r="EF56" i="3"/>
  <c r="EG56" i="3"/>
  <c r="EH56" i="3"/>
  <c r="EI56" i="3"/>
  <c r="EJ56" i="3"/>
  <c r="EK56" i="3"/>
  <c r="EL56" i="3"/>
  <c r="EM56" i="3"/>
  <c r="EN56" i="3"/>
  <c r="EO56" i="3"/>
  <c r="EP56" i="3"/>
  <c r="EQ56" i="3"/>
  <c r="ER56" i="3"/>
  <c r="ES56" i="3"/>
  <c r="ET56" i="3"/>
  <c r="EU56" i="3"/>
  <c r="EV56" i="3"/>
  <c r="EW56" i="3"/>
  <c r="EX56" i="3"/>
  <c r="EY56" i="3"/>
  <c r="EZ56" i="3"/>
  <c r="FA56" i="3"/>
  <c r="FB56" i="3"/>
  <c r="FC56" i="3"/>
  <c r="FD56" i="3"/>
  <c r="FE56" i="3"/>
  <c r="FF56" i="3"/>
  <c r="FG56" i="3"/>
  <c r="FH56" i="3"/>
  <c r="FI56" i="3"/>
  <c r="FJ56" i="3"/>
  <c r="FK56" i="3"/>
  <c r="FL56" i="3"/>
  <c r="FM56" i="3"/>
  <c r="FN56" i="3"/>
  <c r="FO56" i="3"/>
  <c r="FP56" i="3"/>
  <c r="FQ56" i="3"/>
  <c r="FR56" i="3"/>
  <c r="FS56" i="3"/>
  <c r="FT56" i="3"/>
  <c r="FU56" i="3"/>
  <c r="FV56" i="3"/>
  <c r="FW56" i="3"/>
  <c r="FX56" i="3"/>
  <c r="FY56" i="3"/>
  <c r="FZ56" i="3"/>
  <c r="GA56" i="3"/>
  <c r="GB56" i="3"/>
  <c r="GC56" i="3"/>
  <c r="GD56" i="3"/>
  <c r="GE56" i="3"/>
  <c r="GF56" i="3"/>
  <c r="GG56" i="3"/>
  <c r="GH56" i="3"/>
  <c r="GI56" i="3"/>
  <c r="GJ56" i="3"/>
  <c r="GK56" i="3"/>
  <c r="GL56" i="3"/>
  <c r="GM56" i="3"/>
  <c r="GN56" i="3"/>
  <c r="GO56" i="3"/>
  <c r="GP56" i="3"/>
  <c r="GQ56" i="3"/>
  <c r="GR56" i="3"/>
  <c r="GS56" i="3"/>
  <c r="GT56" i="3"/>
  <c r="GU56" i="3"/>
  <c r="GV56" i="3"/>
  <c r="GW56" i="3"/>
  <c r="GX56" i="3"/>
  <c r="GY56" i="3"/>
  <c r="GZ56" i="3"/>
  <c r="HA56" i="3"/>
  <c r="HB56" i="3"/>
  <c r="HC56" i="3"/>
  <c r="HD56" i="3"/>
  <c r="HE56" i="3"/>
  <c r="HF56" i="3"/>
  <c r="HG56" i="3"/>
  <c r="HH56" i="3"/>
  <c r="HI56" i="3"/>
  <c r="HJ56" i="3"/>
  <c r="HK56" i="3"/>
  <c r="HL56" i="3"/>
  <c r="HM56" i="3"/>
  <c r="HN56" i="3"/>
  <c r="HO56" i="3"/>
  <c r="HP56" i="3"/>
  <c r="HQ56" i="3"/>
  <c r="HR56" i="3"/>
  <c r="HS56" i="3"/>
  <c r="HT56" i="3"/>
  <c r="HU56" i="3"/>
  <c r="HV56" i="3"/>
  <c r="HW56" i="3"/>
  <c r="HX56" i="3"/>
  <c r="HY56" i="3"/>
  <c r="HZ56" i="3"/>
  <c r="IA56" i="3"/>
  <c r="IB56" i="3"/>
  <c r="IC56" i="3"/>
  <c r="ID56" i="3"/>
  <c r="IE56" i="3"/>
  <c r="IF56" i="3"/>
  <c r="IG56" i="3"/>
  <c r="IH56" i="3"/>
  <c r="II56" i="3"/>
  <c r="IJ56" i="3"/>
  <c r="IK56" i="3"/>
  <c r="IL56" i="3"/>
  <c r="IM56" i="3"/>
  <c r="IN56" i="3"/>
  <c r="IO56" i="3"/>
  <c r="IP56" i="3"/>
  <c r="IQ56" i="3"/>
  <c r="IR56" i="3"/>
  <c r="IS56" i="3"/>
  <c r="IT56" i="3"/>
  <c r="IU56" i="3"/>
  <c r="IV56" i="3"/>
  <c r="A55" i="3"/>
  <c r="B55" i="3"/>
  <c r="C55" i="3"/>
  <c r="D55" i="3"/>
  <c r="E55" i="3"/>
  <c r="F55" i="3"/>
  <c r="G55" i="3"/>
  <c r="H55" i="3"/>
  <c r="I55" i="3"/>
  <c r="J55" i="3"/>
  <c r="K55" i="3"/>
  <c r="L55" i="3"/>
  <c r="M55" i="3"/>
  <c r="N55" i="3"/>
  <c r="O55" i="3"/>
  <c r="P55" i="3"/>
  <c r="Q55" i="3"/>
  <c r="R55" i="3"/>
  <c r="S55" i="3"/>
  <c r="T55" i="3"/>
  <c r="U55" i="3"/>
  <c r="V55" i="3"/>
  <c r="W55" i="3"/>
  <c r="X55" i="3"/>
  <c r="Y55" i="3"/>
  <c r="Z55" i="3"/>
  <c r="AA55" i="3"/>
  <c r="AB55" i="3"/>
  <c r="AC55" i="3"/>
  <c r="AD55" i="3"/>
  <c r="AE55" i="3"/>
  <c r="AF55" i="3"/>
  <c r="AG55" i="3"/>
  <c r="AH55" i="3"/>
  <c r="AI55" i="3"/>
  <c r="AJ55" i="3"/>
  <c r="AK55" i="3"/>
  <c r="AL55" i="3"/>
  <c r="AM55" i="3"/>
  <c r="AN55" i="3"/>
  <c r="AO55" i="3"/>
  <c r="AP55" i="3"/>
  <c r="AQ55" i="3"/>
  <c r="AR55" i="3"/>
  <c r="AS55" i="3"/>
  <c r="AT55" i="3"/>
  <c r="AU55" i="3"/>
  <c r="AV55" i="3"/>
  <c r="AW55" i="3"/>
  <c r="AX55" i="3"/>
  <c r="AY55" i="3"/>
  <c r="AZ55" i="3"/>
  <c r="BA55" i="3"/>
  <c r="BB55" i="3"/>
  <c r="BC55" i="3"/>
  <c r="BD55" i="3"/>
  <c r="BE55" i="3"/>
  <c r="BF55" i="3"/>
  <c r="BG55" i="3"/>
  <c r="BH55" i="3"/>
  <c r="BI55" i="3"/>
  <c r="BJ55" i="3"/>
  <c r="BK55" i="3"/>
  <c r="BL55" i="3"/>
  <c r="BM55" i="3"/>
  <c r="BN55" i="3"/>
  <c r="BO55" i="3"/>
  <c r="BP55" i="3"/>
  <c r="BQ55" i="3"/>
  <c r="BR55" i="3"/>
  <c r="BS55" i="3"/>
  <c r="BT55" i="3"/>
  <c r="BU55" i="3"/>
  <c r="BV55" i="3"/>
  <c r="BW55" i="3"/>
  <c r="BX55" i="3"/>
  <c r="BY55" i="3"/>
  <c r="BZ55" i="3"/>
  <c r="CA55" i="3"/>
  <c r="CB55" i="3"/>
  <c r="CC55" i="3"/>
  <c r="CD55" i="3"/>
  <c r="CE55" i="3"/>
  <c r="CF55" i="3"/>
  <c r="CG55" i="3"/>
  <c r="CH55" i="3"/>
  <c r="CI55" i="3"/>
  <c r="CJ55" i="3"/>
  <c r="CK55" i="3"/>
  <c r="CL55" i="3"/>
  <c r="CM55" i="3"/>
  <c r="CN55" i="3"/>
  <c r="CO55" i="3"/>
  <c r="CP55" i="3"/>
  <c r="CQ55" i="3"/>
  <c r="CR55" i="3"/>
  <c r="CS55" i="3"/>
  <c r="CT55" i="3"/>
  <c r="CU55" i="3"/>
  <c r="CV55" i="3"/>
  <c r="CW55" i="3"/>
  <c r="CX55" i="3"/>
  <c r="CY55" i="3"/>
  <c r="CZ55" i="3"/>
  <c r="DA55" i="3"/>
  <c r="DB55" i="3"/>
  <c r="DC55" i="3"/>
  <c r="DD55" i="3"/>
  <c r="DE55" i="3"/>
  <c r="DF55" i="3"/>
  <c r="DG55" i="3"/>
  <c r="DH55" i="3"/>
  <c r="DI55" i="3"/>
  <c r="DJ55" i="3"/>
  <c r="DK55" i="3"/>
  <c r="DL55" i="3"/>
  <c r="DM55" i="3"/>
  <c r="DN55" i="3"/>
  <c r="DO55" i="3"/>
  <c r="DP55" i="3"/>
  <c r="DQ55" i="3"/>
  <c r="DR55" i="3"/>
  <c r="DS55" i="3"/>
  <c r="DT55" i="3"/>
  <c r="DU55" i="3"/>
  <c r="DV55" i="3"/>
  <c r="DW55" i="3"/>
  <c r="DX55" i="3"/>
  <c r="DY55" i="3"/>
  <c r="DZ55" i="3"/>
  <c r="EA55" i="3"/>
  <c r="EB55" i="3"/>
  <c r="EC55" i="3"/>
  <c r="ED55" i="3"/>
  <c r="EE55" i="3"/>
  <c r="EF55" i="3"/>
  <c r="EG55" i="3"/>
  <c r="EH55" i="3"/>
  <c r="EI55" i="3"/>
  <c r="EJ55" i="3"/>
  <c r="EK55" i="3"/>
  <c r="EL55" i="3"/>
  <c r="EM55" i="3"/>
  <c r="EN55" i="3"/>
  <c r="EO55" i="3"/>
  <c r="EP55" i="3"/>
  <c r="EQ55" i="3"/>
  <c r="ER55" i="3"/>
  <c r="ES55" i="3"/>
  <c r="ET55" i="3"/>
  <c r="EU55" i="3"/>
  <c r="EV55" i="3"/>
  <c r="EW55" i="3"/>
  <c r="EX55" i="3"/>
  <c r="EY55" i="3"/>
  <c r="EZ55" i="3"/>
  <c r="FA55" i="3"/>
  <c r="FB55" i="3"/>
  <c r="FC55" i="3"/>
  <c r="FD55" i="3"/>
  <c r="FE55" i="3"/>
  <c r="FF55" i="3"/>
  <c r="FG55" i="3"/>
  <c r="FH55" i="3"/>
  <c r="FI55" i="3"/>
  <c r="FJ55" i="3"/>
  <c r="FK55" i="3"/>
  <c r="FL55" i="3"/>
  <c r="FM55" i="3"/>
  <c r="FN55" i="3"/>
  <c r="FO55" i="3"/>
  <c r="FP55" i="3"/>
  <c r="FQ55" i="3"/>
  <c r="FR55" i="3"/>
  <c r="FS55" i="3"/>
  <c r="FT55" i="3"/>
  <c r="FU55" i="3"/>
  <c r="FV55" i="3"/>
  <c r="FW55" i="3"/>
  <c r="FX55" i="3"/>
  <c r="FY55" i="3"/>
  <c r="FZ55" i="3"/>
  <c r="GA55" i="3"/>
  <c r="GB55" i="3"/>
  <c r="GC55" i="3"/>
  <c r="GD55" i="3"/>
  <c r="GE55" i="3"/>
  <c r="GF55" i="3"/>
  <c r="GG55" i="3"/>
  <c r="GH55" i="3"/>
  <c r="GI55" i="3"/>
  <c r="GJ55" i="3"/>
  <c r="GK55" i="3"/>
  <c r="GL55" i="3"/>
  <c r="GM55" i="3"/>
  <c r="GN55" i="3"/>
  <c r="GO55" i="3"/>
  <c r="GP55" i="3"/>
  <c r="GQ55" i="3"/>
  <c r="GR55" i="3"/>
  <c r="GS55" i="3"/>
  <c r="GT55" i="3"/>
  <c r="GU55" i="3"/>
  <c r="GV55" i="3"/>
  <c r="GW55" i="3"/>
  <c r="GX55" i="3"/>
  <c r="GY55" i="3"/>
  <c r="GZ55" i="3"/>
  <c r="HA55" i="3"/>
  <c r="HB55" i="3"/>
  <c r="HC55" i="3"/>
  <c r="HD55" i="3"/>
  <c r="HE55" i="3"/>
  <c r="HF55" i="3"/>
  <c r="HG55" i="3"/>
  <c r="HH55" i="3"/>
  <c r="HI55" i="3"/>
  <c r="HJ55" i="3"/>
  <c r="HK55" i="3"/>
  <c r="HL55" i="3"/>
  <c r="HM55" i="3"/>
  <c r="HN55" i="3"/>
  <c r="HO55" i="3"/>
  <c r="HP55" i="3"/>
  <c r="HQ55" i="3"/>
  <c r="HR55" i="3"/>
  <c r="HS55" i="3"/>
  <c r="HT55" i="3"/>
  <c r="HU55" i="3"/>
  <c r="HV55" i="3"/>
  <c r="HW55" i="3"/>
  <c r="HX55" i="3"/>
  <c r="HY55" i="3"/>
  <c r="HZ55" i="3"/>
  <c r="IA55" i="3"/>
  <c r="IB55" i="3"/>
  <c r="IC55" i="3"/>
  <c r="ID55" i="3"/>
  <c r="IE55" i="3"/>
  <c r="IF55" i="3"/>
  <c r="IG55" i="3"/>
  <c r="IH55" i="3"/>
  <c r="II55" i="3"/>
  <c r="IJ55" i="3"/>
  <c r="IK55" i="3"/>
  <c r="IL55" i="3"/>
  <c r="IM55" i="3"/>
  <c r="IN55" i="3"/>
  <c r="IO55" i="3"/>
  <c r="IP55" i="3"/>
  <c r="IQ55" i="3"/>
  <c r="IR55" i="3"/>
  <c r="IS55" i="3"/>
  <c r="IT55" i="3"/>
  <c r="IU55" i="3"/>
  <c r="IV55" i="3"/>
  <c r="A54" i="3"/>
  <c r="B54" i="3"/>
  <c r="C54" i="3"/>
  <c r="D54" i="3"/>
  <c r="E54" i="3"/>
  <c r="F54" i="3"/>
  <c r="G54" i="3"/>
  <c r="H54" i="3"/>
  <c r="I54" i="3"/>
  <c r="J54" i="3"/>
  <c r="K54" i="3"/>
  <c r="L54" i="3"/>
  <c r="M54" i="3"/>
  <c r="N54" i="3"/>
  <c r="O54" i="3"/>
  <c r="P54" i="3"/>
  <c r="Q54" i="3"/>
  <c r="R54" i="3"/>
  <c r="S54" i="3"/>
  <c r="T54" i="3"/>
  <c r="U54" i="3"/>
  <c r="V54" i="3"/>
  <c r="W54" i="3"/>
  <c r="X54" i="3"/>
  <c r="Y54" i="3"/>
  <c r="Z54" i="3"/>
  <c r="AA54" i="3"/>
  <c r="AB54" i="3"/>
  <c r="AC54" i="3"/>
  <c r="AD54" i="3"/>
  <c r="AE54" i="3"/>
  <c r="AF54" i="3"/>
  <c r="AG54" i="3"/>
  <c r="AH54" i="3"/>
  <c r="AI54" i="3"/>
  <c r="AJ54" i="3"/>
  <c r="AK54" i="3"/>
  <c r="AL54" i="3"/>
  <c r="AM54" i="3"/>
  <c r="AN54" i="3"/>
  <c r="AO54" i="3"/>
  <c r="AP54" i="3"/>
  <c r="AQ54" i="3"/>
  <c r="AR54" i="3"/>
  <c r="AS54" i="3"/>
  <c r="AT54" i="3"/>
  <c r="AU54" i="3"/>
  <c r="AV54" i="3"/>
  <c r="AW54" i="3"/>
  <c r="AX54" i="3"/>
  <c r="AY54" i="3"/>
  <c r="AZ54" i="3"/>
  <c r="BA54" i="3"/>
  <c r="BB54" i="3"/>
  <c r="BC54" i="3"/>
  <c r="BD54" i="3"/>
  <c r="BE54" i="3"/>
  <c r="BF54" i="3"/>
  <c r="BG54" i="3"/>
  <c r="BH54" i="3"/>
  <c r="BI54" i="3"/>
  <c r="BJ54" i="3"/>
  <c r="BK54" i="3"/>
  <c r="BL54" i="3"/>
  <c r="BM54" i="3"/>
  <c r="BN54" i="3"/>
  <c r="BO54" i="3"/>
  <c r="BP54" i="3"/>
  <c r="BQ54" i="3"/>
  <c r="BR54" i="3"/>
  <c r="BS54" i="3"/>
  <c r="BT54" i="3"/>
  <c r="BU54" i="3"/>
  <c r="BV54" i="3"/>
  <c r="BW54" i="3"/>
  <c r="BX54" i="3"/>
  <c r="BY54" i="3"/>
  <c r="BZ54" i="3"/>
  <c r="CA54" i="3"/>
  <c r="CB54" i="3"/>
  <c r="CC54" i="3"/>
  <c r="CD54" i="3"/>
  <c r="CE54" i="3"/>
  <c r="CF54" i="3"/>
  <c r="CG54" i="3"/>
  <c r="CH54" i="3"/>
  <c r="CI54" i="3"/>
  <c r="CJ54" i="3"/>
  <c r="CK54" i="3"/>
  <c r="CL54" i="3"/>
  <c r="CM54" i="3"/>
  <c r="CN54" i="3"/>
  <c r="CO54" i="3"/>
  <c r="CP54" i="3"/>
  <c r="CQ54" i="3"/>
  <c r="CR54" i="3"/>
  <c r="CS54" i="3"/>
  <c r="CT54" i="3"/>
  <c r="CU54" i="3"/>
  <c r="CV54" i="3"/>
  <c r="CW54" i="3"/>
  <c r="CX54" i="3"/>
  <c r="CY54" i="3"/>
  <c r="CZ54" i="3"/>
  <c r="DA54" i="3"/>
  <c r="DB54" i="3"/>
  <c r="DC54" i="3"/>
  <c r="DD54" i="3"/>
  <c r="DE54" i="3"/>
  <c r="DF54" i="3"/>
  <c r="DG54" i="3"/>
  <c r="DH54" i="3"/>
  <c r="DI54" i="3"/>
  <c r="DJ54" i="3"/>
  <c r="DK54" i="3"/>
  <c r="DL54" i="3"/>
  <c r="DM54" i="3"/>
  <c r="DN54" i="3"/>
  <c r="DO54" i="3"/>
  <c r="DP54" i="3"/>
  <c r="DQ54" i="3"/>
  <c r="DR54" i="3"/>
  <c r="DS54" i="3"/>
  <c r="DT54" i="3"/>
  <c r="DU54" i="3"/>
  <c r="DV54" i="3"/>
  <c r="DW54" i="3"/>
  <c r="DX54" i="3"/>
  <c r="DY54" i="3"/>
  <c r="DZ54" i="3"/>
  <c r="EA54" i="3"/>
  <c r="EB54" i="3"/>
  <c r="EC54" i="3"/>
  <c r="ED54" i="3"/>
  <c r="EE54" i="3"/>
  <c r="EF54" i="3"/>
  <c r="EG54" i="3"/>
  <c r="EH54" i="3"/>
  <c r="EI54" i="3"/>
  <c r="EJ54" i="3"/>
  <c r="EK54" i="3"/>
  <c r="EL54" i="3"/>
  <c r="EM54" i="3"/>
  <c r="EN54" i="3"/>
  <c r="EO54" i="3"/>
  <c r="EP54" i="3"/>
  <c r="EQ54" i="3"/>
  <c r="ER54" i="3"/>
  <c r="ES54" i="3"/>
  <c r="ET54" i="3"/>
  <c r="EU54" i="3"/>
  <c r="EV54" i="3"/>
  <c r="EW54" i="3"/>
  <c r="EX54" i="3"/>
  <c r="EY54" i="3"/>
  <c r="EZ54" i="3"/>
  <c r="FA54" i="3"/>
  <c r="FB54" i="3"/>
  <c r="FC54" i="3"/>
  <c r="FD54" i="3"/>
  <c r="FE54" i="3"/>
  <c r="FF54" i="3"/>
  <c r="FG54" i="3"/>
  <c r="FH54" i="3"/>
  <c r="FI54" i="3"/>
  <c r="FJ54" i="3"/>
  <c r="FK54" i="3"/>
  <c r="FL54" i="3"/>
  <c r="FM54" i="3"/>
  <c r="FN54" i="3"/>
  <c r="FO54" i="3"/>
  <c r="FP54" i="3"/>
  <c r="FQ54" i="3"/>
  <c r="FR54" i="3"/>
  <c r="FS54" i="3"/>
  <c r="FT54" i="3"/>
  <c r="FU54" i="3"/>
  <c r="FV54" i="3"/>
  <c r="FW54" i="3"/>
  <c r="FX54" i="3"/>
  <c r="FY54" i="3"/>
  <c r="FZ54" i="3"/>
  <c r="GA54" i="3"/>
  <c r="GB54" i="3"/>
  <c r="GC54" i="3"/>
  <c r="GD54" i="3"/>
  <c r="GE54" i="3"/>
  <c r="GF54" i="3"/>
  <c r="GG54" i="3"/>
  <c r="GH54" i="3"/>
  <c r="GI54" i="3"/>
  <c r="GJ54" i="3"/>
  <c r="GK54" i="3"/>
  <c r="GL54" i="3"/>
  <c r="GM54" i="3"/>
  <c r="GN54" i="3"/>
  <c r="GO54" i="3"/>
  <c r="GP54" i="3"/>
  <c r="GQ54" i="3"/>
  <c r="GR54" i="3"/>
  <c r="GS54" i="3"/>
  <c r="GT54" i="3"/>
  <c r="GU54" i="3"/>
  <c r="GV54" i="3"/>
  <c r="GW54" i="3"/>
  <c r="GX54" i="3"/>
  <c r="GY54" i="3"/>
  <c r="GZ54" i="3"/>
  <c r="HA54" i="3"/>
  <c r="HB54" i="3"/>
  <c r="HC54" i="3"/>
  <c r="HD54" i="3"/>
  <c r="HE54" i="3"/>
  <c r="HF54" i="3"/>
  <c r="HG54" i="3"/>
  <c r="HH54" i="3"/>
  <c r="HI54" i="3"/>
  <c r="HJ54" i="3"/>
  <c r="HK54" i="3"/>
  <c r="HL54" i="3"/>
  <c r="HM54" i="3"/>
  <c r="HN54" i="3"/>
  <c r="HO54" i="3"/>
  <c r="HP54" i="3"/>
  <c r="HQ54" i="3"/>
  <c r="HR54" i="3"/>
  <c r="HS54" i="3"/>
  <c r="HT54" i="3"/>
  <c r="HU54" i="3"/>
  <c r="HV54" i="3"/>
  <c r="HW54" i="3"/>
  <c r="HX54" i="3"/>
  <c r="HY54" i="3"/>
  <c r="HZ54" i="3"/>
  <c r="IA54" i="3"/>
  <c r="IB54" i="3"/>
  <c r="IC54" i="3"/>
  <c r="ID54" i="3"/>
  <c r="IE54" i="3"/>
  <c r="IF54" i="3"/>
  <c r="IG54" i="3"/>
  <c r="IH54" i="3"/>
  <c r="II54" i="3"/>
  <c r="IJ54" i="3"/>
  <c r="IK54" i="3"/>
  <c r="IL54" i="3"/>
  <c r="IM54" i="3"/>
  <c r="IN54" i="3"/>
  <c r="IO54" i="3"/>
  <c r="IP54" i="3"/>
  <c r="IQ54" i="3"/>
  <c r="IR54" i="3"/>
  <c r="IS54" i="3"/>
  <c r="IT54" i="3"/>
  <c r="IU54" i="3"/>
  <c r="IV54" i="3"/>
  <c r="A53" i="3"/>
  <c r="B53" i="3"/>
  <c r="C53" i="3"/>
  <c r="D53" i="3"/>
  <c r="E53" i="3"/>
  <c r="F53" i="3"/>
  <c r="G53" i="3"/>
  <c r="H53" i="3"/>
  <c r="I53" i="3"/>
  <c r="J53" i="3"/>
  <c r="K53" i="3"/>
  <c r="L53" i="3"/>
  <c r="M53" i="3"/>
  <c r="N53" i="3"/>
  <c r="O53" i="3"/>
  <c r="P53" i="3"/>
  <c r="Q53" i="3"/>
  <c r="R53" i="3"/>
  <c r="S53" i="3"/>
  <c r="T53" i="3"/>
  <c r="U53" i="3"/>
  <c r="V53" i="3"/>
  <c r="W53" i="3"/>
  <c r="X53" i="3"/>
  <c r="Y53" i="3"/>
  <c r="Z53" i="3"/>
  <c r="AA53" i="3"/>
  <c r="AB53" i="3"/>
  <c r="AC53" i="3"/>
  <c r="AD53" i="3"/>
  <c r="AE53" i="3"/>
  <c r="AF53" i="3"/>
  <c r="AG53" i="3"/>
  <c r="AH53" i="3"/>
  <c r="AI53" i="3"/>
  <c r="AJ53" i="3"/>
  <c r="AK53" i="3"/>
  <c r="AL53" i="3"/>
  <c r="AM53" i="3"/>
  <c r="AN53" i="3"/>
  <c r="AO53" i="3"/>
  <c r="AP53" i="3"/>
  <c r="AQ53" i="3"/>
  <c r="AR53" i="3"/>
  <c r="AS53" i="3"/>
  <c r="AT53" i="3"/>
  <c r="AU53" i="3"/>
  <c r="AV53" i="3"/>
  <c r="AW53" i="3"/>
  <c r="AX53" i="3"/>
  <c r="AY53" i="3"/>
  <c r="AZ53" i="3"/>
  <c r="BA53" i="3"/>
  <c r="BB53" i="3"/>
  <c r="BC53" i="3"/>
  <c r="BD53" i="3"/>
  <c r="BE53" i="3"/>
  <c r="BF53" i="3"/>
  <c r="BG53" i="3"/>
  <c r="BH53" i="3"/>
  <c r="BI53" i="3"/>
  <c r="BJ53" i="3"/>
  <c r="BK53" i="3"/>
  <c r="BL53" i="3"/>
  <c r="BM53" i="3"/>
  <c r="BN53" i="3"/>
  <c r="BO53" i="3"/>
  <c r="BP53" i="3"/>
  <c r="BQ53" i="3"/>
  <c r="BR53" i="3"/>
  <c r="BS53" i="3"/>
  <c r="BT53" i="3"/>
  <c r="BU53" i="3"/>
  <c r="BV53" i="3"/>
  <c r="BW53" i="3"/>
  <c r="BX53" i="3"/>
  <c r="BY53" i="3"/>
  <c r="BZ53" i="3"/>
  <c r="CA53" i="3"/>
  <c r="CB53" i="3"/>
  <c r="CC53" i="3"/>
  <c r="CD53" i="3"/>
  <c r="CE53" i="3"/>
  <c r="CF53" i="3"/>
  <c r="CG53" i="3"/>
  <c r="CH53" i="3"/>
  <c r="CI53" i="3"/>
  <c r="CJ53" i="3"/>
  <c r="CK53" i="3"/>
  <c r="CL53" i="3"/>
  <c r="CM53" i="3"/>
  <c r="CN53" i="3"/>
  <c r="CO53" i="3"/>
  <c r="CP53" i="3"/>
  <c r="CQ53" i="3"/>
  <c r="CR53" i="3"/>
  <c r="CS53" i="3"/>
  <c r="CT53" i="3"/>
  <c r="CU53" i="3"/>
  <c r="CV53" i="3"/>
  <c r="CW53" i="3"/>
  <c r="CX53" i="3"/>
  <c r="CY53" i="3"/>
  <c r="CZ53" i="3"/>
  <c r="DA53" i="3"/>
  <c r="DB53" i="3"/>
  <c r="DC53" i="3"/>
  <c r="DD53" i="3"/>
  <c r="DE53" i="3"/>
  <c r="DF53" i="3"/>
  <c r="DG53" i="3"/>
  <c r="DH53" i="3"/>
  <c r="DI53" i="3"/>
  <c r="DJ53" i="3"/>
  <c r="DK53" i="3"/>
  <c r="DL53" i="3"/>
  <c r="DM53" i="3"/>
  <c r="DN53" i="3"/>
  <c r="DO53" i="3"/>
  <c r="DP53" i="3"/>
  <c r="DQ53" i="3"/>
  <c r="DR53" i="3"/>
  <c r="DS53" i="3"/>
  <c r="DT53" i="3"/>
  <c r="DU53" i="3"/>
  <c r="DV53" i="3"/>
  <c r="DW53" i="3"/>
  <c r="DX53" i="3"/>
  <c r="DY53" i="3"/>
  <c r="DZ53" i="3"/>
  <c r="EA53" i="3"/>
  <c r="EB53" i="3"/>
  <c r="EC53" i="3"/>
  <c r="ED53" i="3"/>
  <c r="EE53" i="3"/>
  <c r="EF53" i="3"/>
  <c r="EG53" i="3"/>
  <c r="EH53" i="3"/>
  <c r="EI53" i="3"/>
  <c r="EJ53" i="3"/>
  <c r="EK53" i="3"/>
  <c r="EL53" i="3"/>
  <c r="EM53" i="3"/>
  <c r="EN53" i="3"/>
  <c r="EO53" i="3"/>
  <c r="EP53" i="3"/>
  <c r="EQ53" i="3"/>
  <c r="ER53" i="3"/>
  <c r="ES53" i="3"/>
  <c r="ET53" i="3"/>
  <c r="EU53" i="3"/>
  <c r="EV53" i="3"/>
  <c r="EW53" i="3"/>
  <c r="EX53" i="3"/>
  <c r="EY53" i="3"/>
  <c r="EZ53" i="3"/>
  <c r="FA53" i="3"/>
  <c r="FB53" i="3"/>
  <c r="FC53" i="3"/>
  <c r="FD53" i="3"/>
  <c r="FE53" i="3"/>
  <c r="FF53" i="3"/>
  <c r="FG53" i="3"/>
  <c r="FH53" i="3"/>
  <c r="FI53" i="3"/>
  <c r="FJ53" i="3"/>
  <c r="FK53" i="3"/>
  <c r="FL53" i="3"/>
  <c r="FM53" i="3"/>
  <c r="FN53" i="3"/>
  <c r="FO53" i="3"/>
  <c r="FP53" i="3"/>
  <c r="FQ53" i="3"/>
  <c r="FR53" i="3"/>
  <c r="FS53" i="3"/>
  <c r="FT53" i="3"/>
  <c r="FU53" i="3"/>
  <c r="FV53" i="3"/>
  <c r="FW53" i="3"/>
  <c r="FX53" i="3"/>
  <c r="FY53" i="3"/>
  <c r="FZ53" i="3"/>
  <c r="GA53" i="3"/>
  <c r="GB53" i="3"/>
  <c r="GC53" i="3"/>
  <c r="GD53" i="3"/>
  <c r="GE53" i="3"/>
  <c r="GF53" i="3"/>
  <c r="GG53" i="3"/>
  <c r="GH53" i="3"/>
  <c r="GI53" i="3"/>
  <c r="GJ53" i="3"/>
  <c r="GK53" i="3"/>
  <c r="GL53" i="3"/>
  <c r="GM53" i="3"/>
  <c r="GN53" i="3"/>
  <c r="GO53" i="3"/>
  <c r="GP53" i="3"/>
  <c r="GQ53" i="3"/>
  <c r="GR53" i="3"/>
  <c r="GS53" i="3"/>
  <c r="GT53" i="3"/>
  <c r="GU53" i="3"/>
  <c r="GV53" i="3"/>
  <c r="GW53" i="3"/>
  <c r="GX53" i="3"/>
  <c r="GY53" i="3"/>
  <c r="GZ53" i="3"/>
  <c r="HA53" i="3"/>
  <c r="HB53" i="3"/>
  <c r="HC53" i="3"/>
  <c r="HD53" i="3"/>
  <c r="HE53" i="3"/>
  <c r="HF53" i="3"/>
  <c r="HG53" i="3"/>
  <c r="HH53" i="3"/>
  <c r="HI53" i="3"/>
  <c r="HJ53" i="3"/>
  <c r="HK53" i="3"/>
  <c r="HL53" i="3"/>
  <c r="HM53" i="3"/>
  <c r="HN53" i="3"/>
  <c r="HO53" i="3"/>
  <c r="HP53" i="3"/>
  <c r="HQ53" i="3"/>
  <c r="HR53" i="3"/>
  <c r="HS53" i="3"/>
  <c r="HT53" i="3"/>
  <c r="HU53" i="3"/>
  <c r="HV53" i="3"/>
  <c r="HW53" i="3"/>
  <c r="HX53" i="3"/>
  <c r="HY53" i="3"/>
  <c r="HZ53" i="3"/>
  <c r="IA53" i="3"/>
  <c r="IB53" i="3"/>
  <c r="IC53" i="3"/>
  <c r="ID53" i="3"/>
  <c r="IE53" i="3"/>
  <c r="IF53" i="3"/>
  <c r="IG53" i="3"/>
  <c r="IH53" i="3"/>
  <c r="II53" i="3"/>
  <c r="IJ53" i="3"/>
  <c r="IK53" i="3"/>
  <c r="IL53" i="3"/>
  <c r="IM53" i="3"/>
  <c r="IN53" i="3"/>
  <c r="IO53" i="3"/>
  <c r="IP53" i="3"/>
  <c r="IQ53" i="3"/>
  <c r="IR53" i="3"/>
  <c r="IS53" i="3"/>
  <c r="IT53" i="3"/>
  <c r="IU53" i="3"/>
  <c r="IV53" i="3"/>
  <c r="A52" i="3"/>
  <c r="B52" i="3"/>
  <c r="C52" i="3"/>
  <c r="D52" i="3"/>
  <c r="E52" i="3"/>
  <c r="F52" i="3"/>
  <c r="G52" i="3"/>
  <c r="H52" i="3"/>
  <c r="I52" i="3"/>
  <c r="J52" i="3"/>
  <c r="K52" i="3"/>
  <c r="L52" i="3"/>
  <c r="M52" i="3"/>
  <c r="N52" i="3"/>
  <c r="O52" i="3"/>
  <c r="P52" i="3"/>
  <c r="Q52" i="3"/>
  <c r="R52" i="3"/>
  <c r="S52" i="3"/>
  <c r="T52" i="3"/>
  <c r="U52" i="3"/>
  <c r="V52" i="3"/>
  <c r="W52" i="3"/>
  <c r="X52" i="3"/>
  <c r="Y52" i="3"/>
  <c r="Z52" i="3"/>
  <c r="AA52" i="3"/>
  <c r="AB52" i="3"/>
  <c r="AC52" i="3"/>
  <c r="AD52" i="3"/>
  <c r="AE52" i="3"/>
  <c r="AF52" i="3"/>
  <c r="AG52" i="3"/>
  <c r="AH52" i="3"/>
  <c r="AI52" i="3"/>
  <c r="AJ52" i="3"/>
  <c r="AK52" i="3"/>
  <c r="AL52" i="3"/>
  <c r="AM52" i="3"/>
  <c r="AN52" i="3"/>
  <c r="AO52" i="3"/>
  <c r="AP52" i="3"/>
  <c r="AQ52" i="3"/>
  <c r="AR52" i="3"/>
  <c r="AS52" i="3"/>
  <c r="AT52" i="3"/>
  <c r="AU52" i="3"/>
  <c r="AV52" i="3"/>
  <c r="AW52" i="3"/>
  <c r="AX52" i="3"/>
  <c r="AY52" i="3"/>
  <c r="AZ52" i="3"/>
  <c r="BA52" i="3"/>
  <c r="BB52" i="3"/>
  <c r="BC52" i="3"/>
  <c r="BD52" i="3"/>
  <c r="BE52" i="3"/>
  <c r="BF52" i="3"/>
  <c r="BG52" i="3"/>
  <c r="BH52" i="3"/>
  <c r="BI52" i="3"/>
  <c r="BJ52" i="3"/>
  <c r="BK52" i="3"/>
  <c r="BL52" i="3"/>
  <c r="BM52" i="3"/>
  <c r="BN52" i="3"/>
  <c r="BO52" i="3"/>
  <c r="BP52" i="3"/>
  <c r="BQ52" i="3"/>
  <c r="BR52" i="3"/>
  <c r="BS52" i="3"/>
  <c r="BT52" i="3"/>
  <c r="BU52" i="3"/>
  <c r="BV52" i="3"/>
  <c r="BW52" i="3"/>
  <c r="BX52" i="3"/>
  <c r="BY52" i="3"/>
  <c r="BZ52" i="3"/>
  <c r="CA52" i="3"/>
  <c r="CB52" i="3"/>
  <c r="CC52" i="3"/>
  <c r="CD52" i="3"/>
  <c r="CE52" i="3"/>
  <c r="CF52" i="3"/>
  <c r="CG52" i="3"/>
  <c r="CH52" i="3"/>
  <c r="CI52" i="3"/>
  <c r="CJ52" i="3"/>
  <c r="CK52" i="3"/>
  <c r="CL52" i="3"/>
  <c r="CM52" i="3"/>
  <c r="CN52" i="3"/>
  <c r="CO52" i="3"/>
  <c r="CP52" i="3"/>
  <c r="CQ52" i="3"/>
  <c r="CR52" i="3"/>
  <c r="CS52" i="3"/>
  <c r="CT52" i="3"/>
  <c r="CU52" i="3"/>
  <c r="CV52" i="3"/>
  <c r="CW52" i="3"/>
  <c r="CX52" i="3"/>
  <c r="CY52" i="3"/>
  <c r="CZ52" i="3"/>
  <c r="DA52" i="3"/>
  <c r="DB52" i="3"/>
  <c r="DC52" i="3"/>
  <c r="DD52" i="3"/>
  <c r="DE52" i="3"/>
  <c r="DF52" i="3"/>
  <c r="DG52" i="3"/>
  <c r="DH52" i="3"/>
  <c r="DI52" i="3"/>
  <c r="DJ52" i="3"/>
  <c r="DK52" i="3"/>
  <c r="DL52" i="3"/>
  <c r="DM52" i="3"/>
  <c r="DN52" i="3"/>
  <c r="DO52" i="3"/>
  <c r="DP52" i="3"/>
  <c r="DQ52" i="3"/>
  <c r="DR52" i="3"/>
  <c r="DS52" i="3"/>
  <c r="DT52" i="3"/>
  <c r="DU52" i="3"/>
  <c r="DV52" i="3"/>
  <c r="DW52" i="3"/>
  <c r="DX52" i="3"/>
  <c r="DY52" i="3"/>
  <c r="DZ52" i="3"/>
  <c r="EA52" i="3"/>
  <c r="EB52" i="3"/>
  <c r="EC52" i="3"/>
  <c r="ED52" i="3"/>
  <c r="EE52" i="3"/>
  <c r="EF52" i="3"/>
  <c r="EG52" i="3"/>
  <c r="EH52" i="3"/>
  <c r="EI52" i="3"/>
  <c r="EJ52" i="3"/>
  <c r="EK52" i="3"/>
  <c r="EL52" i="3"/>
  <c r="EM52" i="3"/>
  <c r="EN52" i="3"/>
  <c r="EO52" i="3"/>
  <c r="EP52" i="3"/>
  <c r="EQ52" i="3"/>
  <c r="ER52" i="3"/>
  <c r="ES52" i="3"/>
  <c r="ET52" i="3"/>
  <c r="EU52" i="3"/>
  <c r="EV52" i="3"/>
  <c r="EW52" i="3"/>
  <c r="EX52" i="3"/>
  <c r="EY52" i="3"/>
  <c r="EZ52" i="3"/>
  <c r="FA52" i="3"/>
  <c r="FB52" i="3"/>
  <c r="FC52" i="3"/>
  <c r="FD52" i="3"/>
  <c r="FE52" i="3"/>
  <c r="FF52" i="3"/>
  <c r="FG52" i="3"/>
  <c r="FH52" i="3"/>
  <c r="FI52" i="3"/>
  <c r="FJ52" i="3"/>
  <c r="FK52" i="3"/>
  <c r="FL52" i="3"/>
  <c r="FM52" i="3"/>
  <c r="FN52" i="3"/>
  <c r="FO52" i="3"/>
  <c r="FP52" i="3"/>
  <c r="FQ52" i="3"/>
  <c r="FR52" i="3"/>
  <c r="FS52" i="3"/>
  <c r="FT52" i="3"/>
  <c r="FU52" i="3"/>
  <c r="FV52" i="3"/>
  <c r="FW52" i="3"/>
  <c r="FX52" i="3"/>
  <c r="FY52" i="3"/>
  <c r="FZ52" i="3"/>
  <c r="GA52" i="3"/>
  <c r="GB52" i="3"/>
  <c r="GC52" i="3"/>
  <c r="GD52" i="3"/>
  <c r="GE52" i="3"/>
  <c r="GF52" i="3"/>
  <c r="GG52" i="3"/>
  <c r="GH52" i="3"/>
  <c r="GI52" i="3"/>
  <c r="GJ52" i="3"/>
  <c r="GK52" i="3"/>
  <c r="GL52" i="3"/>
  <c r="GM52" i="3"/>
  <c r="GN52" i="3"/>
  <c r="GO52" i="3"/>
  <c r="GP52" i="3"/>
  <c r="GQ52" i="3"/>
  <c r="GR52" i="3"/>
  <c r="GS52" i="3"/>
  <c r="GT52" i="3"/>
  <c r="GU52" i="3"/>
  <c r="GV52" i="3"/>
  <c r="GW52" i="3"/>
  <c r="GX52" i="3"/>
  <c r="GY52" i="3"/>
  <c r="GZ52" i="3"/>
  <c r="HA52" i="3"/>
  <c r="HB52" i="3"/>
  <c r="HC52" i="3"/>
  <c r="HD52" i="3"/>
  <c r="HE52" i="3"/>
  <c r="HF52" i="3"/>
  <c r="HG52" i="3"/>
  <c r="HH52" i="3"/>
  <c r="HI52" i="3"/>
  <c r="HJ52" i="3"/>
  <c r="HK52" i="3"/>
  <c r="HL52" i="3"/>
  <c r="HM52" i="3"/>
  <c r="HN52" i="3"/>
  <c r="HO52" i="3"/>
  <c r="HP52" i="3"/>
  <c r="HQ52" i="3"/>
  <c r="HR52" i="3"/>
  <c r="HS52" i="3"/>
  <c r="HT52" i="3"/>
  <c r="HU52" i="3"/>
  <c r="HV52" i="3"/>
  <c r="HW52" i="3"/>
  <c r="HX52" i="3"/>
  <c r="HY52" i="3"/>
  <c r="HZ52" i="3"/>
  <c r="IA52" i="3"/>
  <c r="IB52" i="3"/>
  <c r="IC52" i="3"/>
  <c r="ID52" i="3"/>
  <c r="IE52" i="3"/>
  <c r="IF52" i="3"/>
  <c r="IG52" i="3"/>
  <c r="IH52" i="3"/>
  <c r="II52" i="3"/>
  <c r="IJ52" i="3"/>
  <c r="IK52" i="3"/>
  <c r="IL52" i="3"/>
  <c r="IM52" i="3"/>
  <c r="IN52" i="3"/>
  <c r="IO52" i="3"/>
  <c r="IP52" i="3"/>
  <c r="IQ52" i="3"/>
  <c r="IR52" i="3"/>
  <c r="IS52" i="3"/>
  <c r="IT52" i="3"/>
  <c r="IU52" i="3"/>
  <c r="IV52" i="3"/>
  <c r="A51" i="3"/>
  <c r="B51" i="3"/>
  <c r="C51" i="3"/>
  <c r="D51" i="3"/>
  <c r="E51" i="3"/>
  <c r="F51" i="3"/>
  <c r="G51" i="3"/>
  <c r="H51" i="3"/>
  <c r="I51" i="3"/>
  <c r="J51" i="3"/>
  <c r="K51" i="3"/>
  <c r="L51" i="3"/>
  <c r="M51" i="3"/>
  <c r="N51" i="3"/>
  <c r="O51" i="3"/>
  <c r="P51" i="3"/>
  <c r="Q51" i="3"/>
  <c r="R51" i="3"/>
  <c r="S51" i="3"/>
  <c r="T51" i="3"/>
  <c r="U51" i="3"/>
  <c r="V51" i="3"/>
  <c r="W51" i="3"/>
  <c r="X51" i="3"/>
  <c r="Y51" i="3"/>
  <c r="Z51" i="3"/>
  <c r="AA51" i="3"/>
  <c r="AB51" i="3"/>
  <c r="AC51" i="3"/>
  <c r="AD51" i="3"/>
  <c r="AE51" i="3"/>
  <c r="AF51" i="3"/>
  <c r="AG51" i="3"/>
  <c r="AH51" i="3"/>
  <c r="AI51" i="3"/>
  <c r="AJ51" i="3"/>
  <c r="AK51" i="3"/>
  <c r="AL51" i="3"/>
  <c r="AM51" i="3"/>
  <c r="AN51" i="3"/>
  <c r="AO51" i="3"/>
  <c r="AP51" i="3"/>
  <c r="AQ51" i="3"/>
  <c r="AR51" i="3"/>
  <c r="AS51" i="3"/>
  <c r="AT51" i="3"/>
  <c r="AU51" i="3"/>
  <c r="AV51" i="3"/>
  <c r="AW51" i="3"/>
  <c r="AX51" i="3"/>
  <c r="AY51" i="3"/>
  <c r="AZ51" i="3"/>
  <c r="BA51" i="3"/>
  <c r="BB51" i="3"/>
  <c r="BC51" i="3"/>
  <c r="BD51" i="3"/>
  <c r="BE51" i="3"/>
  <c r="BF51" i="3"/>
  <c r="BG51" i="3"/>
  <c r="BH51" i="3"/>
  <c r="BI51" i="3"/>
  <c r="BJ51" i="3"/>
  <c r="BK51" i="3"/>
  <c r="BL51" i="3"/>
  <c r="BM51" i="3"/>
  <c r="BN51" i="3"/>
  <c r="BO51" i="3"/>
  <c r="BP51" i="3"/>
  <c r="BQ51" i="3"/>
  <c r="BR51" i="3"/>
  <c r="BS51" i="3"/>
  <c r="BT51" i="3"/>
  <c r="BU51" i="3"/>
  <c r="BV51" i="3"/>
  <c r="BW51" i="3"/>
  <c r="BX51" i="3"/>
  <c r="BY51" i="3"/>
  <c r="BZ51" i="3"/>
  <c r="CA51" i="3"/>
  <c r="CB51" i="3"/>
  <c r="CC51" i="3"/>
  <c r="CD51" i="3"/>
  <c r="CE51" i="3"/>
  <c r="CF51" i="3"/>
  <c r="CG51" i="3"/>
  <c r="CH51" i="3"/>
  <c r="CI51" i="3"/>
  <c r="CJ51" i="3"/>
  <c r="CK51" i="3"/>
  <c r="CL51" i="3"/>
  <c r="CM51" i="3"/>
  <c r="CN51" i="3"/>
  <c r="CO51" i="3"/>
  <c r="CP51" i="3"/>
  <c r="CQ51" i="3"/>
  <c r="CR51" i="3"/>
  <c r="CS51" i="3"/>
  <c r="CT51" i="3"/>
  <c r="CU51" i="3"/>
  <c r="CV51" i="3"/>
  <c r="CW51" i="3"/>
  <c r="CX51" i="3"/>
  <c r="CY51" i="3"/>
  <c r="CZ51" i="3"/>
  <c r="DA51" i="3"/>
  <c r="DB51" i="3"/>
  <c r="DC51" i="3"/>
  <c r="DD51" i="3"/>
  <c r="DE51" i="3"/>
  <c r="DF51" i="3"/>
  <c r="DG51" i="3"/>
  <c r="DH51" i="3"/>
  <c r="DI51" i="3"/>
  <c r="DJ51" i="3"/>
  <c r="DK51" i="3"/>
  <c r="DL51" i="3"/>
  <c r="DM51" i="3"/>
  <c r="DN51" i="3"/>
  <c r="DO51" i="3"/>
  <c r="DP51" i="3"/>
  <c r="DQ51" i="3"/>
  <c r="DR51" i="3"/>
  <c r="DS51" i="3"/>
  <c r="DT51" i="3"/>
  <c r="DU51" i="3"/>
  <c r="DV51" i="3"/>
  <c r="DW51" i="3"/>
  <c r="DX51" i="3"/>
  <c r="DY51" i="3"/>
  <c r="DZ51" i="3"/>
  <c r="EA51" i="3"/>
  <c r="EB51" i="3"/>
  <c r="EC51" i="3"/>
  <c r="ED51" i="3"/>
  <c r="EE51" i="3"/>
  <c r="EF51" i="3"/>
  <c r="EG51" i="3"/>
  <c r="EH51" i="3"/>
  <c r="EI51" i="3"/>
  <c r="EJ51" i="3"/>
  <c r="EK51" i="3"/>
  <c r="EL51" i="3"/>
  <c r="EM51" i="3"/>
  <c r="EN51" i="3"/>
  <c r="EO51" i="3"/>
  <c r="EP51" i="3"/>
  <c r="EQ51" i="3"/>
  <c r="ER51" i="3"/>
  <c r="ES51" i="3"/>
  <c r="ET51" i="3"/>
  <c r="EU51" i="3"/>
  <c r="EV51" i="3"/>
  <c r="EW51" i="3"/>
  <c r="EX51" i="3"/>
  <c r="EY51" i="3"/>
  <c r="EZ51" i="3"/>
  <c r="FA51" i="3"/>
  <c r="FB51" i="3"/>
  <c r="FC51" i="3"/>
  <c r="FD51" i="3"/>
  <c r="FE51" i="3"/>
  <c r="FF51" i="3"/>
  <c r="FG51" i="3"/>
  <c r="FH51" i="3"/>
  <c r="FI51" i="3"/>
  <c r="FJ51" i="3"/>
  <c r="FK51" i="3"/>
  <c r="FL51" i="3"/>
  <c r="FM51" i="3"/>
  <c r="FN51" i="3"/>
  <c r="FO51" i="3"/>
  <c r="FP51" i="3"/>
  <c r="FQ51" i="3"/>
  <c r="FR51" i="3"/>
  <c r="FS51" i="3"/>
  <c r="FT51" i="3"/>
  <c r="FU51" i="3"/>
  <c r="FV51" i="3"/>
  <c r="FW51" i="3"/>
  <c r="FX51" i="3"/>
  <c r="FY51" i="3"/>
  <c r="FZ51" i="3"/>
  <c r="GA51" i="3"/>
  <c r="GB51" i="3"/>
  <c r="GC51" i="3"/>
  <c r="GD51" i="3"/>
  <c r="GE51" i="3"/>
  <c r="GF51" i="3"/>
  <c r="GG51" i="3"/>
  <c r="GH51" i="3"/>
  <c r="GI51" i="3"/>
  <c r="GJ51" i="3"/>
  <c r="GK51" i="3"/>
  <c r="GL51" i="3"/>
  <c r="GM51" i="3"/>
  <c r="GN51" i="3"/>
  <c r="GO51" i="3"/>
  <c r="GP51" i="3"/>
  <c r="GQ51" i="3"/>
  <c r="GR51" i="3"/>
  <c r="GS51" i="3"/>
  <c r="GT51" i="3"/>
  <c r="GU51" i="3"/>
  <c r="GV51" i="3"/>
  <c r="GW51" i="3"/>
  <c r="GX51" i="3"/>
  <c r="GY51" i="3"/>
  <c r="GZ51" i="3"/>
  <c r="HA51" i="3"/>
  <c r="HB51" i="3"/>
  <c r="HC51" i="3"/>
  <c r="HD51" i="3"/>
  <c r="HE51" i="3"/>
  <c r="HF51" i="3"/>
  <c r="HG51" i="3"/>
  <c r="HH51" i="3"/>
  <c r="HI51" i="3"/>
  <c r="HJ51" i="3"/>
  <c r="HK51" i="3"/>
  <c r="HL51" i="3"/>
  <c r="HM51" i="3"/>
  <c r="HN51" i="3"/>
  <c r="HO51" i="3"/>
  <c r="HP51" i="3"/>
  <c r="HQ51" i="3"/>
  <c r="HR51" i="3"/>
  <c r="HS51" i="3"/>
  <c r="HT51" i="3"/>
  <c r="HU51" i="3"/>
  <c r="HV51" i="3"/>
  <c r="HW51" i="3"/>
  <c r="HX51" i="3"/>
  <c r="HY51" i="3"/>
  <c r="HZ51" i="3"/>
  <c r="IA51" i="3"/>
  <c r="IB51" i="3"/>
  <c r="IC51" i="3"/>
  <c r="ID51" i="3"/>
  <c r="IE51" i="3"/>
  <c r="IF51" i="3"/>
  <c r="IG51" i="3"/>
  <c r="IH51" i="3"/>
  <c r="II51" i="3"/>
  <c r="IJ51" i="3"/>
  <c r="IK51" i="3"/>
  <c r="IL51" i="3"/>
  <c r="IM51" i="3"/>
  <c r="IN51" i="3"/>
  <c r="IO51" i="3"/>
  <c r="IP51" i="3"/>
  <c r="IQ51" i="3"/>
  <c r="IR51" i="3"/>
  <c r="IS51" i="3"/>
  <c r="IT51" i="3"/>
  <c r="IU51" i="3"/>
  <c r="IV51" i="3"/>
  <c r="A50" i="3"/>
  <c r="B50" i="3"/>
  <c r="C50" i="3"/>
  <c r="D50" i="3"/>
  <c r="E50" i="3"/>
  <c r="F50" i="3"/>
  <c r="G50" i="3"/>
  <c r="H50" i="3"/>
  <c r="I50" i="3"/>
  <c r="J50" i="3"/>
  <c r="K50" i="3"/>
  <c r="L50" i="3"/>
  <c r="M50" i="3"/>
  <c r="N50" i="3"/>
  <c r="O50" i="3"/>
  <c r="P50" i="3"/>
  <c r="Q50" i="3"/>
  <c r="R50" i="3"/>
  <c r="S50" i="3"/>
  <c r="T50" i="3"/>
  <c r="U50" i="3"/>
  <c r="V50" i="3"/>
  <c r="W50" i="3"/>
  <c r="X50" i="3"/>
  <c r="Y50" i="3"/>
  <c r="Z50" i="3"/>
  <c r="AA50" i="3"/>
  <c r="AB50" i="3"/>
  <c r="AC50" i="3"/>
  <c r="AD50" i="3"/>
  <c r="AE50" i="3"/>
  <c r="AF50" i="3"/>
  <c r="AG50" i="3"/>
  <c r="AH50" i="3"/>
  <c r="AI50" i="3"/>
  <c r="AJ50" i="3"/>
  <c r="AK50" i="3"/>
  <c r="AL50" i="3"/>
  <c r="AM50" i="3"/>
  <c r="AN50" i="3"/>
  <c r="AO50" i="3"/>
  <c r="AP50" i="3"/>
  <c r="AQ50" i="3"/>
  <c r="AR50" i="3"/>
  <c r="AS50" i="3"/>
  <c r="AT50" i="3"/>
  <c r="AU50" i="3"/>
  <c r="AV50" i="3"/>
  <c r="AW50" i="3"/>
  <c r="AX50" i="3"/>
  <c r="AY50" i="3"/>
  <c r="AZ50" i="3"/>
  <c r="BA50" i="3"/>
  <c r="BB50" i="3"/>
  <c r="BC50" i="3"/>
  <c r="BD50" i="3"/>
  <c r="BE50" i="3"/>
  <c r="BF50" i="3"/>
  <c r="BG50" i="3"/>
  <c r="BH50" i="3"/>
  <c r="BI50" i="3"/>
  <c r="BJ50" i="3"/>
  <c r="BK50" i="3"/>
  <c r="BL50" i="3"/>
  <c r="BM50" i="3"/>
  <c r="BN50" i="3"/>
  <c r="BO50" i="3"/>
  <c r="BP50" i="3"/>
  <c r="BQ50" i="3"/>
  <c r="BR50" i="3"/>
  <c r="BS50" i="3"/>
  <c r="BT50" i="3"/>
  <c r="BU50" i="3"/>
  <c r="BV50" i="3"/>
  <c r="BW50" i="3"/>
  <c r="BX50" i="3"/>
  <c r="BY50" i="3"/>
  <c r="BZ50" i="3"/>
  <c r="CA50" i="3"/>
  <c r="CB50" i="3"/>
  <c r="CC50" i="3"/>
  <c r="CD50" i="3"/>
  <c r="CE50" i="3"/>
  <c r="CF50" i="3"/>
  <c r="CG50" i="3"/>
  <c r="CH50" i="3"/>
  <c r="CI50" i="3"/>
  <c r="CJ50" i="3"/>
  <c r="CK50" i="3"/>
  <c r="CL50" i="3"/>
  <c r="CM50" i="3"/>
  <c r="CN50" i="3"/>
  <c r="CO50" i="3"/>
  <c r="CP50" i="3"/>
  <c r="CQ50" i="3"/>
  <c r="CR50" i="3"/>
  <c r="CS50" i="3"/>
  <c r="CT50" i="3"/>
  <c r="CU50" i="3"/>
  <c r="CV50" i="3"/>
  <c r="CW50" i="3"/>
  <c r="CX50" i="3"/>
  <c r="CY50" i="3"/>
  <c r="CZ50" i="3"/>
  <c r="DA50" i="3"/>
  <c r="DB50" i="3"/>
  <c r="DC50" i="3"/>
  <c r="DD50" i="3"/>
  <c r="DE50" i="3"/>
  <c r="DF50" i="3"/>
  <c r="DG50" i="3"/>
  <c r="DH50" i="3"/>
  <c r="DI50" i="3"/>
  <c r="DJ50" i="3"/>
  <c r="DK50" i="3"/>
  <c r="DL50" i="3"/>
  <c r="DM50" i="3"/>
  <c r="DN50" i="3"/>
  <c r="DO50" i="3"/>
  <c r="DP50" i="3"/>
  <c r="DQ50" i="3"/>
  <c r="DR50" i="3"/>
  <c r="DS50" i="3"/>
  <c r="DT50" i="3"/>
  <c r="DU50" i="3"/>
  <c r="DV50" i="3"/>
  <c r="DW50" i="3"/>
  <c r="DX50" i="3"/>
  <c r="DY50" i="3"/>
  <c r="DZ50" i="3"/>
  <c r="EA50" i="3"/>
  <c r="EB50" i="3"/>
  <c r="EC50" i="3"/>
  <c r="ED50" i="3"/>
  <c r="EE50" i="3"/>
  <c r="EF50" i="3"/>
  <c r="EG50" i="3"/>
  <c r="EH50" i="3"/>
  <c r="EI50" i="3"/>
  <c r="EJ50" i="3"/>
  <c r="EK50" i="3"/>
  <c r="EL50" i="3"/>
  <c r="EM50" i="3"/>
  <c r="EN50" i="3"/>
  <c r="EO50" i="3"/>
  <c r="EP50" i="3"/>
  <c r="EQ50" i="3"/>
  <c r="ER50" i="3"/>
  <c r="ES50" i="3"/>
  <c r="ET50" i="3"/>
  <c r="EU50" i="3"/>
  <c r="EV50" i="3"/>
  <c r="EW50" i="3"/>
  <c r="EX50" i="3"/>
  <c r="EY50" i="3"/>
  <c r="EZ50" i="3"/>
  <c r="FA50" i="3"/>
  <c r="FB50" i="3"/>
  <c r="FC50" i="3"/>
  <c r="FD50" i="3"/>
  <c r="FE50" i="3"/>
  <c r="FF50" i="3"/>
  <c r="FG50" i="3"/>
  <c r="FH50" i="3"/>
  <c r="FI50" i="3"/>
  <c r="FJ50" i="3"/>
  <c r="FK50" i="3"/>
  <c r="FL50" i="3"/>
  <c r="FM50" i="3"/>
  <c r="FN50" i="3"/>
  <c r="FO50" i="3"/>
  <c r="FP50" i="3"/>
  <c r="FQ50" i="3"/>
  <c r="FR50" i="3"/>
  <c r="FS50" i="3"/>
  <c r="FT50" i="3"/>
  <c r="FU50" i="3"/>
  <c r="FV50" i="3"/>
  <c r="FW50" i="3"/>
  <c r="FX50" i="3"/>
  <c r="FY50" i="3"/>
  <c r="FZ50" i="3"/>
  <c r="GA50" i="3"/>
  <c r="GB50" i="3"/>
  <c r="GC50" i="3"/>
  <c r="GD50" i="3"/>
  <c r="GE50" i="3"/>
  <c r="GF50" i="3"/>
  <c r="GG50" i="3"/>
  <c r="GH50" i="3"/>
  <c r="GI50" i="3"/>
  <c r="GJ50" i="3"/>
  <c r="GK50" i="3"/>
  <c r="GL50" i="3"/>
  <c r="GM50" i="3"/>
  <c r="GN50" i="3"/>
  <c r="GO50" i="3"/>
  <c r="GP50" i="3"/>
  <c r="GQ50" i="3"/>
  <c r="GR50" i="3"/>
  <c r="GS50" i="3"/>
  <c r="GT50" i="3"/>
  <c r="GU50" i="3"/>
  <c r="GV50" i="3"/>
  <c r="GW50" i="3"/>
  <c r="GX50" i="3"/>
  <c r="GY50" i="3"/>
  <c r="GZ50" i="3"/>
  <c r="HA50" i="3"/>
  <c r="HB50" i="3"/>
  <c r="HC50" i="3"/>
  <c r="HD50" i="3"/>
  <c r="HE50" i="3"/>
  <c r="HF50" i="3"/>
  <c r="HG50" i="3"/>
  <c r="HH50" i="3"/>
  <c r="HI50" i="3"/>
  <c r="HJ50" i="3"/>
  <c r="HK50" i="3"/>
  <c r="HL50" i="3"/>
  <c r="HM50" i="3"/>
  <c r="HN50" i="3"/>
  <c r="HO50" i="3"/>
  <c r="HP50" i="3"/>
  <c r="HQ50" i="3"/>
  <c r="HR50" i="3"/>
  <c r="HS50" i="3"/>
  <c r="HT50" i="3"/>
  <c r="HU50" i="3"/>
  <c r="HV50" i="3"/>
  <c r="HW50" i="3"/>
  <c r="HX50" i="3"/>
  <c r="HY50" i="3"/>
  <c r="HZ50" i="3"/>
  <c r="IA50" i="3"/>
  <c r="IB50" i="3"/>
  <c r="IC50" i="3"/>
  <c r="ID50" i="3"/>
  <c r="IE50" i="3"/>
  <c r="IF50" i="3"/>
  <c r="IG50" i="3"/>
  <c r="IH50" i="3"/>
  <c r="II50" i="3"/>
  <c r="IJ50" i="3"/>
  <c r="IK50" i="3"/>
  <c r="IL50" i="3"/>
  <c r="IM50" i="3"/>
  <c r="IN50" i="3"/>
  <c r="IO50" i="3"/>
  <c r="IP50" i="3"/>
  <c r="IQ50" i="3"/>
  <c r="IR50" i="3"/>
  <c r="IS50" i="3"/>
  <c r="IT50" i="3"/>
  <c r="IU50" i="3"/>
  <c r="IV50" i="3"/>
  <c r="A49" i="3"/>
  <c r="B49" i="3"/>
  <c r="C49" i="3"/>
  <c r="D49" i="3"/>
  <c r="E49" i="3"/>
  <c r="F49" i="3"/>
  <c r="G49" i="3"/>
  <c r="H49" i="3"/>
  <c r="I49" i="3"/>
  <c r="J49" i="3"/>
  <c r="K49" i="3"/>
  <c r="L49" i="3"/>
  <c r="M49" i="3"/>
  <c r="N49" i="3"/>
  <c r="O49" i="3"/>
  <c r="P49" i="3"/>
  <c r="Q49" i="3"/>
  <c r="R49" i="3"/>
  <c r="S49" i="3"/>
  <c r="T49" i="3"/>
  <c r="U49" i="3"/>
  <c r="V49" i="3"/>
  <c r="W49" i="3"/>
  <c r="X49" i="3"/>
  <c r="Y49" i="3"/>
  <c r="Z49" i="3"/>
  <c r="AA49" i="3"/>
  <c r="AB49" i="3"/>
  <c r="AC49" i="3"/>
  <c r="AD49" i="3"/>
  <c r="AE49" i="3"/>
  <c r="AF49" i="3"/>
  <c r="AG49" i="3"/>
  <c r="AH49" i="3"/>
  <c r="AI49" i="3"/>
  <c r="AJ49" i="3"/>
  <c r="AK49" i="3"/>
  <c r="AL49" i="3"/>
  <c r="AM49" i="3"/>
  <c r="AN49" i="3"/>
  <c r="AO49" i="3"/>
  <c r="AP49" i="3"/>
  <c r="AQ49" i="3"/>
  <c r="AR49" i="3"/>
  <c r="AS49" i="3"/>
  <c r="AT49" i="3"/>
  <c r="AU49" i="3"/>
  <c r="AV49" i="3"/>
  <c r="AW49" i="3"/>
  <c r="AX49" i="3"/>
  <c r="AY49" i="3"/>
  <c r="AZ49" i="3"/>
  <c r="BA49" i="3"/>
  <c r="BB49" i="3"/>
  <c r="BC49" i="3"/>
  <c r="BD49" i="3"/>
  <c r="BE49" i="3"/>
  <c r="BF49" i="3"/>
  <c r="BG49" i="3"/>
  <c r="BH49" i="3"/>
  <c r="BI49" i="3"/>
  <c r="BJ49" i="3"/>
  <c r="BK49" i="3"/>
  <c r="BL49" i="3"/>
  <c r="BM49" i="3"/>
  <c r="BN49" i="3"/>
  <c r="BO49" i="3"/>
  <c r="BP49" i="3"/>
  <c r="BQ49" i="3"/>
  <c r="BR49" i="3"/>
  <c r="BS49" i="3"/>
  <c r="BT49" i="3"/>
  <c r="BU49" i="3"/>
  <c r="BV49" i="3"/>
  <c r="BW49" i="3"/>
  <c r="BX49" i="3"/>
  <c r="BY49" i="3"/>
  <c r="BZ49" i="3"/>
  <c r="CA49" i="3"/>
  <c r="CB49" i="3"/>
  <c r="CC49" i="3"/>
  <c r="CD49" i="3"/>
  <c r="CE49" i="3"/>
  <c r="CF49" i="3"/>
  <c r="CG49" i="3"/>
  <c r="CH49" i="3"/>
  <c r="CI49" i="3"/>
  <c r="CJ49" i="3"/>
  <c r="CK49" i="3"/>
  <c r="CL49" i="3"/>
  <c r="CM49" i="3"/>
  <c r="CN49" i="3"/>
  <c r="CO49" i="3"/>
  <c r="CP49" i="3"/>
  <c r="CQ49" i="3"/>
  <c r="CR49" i="3"/>
  <c r="CS49" i="3"/>
  <c r="CT49" i="3"/>
  <c r="CU49" i="3"/>
  <c r="CV49" i="3"/>
  <c r="CW49" i="3"/>
  <c r="CX49" i="3"/>
  <c r="CY49" i="3"/>
  <c r="CZ49" i="3"/>
  <c r="DA49" i="3"/>
  <c r="DB49" i="3"/>
  <c r="DC49" i="3"/>
  <c r="DD49" i="3"/>
  <c r="DE49" i="3"/>
  <c r="DF49" i="3"/>
  <c r="DG49" i="3"/>
  <c r="DH49" i="3"/>
  <c r="DI49" i="3"/>
  <c r="DJ49" i="3"/>
  <c r="DK49" i="3"/>
  <c r="DL49" i="3"/>
  <c r="DM49" i="3"/>
  <c r="DN49" i="3"/>
  <c r="DO49" i="3"/>
  <c r="DP49" i="3"/>
  <c r="DQ49" i="3"/>
  <c r="DR49" i="3"/>
  <c r="DS49" i="3"/>
  <c r="DT49" i="3"/>
  <c r="DU49" i="3"/>
  <c r="DV49" i="3"/>
  <c r="DW49" i="3"/>
  <c r="DX49" i="3"/>
  <c r="DY49" i="3"/>
  <c r="DZ49" i="3"/>
  <c r="EA49" i="3"/>
  <c r="EB49" i="3"/>
  <c r="EC49" i="3"/>
  <c r="ED49" i="3"/>
  <c r="EE49" i="3"/>
  <c r="EF49" i="3"/>
  <c r="EG49" i="3"/>
  <c r="EH49" i="3"/>
  <c r="EI49" i="3"/>
  <c r="EJ49" i="3"/>
  <c r="EK49" i="3"/>
  <c r="EL49" i="3"/>
  <c r="EM49" i="3"/>
  <c r="EN49" i="3"/>
  <c r="EO49" i="3"/>
  <c r="EP49" i="3"/>
  <c r="EQ49" i="3"/>
  <c r="ER49" i="3"/>
  <c r="ES49" i="3"/>
  <c r="ET49" i="3"/>
  <c r="EU49" i="3"/>
  <c r="EV49" i="3"/>
  <c r="EW49" i="3"/>
  <c r="EX49" i="3"/>
  <c r="EY49" i="3"/>
  <c r="EZ49" i="3"/>
  <c r="FA49" i="3"/>
  <c r="FB49" i="3"/>
  <c r="FC49" i="3"/>
  <c r="FD49" i="3"/>
  <c r="FE49" i="3"/>
  <c r="FF49" i="3"/>
  <c r="FG49" i="3"/>
  <c r="FH49" i="3"/>
  <c r="FI49" i="3"/>
  <c r="FJ49" i="3"/>
  <c r="FK49" i="3"/>
  <c r="FL49" i="3"/>
  <c r="FM49" i="3"/>
  <c r="FN49" i="3"/>
  <c r="FO49" i="3"/>
  <c r="FP49" i="3"/>
  <c r="FQ49" i="3"/>
  <c r="FR49" i="3"/>
  <c r="FS49" i="3"/>
  <c r="FT49" i="3"/>
  <c r="FU49" i="3"/>
  <c r="FV49" i="3"/>
  <c r="FW49" i="3"/>
  <c r="FX49" i="3"/>
  <c r="FY49" i="3"/>
  <c r="FZ49" i="3"/>
  <c r="GA49" i="3"/>
  <c r="GB49" i="3"/>
  <c r="GC49" i="3"/>
  <c r="GD49" i="3"/>
  <c r="GE49" i="3"/>
  <c r="GF49" i="3"/>
  <c r="GG49" i="3"/>
  <c r="GH49" i="3"/>
  <c r="GI49" i="3"/>
  <c r="GJ49" i="3"/>
  <c r="GK49" i="3"/>
  <c r="GL49" i="3"/>
  <c r="GM49" i="3"/>
  <c r="GN49" i="3"/>
  <c r="GO49" i="3"/>
  <c r="GP49" i="3"/>
  <c r="GQ49" i="3"/>
  <c r="GR49" i="3"/>
  <c r="GS49" i="3"/>
  <c r="GT49" i="3"/>
  <c r="GU49" i="3"/>
  <c r="GV49" i="3"/>
  <c r="GW49" i="3"/>
  <c r="GX49" i="3"/>
  <c r="GY49" i="3"/>
  <c r="GZ49" i="3"/>
  <c r="HA49" i="3"/>
  <c r="HB49" i="3"/>
  <c r="HC49" i="3"/>
  <c r="HD49" i="3"/>
  <c r="HE49" i="3"/>
  <c r="HF49" i="3"/>
  <c r="HG49" i="3"/>
  <c r="HH49" i="3"/>
  <c r="HI49" i="3"/>
  <c r="HJ49" i="3"/>
  <c r="HK49" i="3"/>
  <c r="HL49" i="3"/>
  <c r="HM49" i="3"/>
  <c r="HN49" i="3"/>
  <c r="HO49" i="3"/>
  <c r="HP49" i="3"/>
  <c r="HQ49" i="3"/>
  <c r="HR49" i="3"/>
  <c r="HS49" i="3"/>
  <c r="HT49" i="3"/>
  <c r="HU49" i="3"/>
  <c r="HV49" i="3"/>
  <c r="HW49" i="3"/>
  <c r="HX49" i="3"/>
  <c r="HY49" i="3"/>
  <c r="HZ49" i="3"/>
  <c r="IA49" i="3"/>
  <c r="IB49" i="3"/>
  <c r="IC49" i="3"/>
  <c r="ID49" i="3"/>
  <c r="IE49" i="3"/>
  <c r="IF49" i="3"/>
  <c r="IG49" i="3"/>
  <c r="IH49" i="3"/>
  <c r="II49" i="3"/>
  <c r="IJ49" i="3"/>
  <c r="IK49" i="3"/>
  <c r="IL49" i="3"/>
  <c r="IM49" i="3"/>
  <c r="IN49" i="3"/>
  <c r="IO49" i="3"/>
  <c r="IP49" i="3"/>
  <c r="IQ49" i="3"/>
  <c r="IR49" i="3"/>
  <c r="IS49" i="3"/>
  <c r="IT49" i="3"/>
  <c r="IU49" i="3"/>
  <c r="IV49" i="3"/>
  <c r="A48" i="3"/>
  <c r="B48" i="3"/>
  <c r="C48" i="3"/>
  <c r="D48" i="3"/>
  <c r="E48" i="3"/>
  <c r="F48" i="3"/>
  <c r="G48" i="3"/>
  <c r="H48" i="3"/>
  <c r="I48" i="3"/>
  <c r="J48" i="3"/>
  <c r="K48" i="3"/>
  <c r="L48" i="3"/>
  <c r="M48" i="3"/>
  <c r="N48" i="3"/>
  <c r="O48" i="3"/>
  <c r="P48" i="3"/>
  <c r="Q48" i="3"/>
  <c r="R48" i="3"/>
  <c r="S48" i="3"/>
  <c r="T48" i="3"/>
  <c r="U48" i="3"/>
  <c r="V48" i="3"/>
  <c r="W48" i="3"/>
  <c r="X48" i="3"/>
  <c r="Y48" i="3"/>
  <c r="Z48" i="3"/>
  <c r="AA48" i="3"/>
  <c r="AB48" i="3"/>
  <c r="AC48" i="3"/>
  <c r="AD48" i="3"/>
  <c r="AE48" i="3"/>
  <c r="AF48" i="3"/>
  <c r="AG48" i="3"/>
  <c r="AH48" i="3"/>
  <c r="AI48" i="3"/>
  <c r="AJ48" i="3"/>
  <c r="AK48" i="3"/>
  <c r="AL48" i="3"/>
  <c r="AM48" i="3"/>
  <c r="AN48" i="3"/>
  <c r="AO48" i="3"/>
  <c r="AP48" i="3"/>
  <c r="AQ48" i="3"/>
  <c r="AR48" i="3"/>
  <c r="AS48" i="3"/>
  <c r="AT48" i="3"/>
  <c r="AU48" i="3"/>
  <c r="AV48" i="3"/>
  <c r="AW48" i="3"/>
  <c r="AX48" i="3"/>
  <c r="AY48" i="3"/>
  <c r="AZ48" i="3"/>
  <c r="BA48" i="3"/>
  <c r="BB48" i="3"/>
  <c r="BC48" i="3"/>
  <c r="BD48" i="3"/>
  <c r="BE48" i="3"/>
  <c r="BF48" i="3"/>
  <c r="BG48" i="3"/>
  <c r="BH48" i="3"/>
  <c r="BI48" i="3"/>
  <c r="BJ48" i="3"/>
  <c r="BK48" i="3"/>
  <c r="BL48" i="3"/>
  <c r="BM48" i="3"/>
  <c r="BN48" i="3"/>
  <c r="BO48" i="3"/>
  <c r="BP48" i="3"/>
  <c r="BQ48" i="3"/>
  <c r="BR48" i="3"/>
  <c r="BS48" i="3"/>
  <c r="BT48" i="3"/>
  <c r="BU48" i="3"/>
  <c r="BV48" i="3"/>
  <c r="BW48" i="3"/>
  <c r="BX48" i="3"/>
  <c r="BY48" i="3"/>
  <c r="BZ48" i="3"/>
  <c r="CA48" i="3"/>
  <c r="CB48" i="3"/>
  <c r="CC48" i="3"/>
  <c r="CD48" i="3"/>
  <c r="CE48" i="3"/>
  <c r="CF48" i="3"/>
  <c r="CG48" i="3"/>
  <c r="CH48" i="3"/>
  <c r="CI48" i="3"/>
  <c r="CJ48" i="3"/>
  <c r="CK48" i="3"/>
  <c r="CL48" i="3"/>
  <c r="CM48" i="3"/>
  <c r="CN48" i="3"/>
  <c r="CO48" i="3"/>
  <c r="CP48" i="3"/>
  <c r="CQ48" i="3"/>
  <c r="CR48" i="3"/>
  <c r="CS48" i="3"/>
  <c r="CT48" i="3"/>
  <c r="CU48" i="3"/>
  <c r="CV48" i="3"/>
  <c r="CW48" i="3"/>
  <c r="CX48" i="3"/>
  <c r="CY48" i="3"/>
  <c r="CZ48" i="3"/>
  <c r="DA48" i="3"/>
  <c r="DB48" i="3"/>
  <c r="DC48" i="3"/>
  <c r="DD48" i="3"/>
  <c r="DE48" i="3"/>
  <c r="DF48" i="3"/>
  <c r="DG48" i="3"/>
  <c r="DH48" i="3"/>
  <c r="DI48" i="3"/>
  <c r="DJ48" i="3"/>
  <c r="DK48" i="3"/>
  <c r="DL48" i="3"/>
  <c r="DM48" i="3"/>
  <c r="DN48" i="3"/>
  <c r="DO48" i="3"/>
  <c r="DP48" i="3"/>
  <c r="DQ48" i="3"/>
  <c r="DR48" i="3"/>
  <c r="DS48" i="3"/>
  <c r="DT48" i="3"/>
  <c r="DU48" i="3"/>
  <c r="DV48" i="3"/>
  <c r="DW48" i="3"/>
  <c r="DX48" i="3"/>
  <c r="DY48" i="3"/>
  <c r="DZ48" i="3"/>
  <c r="EA48" i="3"/>
  <c r="EB48" i="3"/>
  <c r="EC48" i="3"/>
  <c r="ED48" i="3"/>
  <c r="EE48" i="3"/>
  <c r="EF48" i="3"/>
  <c r="EG48" i="3"/>
  <c r="EH48" i="3"/>
  <c r="EI48" i="3"/>
  <c r="EJ48" i="3"/>
  <c r="EK48" i="3"/>
  <c r="EL48" i="3"/>
  <c r="EM48" i="3"/>
  <c r="EN48" i="3"/>
  <c r="EO48" i="3"/>
  <c r="EP48" i="3"/>
  <c r="EQ48" i="3"/>
  <c r="ER48" i="3"/>
  <c r="ES48" i="3"/>
  <c r="ET48" i="3"/>
  <c r="EU48" i="3"/>
  <c r="EV48" i="3"/>
  <c r="EW48" i="3"/>
  <c r="EX48" i="3"/>
  <c r="EY48" i="3"/>
  <c r="EZ48" i="3"/>
  <c r="FA48" i="3"/>
  <c r="FB48" i="3"/>
  <c r="FC48" i="3"/>
  <c r="FD48" i="3"/>
  <c r="FE48" i="3"/>
  <c r="FF48" i="3"/>
  <c r="FG48" i="3"/>
  <c r="FH48" i="3"/>
  <c r="FI48" i="3"/>
  <c r="FJ48" i="3"/>
  <c r="FK48" i="3"/>
  <c r="FL48" i="3"/>
  <c r="FM48" i="3"/>
  <c r="FN48" i="3"/>
  <c r="FO48" i="3"/>
  <c r="FP48" i="3"/>
  <c r="FQ48" i="3"/>
  <c r="FR48" i="3"/>
  <c r="FS48" i="3"/>
  <c r="FT48" i="3"/>
  <c r="FU48" i="3"/>
  <c r="FV48" i="3"/>
  <c r="FW48" i="3"/>
  <c r="FX48" i="3"/>
  <c r="FY48" i="3"/>
  <c r="FZ48" i="3"/>
  <c r="GA48" i="3"/>
  <c r="GB48" i="3"/>
  <c r="GC48" i="3"/>
  <c r="GD48" i="3"/>
  <c r="GE48" i="3"/>
  <c r="GF48" i="3"/>
  <c r="GG48" i="3"/>
  <c r="GH48" i="3"/>
  <c r="GI48" i="3"/>
  <c r="GJ48" i="3"/>
  <c r="GK48" i="3"/>
  <c r="GL48" i="3"/>
  <c r="GM48" i="3"/>
  <c r="GN48" i="3"/>
  <c r="GO48" i="3"/>
  <c r="GP48" i="3"/>
  <c r="GQ48" i="3"/>
  <c r="GR48" i="3"/>
  <c r="GS48" i="3"/>
  <c r="GT48" i="3"/>
  <c r="GU48" i="3"/>
  <c r="GV48" i="3"/>
  <c r="GW48" i="3"/>
  <c r="GX48" i="3"/>
  <c r="GY48" i="3"/>
  <c r="GZ48" i="3"/>
  <c r="HA48" i="3"/>
  <c r="HB48" i="3"/>
  <c r="HC48" i="3"/>
  <c r="HD48" i="3"/>
  <c r="HE48" i="3"/>
  <c r="HF48" i="3"/>
  <c r="HG48" i="3"/>
  <c r="HH48" i="3"/>
  <c r="HI48" i="3"/>
  <c r="HJ48" i="3"/>
  <c r="HK48" i="3"/>
  <c r="HL48" i="3"/>
  <c r="HM48" i="3"/>
  <c r="HN48" i="3"/>
  <c r="HO48" i="3"/>
  <c r="HP48" i="3"/>
  <c r="HQ48" i="3"/>
  <c r="HR48" i="3"/>
  <c r="HS48" i="3"/>
  <c r="HT48" i="3"/>
  <c r="HU48" i="3"/>
  <c r="HV48" i="3"/>
  <c r="HW48" i="3"/>
  <c r="HX48" i="3"/>
  <c r="HY48" i="3"/>
  <c r="HZ48" i="3"/>
  <c r="IA48" i="3"/>
  <c r="IB48" i="3"/>
  <c r="IC48" i="3"/>
  <c r="ID48" i="3"/>
  <c r="IE48" i="3"/>
  <c r="IF48" i="3"/>
  <c r="IG48" i="3"/>
  <c r="IH48" i="3"/>
  <c r="II48" i="3"/>
  <c r="IJ48" i="3"/>
  <c r="IK48" i="3"/>
  <c r="IL48" i="3"/>
  <c r="IM48" i="3"/>
  <c r="IN48" i="3"/>
  <c r="IO48" i="3"/>
  <c r="IP48" i="3"/>
  <c r="IQ48" i="3"/>
  <c r="IR48" i="3"/>
  <c r="IS48" i="3"/>
  <c r="IT48" i="3"/>
  <c r="IU48" i="3"/>
  <c r="IV48" i="3"/>
  <c r="A47" i="3"/>
  <c r="B47" i="3"/>
  <c r="C47" i="3"/>
  <c r="D47" i="3"/>
  <c r="E47" i="3"/>
  <c r="F47" i="3"/>
  <c r="G47" i="3"/>
  <c r="H47" i="3"/>
  <c r="I47" i="3"/>
  <c r="J47" i="3"/>
  <c r="K47" i="3"/>
  <c r="L47" i="3"/>
  <c r="M47" i="3"/>
  <c r="N47" i="3"/>
  <c r="O47" i="3"/>
  <c r="P47" i="3"/>
  <c r="Q47" i="3"/>
  <c r="R47" i="3"/>
  <c r="S47" i="3"/>
  <c r="T47" i="3"/>
  <c r="U47" i="3"/>
  <c r="V47" i="3"/>
  <c r="W47" i="3"/>
  <c r="X47" i="3"/>
  <c r="Y47" i="3"/>
  <c r="Z47" i="3"/>
  <c r="AA47" i="3"/>
  <c r="AB47" i="3"/>
  <c r="AC47" i="3"/>
  <c r="AD47" i="3"/>
  <c r="AE47" i="3"/>
  <c r="AF47" i="3"/>
  <c r="AG47" i="3"/>
  <c r="AH47" i="3"/>
  <c r="AI47" i="3"/>
  <c r="AJ47" i="3"/>
  <c r="AK47" i="3"/>
  <c r="AL47" i="3"/>
  <c r="AM47" i="3"/>
  <c r="AN47" i="3"/>
  <c r="AO47" i="3"/>
  <c r="AP47" i="3"/>
  <c r="AQ47" i="3"/>
  <c r="AR47" i="3"/>
  <c r="AS47" i="3"/>
  <c r="AT47" i="3"/>
  <c r="AU47" i="3"/>
  <c r="AV47" i="3"/>
  <c r="AW47" i="3"/>
  <c r="AX47" i="3"/>
  <c r="AY47" i="3"/>
  <c r="AZ47" i="3"/>
  <c r="BA47" i="3"/>
  <c r="BB47" i="3"/>
  <c r="BC47" i="3"/>
  <c r="BD47" i="3"/>
  <c r="BE47" i="3"/>
  <c r="BF47" i="3"/>
  <c r="BG47" i="3"/>
  <c r="BH47" i="3"/>
  <c r="BI47" i="3"/>
  <c r="BJ47" i="3"/>
  <c r="BK47" i="3"/>
  <c r="BL47" i="3"/>
  <c r="BM47" i="3"/>
  <c r="BN47" i="3"/>
  <c r="BO47" i="3"/>
  <c r="BP47" i="3"/>
  <c r="BQ47" i="3"/>
  <c r="BR47" i="3"/>
  <c r="BS47" i="3"/>
  <c r="BT47" i="3"/>
  <c r="BU47" i="3"/>
  <c r="BV47" i="3"/>
  <c r="BW47" i="3"/>
  <c r="BX47" i="3"/>
  <c r="BY47" i="3"/>
  <c r="BZ47" i="3"/>
  <c r="CA47" i="3"/>
  <c r="CB47" i="3"/>
  <c r="CC47" i="3"/>
  <c r="CD47" i="3"/>
  <c r="CE47" i="3"/>
  <c r="CF47" i="3"/>
  <c r="CG47" i="3"/>
  <c r="CH47" i="3"/>
  <c r="CI47" i="3"/>
  <c r="CJ47" i="3"/>
  <c r="CK47" i="3"/>
  <c r="CL47" i="3"/>
  <c r="CM47" i="3"/>
  <c r="CN47" i="3"/>
  <c r="CO47" i="3"/>
  <c r="CP47" i="3"/>
  <c r="CQ47" i="3"/>
  <c r="CR47" i="3"/>
  <c r="CS47" i="3"/>
  <c r="CT47" i="3"/>
  <c r="CU47" i="3"/>
  <c r="CV47" i="3"/>
  <c r="CW47" i="3"/>
  <c r="CX47" i="3"/>
  <c r="CY47" i="3"/>
  <c r="CZ47" i="3"/>
  <c r="DA47" i="3"/>
  <c r="DB47" i="3"/>
  <c r="DC47" i="3"/>
  <c r="DD47" i="3"/>
  <c r="DE47" i="3"/>
  <c r="DF47" i="3"/>
  <c r="DG47" i="3"/>
  <c r="DH47" i="3"/>
  <c r="DI47" i="3"/>
  <c r="DJ47" i="3"/>
  <c r="DK47" i="3"/>
  <c r="DL47" i="3"/>
  <c r="DM47" i="3"/>
  <c r="DN47" i="3"/>
  <c r="DO47" i="3"/>
  <c r="DP47" i="3"/>
  <c r="DQ47" i="3"/>
  <c r="DR47" i="3"/>
  <c r="DS47" i="3"/>
  <c r="DT47" i="3"/>
  <c r="DU47" i="3"/>
  <c r="DV47" i="3"/>
  <c r="DW47" i="3"/>
  <c r="DX47" i="3"/>
  <c r="DY47" i="3"/>
  <c r="DZ47" i="3"/>
  <c r="EA47" i="3"/>
  <c r="EB47" i="3"/>
  <c r="EC47" i="3"/>
  <c r="ED47" i="3"/>
  <c r="EE47" i="3"/>
  <c r="EF47" i="3"/>
  <c r="EG47" i="3"/>
  <c r="EH47" i="3"/>
  <c r="EI47" i="3"/>
  <c r="EJ47" i="3"/>
  <c r="EK47" i="3"/>
  <c r="EL47" i="3"/>
  <c r="EM47" i="3"/>
  <c r="EN47" i="3"/>
  <c r="EO47" i="3"/>
  <c r="EP47" i="3"/>
  <c r="EQ47" i="3"/>
  <c r="ER47" i="3"/>
  <c r="ES47" i="3"/>
  <c r="ET47" i="3"/>
  <c r="EU47" i="3"/>
  <c r="EV47" i="3"/>
  <c r="EW47" i="3"/>
  <c r="EX47" i="3"/>
  <c r="EY47" i="3"/>
  <c r="EZ47" i="3"/>
  <c r="FA47" i="3"/>
  <c r="FB47" i="3"/>
  <c r="FC47" i="3"/>
  <c r="FD47" i="3"/>
  <c r="FE47" i="3"/>
  <c r="FF47" i="3"/>
  <c r="FG47" i="3"/>
  <c r="FH47" i="3"/>
  <c r="FI47" i="3"/>
  <c r="FJ47" i="3"/>
  <c r="FK47" i="3"/>
  <c r="FL47" i="3"/>
  <c r="FM47" i="3"/>
  <c r="FN47" i="3"/>
  <c r="FO47" i="3"/>
  <c r="FP47" i="3"/>
  <c r="FQ47" i="3"/>
  <c r="FR47" i="3"/>
  <c r="FS47" i="3"/>
  <c r="FT47" i="3"/>
  <c r="FU47" i="3"/>
  <c r="FV47" i="3"/>
  <c r="FW47" i="3"/>
  <c r="FX47" i="3"/>
  <c r="FY47" i="3"/>
  <c r="FZ47" i="3"/>
  <c r="GA47" i="3"/>
  <c r="GB47" i="3"/>
  <c r="GC47" i="3"/>
  <c r="GD47" i="3"/>
  <c r="GE47" i="3"/>
  <c r="GF47" i="3"/>
  <c r="GG47" i="3"/>
  <c r="GH47" i="3"/>
  <c r="GI47" i="3"/>
  <c r="GJ47" i="3"/>
  <c r="GK47" i="3"/>
  <c r="GL47" i="3"/>
  <c r="GM47" i="3"/>
  <c r="GN47" i="3"/>
  <c r="GO47" i="3"/>
  <c r="GP47" i="3"/>
  <c r="GQ47" i="3"/>
  <c r="GR47" i="3"/>
  <c r="GS47" i="3"/>
  <c r="GT47" i="3"/>
  <c r="GU47" i="3"/>
  <c r="GV47" i="3"/>
  <c r="GW47" i="3"/>
  <c r="GX47" i="3"/>
  <c r="GY47" i="3"/>
  <c r="GZ47" i="3"/>
  <c r="HA47" i="3"/>
  <c r="HB47" i="3"/>
  <c r="HC47" i="3"/>
  <c r="HD47" i="3"/>
  <c r="HE47" i="3"/>
  <c r="HF47" i="3"/>
  <c r="HG47" i="3"/>
  <c r="HH47" i="3"/>
  <c r="HI47" i="3"/>
  <c r="HJ47" i="3"/>
  <c r="HK47" i="3"/>
  <c r="HL47" i="3"/>
  <c r="HM47" i="3"/>
  <c r="HN47" i="3"/>
  <c r="HO47" i="3"/>
  <c r="HP47" i="3"/>
  <c r="HQ47" i="3"/>
  <c r="HR47" i="3"/>
  <c r="HS47" i="3"/>
  <c r="HT47" i="3"/>
  <c r="HU47" i="3"/>
  <c r="HV47" i="3"/>
  <c r="HW47" i="3"/>
  <c r="HX47" i="3"/>
  <c r="HY47" i="3"/>
  <c r="HZ47" i="3"/>
  <c r="IA47" i="3"/>
  <c r="IB47" i="3"/>
  <c r="IC47" i="3"/>
  <c r="ID47" i="3"/>
  <c r="IE47" i="3"/>
  <c r="IF47" i="3"/>
  <c r="IG47" i="3"/>
  <c r="IH47" i="3"/>
  <c r="II47" i="3"/>
  <c r="IJ47" i="3"/>
  <c r="IK47" i="3"/>
  <c r="IL47" i="3"/>
  <c r="IM47" i="3"/>
  <c r="IN47" i="3"/>
  <c r="IO47" i="3"/>
  <c r="IP47" i="3"/>
  <c r="IQ47" i="3"/>
  <c r="IR47" i="3"/>
  <c r="IS47" i="3"/>
  <c r="IT47" i="3"/>
  <c r="IU47" i="3"/>
  <c r="IV47" i="3"/>
  <c r="A46" i="3"/>
  <c r="B46" i="3"/>
  <c r="C46" i="3"/>
  <c r="D46" i="3"/>
  <c r="E46" i="3"/>
  <c r="F46" i="3"/>
  <c r="G46" i="3"/>
  <c r="H46" i="3"/>
  <c r="I46" i="3"/>
  <c r="J46" i="3"/>
  <c r="K46" i="3"/>
  <c r="L46" i="3"/>
  <c r="M46" i="3"/>
  <c r="N46" i="3"/>
  <c r="O46" i="3"/>
  <c r="P46" i="3"/>
  <c r="Q46" i="3"/>
  <c r="R46" i="3"/>
  <c r="S46" i="3"/>
  <c r="T46" i="3"/>
  <c r="U46" i="3"/>
  <c r="V46" i="3"/>
  <c r="W46" i="3"/>
  <c r="X46" i="3"/>
  <c r="Y46" i="3"/>
  <c r="Z46" i="3"/>
  <c r="AA46" i="3"/>
  <c r="AB46" i="3"/>
  <c r="AC46" i="3"/>
  <c r="AD46" i="3"/>
  <c r="AE46" i="3"/>
  <c r="AF46" i="3"/>
  <c r="AG46" i="3"/>
  <c r="AH46" i="3"/>
  <c r="AI46" i="3"/>
  <c r="AJ46" i="3"/>
  <c r="AK46" i="3"/>
  <c r="AL46" i="3"/>
  <c r="AM46" i="3"/>
  <c r="AN46" i="3"/>
  <c r="AO46" i="3"/>
  <c r="AP46" i="3"/>
  <c r="AQ46" i="3"/>
  <c r="AR46" i="3"/>
  <c r="AS46" i="3"/>
  <c r="AT46" i="3"/>
  <c r="AU46" i="3"/>
  <c r="AV46" i="3"/>
  <c r="AW46" i="3"/>
  <c r="AX46" i="3"/>
  <c r="AY46" i="3"/>
  <c r="AZ46" i="3"/>
  <c r="BA46" i="3"/>
  <c r="BB46" i="3"/>
  <c r="BC46" i="3"/>
  <c r="BD46" i="3"/>
  <c r="BE46" i="3"/>
  <c r="BF46" i="3"/>
  <c r="BG46" i="3"/>
  <c r="BH46" i="3"/>
  <c r="BI46" i="3"/>
  <c r="BJ46" i="3"/>
  <c r="BK46" i="3"/>
  <c r="BL46" i="3"/>
  <c r="BM46" i="3"/>
  <c r="BN46" i="3"/>
  <c r="BO46" i="3"/>
  <c r="BP46" i="3"/>
  <c r="BQ46" i="3"/>
  <c r="BR46" i="3"/>
  <c r="BS46" i="3"/>
  <c r="BT46" i="3"/>
  <c r="BU46" i="3"/>
  <c r="BV46" i="3"/>
  <c r="BW46" i="3"/>
  <c r="BX46" i="3"/>
  <c r="BY46" i="3"/>
  <c r="BZ46" i="3"/>
  <c r="CA46" i="3"/>
  <c r="CB46" i="3"/>
  <c r="CC46" i="3"/>
  <c r="CD46" i="3"/>
  <c r="CE46" i="3"/>
  <c r="CF46" i="3"/>
  <c r="CG46" i="3"/>
  <c r="CH46" i="3"/>
  <c r="CI46" i="3"/>
  <c r="CJ46" i="3"/>
  <c r="CK46" i="3"/>
  <c r="CL46" i="3"/>
  <c r="CM46" i="3"/>
  <c r="CN46" i="3"/>
  <c r="CO46" i="3"/>
  <c r="CP46" i="3"/>
  <c r="CQ46" i="3"/>
  <c r="CR46" i="3"/>
  <c r="CS46" i="3"/>
  <c r="CT46" i="3"/>
  <c r="CU46" i="3"/>
  <c r="CV46" i="3"/>
  <c r="CW46" i="3"/>
  <c r="CX46" i="3"/>
  <c r="CY46" i="3"/>
  <c r="CZ46" i="3"/>
  <c r="DA46" i="3"/>
  <c r="DB46" i="3"/>
  <c r="DC46" i="3"/>
  <c r="DD46" i="3"/>
  <c r="DE46" i="3"/>
  <c r="DF46" i="3"/>
  <c r="DG46" i="3"/>
  <c r="DH46" i="3"/>
  <c r="DI46" i="3"/>
  <c r="DJ46" i="3"/>
  <c r="DK46" i="3"/>
  <c r="DL46" i="3"/>
  <c r="DM46" i="3"/>
  <c r="DN46" i="3"/>
  <c r="DO46" i="3"/>
  <c r="DP46" i="3"/>
  <c r="DQ46" i="3"/>
  <c r="DR46" i="3"/>
  <c r="DS46" i="3"/>
  <c r="DT46" i="3"/>
  <c r="DU46" i="3"/>
  <c r="DV46" i="3"/>
  <c r="DW46" i="3"/>
  <c r="DX46" i="3"/>
  <c r="DY46" i="3"/>
  <c r="DZ46" i="3"/>
  <c r="EA46" i="3"/>
  <c r="EB46" i="3"/>
  <c r="EC46" i="3"/>
  <c r="ED46" i="3"/>
  <c r="EE46" i="3"/>
  <c r="EF46" i="3"/>
  <c r="EG46" i="3"/>
  <c r="EH46" i="3"/>
  <c r="EI46" i="3"/>
  <c r="EJ46" i="3"/>
  <c r="EK46" i="3"/>
  <c r="EL46" i="3"/>
  <c r="EM46" i="3"/>
  <c r="EN46" i="3"/>
  <c r="EO46" i="3"/>
  <c r="EP46" i="3"/>
  <c r="EQ46" i="3"/>
  <c r="ER46" i="3"/>
  <c r="ES46" i="3"/>
  <c r="ET46" i="3"/>
  <c r="EU46" i="3"/>
  <c r="EV46" i="3"/>
  <c r="EW46" i="3"/>
  <c r="EX46" i="3"/>
  <c r="EY46" i="3"/>
  <c r="EZ46" i="3"/>
  <c r="FA46" i="3"/>
  <c r="FB46" i="3"/>
  <c r="FC46" i="3"/>
  <c r="FD46" i="3"/>
  <c r="FE46" i="3"/>
  <c r="FF46" i="3"/>
  <c r="FG46" i="3"/>
  <c r="FH46" i="3"/>
  <c r="FI46" i="3"/>
  <c r="FJ46" i="3"/>
  <c r="FK46" i="3"/>
  <c r="FL46" i="3"/>
  <c r="FM46" i="3"/>
  <c r="FN46" i="3"/>
  <c r="FO46" i="3"/>
  <c r="FP46" i="3"/>
  <c r="FQ46" i="3"/>
  <c r="FR46" i="3"/>
  <c r="FS46" i="3"/>
  <c r="FT46" i="3"/>
  <c r="FU46" i="3"/>
  <c r="FV46" i="3"/>
  <c r="FW46" i="3"/>
  <c r="FX46" i="3"/>
  <c r="FY46" i="3"/>
  <c r="FZ46" i="3"/>
  <c r="GA46" i="3"/>
  <c r="GB46" i="3"/>
  <c r="GC46" i="3"/>
  <c r="GD46" i="3"/>
  <c r="GE46" i="3"/>
  <c r="GF46" i="3"/>
  <c r="GG46" i="3"/>
  <c r="GH46" i="3"/>
  <c r="GI46" i="3"/>
  <c r="GJ46" i="3"/>
  <c r="GK46" i="3"/>
  <c r="GL46" i="3"/>
  <c r="GM46" i="3"/>
  <c r="GN46" i="3"/>
  <c r="GO46" i="3"/>
  <c r="GP46" i="3"/>
  <c r="GQ46" i="3"/>
  <c r="GR46" i="3"/>
  <c r="GS46" i="3"/>
  <c r="GT46" i="3"/>
  <c r="GU46" i="3"/>
  <c r="GV46" i="3"/>
  <c r="GW46" i="3"/>
  <c r="GX46" i="3"/>
  <c r="GY46" i="3"/>
  <c r="GZ46" i="3"/>
  <c r="HA46" i="3"/>
  <c r="HB46" i="3"/>
  <c r="HC46" i="3"/>
  <c r="HD46" i="3"/>
  <c r="HE46" i="3"/>
  <c r="HF46" i="3"/>
  <c r="HG46" i="3"/>
  <c r="HH46" i="3"/>
  <c r="HI46" i="3"/>
  <c r="HJ46" i="3"/>
  <c r="HK46" i="3"/>
  <c r="HL46" i="3"/>
  <c r="HM46" i="3"/>
  <c r="HN46" i="3"/>
  <c r="HO46" i="3"/>
  <c r="HP46" i="3"/>
  <c r="HQ46" i="3"/>
  <c r="HR46" i="3"/>
  <c r="HS46" i="3"/>
  <c r="HT46" i="3"/>
  <c r="HU46" i="3"/>
  <c r="HV46" i="3"/>
  <c r="HW46" i="3"/>
  <c r="HX46" i="3"/>
  <c r="HY46" i="3"/>
  <c r="HZ46" i="3"/>
  <c r="IA46" i="3"/>
  <c r="IB46" i="3"/>
  <c r="IC46" i="3"/>
  <c r="ID46" i="3"/>
  <c r="IE46" i="3"/>
  <c r="IF46" i="3"/>
  <c r="IG46" i="3"/>
  <c r="IH46" i="3"/>
  <c r="II46" i="3"/>
  <c r="IJ46" i="3"/>
  <c r="IK46" i="3"/>
  <c r="IL46" i="3"/>
  <c r="IM46" i="3"/>
  <c r="IN46" i="3"/>
  <c r="IO46" i="3"/>
  <c r="IP46" i="3"/>
  <c r="IQ46" i="3"/>
  <c r="IR46" i="3"/>
  <c r="IS46" i="3"/>
  <c r="IT46" i="3"/>
  <c r="IU46" i="3"/>
  <c r="IV46" i="3"/>
  <c r="A45" i="3"/>
  <c r="B45" i="3"/>
  <c r="C45" i="3"/>
  <c r="D45" i="3"/>
  <c r="E45" i="3"/>
  <c r="F45" i="3"/>
  <c r="G45" i="3"/>
  <c r="H45" i="3"/>
  <c r="I45" i="3"/>
  <c r="J45" i="3"/>
  <c r="K45" i="3"/>
  <c r="L45" i="3"/>
  <c r="M45" i="3"/>
  <c r="N45" i="3"/>
  <c r="O45" i="3"/>
  <c r="P45" i="3"/>
  <c r="Q45" i="3"/>
  <c r="R45" i="3"/>
  <c r="S45" i="3"/>
  <c r="T45" i="3"/>
  <c r="U45" i="3"/>
  <c r="V45" i="3"/>
  <c r="W45" i="3"/>
  <c r="X45" i="3"/>
  <c r="Y45" i="3"/>
  <c r="Z45" i="3"/>
  <c r="AA45" i="3"/>
  <c r="AB45" i="3"/>
  <c r="AC45" i="3"/>
  <c r="AD45" i="3"/>
  <c r="AE45" i="3"/>
  <c r="AF45" i="3"/>
  <c r="AG45" i="3"/>
  <c r="AH45" i="3"/>
  <c r="AI45" i="3"/>
  <c r="AJ45" i="3"/>
  <c r="AK45" i="3"/>
  <c r="AL45" i="3"/>
  <c r="AM45" i="3"/>
  <c r="AN45" i="3"/>
  <c r="AO45" i="3"/>
  <c r="AP45" i="3"/>
  <c r="AQ45" i="3"/>
  <c r="AR45" i="3"/>
  <c r="AS45" i="3"/>
  <c r="AT45" i="3"/>
  <c r="AU45" i="3"/>
  <c r="AV45" i="3"/>
  <c r="AW45" i="3"/>
  <c r="AX45" i="3"/>
  <c r="AY45" i="3"/>
  <c r="AZ45" i="3"/>
  <c r="BA45" i="3"/>
  <c r="BB45" i="3"/>
  <c r="BC45" i="3"/>
  <c r="BD45" i="3"/>
  <c r="BE45" i="3"/>
  <c r="BF45" i="3"/>
  <c r="BG45" i="3"/>
  <c r="BH45" i="3"/>
  <c r="BI45" i="3"/>
  <c r="BJ45" i="3"/>
  <c r="BK45" i="3"/>
  <c r="BL45" i="3"/>
  <c r="BM45" i="3"/>
  <c r="BN45" i="3"/>
  <c r="BO45" i="3"/>
  <c r="BP45" i="3"/>
  <c r="BQ45" i="3"/>
  <c r="BR45" i="3"/>
  <c r="BS45" i="3"/>
  <c r="BT45" i="3"/>
  <c r="BU45" i="3"/>
  <c r="BV45" i="3"/>
  <c r="BW45" i="3"/>
  <c r="BX45" i="3"/>
  <c r="BY45" i="3"/>
  <c r="BZ45" i="3"/>
  <c r="CA45" i="3"/>
  <c r="CB45" i="3"/>
  <c r="CC45" i="3"/>
  <c r="CD45" i="3"/>
  <c r="CE45" i="3"/>
  <c r="CF45" i="3"/>
  <c r="CG45" i="3"/>
  <c r="CH45" i="3"/>
  <c r="CI45" i="3"/>
  <c r="CJ45" i="3"/>
  <c r="CK45" i="3"/>
  <c r="CL45" i="3"/>
  <c r="CM45" i="3"/>
  <c r="CN45" i="3"/>
  <c r="CO45" i="3"/>
  <c r="CP45" i="3"/>
  <c r="CQ45" i="3"/>
  <c r="CR45" i="3"/>
  <c r="CS45" i="3"/>
  <c r="CT45" i="3"/>
  <c r="CU45" i="3"/>
  <c r="CV45" i="3"/>
  <c r="CW45" i="3"/>
  <c r="CX45" i="3"/>
  <c r="CY45" i="3"/>
  <c r="CZ45" i="3"/>
  <c r="DA45" i="3"/>
  <c r="DB45" i="3"/>
  <c r="DC45" i="3"/>
  <c r="DD45" i="3"/>
  <c r="DE45" i="3"/>
  <c r="DF45" i="3"/>
  <c r="DG45" i="3"/>
  <c r="DH45" i="3"/>
  <c r="DI45" i="3"/>
  <c r="DJ45" i="3"/>
  <c r="DK45" i="3"/>
  <c r="DL45" i="3"/>
  <c r="DM45" i="3"/>
  <c r="DN45" i="3"/>
  <c r="DO45" i="3"/>
  <c r="DP45" i="3"/>
  <c r="DQ45" i="3"/>
  <c r="DR45" i="3"/>
  <c r="DS45" i="3"/>
  <c r="DT45" i="3"/>
  <c r="DU45" i="3"/>
  <c r="DV45" i="3"/>
  <c r="DW45" i="3"/>
  <c r="DX45" i="3"/>
  <c r="DY45" i="3"/>
  <c r="DZ45" i="3"/>
  <c r="EA45" i="3"/>
  <c r="EB45" i="3"/>
  <c r="EC45" i="3"/>
  <c r="ED45" i="3"/>
  <c r="EE45" i="3"/>
  <c r="EF45" i="3"/>
  <c r="EG45" i="3"/>
  <c r="EH45" i="3"/>
  <c r="EI45" i="3"/>
  <c r="EJ45" i="3"/>
  <c r="EK45" i="3"/>
  <c r="EL45" i="3"/>
  <c r="EM45" i="3"/>
  <c r="EN45" i="3"/>
  <c r="EO45" i="3"/>
  <c r="EP45" i="3"/>
  <c r="EQ45" i="3"/>
  <c r="ER45" i="3"/>
  <c r="ES45" i="3"/>
  <c r="ET45" i="3"/>
  <c r="EU45" i="3"/>
  <c r="EV45" i="3"/>
  <c r="EW45" i="3"/>
  <c r="EX45" i="3"/>
  <c r="EY45" i="3"/>
  <c r="EZ45" i="3"/>
  <c r="FA45" i="3"/>
  <c r="FB45" i="3"/>
  <c r="FC45" i="3"/>
  <c r="FD45" i="3"/>
  <c r="FE45" i="3"/>
  <c r="FF45" i="3"/>
  <c r="FG45" i="3"/>
  <c r="FH45" i="3"/>
  <c r="FI45" i="3"/>
  <c r="FJ45" i="3"/>
  <c r="FK45" i="3"/>
  <c r="FL45" i="3"/>
  <c r="FM45" i="3"/>
  <c r="FN45" i="3"/>
  <c r="FO45" i="3"/>
  <c r="FP45" i="3"/>
  <c r="FQ45" i="3"/>
  <c r="FR45" i="3"/>
  <c r="FS45" i="3"/>
  <c r="FT45" i="3"/>
  <c r="FU45" i="3"/>
  <c r="FV45" i="3"/>
  <c r="FW45" i="3"/>
  <c r="FX45" i="3"/>
  <c r="FY45" i="3"/>
  <c r="FZ45" i="3"/>
  <c r="GA45" i="3"/>
  <c r="GB45" i="3"/>
  <c r="GC45" i="3"/>
  <c r="GD45" i="3"/>
  <c r="GE45" i="3"/>
  <c r="GF45" i="3"/>
  <c r="GG45" i="3"/>
  <c r="GH45" i="3"/>
  <c r="GI45" i="3"/>
  <c r="GJ45" i="3"/>
  <c r="GK45" i="3"/>
  <c r="GL45" i="3"/>
  <c r="GM45" i="3"/>
  <c r="GN45" i="3"/>
  <c r="GO45" i="3"/>
  <c r="GP45" i="3"/>
  <c r="GQ45" i="3"/>
  <c r="GR45" i="3"/>
  <c r="GS45" i="3"/>
  <c r="GT45" i="3"/>
  <c r="GU45" i="3"/>
  <c r="GV45" i="3"/>
  <c r="GW45" i="3"/>
  <c r="GX45" i="3"/>
  <c r="GY45" i="3"/>
  <c r="GZ45" i="3"/>
  <c r="HA45" i="3"/>
  <c r="HB45" i="3"/>
  <c r="HC45" i="3"/>
  <c r="HD45" i="3"/>
  <c r="HE45" i="3"/>
  <c r="HF45" i="3"/>
  <c r="HG45" i="3"/>
  <c r="HH45" i="3"/>
  <c r="HI45" i="3"/>
  <c r="HJ45" i="3"/>
  <c r="HK45" i="3"/>
  <c r="HL45" i="3"/>
  <c r="HM45" i="3"/>
  <c r="HN45" i="3"/>
  <c r="HO45" i="3"/>
  <c r="HP45" i="3"/>
  <c r="HQ45" i="3"/>
  <c r="HR45" i="3"/>
  <c r="HS45" i="3"/>
  <c r="HT45" i="3"/>
  <c r="HU45" i="3"/>
  <c r="HV45" i="3"/>
  <c r="HW45" i="3"/>
  <c r="HX45" i="3"/>
  <c r="HY45" i="3"/>
  <c r="HZ45" i="3"/>
  <c r="IA45" i="3"/>
  <c r="IB45" i="3"/>
  <c r="IC45" i="3"/>
  <c r="ID45" i="3"/>
  <c r="IE45" i="3"/>
  <c r="IF45" i="3"/>
  <c r="IG45" i="3"/>
  <c r="IH45" i="3"/>
  <c r="II45" i="3"/>
  <c r="IJ45" i="3"/>
  <c r="IK45" i="3"/>
  <c r="IL45" i="3"/>
  <c r="IM45" i="3"/>
  <c r="IN45" i="3"/>
  <c r="IO45" i="3"/>
  <c r="IP45" i="3"/>
  <c r="IQ45" i="3"/>
  <c r="IR45" i="3"/>
  <c r="IS45" i="3"/>
  <c r="IT45" i="3"/>
  <c r="IU45" i="3"/>
  <c r="IV45" i="3"/>
  <c r="A44" i="3"/>
  <c r="B44" i="3"/>
  <c r="C44" i="3"/>
  <c r="D44" i="3"/>
  <c r="E44" i="3"/>
  <c r="F44" i="3"/>
  <c r="G44" i="3"/>
  <c r="H44" i="3"/>
  <c r="I44" i="3"/>
  <c r="J44" i="3"/>
  <c r="K44" i="3"/>
  <c r="L44" i="3"/>
  <c r="M44" i="3"/>
  <c r="N44" i="3"/>
  <c r="O44" i="3"/>
  <c r="P44" i="3"/>
  <c r="Q44" i="3"/>
  <c r="R44" i="3"/>
  <c r="S44" i="3"/>
  <c r="T44" i="3"/>
  <c r="U44" i="3"/>
  <c r="V44" i="3"/>
  <c r="W44" i="3"/>
  <c r="X44" i="3"/>
  <c r="Y44" i="3"/>
  <c r="Z44" i="3"/>
  <c r="AA44" i="3"/>
  <c r="AB44" i="3"/>
  <c r="AC44" i="3"/>
  <c r="AD44" i="3"/>
  <c r="AE44" i="3"/>
  <c r="AF44" i="3"/>
  <c r="AG44" i="3"/>
  <c r="AH44" i="3"/>
  <c r="AI44" i="3"/>
  <c r="AJ44" i="3"/>
  <c r="AK44" i="3"/>
  <c r="AL44" i="3"/>
  <c r="AM44" i="3"/>
  <c r="AN44" i="3"/>
  <c r="AO44" i="3"/>
  <c r="AP44" i="3"/>
  <c r="AQ44" i="3"/>
  <c r="AR44" i="3"/>
  <c r="AS44" i="3"/>
  <c r="AT44" i="3"/>
  <c r="AU44" i="3"/>
  <c r="AV44" i="3"/>
  <c r="AW44" i="3"/>
  <c r="AX44" i="3"/>
  <c r="AY44" i="3"/>
  <c r="AZ44" i="3"/>
  <c r="BA44" i="3"/>
  <c r="BB44" i="3"/>
  <c r="BC44" i="3"/>
  <c r="BD44" i="3"/>
  <c r="BE44" i="3"/>
  <c r="BF44" i="3"/>
  <c r="BG44" i="3"/>
  <c r="BH44" i="3"/>
  <c r="BI44" i="3"/>
  <c r="BJ44" i="3"/>
  <c r="BK44" i="3"/>
  <c r="BL44" i="3"/>
  <c r="BM44" i="3"/>
  <c r="BN44" i="3"/>
  <c r="BO44" i="3"/>
  <c r="BP44" i="3"/>
  <c r="BQ44" i="3"/>
  <c r="BR44" i="3"/>
  <c r="BS44" i="3"/>
  <c r="BT44" i="3"/>
  <c r="BU44" i="3"/>
  <c r="BV44" i="3"/>
  <c r="BW44" i="3"/>
  <c r="BX44" i="3"/>
  <c r="BY44" i="3"/>
  <c r="BZ44" i="3"/>
  <c r="CA44" i="3"/>
  <c r="CB44" i="3"/>
  <c r="CC44" i="3"/>
  <c r="CD44" i="3"/>
  <c r="CE44" i="3"/>
  <c r="CF44" i="3"/>
  <c r="CG44" i="3"/>
  <c r="CH44" i="3"/>
  <c r="CI44" i="3"/>
  <c r="CJ44" i="3"/>
  <c r="CK44" i="3"/>
  <c r="CL44" i="3"/>
  <c r="CM44" i="3"/>
  <c r="CN44" i="3"/>
  <c r="CO44" i="3"/>
  <c r="CP44" i="3"/>
  <c r="CQ44" i="3"/>
  <c r="CR44" i="3"/>
  <c r="CS44" i="3"/>
  <c r="CT44" i="3"/>
  <c r="CU44" i="3"/>
  <c r="CV44" i="3"/>
  <c r="CW44" i="3"/>
  <c r="CX44" i="3"/>
  <c r="CY44" i="3"/>
  <c r="CZ44" i="3"/>
  <c r="DA44" i="3"/>
  <c r="DB44" i="3"/>
  <c r="DC44" i="3"/>
  <c r="DD44" i="3"/>
  <c r="DE44" i="3"/>
  <c r="DF44" i="3"/>
  <c r="DG44" i="3"/>
  <c r="DH44" i="3"/>
  <c r="DI44" i="3"/>
  <c r="DJ44" i="3"/>
  <c r="DK44" i="3"/>
  <c r="DL44" i="3"/>
  <c r="DM44" i="3"/>
  <c r="DN44" i="3"/>
  <c r="DO44" i="3"/>
  <c r="DP44" i="3"/>
  <c r="DQ44" i="3"/>
  <c r="DR44" i="3"/>
  <c r="DS44" i="3"/>
  <c r="DT44" i="3"/>
  <c r="DU44" i="3"/>
  <c r="DV44" i="3"/>
  <c r="DW44" i="3"/>
  <c r="DX44" i="3"/>
  <c r="DY44" i="3"/>
  <c r="DZ44" i="3"/>
  <c r="EA44" i="3"/>
  <c r="EB44" i="3"/>
  <c r="EC44" i="3"/>
  <c r="ED44" i="3"/>
  <c r="EE44" i="3"/>
  <c r="EF44" i="3"/>
  <c r="EG44" i="3"/>
  <c r="EH44" i="3"/>
  <c r="EI44" i="3"/>
  <c r="EJ44" i="3"/>
  <c r="EK44" i="3"/>
  <c r="EL44" i="3"/>
  <c r="EM44" i="3"/>
  <c r="EN44" i="3"/>
  <c r="EO44" i="3"/>
  <c r="EP44" i="3"/>
  <c r="EQ44" i="3"/>
  <c r="ER44" i="3"/>
  <c r="ES44" i="3"/>
  <c r="ET44" i="3"/>
  <c r="EU44" i="3"/>
  <c r="EV44" i="3"/>
  <c r="EW44" i="3"/>
  <c r="EX44" i="3"/>
  <c r="EY44" i="3"/>
  <c r="EZ44" i="3"/>
  <c r="FA44" i="3"/>
  <c r="FB44" i="3"/>
  <c r="FC44" i="3"/>
  <c r="FD44" i="3"/>
  <c r="FE44" i="3"/>
  <c r="FF44" i="3"/>
  <c r="FG44" i="3"/>
  <c r="FH44" i="3"/>
  <c r="FI44" i="3"/>
  <c r="FJ44" i="3"/>
  <c r="FK44" i="3"/>
  <c r="FL44" i="3"/>
  <c r="FM44" i="3"/>
  <c r="FN44" i="3"/>
  <c r="FO44" i="3"/>
  <c r="FP44" i="3"/>
  <c r="FQ44" i="3"/>
  <c r="FR44" i="3"/>
  <c r="FS44" i="3"/>
  <c r="FT44" i="3"/>
  <c r="FU44" i="3"/>
  <c r="FV44" i="3"/>
  <c r="FW44" i="3"/>
  <c r="FX44" i="3"/>
  <c r="FY44" i="3"/>
  <c r="FZ44" i="3"/>
  <c r="GA44" i="3"/>
  <c r="GB44" i="3"/>
  <c r="GC44" i="3"/>
  <c r="GD44" i="3"/>
  <c r="GE44" i="3"/>
  <c r="GF44" i="3"/>
  <c r="GG44" i="3"/>
  <c r="GH44" i="3"/>
  <c r="GI44" i="3"/>
  <c r="GJ44" i="3"/>
  <c r="GK44" i="3"/>
  <c r="GL44" i="3"/>
  <c r="GM44" i="3"/>
  <c r="GN44" i="3"/>
  <c r="GO44" i="3"/>
  <c r="GP44" i="3"/>
  <c r="GQ44" i="3"/>
  <c r="GR44" i="3"/>
  <c r="GS44" i="3"/>
  <c r="GT44" i="3"/>
  <c r="GU44" i="3"/>
  <c r="GV44" i="3"/>
  <c r="GW44" i="3"/>
  <c r="GX44" i="3"/>
  <c r="GY44" i="3"/>
  <c r="GZ44" i="3"/>
  <c r="HA44" i="3"/>
  <c r="HB44" i="3"/>
  <c r="HC44" i="3"/>
  <c r="HD44" i="3"/>
  <c r="HE44" i="3"/>
  <c r="HF44" i="3"/>
  <c r="HG44" i="3"/>
  <c r="HH44" i="3"/>
  <c r="HI44" i="3"/>
  <c r="HJ44" i="3"/>
  <c r="HK44" i="3"/>
  <c r="HL44" i="3"/>
  <c r="HM44" i="3"/>
  <c r="HN44" i="3"/>
  <c r="HO44" i="3"/>
  <c r="HP44" i="3"/>
  <c r="HQ44" i="3"/>
  <c r="HR44" i="3"/>
  <c r="HS44" i="3"/>
  <c r="HT44" i="3"/>
  <c r="HU44" i="3"/>
  <c r="HV44" i="3"/>
  <c r="HW44" i="3"/>
  <c r="HX44" i="3"/>
  <c r="HY44" i="3"/>
  <c r="HZ44" i="3"/>
  <c r="IA44" i="3"/>
  <c r="IB44" i="3"/>
  <c r="IC44" i="3"/>
  <c r="ID44" i="3"/>
  <c r="IE44" i="3"/>
  <c r="IF44" i="3"/>
  <c r="IG44" i="3"/>
  <c r="IH44" i="3"/>
  <c r="II44" i="3"/>
  <c r="IJ44" i="3"/>
  <c r="IK44" i="3"/>
  <c r="IL44" i="3"/>
  <c r="IM44" i="3"/>
  <c r="IN44" i="3"/>
  <c r="IO44" i="3"/>
  <c r="IP44" i="3"/>
  <c r="IQ44" i="3"/>
  <c r="IR44" i="3"/>
  <c r="IS44" i="3"/>
  <c r="IT44" i="3"/>
  <c r="IU44" i="3"/>
  <c r="IV44" i="3"/>
  <c r="A43" i="3"/>
  <c r="B43" i="3"/>
  <c r="C43" i="3"/>
  <c r="D43" i="3"/>
  <c r="E43" i="3"/>
  <c r="F43" i="3"/>
  <c r="G43" i="3"/>
  <c r="H43" i="3"/>
  <c r="I43" i="3"/>
  <c r="J43" i="3"/>
  <c r="K43" i="3"/>
  <c r="L43" i="3"/>
  <c r="M43" i="3"/>
  <c r="N43" i="3"/>
  <c r="O43" i="3"/>
  <c r="P43" i="3"/>
  <c r="Q43" i="3"/>
  <c r="R43" i="3"/>
  <c r="S43" i="3"/>
  <c r="T43" i="3"/>
  <c r="U43" i="3"/>
  <c r="V43" i="3"/>
  <c r="W43" i="3"/>
  <c r="X43" i="3"/>
  <c r="Y43" i="3"/>
  <c r="Z43" i="3"/>
  <c r="AA43" i="3"/>
  <c r="AB43" i="3"/>
  <c r="AC43" i="3"/>
  <c r="AD43" i="3"/>
  <c r="AE43" i="3"/>
  <c r="AF43" i="3"/>
  <c r="AG43" i="3"/>
  <c r="AH43" i="3"/>
  <c r="AI43" i="3"/>
  <c r="AJ43" i="3"/>
  <c r="AK43" i="3"/>
  <c r="AL43" i="3"/>
  <c r="AM43" i="3"/>
  <c r="AN43" i="3"/>
  <c r="AO43" i="3"/>
  <c r="AP43" i="3"/>
  <c r="AQ43" i="3"/>
  <c r="AR43" i="3"/>
  <c r="AS43" i="3"/>
  <c r="AT43" i="3"/>
  <c r="AU43" i="3"/>
  <c r="AV43" i="3"/>
  <c r="AW43" i="3"/>
  <c r="AX43" i="3"/>
  <c r="AY43" i="3"/>
  <c r="AZ43" i="3"/>
  <c r="BA43" i="3"/>
  <c r="BB43" i="3"/>
  <c r="BC43" i="3"/>
  <c r="BD43" i="3"/>
  <c r="BE43" i="3"/>
  <c r="BF43" i="3"/>
  <c r="BG43" i="3"/>
  <c r="BH43" i="3"/>
  <c r="BI43" i="3"/>
  <c r="BJ43" i="3"/>
  <c r="BK43" i="3"/>
  <c r="BL43" i="3"/>
  <c r="BM43" i="3"/>
  <c r="BN43" i="3"/>
  <c r="BO43" i="3"/>
  <c r="BP43" i="3"/>
  <c r="BQ43" i="3"/>
  <c r="BR43" i="3"/>
  <c r="BS43" i="3"/>
  <c r="BT43" i="3"/>
  <c r="BU43" i="3"/>
  <c r="BV43" i="3"/>
  <c r="BW43" i="3"/>
  <c r="BX43" i="3"/>
  <c r="BY43" i="3"/>
  <c r="BZ43" i="3"/>
  <c r="CA43" i="3"/>
  <c r="CB43" i="3"/>
  <c r="CC43" i="3"/>
  <c r="CD43" i="3"/>
  <c r="CE43" i="3"/>
  <c r="CF43" i="3"/>
  <c r="CG43" i="3"/>
  <c r="CH43" i="3"/>
  <c r="CI43" i="3"/>
  <c r="CJ43" i="3"/>
  <c r="CK43" i="3"/>
  <c r="CL43" i="3"/>
  <c r="CM43" i="3"/>
  <c r="CN43" i="3"/>
  <c r="CO43" i="3"/>
  <c r="CP43" i="3"/>
  <c r="CQ43" i="3"/>
  <c r="CR43" i="3"/>
  <c r="CS43" i="3"/>
  <c r="CT43" i="3"/>
  <c r="CU43" i="3"/>
  <c r="CV43" i="3"/>
  <c r="CW43" i="3"/>
  <c r="CX43" i="3"/>
  <c r="CY43" i="3"/>
  <c r="CZ43" i="3"/>
  <c r="DA43" i="3"/>
  <c r="DB43" i="3"/>
  <c r="DC43" i="3"/>
  <c r="DD43" i="3"/>
  <c r="DE43" i="3"/>
  <c r="DF43" i="3"/>
  <c r="DG43" i="3"/>
  <c r="DH43" i="3"/>
  <c r="DI43" i="3"/>
  <c r="DJ43" i="3"/>
  <c r="DK43" i="3"/>
  <c r="DL43" i="3"/>
  <c r="DM43" i="3"/>
  <c r="DN43" i="3"/>
  <c r="DO43" i="3"/>
  <c r="DP43" i="3"/>
  <c r="DQ43" i="3"/>
  <c r="DR43" i="3"/>
  <c r="DS43" i="3"/>
  <c r="DT43" i="3"/>
  <c r="DU43" i="3"/>
  <c r="DV43" i="3"/>
  <c r="DW43" i="3"/>
  <c r="DX43" i="3"/>
  <c r="DY43" i="3"/>
  <c r="DZ43" i="3"/>
  <c r="EA43" i="3"/>
  <c r="EB43" i="3"/>
  <c r="EC43" i="3"/>
  <c r="ED43" i="3"/>
  <c r="EE43" i="3"/>
  <c r="EF43" i="3"/>
  <c r="EG43" i="3"/>
  <c r="EH43" i="3"/>
  <c r="EI43" i="3"/>
  <c r="EJ43" i="3"/>
  <c r="EK43" i="3"/>
  <c r="EL43" i="3"/>
  <c r="EM43" i="3"/>
  <c r="EN43" i="3"/>
  <c r="EO43" i="3"/>
  <c r="EP43" i="3"/>
  <c r="EQ43" i="3"/>
  <c r="ER43" i="3"/>
  <c r="ES43" i="3"/>
  <c r="ET43" i="3"/>
  <c r="EU43" i="3"/>
  <c r="EV43" i="3"/>
  <c r="EW43" i="3"/>
  <c r="EX43" i="3"/>
  <c r="EY43" i="3"/>
  <c r="EZ43" i="3"/>
  <c r="FA43" i="3"/>
  <c r="FB43" i="3"/>
  <c r="FC43" i="3"/>
  <c r="FD43" i="3"/>
  <c r="FE43" i="3"/>
  <c r="FF43" i="3"/>
  <c r="FG43" i="3"/>
  <c r="FH43" i="3"/>
  <c r="FI43" i="3"/>
  <c r="FJ43" i="3"/>
  <c r="FK43" i="3"/>
  <c r="FL43" i="3"/>
  <c r="FM43" i="3"/>
  <c r="FN43" i="3"/>
  <c r="FO43" i="3"/>
  <c r="FP43" i="3"/>
  <c r="FQ43" i="3"/>
  <c r="FR43" i="3"/>
  <c r="FS43" i="3"/>
  <c r="FT43" i="3"/>
  <c r="FU43" i="3"/>
  <c r="FV43" i="3"/>
  <c r="FW43" i="3"/>
  <c r="FX43" i="3"/>
  <c r="FY43" i="3"/>
  <c r="FZ43" i="3"/>
  <c r="GA43" i="3"/>
  <c r="GB43" i="3"/>
  <c r="GC43" i="3"/>
  <c r="GD43" i="3"/>
  <c r="GE43" i="3"/>
  <c r="GF43" i="3"/>
  <c r="GG43" i="3"/>
  <c r="GH43" i="3"/>
  <c r="GI43" i="3"/>
  <c r="GJ43" i="3"/>
  <c r="GK43" i="3"/>
  <c r="GL43" i="3"/>
  <c r="GM43" i="3"/>
  <c r="GN43" i="3"/>
  <c r="GO43" i="3"/>
  <c r="GP43" i="3"/>
  <c r="GQ43" i="3"/>
  <c r="GR43" i="3"/>
  <c r="GS43" i="3"/>
  <c r="GT43" i="3"/>
  <c r="GU43" i="3"/>
  <c r="GV43" i="3"/>
  <c r="GW43" i="3"/>
  <c r="GX43" i="3"/>
  <c r="GY43" i="3"/>
  <c r="GZ43" i="3"/>
  <c r="HA43" i="3"/>
  <c r="HB43" i="3"/>
  <c r="HC43" i="3"/>
  <c r="HD43" i="3"/>
  <c r="HE43" i="3"/>
  <c r="HF43" i="3"/>
  <c r="HG43" i="3"/>
  <c r="HH43" i="3"/>
  <c r="HI43" i="3"/>
  <c r="HJ43" i="3"/>
  <c r="HK43" i="3"/>
  <c r="HL43" i="3"/>
  <c r="HM43" i="3"/>
  <c r="HN43" i="3"/>
  <c r="HO43" i="3"/>
  <c r="HP43" i="3"/>
  <c r="HQ43" i="3"/>
  <c r="HR43" i="3"/>
  <c r="HS43" i="3"/>
  <c r="HT43" i="3"/>
  <c r="HU43" i="3"/>
  <c r="HV43" i="3"/>
  <c r="HW43" i="3"/>
  <c r="HX43" i="3"/>
  <c r="HY43" i="3"/>
  <c r="HZ43" i="3"/>
  <c r="IA43" i="3"/>
  <c r="IB43" i="3"/>
  <c r="IC43" i="3"/>
  <c r="ID43" i="3"/>
  <c r="IE43" i="3"/>
  <c r="IF43" i="3"/>
  <c r="IG43" i="3"/>
  <c r="IH43" i="3"/>
  <c r="II43" i="3"/>
  <c r="IJ43" i="3"/>
  <c r="IK43" i="3"/>
  <c r="IL43" i="3"/>
  <c r="IM43" i="3"/>
  <c r="IN43" i="3"/>
  <c r="IO43" i="3"/>
  <c r="IP43" i="3"/>
  <c r="IQ43" i="3"/>
  <c r="IR43" i="3"/>
  <c r="IS43" i="3"/>
  <c r="IT43" i="3"/>
  <c r="IU43" i="3"/>
  <c r="IV43" i="3"/>
  <c r="A42" i="3"/>
  <c r="B42" i="3"/>
  <c r="C42" i="3"/>
  <c r="D42" i="3"/>
  <c r="E42" i="3"/>
  <c r="F42" i="3"/>
  <c r="G42" i="3"/>
  <c r="H42" i="3"/>
  <c r="I42" i="3"/>
  <c r="J42" i="3"/>
  <c r="K42" i="3"/>
  <c r="L42" i="3"/>
  <c r="M42" i="3"/>
  <c r="N42" i="3"/>
  <c r="O42" i="3"/>
  <c r="P42" i="3"/>
  <c r="Q42" i="3"/>
  <c r="R42" i="3"/>
  <c r="S42" i="3"/>
  <c r="T42" i="3"/>
  <c r="U42" i="3"/>
  <c r="V42" i="3"/>
  <c r="W42" i="3"/>
  <c r="X42" i="3"/>
  <c r="Y42" i="3"/>
  <c r="Z42" i="3"/>
  <c r="AA42" i="3"/>
  <c r="AB42" i="3"/>
  <c r="AC42" i="3"/>
  <c r="AD42" i="3"/>
  <c r="AE42" i="3"/>
  <c r="AF42" i="3"/>
  <c r="AG42" i="3"/>
  <c r="AH42" i="3"/>
  <c r="AI42" i="3"/>
  <c r="AJ42" i="3"/>
  <c r="AK42" i="3"/>
  <c r="AL42" i="3"/>
  <c r="AM42" i="3"/>
  <c r="AN42" i="3"/>
  <c r="AO42" i="3"/>
  <c r="AP42" i="3"/>
  <c r="AQ42" i="3"/>
  <c r="AR42" i="3"/>
  <c r="AS42" i="3"/>
  <c r="AT42" i="3"/>
  <c r="AU42" i="3"/>
  <c r="AV42" i="3"/>
  <c r="AW42" i="3"/>
  <c r="AX42" i="3"/>
  <c r="AY42" i="3"/>
  <c r="AZ42" i="3"/>
  <c r="BA42" i="3"/>
  <c r="BB42" i="3"/>
  <c r="BC42" i="3"/>
  <c r="BD42" i="3"/>
  <c r="BE42" i="3"/>
  <c r="BF42" i="3"/>
  <c r="BG42" i="3"/>
  <c r="BH42" i="3"/>
  <c r="BI42" i="3"/>
  <c r="BJ42" i="3"/>
  <c r="BK42" i="3"/>
  <c r="BL42" i="3"/>
  <c r="BM42" i="3"/>
  <c r="BN42" i="3"/>
  <c r="BO42" i="3"/>
  <c r="BP42" i="3"/>
  <c r="BQ42" i="3"/>
  <c r="BR42" i="3"/>
  <c r="BS42" i="3"/>
  <c r="BT42" i="3"/>
  <c r="BU42" i="3"/>
  <c r="BV42" i="3"/>
  <c r="BW42" i="3"/>
  <c r="BX42" i="3"/>
  <c r="BY42" i="3"/>
  <c r="BZ42" i="3"/>
  <c r="CA42" i="3"/>
  <c r="CB42" i="3"/>
  <c r="CC42" i="3"/>
  <c r="CD42" i="3"/>
  <c r="CE42" i="3"/>
  <c r="CF42" i="3"/>
  <c r="CG42" i="3"/>
  <c r="CH42" i="3"/>
  <c r="CI42" i="3"/>
  <c r="CJ42" i="3"/>
  <c r="CK42" i="3"/>
  <c r="CL42" i="3"/>
  <c r="CM42" i="3"/>
  <c r="CN42" i="3"/>
  <c r="CO42" i="3"/>
  <c r="CP42" i="3"/>
  <c r="CQ42" i="3"/>
  <c r="CR42" i="3"/>
  <c r="CS42" i="3"/>
  <c r="CT42" i="3"/>
  <c r="CU42" i="3"/>
  <c r="CV42" i="3"/>
  <c r="CW42" i="3"/>
  <c r="CX42" i="3"/>
  <c r="CY42" i="3"/>
  <c r="CZ42" i="3"/>
  <c r="DA42" i="3"/>
  <c r="DB42" i="3"/>
  <c r="DC42" i="3"/>
  <c r="DD42" i="3"/>
  <c r="DE42" i="3"/>
  <c r="DF42" i="3"/>
  <c r="DG42" i="3"/>
  <c r="DH42" i="3"/>
  <c r="DI42" i="3"/>
  <c r="DJ42" i="3"/>
  <c r="DK42" i="3"/>
  <c r="DL42" i="3"/>
  <c r="DM42" i="3"/>
  <c r="DN42" i="3"/>
  <c r="DO42" i="3"/>
  <c r="DP42" i="3"/>
  <c r="DQ42" i="3"/>
  <c r="DR42" i="3"/>
  <c r="DS42" i="3"/>
  <c r="DT42" i="3"/>
  <c r="DU42" i="3"/>
  <c r="DV42" i="3"/>
  <c r="DW42" i="3"/>
  <c r="DX42" i="3"/>
  <c r="DY42" i="3"/>
  <c r="DZ42" i="3"/>
  <c r="EA42" i="3"/>
  <c r="EB42" i="3"/>
  <c r="EC42" i="3"/>
  <c r="ED42" i="3"/>
  <c r="EE42" i="3"/>
  <c r="EF42" i="3"/>
  <c r="EG42" i="3"/>
  <c r="EH42" i="3"/>
  <c r="EI42" i="3"/>
  <c r="EJ42" i="3"/>
  <c r="EK42" i="3"/>
  <c r="EL42" i="3"/>
  <c r="EM42" i="3"/>
  <c r="EN42" i="3"/>
  <c r="EO42" i="3"/>
  <c r="EP42" i="3"/>
  <c r="EQ42" i="3"/>
  <c r="ER42" i="3"/>
  <c r="ES42" i="3"/>
  <c r="ET42" i="3"/>
  <c r="EU42" i="3"/>
  <c r="EV42" i="3"/>
  <c r="EW42" i="3"/>
  <c r="EX42" i="3"/>
  <c r="EY42" i="3"/>
  <c r="EZ42" i="3"/>
  <c r="FA42" i="3"/>
  <c r="FB42" i="3"/>
  <c r="FC42" i="3"/>
  <c r="FD42" i="3"/>
  <c r="FE42" i="3"/>
  <c r="FF42" i="3"/>
  <c r="FG42" i="3"/>
  <c r="FH42" i="3"/>
  <c r="FI42" i="3"/>
  <c r="FJ42" i="3"/>
  <c r="FK42" i="3"/>
  <c r="FL42" i="3"/>
  <c r="FM42" i="3"/>
  <c r="FN42" i="3"/>
  <c r="FO42" i="3"/>
  <c r="FP42" i="3"/>
  <c r="FQ42" i="3"/>
  <c r="FR42" i="3"/>
  <c r="FS42" i="3"/>
  <c r="FT42" i="3"/>
  <c r="FU42" i="3"/>
  <c r="FV42" i="3"/>
  <c r="FW42" i="3"/>
  <c r="FX42" i="3"/>
  <c r="FY42" i="3"/>
  <c r="FZ42" i="3"/>
  <c r="GA42" i="3"/>
  <c r="GB42" i="3"/>
  <c r="GC42" i="3"/>
  <c r="GD42" i="3"/>
  <c r="GE42" i="3"/>
  <c r="GF42" i="3"/>
  <c r="GG42" i="3"/>
  <c r="GH42" i="3"/>
  <c r="GI42" i="3"/>
  <c r="GJ42" i="3"/>
  <c r="GK42" i="3"/>
  <c r="GL42" i="3"/>
  <c r="GM42" i="3"/>
  <c r="GN42" i="3"/>
  <c r="GO42" i="3"/>
  <c r="GP42" i="3"/>
  <c r="GQ42" i="3"/>
  <c r="GR42" i="3"/>
  <c r="GS42" i="3"/>
  <c r="GT42" i="3"/>
  <c r="GU42" i="3"/>
  <c r="GV42" i="3"/>
  <c r="GW42" i="3"/>
  <c r="GX42" i="3"/>
  <c r="GY42" i="3"/>
  <c r="GZ42" i="3"/>
  <c r="HA42" i="3"/>
  <c r="HB42" i="3"/>
  <c r="HC42" i="3"/>
  <c r="HD42" i="3"/>
  <c r="HE42" i="3"/>
  <c r="HF42" i="3"/>
  <c r="HG42" i="3"/>
  <c r="HH42" i="3"/>
  <c r="HI42" i="3"/>
  <c r="HJ42" i="3"/>
  <c r="HK42" i="3"/>
  <c r="HL42" i="3"/>
  <c r="HM42" i="3"/>
  <c r="HN42" i="3"/>
  <c r="HO42" i="3"/>
  <c r="HP42" i="3"/>
  <c r="HQ42" i="3"/>
  <c r="HR42" i="3"/>
  <c r="HS42" i="3"/>
  <c r="HT42" i="3"/>
  <c r="HU42" i="3"/>
  <c r="HV42" i="3"/>
  <c r="HW42" i="3"/>
  <c r="HX42" i="3"/>
  <c r="HY42" i="3"/>
  <c r="HZ42" i="3"/>
  <c r="IA42" i="3"/>
  <c r="IB42" i="3"/>
  <c r="IC42" i="3"/>
  <c r="ID42" i="3"/>
  <c r="IE42" i="3"/>
  <c r="IF42" i="3"/>
  <c r="IG42" i="3"/>
  <c r="IH42" i="3"/>
  <c r="II42" i="3"/>
  <c r="IJ42" i="3"/>
  <c r="IK42" i="3"/>
  <c r="IL42" i="3"/>
  <c r="IM42" i="3"/>
  <c r="IN42" i="3"/>
  <c r="IO42" i="3"/>
  <c r="IP42" i="3"/>
  <c r="IQ42" i="3"/>
  <c r="IR42" i="3"/>
  <c r="IS42" i="3"/>
  <c r="IT42" i="3"/>
  <c r="IU42" i="3"/>
  <c r="IV42" i="3"/>
  <c r="A41" i="3"/>
  <c r="B41" i="3"/>
  <c r="C41" i="3"/>
  <c r="D41" i="3"/>
  <c r="E41" i="3"/>
  <c r="F41" i="3"/>
  <c r="G41" i="3"/>
  <c r="H41" i="3"/>
  <c r="I41" i="3"/>
  <c r="J41" i="3"/>
  <c r="K41" i="3"/>
  <c r="L41" i="3"/>
  <c r="M41" i="3"/>
  <c r="N41" i="3"/>
  <c r="O41" i="3"/>
  <c r="P41" i="3"/>
  <c r="Q41" i="3"/>
  <c r="R41" i="3"/>
  <c r="S41" i="3"/>
  <c r="T41" i="3"/>
  <c r="U41" i="3"/>
  <c r="V41" i="3"/>
  <c r="W41" i="3"/>
  <c r="X41" i="3"/>
  <c r="Y41" i="3"/>
  <c r="Z41" i="3"/>
  <c r="AA41" i="3"/>
  <c r="AB41" i="3"/>
  <c r="AC41" i="3"/>
  <c r="AD41" i="3"/>
  <c r="AE41" i="3"/>
  <c r="AF41" i="3"/>
  <c r="AG41" i="3"/>
  <c r="AH41" i="3"/>
  <c r="AI41" i="3"/>
  <c r="AJ41" i="3"/>
  <c r="AK41" i="3"/>
  <c r="AL41" i="3"/>
  <c r="AM41" i="3"/>
  <c r="AN41" i="3"/>
  <c r="AO41" i="3"/>
  <c r="AP41" i="3"/>
  <c r="AQ41" i="3"/>
  <c r="AR41" i="3"/>
  <c r="AS41" i="3"/>
  <c r="AT41" i="3"/>
  <c r="AU41" i="3"/>
  <c r="AV41" i="3"/>
  <c r="AW41" i="3"/>
  <c r="AX41" i="3"/>
  <c r="AY41" i="3"/>
  <c r="AZ41" i="3"/>
  <c r="BA41" i="3"/>
  <c r="BB41" i="3"/>
  <c r="BC41" i="3"/>
  <c r="BD41" i="3"/>
  <c r="BE41" i="3"/>
  <c r="BF41" i="3"/>
  <c r="BG41" i="3"/>
  <c r="BH41" i="3"/>
  <c r="BI41" i="3"/>
  <c r="BJ41" i="3"/>
  <c r="BK41" i="3"/>
  <c r="BL41" i="3"/>
  <c r="BM41" i="3"/>
  <c r="BN41" i="3"/>
  <c r="BO41" i="3"/>
  <c r="BP41" i="3"/>
  <c r="BQ41" i="3"/>
  <c r="BR41" i="3"/>
  <c r="BS41" i="3"/>
  <c r="BT41" i="3"/>
  <c r="BU41" i="3"/>
  <c r="BV41" i="3"/>
  <c r="BW41" i="3"/>
  <c r="BX41" i="3"/>
  <c r="BY41" i="3"/>
  <c r="BZ41" i="3"/>
  <c r="CA41" i="3"/>
  <c r="CB41" i="3"/>
  <c r="CC41" i="3"/>
  <c r="CD41" i="3"/>
  <c r="CE41" i="3"/>
  <c r="CF41" i="3"/>
  <c r="CG41" i="3"/>
  <c r="CH41" i="3"/>
  <c r="CI41" i="3"/>
  <c r="CJ41" i="3"/>
  <c r="CK41" i="3"/>
  <c r="CL41" i="3"/>
  <c r="CM41" i="3"/>
  <c r="CN41" i="3"/>
  <c r="CO41" i="3"/>
  <c r="CP41" i="3"/>
  <c r="CQ41" i="3"/>
  <c r="CR41" i="3"/>
  <c r="CS41" i="3"/>
  <c r="CT41" i="3"/>
  <c r="CU41" i="3"/>
  <c r="CV41" i="3"/>
  <c r="CW41" i="3"/>
  <c r="CX41" i="3"/>
  <c r="CY41" i="3"/>
  <c r="CZ41" i="3"/>
  <c r="DA41" i="3"/>
  <c r="DB41" i="3"/>
  <c r="DC41" i="3"/>
  <c r="DD41" i="3"/>
  <c r="DE41" i="3"/>
  <c r="DF41" i="3"/>
  <c r="DG41" i="3"/>
  <c r="DH41" i="3"/>
  <c r="DI41" i="3"/>
  <c r="DJ41" i="3"/>
  <c r="DK41" i="3"/>
  <c r="DL41" i="3"/>
  <c r="DM41" i="3"/>
  <c r="DN41" i="3"/>
  <c r="DO41" i="3"/>
  <c r="DP41" i="3"/>
  <c r="DQ41" i="3"/>
  <c r="DR41" i="3"/>
  <c r="DS41" i="3"/>
  <c r="DT41" i="3"/>
  <c r="DU41" i="3"/>
  <c r="DV41" i="3"/>
  <c r="DW41" i="3"/>
  <c r="DX41" i="3"/>
  <c r="DY41" i="3"/>
  <c r="DZ41" i="3"/>
  <c r="EA41" i="3"/>
  <c r="EB41" i="3"/>
  <c r="EC41" i="3"/>
  <c r="ED41" i="3"/>
  <c r="EE41" i="3"/>
  <c r="EF41" i="3"/>
  <c r="EG41" i="3"/>
  <c r="EH41" i="3"/>
  <c r="EI41" i="3"/>
  <c r="EJ41" i="3"/>
  <c r="EK41" i="3"/>
  <c r="EL41" i="3"/>
  <c r="EM41" i="3"/>
  <c r="EN41" i="3"/>
  <c r="EO41" i="3"/>
  <c r="EP41" i="3"/>
  <c r="EQ41" i="3"/>
  <c r="ER41" i="3"/>
  <c r="ES41" i="3"/>
  <c r="ET41" i="3"/>
  <c r="EU41" i="3"/>
  <c r="EV41" i="3"/>
  <c r="EW41" i="3"/>
  <c r="EX41" i="3"/>
  <c r="EY41" i="3"/>
  <c r="EZ41" i="3"/>
  <c r="FA41" i="3"/>
  <c r="FB41" i="3"/>
  <c r="FC41" i="3"/>
  <c r="FD41" i="3"/>
  <c r="FE41" i="3"/>
  <c r="FF41" i="3"/>
  <c r="FG41" i="3"/>
  <c r="FH41" i="3"/>
  <c r="FI41" i="3"/>
  <c r="FJ41" i="3"/>
  <c r="FK41" i="3"/>
  <c r="FL41" i="3"/>
  <c r="FM41" i="3"/>
  <c r="FN41" i="3"/>
  <c r="FO41" i="3"/>
  <c r="FP41" i="3"/>
  <c r="FQ41" i="3"/>
  <c r="FR41" i="3"/>
  <c r="FS41" i="3"/>
  <c r="FT41" i="3"/>
  <c r="FU41" i="3"/>
  <c r="FV41" i="3"/>
  <c r="FW41" i="3"/>
  <c r="FX41" i="3"/>
  <c r="FY41" i="3"/>
  <c r="FZ41" i="3"/>
  <c r="GA41" i="3"/>
  <c r="GB41" i="3"/>
  <c r="GC41" i="3"/>
  <c r="GD41" i="3"/>
  <c r="GE41" i="3"/>
  <c r="GF41" i="3"/>
  <c r="GG41" i="3"/>
  <c r="GH41" i="3"/>
  <c r="GI41" i="3"/>
  <c r="GJ41" i="3"/>
  <c r="GK41" i="3"/>
  <c r="GL41" i="3"/>
  <c r="GM41" i="3"/>
  <c r="GN41" i="3"/>
  <c r="GO41" i="3"/>
  <c r="GP41" i="3"/>
  <c r="GQ41" i="3"/>
  <c r="GR41" i="3"/>
  <c r="GS41" i="3"/>
  <c r="GT41" i="3"/>
  <c r="GU41" i="3"/>
  <c r="GV41" i="3"/>
  <c r="GW41" i="3"/>
  <c r="GX41" i="3"/>
  <c r="GY41" i="3"/>
  <c r="GZ41" i="3"/>
  <c r="HA41" i="3"/>
  <c r="HB41" i="3"/>
  <c r="HC41" i="3"/>
  <c r="HD41" i="3"/>
  <c r="HE41" i="3"/>
  <c r="HF41" i="3"/>
  <c r="HG41" i="3"/>
  <c r="HH41" i="3"/>
  <c r="HI41" i="3"/>
  <c r="HJ41" i="3"/>
  <c r="HK41" i="3"/>
  <c r="HL41" i="3"/>
  <c r="HM41" i="3"/>
  <c r="HN41" i="3"/>
  <c r="HO41" i="3"/>
  <c r="HP41" i="3"/>
  <c r="HQ41" i="3"/>
  <c r="HR41" i="3"/>
  <c r="HS41" i="3"/>
  <c r="HT41" i="3"/>
  <c r="HU41" i="3"/>
  <c r="HV41" i="3"/>
  <c r="HW41" i="3"/>
  <c r="HX41" i="3"/>
  <c r="HY41" i="3"/>
  <c r="HZ41" i="3"/>
  <c r="IA41" i="3"/>
  <c r="IB41" i="3"/>
  <c r="IC41" i="3"/>
  <c r="ID41" i="3"/>
  <c r="IE41" i="3"/>
  <c r="IF41" i="3"/>
  <c r="IG41" i="3"/>
  <c r="IH41" i="3"/>
  <c r="II41" i="3"/>
  <c r="IJ41" i="3"/>
  <c r="IK41" i="3"/>
  <c r="IL41" i="3"/>
  <c r="IM41" i="3"/>
  <c r="IN41" i="3"/>
  <c r="IO41" i="3"/>
  <c r="IP41" i="3"/>
  <c r="IQ41" i="3"/>
  <c r="IR41" i="3"/>
  <c r="IS41" i="3"/>
  <c r="IT41" i="3"/>
  <c r="IU41" i="3"/>
  <c r="IV41" i="3"/>
  <c r="A40" i="3"/>
  <c r="B40" i="3"/>
  <c r="C40" i="3"/>
  <c r="D40" i="3"/>
  <c r="E40" i="3"/>
  <c r="F40" i="3"/>
  <c r="G40" i="3"/>
  <c r="H40" i="3"/>
  <c r="I40" i="3"/>
  <c r="J40" i="3"/>
  <c r="K40" i="3"/>
  <c r="L40" i="3"/>
  <c r="M40" i="3"/>
  <c r="N40" i="3"/>
  <c r="O40" i="3"/>
  <c r="P40" i="3"/>
  <c r="Q40" i="3"/>
  <c r="R40" i="3"/>
  <c r="S40" i="3"/>
  <c r="T40" i="3"/>
  <c r="U40" i="3"/>
  <c r="V40" i="3"/>
  <c r="W40" i="3"/>
  <c r="X40" i="3"/>
  <c r="Y40" i="3"/>
  <c r="Z40" i="3"/>
  <c r="AA40" i="3"/>
  <c r="AB40" i="3"/>
  <c r="AC40" i="3"/>
  <c r="AD40" i="3"/>
  <c r="AE40" i="3"/>
  <c r="AF40" i="3"/>
  <c r="AG40" i="3"/>
  <c r="AH40" i="3"/>
  <c r="AI40" i="3"/>
  <c r="AJ40" i="3"/>
  <c r="AK40" i="3"/>
  <c r="AL40" i="3"/>
  <c r="AM40" i="3"/>
  <c r="AN40" i="3"/>
  <c r="AO40" i="3"/>
  <c r="AP40" i="3"/>
  <c r="AQ40" i="3"/>
  <c r="AR40" i="3"/>
  <c r="AS40" i="3"/>
  <c r="AT40" i="3"/>
  <c r="AU40" i="3"/>
  <c r="AV40" i="3"/>
  <c r="AW40" i="3"/>
  <c r="AX40" i="3"/>
  <c r="AY40" i="3"/>
  <c r="AZ40" i="3"/>
  <c r="BA40" i="3"/>
  <c r="BB40" i="3"/>
  <c r="BC40" i="3"/>
  <c r="BD40" i="3"/>
  <c r="BE40" i="3"/>
  <c r="BF40" i="3"/>
  <c r="BG40" i="3"/>
  <c r="BH40" i="3"/>
  <c r="BI40" i="3"/>
  <c r="BJ40" i="3"/>
  <c r="BK40" i="3"/>
  <c r="BL40" i="3"/>
  <c r="BM40" i="3"/>
  <c r="BN40" i="3"/>
  <c r="BO40" i="3"/>
  <c r="BP40" i="3"/>
  <c r="BQ40" i="3"/>
  <c r="BR40" i="3"/>
  <c r="BS40" i="3"/>
  <c r="BT40" i="3"/>
  <c r="BU40" i="3"/>
  <c r="BV40" i="3"/>
  <c r="BW40" i="3"/>
  <c r="BX40" i="3"/>
  <c r="BY40" i="3"/>
  <c r="BZ40" i="3"/>
  <c r="CA40" i="3"/>
  <c r="CB40" i="3"/>
  <c r="CC40" i="3"/>
  <c r="CD40" i="3"/>
  <c r="CE40" i="3"/>
  <c r="CF40" i="3"/>
  <c r="CG40" i="3"/>
  <c r="CH40" i="3"/>
  <c r="CI40" i="3"/>
  <c r="CJ40" i="3"/>
  <c r="CK40" i="3"/>
  <c r="CL40" i="3"/>
  <c r="CM40" i="3"/>
  <c r="CN40" i="3"/>
  <c r="CO40" i="3"/>
  <c r="CP40" i="3"/>
  <c r="CQ40" i="3"/>
  <c r="CR40" i="3"/>
  <c r="CS40" i="3"/>
  <c r="CT40" i="3"/>
  <c r="CU40" i="3"/>
  <c r="CV40" i="3"/>
  <c r="CW40" i="3"/>
  <c r="CX40" i="3"/>
  <c r="CY40" i="3"/>
  <c r="CZ40" i="3"/>
  <c r="DA40" i="3"/>
  <c r="DB40" i="3"/>
  <c r="DC40" i="3"/>
  <c r="DD40" i="3"/>
  <c r="DE40" i="3"/>
  <c r="DF40" i="3"/>
  <c r="DG40" i="3"/>
  <c r="DH40" i="3"/>
  <c r="DI40" i="3"/>
  <c r="DJ40" i="3"/>
  <c r="DK40" i="3"/>
  <c r="DL40" i="3"/>
  <c r="DM40" i="3"/>
  <c r="DN40" i="3"/>
  <c r="DO40" i="3"/>
  <c r="DP40" i="3"/>
  <c r="DQ40" i="3"/>
  <c r="DR40" i="3"/>
  <c r="DS40" i="3"/>
  <c r="DT40" i="3"/>
  <c r="DU40" i="3"/>
  <c r="DV40" i="3"/>
  <c r="DW40" i="3"/>
  <c r="DX40" i="3"/>
  <c r="DY40" i="3"/>
  <c r="DZ40" i="3"/>
  <c r="EA40" i="3"/>
  <c r="EB40" i="3"/>
  <c r="EC40" i="3"/>
  <c r="ED40" i="3"/>
  <c r="EE40" i="3"/>
  <c r="EF40" i="3"/>
  <c r="EG40" i="3"/>
  <c r="EH40" i="3"/>
  <c r="EI40" i="3"/>
  <c r="EJ40" i="3"/>
  <c r="EK40" i="3"/>
  <c r="EL40" i="3"/>
  <c r="EM40" i="3"/>
  <c r="EN40" i="3"/>
  <c r="EO40" i="3"/>
  <c r="EP40" i="3"/>
  <c r="EQ40" i="3"/>
  <c r="ER40" i="3"/>
  <c r="ES40" i="3"/>
  <c r="ET40" i="3"/>
  <c r="EU40" i="3"/>
  <c r="EV40" i="3"/>
  <c r="EW40" i="3"/>
  <c r="EX40" i="3"/>
  <c r="EY40" i="3"/>
  <c r="EZ40" i="3"/>
  <c r="FA40" i="3"/>
  <c r="FB40" i="3"/>
  <c r="FC40" i="3"/>
  <c r="FD40" i="3"/>
  <c r="FE40" i="3"/>
  <c r="FF40" i="3"/>
  <c r="FG40" i="3"/>
  <c r="FH40" i="3"/>
  <c r="FI40" i="3"/>
  <c r="FJ40" i="3"/>
  <c r="FK40" i="3"/>
  <c r="FL40" i="3"/>
  <c r="FM40" i="3"/>
  <c r="FN40" i="3"/>
  <c r="FO40" i="3"/>
  <c r="FP40" i="3"/>
  <c r="FQ40" i="3"/>
  <c r="FR40" i="3"/>
  <c r="FS40" i="3"/>
  <c r="FT40" i="3"/>
  <c r="FU40" i="3"/>
  <c r="FV40" i="3"/>
  <c r="FW40" i="3"/>
  <c r="FX40" i="3"/>
  <c r="FY40" i="3"/>
  <c r="FZ40" i="3"/>
  <c r="GA40" i="3"/>
  <c r="GB40" i="3"/>
  <c r="GC40" i="3"/>
  <c r="GD40" i="3"/>
  <c r="GE40" i="3"/>
  <c r="GF40" i="3"/>
  <c r="GG40" i="3"/>
  <c r="GH40" i="3"/>
  <c r="GI40" i="3"/>
  <c r="GJ40" i="3"/>
  <c r="GK40" i="3"/>
  <c r="GL40" i="3"/>
  <c r="GM40" i="3"/>
  <c r="GN40" i="3"/>
  <c r="GO40" i="3"/>
  <c r="GP40" i="3"/>
  <c r="GQ40" i="3"/>
  <c r="GR40" i="3"/>
  <c r="GS40" i="3"/>
  <c r="GT40" i="3"/>
  <c r="GU40" i="3"/>
  <c r="GV40" i="3"/>
  <c r="GW40" i="3"/>
  <c r="GX40" i="3"/>
  <c r="GY40" i="3"/>
  <c r="GZ40" i="3"/>
  <c r="HA40" i="3"/>
  <c r="HB40" i="3"/>
  <c r="HC40" i="3"/>
  <c r="HD40" i="3"/>
  <c r="HE40" i="3"/>
  <c r="HF40" i="3"/>
  <c r="HG40" i="3"/>
  <c r="HH40" i="3"/>
  <c r="HI40" i="3"/>
  <c r="HJ40" i="3"/>
  <c r="HK40" i="3"/>
  <c r="HL40" i="3"/>
  <c r="HM40" i="3"/>
  <c r="HN40" i="3"/>
  <c r="HO40" i="3"/>
  <c r="HP40" i="3"/>
  <c r="HQ40" i="3"/>
  <c r="HR40" i="3"/>
  <c r="HS40" i="3"/>
  <c r="HT40" i="3"/>
  <c r="HU40" i="3"/>
  <c r="HV40" i="3"/>
  <c r="HW40" i="3"/>
  <c r="HX40" i="3"/>
  <c r="HY40" i="3"/>
  <c r="HZ40" i="3"/>
  <c r="IA40" i="3"/>
  <c r="IB40" i="3"/>
  <c r="IC40" i="3"/>
  <c r="ID40" i="3"/>
  <c r="IE40" i="3"/>
  <c r="IF40" i="3"/>
  <c r="IG40" i="3"/>
  <c r="IH40" i="3"/>
  <c r="II40" i="3"/>
  <c r="IJ40" i="3"/>
  <c r="IK40" i="3"/>
  <c r="IL40" i="3"/>
  <c r="IM40" i="3"/>
  <c r="IN40" i="3"/>
  <c r="IO40" i="3"/>
  <c r="IP40" i="3"/>
  <c r="IQ40" i="3"/>
  <c r="IR40" i="3"/>
  <c r="IS40" i="3"/>
  <c r="IT40" i="3"/>
  <c r="IU40" i="3"/>
  <c r="IV40" i="3"/>
  <c r="A39" i="3"/>
  <c r="B39" i="3"/>
  <c r="C39" i="3"/>
  <c r="D39" i="3"/>
  <c r="E39" i="3"/>
  <c r="F39" i="3"/>
  <c r="G39" i="3"/>
  <c r="H39" i="3"/>
  <c r="I39" i="3"/>
  <c r="J39" i="3"/>
  <c r="K39" i="3"/>
  <c r="L39" i="3"/>
  <c r="M39" i="3"/>
  <c r="N39" i="3"/>
  <c r="O39" i="3"/>
  <c r="P39" i="3"/>
  <c r="Q39" i="3"/>
  <c r="R39" i="3"/>
  <c r="S39" i="3"/>
  <c r="T39" i="3"/>
  <c r="U39" i="3"/>
  <c r="V39" i="3"/>
  <c r="W39" i="3"/>
  <c r="X39" i="3"/>
  <c r="Y39" i="3"/>
  <c r="Z39" i="3"/>
  <c r="AA39" i="3"/>
  <c r="AB39" i="3"/>
  <c r="AC39" i="3"/>
  <c r="AD39" i="3"/>
  <c r="AE39" i="3"/>
  <c r="AF39" i="3"/>
  <c r="AG39" i="3"/>
  <c r="AH39" i="3"/>
  <c r="AI39" i="3"/>
  <c r="AJ39" i="3"/>
  <c r="AK39" i="3"/>
  <c r="AL39" i="3"/>
  <c r="AM39" i="3"/>
  <c r="AN39" i="3"/>
  <c r="AO39" i="3"/>
  <c r="AP39" i="3"/>
  <c r="AQ39" i="3"/>
  <c r="AR39" i="3"/>
  <c r="AS39" i="3"/>
  <c r="AT39" i="3"/>
  <c r="AU39" i="3"/>
  <c r="AV39" i="3"/>
  <c r="AW39" i="3"/>
  <c r="AX39" i="3"/>
  <c r="AY39" i="3"/>
  <c r="AZ39" i="3"/>
  <c r="BA39" i="3"/>
  <c r="BB39" i="3"/>
  <c r="BC39" i="3"/>
  <c r="BD39" i="3"/>
  <c r="BE39" i="3"/>
  <c r="BF39" i="3"/>
  <c r="BG39" i="3"/>
  <c r="BH39" i="3"/>
  <c r="BI39" i="3"/>
  <c r="BJ39" i="3"/>
  <c r="BK39" i="3"/>
  <c r="BL39" i="3"/>
  <c r="BM39" i="3"/>
  <c r="BN39" i="3"/>
  <c r="BO39" i="3"/>
  <c r="BP39" i="3"/>
  <c r="BQ39" i="3"/>
  <c r="BR39" i="3"/>
  <c r="BS39" i="3"/>
  <c r="BT39" i="3"/>
  <c r="BU39" i="3"/>
  <c r="BV39" i="3"/>
  <c r="BW39" i="3"/>
  <c r="BX39" i="3"/>
  <c r="BY39" i="3"/>
  <c r="BZ39" i="3"/>
  <c r="CA39" i="3"/>
  <c r="CB39" i="3"/>
  <c r="CC39" i="3"/>
  <c r="CD39" i="3"/>
  <c r="CE39" i="3"/>
  <c r="CF39" i="3"/>
  <c r="CG39" i="3"/>
  <c r="CH39" i="3"/>
  <c r="CI39" i="3"/>
  <c r="CJ39" i="3"/>
  <c r="CK39" i="3"/>
  <c r="CL39" i="3"/>
  <c r="CM39" i="3"/>
  <c r="CN39" i="3"/>
  <c r="CO39" i="3"/>
  <c r="CP39" i="3"/>
  <c r="CQ39" i="3"/>
  <c r="CR39" i="3"/>
  <c r="CS39" i="3"/>
  <c r="CT39" i="3"/>
  <c r="CU39" i="3"/>
  <c r="CV39" i="3"/>
  <c r="CW39" i="3"/>
  <c r="CX39" i="3"/>
  <c r="CY39" i="3"/>
  <c r="CZ39" i="3"/>
  <c r="DA39" i="3"/>
  <c r="DB39" i="3"/>
  <c r="DC39" i="3"/>
  <c r="DD39" i="3"/>
  <c r="DE39" i="3"/>
  <c r="DF39" i="3"/>
  <c r="DG39" i="3"/>
  <c r="DH39" i="3"/>
  <c r="DI39" i="3"/>
  <c r="DJ39" i="3"/>
  <c r="DK39" i="3"/>
  <c r="DL39" i="3"/>
  <c r="DM39" i="3"/>
  <c r="DN39" i="3"/>
  <c r="DO39" i="3"/>
  <c r="DP39" i="3"/>
  <c r="DQ39" i="3"/>
  <c r="DR39" i="3"/>
  <c r="DS39" i="3"/>
  <c r="DT39" i="3"/>
  <c r="DU39" i="3"/>
  <c r="DV39" i="3"/>
  <c r="DW39" i="3"/>
  <c r="DX39" i="3"/>
  <c r="DY39" i="3"/>
  <c r="DZ39" i="3"/>
  <c r="EA39" i="3"/>
  <c r="EB39" i="3"/>
  <c r="EC39" i="3"/>
  <c r="ED39" i="3"/>
  <c r="EE39" i="3"/>
  <c r="EF39" i="3"/>
  <c r="EG39" i="3"/>
  <c r="EH39" i="3"/>
  <c r="EI39" i="3"/>
  <c r="EJ39" i="3"/>
  <c r="EK39" i="3"/>
  <c r="EL39" i="3"/>
  <c r="EM39" i="3"/>
  <c r="EN39" i="3"/>
  <c r="EO39" i="3"/>
  <c r="EP39" i="3"/>
  <c r="EQ39" i="3"/>
  <c r="ER39" i="3"/>
  <c r="ES39" i="3"/>
  <c r="ET39" i="3"/>
  <c r="EU39" i="3"/>
  <c r="EV39" i="3"/>
  <c r="EW39" i="3"/>
  <c r="EX39" i="3"/>
  <c r="EY39" i="3"/>
  <c r="EZ39" i="3"/>
  <c r="FA39" i="3"/>
  <c r="FB39" i="3"/>
  <c r="FC39" i="3"/>
  <c r="FD39" i="3"/>
  <c r="FE39" i="3"/>
  <c r="FF39" i="3"/>
  <c r="FG39" i="3"/>
  <c r="FH39" i="3"/>
  <c r="FI39" i="3"/>
  <c r="FJ39" i="3"/>
  <c r="FK39" i="3"/>
  <c r="FL39" i="3"/>
  <c r="FM39" i="3"/>
  <c r="FN39" i="3"/>
  <c r="FO39" i="3"/>
  <c r="FP39" i="3"/>
  <c r="FQ39" i="3"/>
  <c r="FR39" i="3"/>
  <c r="FS39" i="3"/>
  <c r="FT39" i="3"/>
  <c r="FU39" i="3"/>
  <c r="FV39" i="3"/>
  <c r="FW39" i="3"/>
  <c r="FX39" i="3"/>
  <c r="FY39" i="3"/>
  <c r="FZ39" i="3"/>
  <c r="GA39" i="3"/>
  <c r="GB39" i="3"/>
  <c r="GC39" i="3"/>
  <c r="GD39" i="3"/>
  <c r="GE39" i="3"/>
  <c r="GF39" i="3"/>
  <c r="GG39" i="3"/>
  <c r="GH39" i="3"/>
  <c r="GI39" i="3"/>
  <c r="GJ39" i="3"/>
  <c r="GK39" i="3"/>
  <c r="GL39" i="3"/>
  <c r="GM39" i="3"/>
  <c r="GN39" i="3"/>
  <c r="GO39" i="3"/>
  <c r="GP39" i="3"/>
  <c r="GQ39" i="3"/>
  <c r="GR39" i="3"/>
  <c r="GS39" i="3"/>
  <c r="GT39" i="3"/>
  <c r="GU39" i="3"/>
  <c r="GV39" i="3"/>
  <c r="GW39" i="3"/>
  <c r="GX39" i="3"/>
  <c r="GY39" i="3"/>
  <c r="GZ39" i="3"/>
  <c r="HA39" i="3"/>
  <c r="HB39" i="3"/>
  <c r="HC39" i="3"/>
  <c r="HD39" i="3"/>
  <c r="HE39" i="3"/>
  <c r="HF39" i="3"/>
  <c r="HG39" i="3"/>
  <c r="HH39" i="3"/>
  <c r="HI39" i="3"/>
  <c r="HJ39" i="3"/>
  <c r="HK39" i="3"/>
  <c r="HL39" i="3"/>
  <c r="HM39" i="3"/>
  <c r="HN39" i="3"/>
  <c r="HO39" i="3"/>
  <c r="HP39" i="3"/>
  <c r="HQ39" i="3"/>
  <c r="HR39" i="3"/>
  <c r="HS39" i="3"/>
  <c r="HT39" i="3"/>
  <c r="HU39" i="3"/>
  <c r="HV39" i="3"/>
  <c r="HW39" i="3"/>
  <c r="HX39" i="3"/>
  <c r="HY39" i="3"/>
  <c r="HZ39" i="3"/>
  <c r="IA39" i="3"/>
  <c r="IB39" i="3"/>
  <c r="IC39" i="3"/>
  <c r="ID39" i="3"/>
  <c r="IE39" i="3"/>
  <c r="IF39" i="3"/>
  <c r="IG39" i="3"/>
  <c r="IH39" i="3"/>
  <c r="II39" i="3"/>
  <c r="IJ39" i="3"/>
  <c r="IK39" i="3"/>
  <c r="IL39" i="3"/>
  <c r="IM39" i="3"/>
  <c r="IN39" i="3"/>
  <c r="IO39" i="3"/>
  <c r="IP39" i="3"/>
  <c r="IQ39" i="3"/>
  <c r="IR39" i="3"/>
  <c r="IS39" i="3"/>
  <c r="IT39" i="3"/>
  <c r="IU39" i="3"/>
  <c r="IV39" i="3"/>
  <c r="A38" i="3"/>
  <c r="B38" i="3"/>
  <c r="C38" i="3"/>
  <c r="D38" i="3"/>
  <c r="E38" i="3"/>
  <c r="F38" i="3"/>
  <c r="G38" i="3"/>
  <c r="H38" i="3"/>
  <c r="I38" i="3"/>
  <c r="J38" i="3"/>
  <c r="K38" i="3"/>
  <c r="L38" i="3"/>
  <c r="M38" i="3"/>
  <c r="N38" i="3"/>
  <c r="O38" i="3"/>
  <c r="P38" i="3"/>
  <c r="Q38" i="3"/>
  <c r="R38" i="3"/>
  <c r="S38" i="3"/>
  <c r="T38" i="3"/>
  <c r="U38" i="3"/>
  <c r="V38" i="3"/>
  <c r="W38" i="3"/>
  <c r="X38" i="3"/>
  <c r="Y38" i="3"/>
  <c r="Z38" i="3"/>
  <c r="AA38" i="3"/>
  <c r="AB38" i="3"/>
  <c r="AC38" i="3"/>
  <c r="AD38" i="3"/>
  <c r="AE38" i="3"/>
  <c r="AF38" i="3"/>
  <c r="AG38" i="3"/>
  <c r="AH38" i="3"/>
  <c r="AI38" i="3"/>
  <c r="AJ38" i="3"/>
  <c r="AK38" i="3"/>
  <c r="AL38" i="3"/>
  <c r="AM38" i="3"/>
  <c r="AN38" i="3"/>
  <c r="AO38" i="3"/>
  <c r="AP38" i="3"/>
  <c r="AQ38" i="3"/>
  <c r="AR38" i="3"/>
  <c r="AS38" i="3"/>
  <c r="AT38" i="3"/>
  <c r="AU38" i="3"/>
  <c r="AV38" i="3"/>
  <c r="AW38" i="3"/>
  <c r="AX38" i="3"/>
  <c r="AY38" i="3"/>
  <c r="AZ38" i="3"/>
  <c r="BA38" i="3"/>
  <c r="BB38" i="3"/>
  <c r="BC38" i="3"/>
  <c r="BD38" i="3"/>
  <c r="BE38" i="3"/>
  <c r="BF38" i="3"/>
  <c r="BG38" i="3"/>
  <c r="BH38" i="3"/>
  <c r="BI38" i="3"/>
  <c r="BJ38" i="3"/>
  <c r="BK38" i="3"/>
  <c r="BL38" i="3"/>
  <c r="BM38" i="3"/>
  <c r="BN38" i="3"/>
  <c r="BO38" i="3"/>
  <c r="BP38" i="3"/>
  <c r="BQ38" i="3"/>
  <c r="BR38" i="3"/>
  <c r="BS38" i="3"/>
  <c r="BT38" i="3"/>
  <c r="BU38" i="3"/>
  <c r="BV38" i="3"/>
  <c r="BW38" i="3"/>
  <c r="BX38" i="3"/>
  <c r="BY38" i="3"/>
  <c r="BZ38" i="3"/>
  <c r="CA38" i="3"/>
  <c r="CB38" i="3"/>
  <c r="CC38" i="3"/>
  <c r="CD38" i="3"/>
  <c r="CE38" i="3"/>
  <c r="CF38" i="3"/>
  <c r="CG38" i="3"/>
  <c r="CH38" i="3"/>
  <c r="CI38" i="3"/>
  <c r="CJ38" i="3"/>
  <c r="CK38" i="3"/>
  <c r="CL38" i="3"/>
  <c r="CM38" i="3"/>
  <c r="CN38" i="3"/>
  <c r="CO38" i="3"/>
  <c r="CP38" i="3"/>
  <c r="CQ38" i="3"/>
  <c r="CR38" i="3"/>
  <c r="CS38" i="3"/>
  <c r="CT38" i="3"/>
  <c r="CU38" i="3"/>
  <c r="CV38" i="3"/>
  <c r="CW38" i="3"/>
  <c r="CX38" i="3"/>
  <c r="CY38" i="3"/>
  <c r="CZ38" i="3"/>
  <c r="DA38" i="3"/>
  <c r="DB38" i="3"/>
  <c r="DC38" i="3"/>
  <c r="DD38" i="3"/>
  <c r="DE38" i="3"/>
  <c r="DF38" i="3"/>
  <c r="DG38" i="3"/>
  <c r="DH38" i="3"/>
  <c r="DI38" i="3"/>
  <c r="DJ38" i="3"/>
  <c r="DK38" i="3"/>
  <c r="DL38" i="3"/>
  <c r="DM38" i="3"/>
  <c r="DN38" i="3"/>
  <c r="DO38" i="3"/>
  <c r="DP38" i="3"/>
  <c r="DQ38" i="3"/>
  <c r="DR38" i="3"/>
  <c r="DS38" i="3"/>
  <c r="DT38" i="3"/>
  <c r="DU38" i="3"/>
  <c r="DV38" i="3"/>
  <c r="DW38" i="3"/>
  <c r="DX38" i="3"/>
  <c r="DY38" i="3"/>
  <c r="DZ38" i="3"/>
  <c r="EA38" i="3"/>
  <c r="EB38" i="3"/>
  <c r="EC38" i="3"/>
  <c r="ED38" i="3"/>
  <c r="EE38" i="3"/>
  <c r="EF38" i="3"/>
  <c r="EG38" i="3"/>
  <c r="EH38" i="3"/>
  <c r="EI38" i="3"/>
  <c r="EJ38" i="3"/>
  <c r="EK38" i="3"/>
  <c r="EL38" i="3"/>
  <c r="EM38" i="3"/>
  <c r="EN38" i="3"/>
  <c r="EO38" i="3"/>
  <c r="EP38" i="3"/>
  <c r="EQ38" i="3"/>
  <c r="ER38" i="3"/>
  <c r="ES38" i="3"/>
  <c r="ET38" i="3"/>
  <c r="EU38" i="3"/>
  <c r="EV38" i="3"/>
  <c r="EW38" i="3"/>
  <c r="EX38" i="3"/>
  <c r="EY38" i="3"/>
  <c r="EZ38" i="3"/>
  <c r="FA38" i="3"/>
  <c r="FB38" i="3"/>
  <c r="FC38" i="3"/>
  <c r="FD38" i="3"/>
  <c r="FE38" i="3"/>
  <c r="FF38" i="3"/>
  <c r="FG38" i="3"/>
  <c r="FH38" i="3"/>
  <c r="FI38" i="3"/>
  <c r="FJ38" i="3"/>
  <c r="FK38" i="3"/>
  <c r="FL38" i="3"/>
  <c r="FM38" i="3"/>
  <c r="FN38" i="3"/>
  <c r="FO38" i="3"/>
  <c r="FP38" i="3"/>
  <c r="FQ38" i="3"/>
  <c r="FR38" i="3"/>
  <c r="FS38" i="3"/>
  <c r="FT38" i="3"/>
  <c r="FU38" i="3"/>
  <c r="FV38" i="3"/>
  <c r="FW38" i="3"/>
  <c r="FX38" i="3"/>
  <c r="FY38" i="3"/>
  <c r="FZ38" i="3"/>
  <c r="GA38" i="3"/>
  <c r="GB38" i="3"/>
  <c r="GC38" i="3"/>
  <c r="GD38" i="3"/>
  <c r="GE38" i="3"/>
  <c r="GF38" i="3"/>
  <c r="GG38" i="3"/>
  <c r="GH38" i="3"/>
  <c r="GI38" i="3"/>
  <c r="GJ38" i="3"/>
  <c r="GK38" i="3"/>
  <c r="GL38" i="3"/>
  <c r="GM38" i="3"/>
  <c r="GN38" i="3"/>
  <c r="GO38" i="3"/>
  <c r="GP38" i="3"/>
  <c r="GQ38" i="3"/>
  <c r="GR38" i="3"/>
  <c r="GS38" i="3"/>
  <c r="GT38" i="3"/>
  <c r="GU38" i="3"/>
  <c r="GV38" i="3"/>
  <c r="GW38" i="3"/>
  <c r="GX38" i="3"/>
  <c r="GY38" i="3"/>
  <c r="GZ38" i="3"/>
  <c r="HA38" i="3"/>
  <c r="HB38" i="3"/>
  <c r="HC38" i="3"/>
  <c r="HD38" i="3"/>
  <c r="HE38" i="3"/>
  <c r="HF38" i="3"/>
  <c r="HG38" i="3"/>
  <c r="HH38" i="3"/>
  <c r="HI38" i="3"/>
  <c r="HJ38" i="3"/>
  <c r="HK38" i="3"/>
  <c r="HL38" i="3"/>
  <c r="HM38" i="3"/>
  <c r="HN38" i="3"/>
  <c r="HO38" i="3"/>
  <c r="HP38" i="3"/>
  <c r="HQ38" i="3"/>
  <c r="HR38" i="3"/>
  <c r="HS38" i="3"/>
  <c r="HT38" i="3"/>
  <c r="HU38" i="3"/>
  <c r="HV38" i="3"/>
  <c r="HW38" i="3"/>
  <c r="HX38" i="3"/>
  <c r="HY38" i="3"/>
  <c r="HZ38" i="3"/>
  <c r="IA38" i="3"/>
  <c r="IB38" i="3"/>
  <c r="IC38" i="3"/>
  <c r="ID38" i="3"/>
  <c r="IE38" i="3"/>
  <c r="IF38" i="3"/>
  <c r="IG38" i="3"/>
  <c r="IH38" i="3"/>
  <c r="II38" i="3"/>
  <c r="IJ38" i="3"/>
  <c r="IK38" i="3"/>
  <c r="IL38" i="3"/>
  <c r="IM38" i="3"/>
  <c r="IN38" i="3"/>
  <c r="IO38" i="3"/>
  <c r="IP38" i="3"/>
  <c r="IQ38" i="3"/>
  <c r="IR38" i="3"/>
  <c r="IS38" i="3"/>
  <c r="IT38" i="3"/>
  <c r="IU38" i="3"/>
  <c r="IV38" i="3"/>
  <c r="A37" i="3"/>
  <c r="B37" i="3"/>
  <c r="C37" i="3"/>
  <c r="D37" i="3"/>
  <c r="E37" i="3"/>
  <c r="F37" i="3"/>
  <c r="G37" i="3"/>
  <c r="H37" i="3"/>
  <c r="I37" i="3"/>
  <c r="J37" i="3"/>
  <c r="K37" i="3"/>
  <c r="L37" i="3"/>
  <c r="M37" i="3"/>
  <c r="N37" i="3"/>
  <c r="O37" i="3"/>
  <c r="P37" i="3"/>
  <c r="Q37" i="3"/>
  <c r="R37" i="3"/>
  <c r="S37" i="3"/>
  <c r="T37" i="3"/>
  <c r="U37" i="3"/>
  <c r="V37" i="3"/>
  <c r="W37" i="3"/>
  <c r="X37" i="3"/>
  <c r="Y37" i="3"/>
  <c r="Z37" i="3"/>
  <c r="AA37" i="3"/>
  <c r="AB37" i="3"/>
  <c r="AC37" i="3"/>
  <c r="AD37" i="3"/>
  <c r="AE37" i="3"/>
  <c r="AF37" i="3"/>
  <c r="AG37" i="3"/>
  <c r="AH37" i="3"/>
  <c r="AI37" i="3"/>
  <c r="AJ37" i="3"/>
  <c r="AK37" i="3"/>
  <c r="AL37" i="3"/>
  <c r="AM37" i="3"/>
  <c r="AN37" i="3"/>
  <c r="AO37" i="3"/>
  <c r="AP37" i="3"/>
  <c r="AQ37" i="3"/>
  <c r="AR37" i="3"/>
  <c r="AS37" i="3"/>
  <c r="AT37" i="3"/>
  <c r="AU37" i="3"/>
  <c r="AV37" i="3"/>
  <c r="AW37" i="3"/>
  <c r="AX37" i="3"/>
  <c r="AY37" i="3"/>
  <c r="AZ37" i="3"/>
  <c r="BA37" i="3"/>
  <c r="BB37" i="3"/>
  <c r="BC37" i="3"/>
  <c r="BD37" i="3"/>
  <c r="BE37" i="3"/>
  <c r="BF37" i="3"/>
  <c r="BG37" i="3"/>
  <c r="BH37" i="3"/>
  <c r="BI37" i="3"/>
  <c r="BJ37" i="3"/>
  <c r="BK37" i="3"/>
  <c r="BL37" i="3"/>
  <c r="BM37" i="3"/>
  <c r="BN37" i="3"/>
  <c r="BO37" i="3"/>
  <c r="BP37" i="3"/>
  <c r="BQ37" i="3"/>
  <c r="BR37" i="3"/>
  <c r="BS37" i="3"/>
  <c r="BT37" i="3"/>
  <c r="BU37" i="3"/>
  <c r="BV37" i="3"/>
  <c r="BW37" i="3"/>
  <c r="BX37" i="3"/>
  <c r="BY37" i="3"/>
  <c r="BZ37" i="3"/>
  <c r="CA37" i="3"/>
  <c r="CB37" i="3"/>
  <c r="CC37" i="3"/>
  <c r="CD37" i="3"/>
  <c r="CE37" i="3"/>
  <c r="CF37" i="3"/>
  <c r="CG37" i="3"/>
  <c r="CH37" i="3"/>
  <c r="CI37" i="3"/>
  <c r="CJ37" i="3"/>
  <c r="CK37" i="3"/>
  <c r="CL37" i="3"/>
  <c r="CM37" i="3"/>
  <c r="CN37" i="3"/>
  <c r="CO37" i="3"/>
  <c r="CP37" i="3"/>
  <c r="CQ37" i="3"/>
  <c r="CR37" i="3"/>
  <c r="CS37" i="3"/>
  <c r="CT37" i="3"/>
  <c r="CU37" i="3"/>
  <c r="CV37" i="3"/>
  <c r="CW37" i="3"/>
  <c r="CX37" i="3"/>
  <c r="CY37" i="3"/>
  <c r="CZ37" i="3"/>
  <c r="DA37" i="3"/>
  <c r="DB37" i="3"/>
  <c r="DC37" i="3"/>
  <c r="DD37" i="3"/>
  <c r="DE37" i="3"/>
  <c r="DF37" i="3"/>
  <c r="DG37" i="3"/>
  <c r="DH37" i="3"/>
  <c r="DI37" i="3"/>
  <c r="DJ37" i="3"/>
  <c r="DK37" i="3"/>
  <c r="DL37" i="3"/>
  <c r="DM37" i="3"/>
  <c r="DN37" i="3"/>
  <c r="DO37" i="3"/>
  <c r="DP37" i="3"/>
  <c r="DQ37" i="3"/>
  <c r="DR37" i="3"/>
  <c r="DS37" i="3"/>
  <c r="DT37" i="3"/>
  <c r="DU37" i="3"/>
  <c r="DV37" i="3"/>
  <c r="DW37" i="3"/>
  <c r="DX37" i="3"/>
  <c r="DY37" i="3"/>
  <c r="DZ37" i="3"/>
  <c r="EA37" i="3"/>
  <c r="EB37" i="3"/>
  <c r="EC37" i="3"/>
  <c r="ED37" i="3"/>
  <c r="EE37" i="3"/>
  <c r="EF37" i="3"/>
  <c r="EG37" i="3"/>
  <c r="EH37" i="3"/>
  <c r="EI37" i="3"/>
  <c r="EJ37" i="3"/>
  <c r="EK37" i="3"/>
  <c r="EL37" i="3"/>
  <c r="EM37" i="3"/>
  <c r="EN37" i="3"/>
  <c r="EO37" i="3"/>
  <c r="EP37" i="3"/>
  <c r="EQ37" i="3"/>
  <c r="ER37" i="3"/>
  <c r="ES37" i="3"/>
  <c r="ET37" i="3"/>
  <c r="EU37" i="3"/>
  <c r="EV37" i="3"/>
  <c r="EW37" i="3"/>
  <c r="EX37" i="3"/>
  <c r="EY37" i="3"/>
  <c r="EZ37" i="3"/>
  <c r="FA37" i="3"/>
  <c r="FB37" i="3"/>
  <c r="FC37" i="3"/>
  <c r="FD37" i="3"/>
  <c r="FE37" i="3"/>
  <c r="FF37" i="3"/>
  <c r="FG37" i="3"/>
  <c r="FH37" i="3"/>
  <c r="FI37" i="3"/>
  <c r="FJ37" i="3"/>
  <c r="FK37" i="3"/>
  <c r="FL37" i="3"/>
  <c r="FM37" i="3"/>
  <c r="FN37" i="3"/>
  <c r="FO37" i="3"/>
  <c r="FP37" i="3"/>
  <c r="FQ37" i="3"/>
  <c r="FR37" i="3"/>
  <c r="FS37" i="3"/>
  <c r="FT37" i="3"/>
  <c r="FU37" i="3"/>
  <c r="FV37" i="3"/>
  <c r="FW37" i="3"/>
  <c r="FX37" i="3"/>
  <c r="FY37" i="3"/>
  <c r="FZ37" i="3"/>
  <c r="GA37" i="3"/>
  <c r="GB37" i="3"/>
  <c r="GC37" i="3"/>
  <c r="GD37" i="3"/>
  <c r="GE37" i="3"/>
  <c r="GF37" i="3"/>
  <c r="GG37" i="3"/>
  <c r="GH37" i="3"/>
  <c r="GI37" i="3"/>
  <c r="GJ37" i="3"/>
  <c r="GK37" i="3"/>
  <c r="GL37" i="3"/>
  <c r="GM37" i="3"/>
  <c r="GN37" i="3"/>
  <c r="GO37" i="3"/>
  <c r="GP37" i="3"/>
  <c r="GQ37" i="3"/>
  <c r="GR37" i="3"/>
  <c r="GS37" i="3"/>
  <c r="GT37" i="3"/>
  <c r="GU37" i="3"/>
  <c r="GV37" i="3"/>
  <c r="GW37" i="3"/>
  <c r="GX37" i="3"/>
  <c r="GY37" i="3"/>
  <c r="GZ37" i="3"/>
  <c r="HA37" i="3"/>
  <c r="HB37" i="3"/>
  <c r="HC37" i="3"/>
  <c r="HD37" i="3"/>
  <c r="HE37" i="3"/>
  <c r="HF37" i="3"/>
  <c r="HG37" i="3"/>
  <c r="HH37" i="3"/>
  <c r="HI37" i="3"/>
  <c r="HJ37" i="3"/>
  <c r="HK37" i="3"/>
  <c r="HL37" i="3"/>
  <c r="HM37" i="3"/>
  <c r="HN37" i="3"/>
  <c r="HO37" i="3"/>
  <c r="HP37" i="3"/>
  <c r="HQ37" i="3"/>
  <c r="HR37" i="3"/>
  <c r="HS37" i="3"/>
  <c r="HT37" i="3"/>
  <c r="HU37" i="3"/>
  <c r="HV37" i="3"/>
  <c r="HW37" i="3"/>
  <c r="HX37" i="3"/>
  <c r="HY37" i="3"/>
  <c r="HZ37" i="3"/>
  <c r="IA37" i="3"/>
  <c r="IB37" i="3"/>
  <c r="IC37" i="3"/>
  <c r="ID37" i="3"/>
  <c r="IE37" i="3"/>
  <c r="IF37" i="3"/>
  <c r="IG37" i="3"/>
  <c r="IH37" i="3"/>
  <c r="II37" i="3"/>
  <c r="IJ37" i="3"/>
  <c r="IK37" i="3"/>
  <c r="IL37" i="3"/>
  <c r="IM37" i="3"/>
  <c r="IN37" i="3"/>
  <c r="IO37" i="3"/>
  <c r="IP37" i="3"/>
  <c r="IQ37" i="3"/>
  <c r="IR37" i="3"/>
  <c r="IS37" i="3"/>
  <c r="IT37" i="3"/>
  <c r="IU37" i="3"/>
  <c r="IV37" i="3"/>
  <c r="A36" i="3"/>
  <c r="B36" i="3"/>
  <c r="C36" i="3"/>
  <c r="D36" i="3"/>
  <c r="E36" i="3"/>
  <c r="F36" i="3"/>
  <c r="G36" i="3"/>
  <c r="H36" i="3"/>
  <c r="I36" i="3"/>
  <c r="J36" i="3"/>
  <c r="K36" i="3"/>
  <c r="L36" i="3"/>
  <c r="M36" i="3"/>
  <c r="N36" i="3"/>
  <c r="O36" i="3"/>
  <c r="P36" i="3"/>
  <c r="Q36" i="3"/>
  <c r="R36" i="3"/>
  <c r="S36" i="3"/>
  <c r="T36" i="3"/>
  <c r="U36" i="3"/>
  <c r="V36" i="3"/>
  <c r="W36" i="3"/>
  <c r="X36" i="3"/>
  <c r="Y36" i="3"/>
  <c r="Z36" i="3"/>
  <c r="AA36" i="3"/>
  <c r="AB36" i="3"/>
  <c r="AC36" i="3"/>
  <c r="AD36" i="3"/>
  <c r="AE36" i="3"/>
  <c r="AF36" i="3"/>
  <c r="AG36" i="3"/>
  <c r="AH36" i="3"/>
  <c r="AI36" i="3"/>
  <c r="AJ36" i="3"/>
  <c r="AK36" i="3"/>
  <c r="AL36" i="3"/>
  <c r="AM36" i="3"/>
  <c r="AN36" i="3"/>
  <c r="AO36" i="3"/>
  <c r="AP36" i="3"/>
  <c r="AQ36" i="3"/>
  <c r="AR36" i="3"/>
  <c r="AS36" i="3"/>
  <c r="AT36" i="3"/>
  <c r="AU36" i="3"/>
  <c r="AV36" i="3"/>
  <c r="AW36" i="3"/>
  <c r="AX36" i="3"/>
  <c r="AY36" i="3"/>
  <c r="AZ36" i="3"/>
  <c r="BA36" i="3"/>
  <c r="BB36" i="3"/>
  <c r="BC36" i="3"/>
  <c r="BD36" i="3"/>
  <c r="BE36" i="3"/>
  <c r="BF36" i="3"/>
  <c r="BG36" i="3"/>
  <c r="BH36" i="3"/>
  <c r="BI36" i="3"/>
  <c r="BJ36" i="3"/>
  <c r="BK36" i="3"/>
  <c r="BL36" i="3"/>
  <c r="BM36" i="3"/>
  <c r="BN36" i="3"/>
  <c r="BO36" i="3"/>
  <c r="BP36" i="3"/>
  <c r="BQ36" i="3"/>
  <c r="BR36" i="3"/>
  <c r="BS36" i="3"/>
  <c r="BT36" i="3"/>
  <c r="BU36" i="3"/>
  <c r="BV36" i="3"/>
  <c r="BW36" i="3"/>
  <c r="BX36" i="3"/>
  <c r="BY36" i="3"/>
  <c r="BZ36" i="3"/>
  <c r="CA36" i="3"/>
  <c r="CB36" i="3"/>
  <c r="CC36" i="3"/>
  <c r="CD36" i="3"/>
  <c r="CE36" i="3"/>
  <c r="CF36" i="3"/>
  <c r="CG36" i="3"/>
  <c r="CH36" i="3"/>
  <c r="CI36" i="3"/>
  <c r="CJ36" i="3"/>
  <c r="CK36" i="3"/>
  <c r="CL36" i="3"/>
  <c r="CM36" i="3"/>
  <c r="CN36" i="3"/>
  <c r="CO36" i="3"/>
  <c r="CP36" i="3"/>
  <c r="CQ36" i="3"/>
  <c r="CR36" i="3"/>
  <c r="CS36" i="3"/>
  <c r="CT36" i="3"/>
  <c r="CU36" i="3"/>
  <c r="CV36" i="3"/>
  <c r="CW36" i="3"/>
  <c r="CX36" i="3"/>
  <c r="CY36" i="3"/>
  <c r="CZ36" i="3"/>
  <c r="DA36" i="3"/>
  <c r="DB36" i="3"/>
  <c r="DC36" i="3"/>
  <c r="DD36" i="3"/>
  <c r="DE36" i="3"/>
  <c r="DF36" i="3"/>
  <c r="DG36" i="3"/>
  <c r="DH36" i="3"/>
  <c r="DI36" i="3"/>
  <c r="DJ36" i="3"/>
  <c r="DK36" i="3"/>
  <c r="DL36" i="3"/>
  <c r="DM36" i="3"/>
  <c r="DN36" i="3"/>
  <c r="DO36" i="3"/>
  <c r="DP36" i="3"/>
  <c r="DQ36" i="3"/>
  <c r="DR36" i="3"/>
  <c r="DS36" i="3"/>
  <c r="DT36" i="3"/>
  <c r="DU36" i="3"/>
  <c r="DV36" i="3"/>
  <c r="DW36" i="3"/>
  <c r="DX36" i="3"/>
  <c r="DY36" i="3"/>
  <c r="DZ36" i="3"/>
  <c r="EA36" i="3"/>
  <c r="EB36" i="3"/>
  <c r="EC36" i="3"/>
  <c r="ED36" i="3"/>
  <c r="EE36" i="3"/>
  <c r="EF36" i="3"/>
  <c r="EG36" i="3"/>
  <c r="EH36" i="3"/>
  <c r="EI36" i="3"/>
  <c r="EJ36" i="3"/>
  <c r="EK36" i="3"/>
  <c r="EL36" i="3"/>
  <c r="EM36" i="3"/>
  <c r="EN36" i="3"/>
  <c r="EO36" i="3"/>
  <c r="EP36" i="3"/>
  <c r="EQ36" i="3"/>
  <c r="ER36" i="3"/>
  <c r="ES36" i="3"/>
  <c r="ET36" i="3"/>
  <c r="EU36" i="3"/>
  <c r="EV36" i="3"/>
  <c r="EW36" i="3"/>
  <c r="EX36" i="3"/>
  <c r="EY36" i="3"/>
  <c r="EZ36" i="3"/>
  <c r="FA36" i="3"/>
  <c r="FB36" i="3"/>
  <c r="FC36" i="3"/>
  <c r="FD36" i="3"/>
  <c r="FE36" i="3"/>
  <c r="FF36" i="3"/>
  <c r="FG36" i="3"/>
  <c r="FH36" i="3"/>
  <c r="FI36" i="3"/>
  <c r="FJ36" i="3"/>
  <c r="FK36" i="3"/>
  <c r="FL36" i="3"/>
  <c r="FM36" i="3"/>
  <c r="FN36" i="3"/>
  <c r="FO36" i="3"/>
  <c r="FP36" i="3"/>
  <c r="FQ36" i="3"/>
  <c r="FR36" i="3"/>
  <c r="FS36" i="3"/>
  <c r="FT36" i="3"/>
  <c r="FU36" i="3"/>
  <c r="FV36" i="3"/>
  <c r="FW36" i="3"/>
  <c r="FX36" i="3"/>
  <c r="FY36" i="3"/>
  <c r="FZ36" i="3"/>
  <c r="GA36" i="3"/>
  <c r="GB36" i="3"/>
  <c r="GC36" i="3"/>
  <c r="GD36" i="3"/>
  <c r="GE36" i="3"/>
  <c r="GF36" i="3"/>
  <c r="GG36" i="3"/>
  <c r="GH36" i="3"/>
  <c r="GI36" i="3"/>
  <c r="GJ36" i="3"/>
  <c r="GK36" i="3"/>
  <c r="GL36" i="3"/>
  <c r="GM36" i="3"/>
  <c r="GN36" i="3"/>
  <c r="GO36" i="3"/>
  <c r="GP36" i="3"/>
  <c r="GQ36" i="3"/>
  <c r="GR36" i="3"/>
  <c r="GS36" i="3"/>
  <c r="GT36" i="3"/>
  <c r="GU36" i="3"/>
  <c r="GV36" i="3"/>
  <c r="GW36" i="3"/>
  <c r="GX36" i="3"/>
  <c r="GY36" i="3"/>
  <c r="GZ36" i="3"/>
  <c r="HA36" i="3"/>
  <c r="HB36" i="3"/>
  <c r="HC36" i="3"/>
  <c r="HD36" i="3"/>
  <c r="HE36" i="3"/>
  <c r="HF36" i="3"/>
  <c r="HG36" i="3"/>
  <c r="HH36" i="3"/>
  <c r="HI36" i="3"/>
  <c r="HJ36" i="3"/>
  <c r="HK36" i="3"/>
  <c r="HL36" i="3"/>
  <c r="HM36" i="3"/>
  <c r="HN36" i="3"/>
  <c r="HO36" i="3"/>
  <c r="HP36" i="3"/>
  <c r="HQ36" i="3"/>
  <c r="HR36" i="3"/>
  <c r="HS36" i="3"/>
  <c r="HT36" i="3"/>
  <c r="HU36" i="3"/>
  <c r="HV36" i="3"/>
  <c r="HW36" i="3"/>
  <c r="HX36" i="3"/>
  <c r="HY36" i="3"/>
  <c r="HZ36" i="3"/>
  <c r="IA36" i="3"/>
  <c r="IB36" i="3"/>
  <c r="IC36" i="3"/>
  <c r="ID36" i="3"/>
  <c r="IE36" i="3"/>
  <c r="IF36" i="3"/>
  <c r="IG36" i="3"/>
  <c r="IH36" i="3"/>
  <c r="II36" i="3"/>
  <c r="IJ36" i="3"/>
  <c r="IK36" i="3"/>
  <c r="IL36" i="3"/>
  <c r="IM36" i="3"/>
  <c r="IN36" i="3"/>
  <c r="IO36" i="3"/>
  <c r="IP36" i="3"/>
  <c r="IQ36" i="3"/>
  <c r="IR36" i="3"/>
  <c r="IS36" i="3"/>
  <c r="IT36" i="3"/>
  <c r="IU36" i="3"/>
  <c r="IV36" i="3"/>
  <c r="A35" i="3"/>
  <c r="B35" i="3"/>
  <c r="C35" i="3"/>
  <c r="D35" i="3"/>
  <c r="E35" i="3"/>
  <c r="F35" i="3"/>
  <c r="G35" i="3"/>
  <c r="H35" i="3"/>
  <c r="I35" i="3"/>
  <c r="J35" i="3"/>
  <c r="K35" i="3"/>
  <c r="L35" i="3"/>
  <c r="M35" i="3"/>
  <c r="N35" i="3"/>
  <c r="O35" i="3"/>
  <c r="P35" i="3"/>
  <c r="Q35" i="3"/>
  <c r="R35" i="3"/>
  <c r="S35" i="3"/>
  <c r="T35" i="3"/>
  <c r="U35" i="3"/>
  <c r="V35" i="3"/>
  <c r="W35" i="3"/>
  <c r="X35" i="3"/>
  <c r="Y35" i="3"/>
  <c r="Z35" i="3"/>
  <c r="AA35" i="3"/>
  <c r="AB35" i="3"/>
  <c r="AC35" i="3"/>
  <c r="AD35" i="3"/>
  <c r="AE35" i="3"/>
  <c r="AF35" i="3"/>
  <c r="AG35" i="3"/>
  <c r="AH35" i="3"/>
  <c r="AI35" i="3"/>
  <c r="AJ35" i="3"/>
  <c r="AK35" i="3"/>
  <c r="AL35" i="3"/>
  <c r="AM35" i="3"/>
  <c r="AN35" i="3"/>
  <c r="AO35" i="3"/>
  <c r="AP35" i="3"/>
  <c r="AQ35" i="3"/>
  <c r="AR35" i="3"/>
  <c r="AS35" i="3"/>
  <c r="AT35" i="3"/>
  <c r="AU35" i="3"/>
  <c r="AV35" i="3"/>
  <c r="AW35" i="3"/>
  <c r="AX35" i="3"/>
  <c r="AY35" i="3"/>
  <c r="AZ35" i="3"/>
  <c r="BA35" i="3"/>
  <c r="BB35" i="3"/>
  <c r="BC35" i="3"/>
  <c r="BD35" i="3"/>
  <c r="BE35" i="3"/>
  <c r="BF35" i="3"/>
  <c r="BG35" i="3"/>
  <c r="BH35" i="3"/>
  <c r="BI35" i="3"/>
  <c r="BJ35" i="3"/>
  <c r="BK35" i="3"/>
  <c r="BL35" i="3"/>
  <c r="BM35" i="3"/>
  <c r="BN35" i="3"/>
  <c r="BO35" i="3"/>
  <c r="BP35" i="3"/>
  <c r="BQ35" i="3"/>
  <c r="BR35" i="3"/>
  <c r="BS35" i="3"/>
  <c r="BT35" i="3"/>
  <c r="BU35" i="3"/>
  <c r="BV35" i="3"/>
  <c r="BW35" i="3"/>
  <c r="BX35" i="3"/>
  <c r="BY35" i="3"/>
  <c r="BZ35" i="3"/>
  <c r="CA35" i="3"/>
  <c r="CB35" i="3"/>
  <c r="CC35" i="3"/>
  <c r="CD35" i="3"/>
  <c r="CE35" i="3"/>
  <c r="CF35" i="3"/>
  <c r="CG35" i="3"/>
  <c r="CH35" i="3"/>
  <c r="CI35" i="3"/>
  <c r="CJ35" i="3"/>
  <c r="CK35" i="3"/>
  <c r="CL35" i="3"/>
  <c r="CM35" i="3"/>
  <c r="CN35" i="3"/>
  <c r="CO35" i="3"/>
  <c r="CP35" i="3"/>
  <c r="CQ35" i="3"/>
  <c r="CR35" i="3"/>
  <c r="CS35" i="3"/>
  <c r="CT35" i="3"/>
  <c r="CU35" i="3"/>
  <c r="CV35" i="3"/>
  <c r="CW35" i="3"/>
  <c r="CX35" i="3"/>
  <c r="CY35" i="3"/>
  <c r="CZ35" i="3"/>
  <c r="DA35" i="3"/>
  <c r="DB35" i="3"/>
  <c r="DC35" i="3"/>
  <c r="DD35" i="3"/>
  <c r="DE35" i="3"/>
  <c r="DF35" i="3"/>
  <c r="DG35" i="3"/>
  <c r="DH35" i="3"/>
  <c r="DI35" i="3"/>
  <c r="DJ35" i="3"/>
  <c r="DK35" i="3"/>
  <c r="DL35" i="3"/>
  <c r="DM35" i="3"/>
  <c r="DN35" i="3"/>
  <c r="DO35" i="3"/>
  <c r="DP35" i="3"/>
  <c r="DQ35" i="3"/>
  <c r="DR35" i="3"/>
  <c r="DS35" i="3"/>
  <c r="DT35" i="3"/>
  <c r="DU35" i="3"/>
  <c r="DV35" i="3"/>
  <c r="DW35" i="3"/>
  <c r="DX35" i="3"/>
  <c r="DY35" i="3"/>
  <c r="DZ35" i="3"/>
  <c r="EA35" i="3"/>
  <c r="EB35" i="3"/>
  <c r="EC35" i="3"/>
  <c r="ED35" i="3"/>
  <c r="EE35" i="3"/>
  <c r="EF35" i="3"/>
  <c r="EG35" i="3"/>
  <c r="EH35" i="3"/>
  <c r="EI35" i="3"/>
  <c r="EJ35" i="3"/>
  <c r="EK35" i="3"/>
  <c r="EL35" i="3"/>
  <c r="EM35" i="3"/>
  <c r="EN35" i="3"/>
  <c r="EO35" i="3"/>
  <c r="EP35" i="3"/>
  <c r="EQ35" i="3"/>
  <c r="ER35" i="3"/>
  <c r="ES35" i="3"/>
  <c r="ET35" i="3"/>
  <c r="EU35" i="3"/>
  <c r="EV35" i="3"/>
  <c r="EW35" i="3"/>
  <c r="EX35" i="3"/>
  <c r="EY35" i="3"/>
  <c r="EZ35" i="3"/>
  <c r="FA35" i="3"/>
  <c r="FB35" i="3"/>
  <c r="FC35" i="3"/>
  <c r="FD35" i="3"/>
  <c r="FE35" i="3"/>
  <c r="FF35" i="3"/>
  <c r="FG35" i="3"/>
  <c r="FH35" i="3"/>
  <c r="FI35" i="3"/>
  <c r="FJ35" i="3"/>
  <c r="FK35" i="3"/>
  <c r="FL35" i="3"/>
  <c r="FM35" i="3"/>
  <c r="FN35" i="3"/>
  <c r="FO35" i="3"/>
  <c r="FP35" i="3"/>
  <c r="FQ35" i="3"/>
  <c r="FR35" i="3"/>
  <c r="FS35" i="3"/>
  <c r="FT35" i="3"/>
  <c r="FU35" i="3"/>
  <c r="FV35" i="3"/>
  <c r="FW35" i="3"/>
  <c r="FX35" i="3"/>
  <c r="FY35" i="3"/>
  <c r="FZ35" i="3"/>
  <c r="GA35" i="3"/>
  <c r="GB35" i="3"/>
  <c r="GC35" i="3"/>
  <c r="GD35" i="3"/>
  <c r="GE35" i="3"/>
  <c r="GF35" i="3"/>
  <c r="GG35" i="3"/>
  <c r="GH35" i="3"/>
  <c r="GI35" i="3"/>
  <c r="GJ35" i="3"/>
  <c r="GK35" i="3"/>
  <c r="GL35" i="3"/>
  <c r="GM35" i="3"/>
  <c r="GN35" i="3"/>
  <c r="GO35" i="3"/>
  <c r="GP35" i="3"/>
  <c r="GQ35" i="3"/>
  <c r="GR35" i="3"/>
  <c r="GS35" i="3"/>
  <c r="GT35" i="3"/>
  <c r="GU35" i="3"/>
  <c r="GV35" i="3"/>
  <c r="GW35" i="3"/>
  <c r="GX35" i="3"/>
  <c r="GY35" i="3"/>
  <c r="GZ35" i="3"/>
  <c r="HA35" i="3"/>
  <c r="HB35" i="3"/>
  <c r="HC35" i="3"/>
  <c r="HD35" i="3"/>
  <c r="HE35" i="3"/>
  <c r="HF35" i="3"/>
  <c r="HG35" i="3"/>
  <c r="HH35" i="3"/>
  <c r="HI35" i="3"/>
  <c r="HJ35" i="3"/>
  <c r="HK35" i="3"/>
  <c r="HL35" i="3"/>
  <c r="HM35" i="3"/>
  <c r="HN35" i="3"/>
  <c r="HO35" i="3"/>
  <c r="HP35" i="3"/>
  <c r="HQ35" i="3"/>
  <c r="HR35" i="3"/>
  <c r="HS35" i="3"/>
  <c r="HT35" i="3"/>
  <c r="HU35" i="3"/>
  <c r="HV35" i="3"/>
  <c r="HW35" i="3"/>
  <c r="HX35" i="3"/>
  <c r="HY35" i="3"/>
  <c r="HZ35" i="3"/>
  <c r="IA35" i="3"/>
  <c r="IB35" i="3"/>
  <c r="IC35" i="3"/>
  <c r="ID35" i="3"/>
  <c r="IE35" i="3"/>
  <c r="IF35" i="3"/>
  <c r="IG35" i="3"/>
  <c r="IH35" i="3"/>
  <c r="II35" i="3"/>
  <c r="IJ35" i="3"/>
  <c r="IK35" i="3"/>
  <c r="IL35" i="3"/>
  <c r="IM35" i="3"/>
  <c r="IN35" i="3"/>
  <c r="IO35" i="3"/>
  <c r="IP35" i="3"/>
  <c r="IQ35" i="3"/>
  <c r="IR35" i="3"/>
  <c r="IS35" i="3"/>
  <c r="IT35" i="3"/>
  <c r="IU35" i="3"/>
  <c r="IV35" i="3"/>
  <c r="A34" i="3"/>
  <c r="B34" i="3"/>
  <c r="C34" i="3"/>
  <c r="D34" i="3"/>
  <c r="E34" i="3"/>
  <c r="F34" i="3"/>
  <c r="G34" i="3"/>
  <c r="H34" i="3"/>
  <c r="I34" i="3"/>
  <c r="J34" i="3"/>
  <c r="K34" i="3"/>
  <c r="L34" i="3"/>
  <c r="M34" i="3"/>
  <c r="N34" i="3"/>
  <c r="O34" i="3"/>
  <c r="P34" i="3"/>
  <c r="Q34" i="3"/>
  <c r="R34" i="3"/>
  <c r="S34" i="3"/>
  <c r="T34" i="3"/>
  <c r="U34" i="3"/>
  <c r="V34" i="3"/>
  <c r="W34" i="3"/>
  <c r="X34" i="3"/>
  <c r="Y34" i="3"/>
  <c r="Z34" i="3"/>
  <c r="AA34" i="3"/>
  <c r="AB34" i="3"/>
  <c r="AC34" i="3"/>
  <c r="AD34" i="3"/>
  <c r="AE34" i="3"/>
  <c r="AF34" i="3"/>
  <c r="AG34" i="3"/>
  <c r="AH34" i="3"/>
  <c r="AI34" i="3"/>
  <c r="AJ34" i="3"/>
  <c r="AK34" i="3"/>
  <c r="AL34" i="3"/>
  <c r="AM34" i="3"/>
  <c r="AN34" i="3"/>
  <c r="AO34" i="3"/>
  <c r="AP34" i="3"/>
  <c r="AQ34" i="3"/>
  <c r="AR34" i="3"/>
  <c r="AS34" i="3"/>
  <c r="AT34" i="3"/>
  <c r="AU34" i="3"/>
  <c r="AV34" i="3"/>
  <c r="AW34" i="3"/>
  <c r="AX34" i="3"/>
  <c r="AY34" i="3"/>
  <c r="AZ34" i="3"/>
  <c r="BA34" i="3"/>
  <c r="BB34" i="3"/>
  <c r="BC34" i="3"/>
  <c r="BD34" i="3"/>
  <c r="BE34" i="3"/>
  <c r="BF34" i="3"/>
  <c r="BG34" i="3"/>
  <c r="BH34" i="3"/>
  <c r="BI34" i="3"/>
  <c r="BJ34" i="3"/>
  <c r="BK34" i="3"/>
  <c r="BL34" i="3"/>
  <c r="BM34" i="3"/>
  <c r="BN34" i="3"/>
  <c r="BO34" i="3"/>
  <c r="BP34" i="3"/>
  <c r="BQ34" i="3"/>
  <c r="BR34" i="3"/>
  <c r="BS34" i="3"/>
  <c r="BT34" i="3"/>
  <c r="BU34" i="3"/>
  <c r="BV34" i="3"/>
  <c r="BW34" i="3"/>
  <c r="BX34" i="3"/>
  <c r="BY34" i="3"/>
  <c r="BZ34" i="3"/>
  <c r="CA34" i="3"/>
  <c r="CB34" i="3"/>
  <c r="CC34" i="3"/>
  <c r="CD34" i="3"/>
  <c r="CE34" i="3"/>
  <c r="CF34" i="3"/>
  <c r="CG34" i="3"/>
  <c r="CH34" i="3"/>
  <c r="CI34" i="3"/>
  <c r="CJ34" i="3"/>
  <c r="CK34" i="3"/>
  <c r="CL34" i="3"/>
  <c r="CM34" i="3"/>
  <c r="CN34" i="3"/>
  <c r="CO34" i="3"/>
  <c r="CP34" i="3"/>
  <c r="CQ34" i="3"/>
  <c r="CR34" i="3"/>
  <c r="CS34" i="3"/>
  <c r="CT34" i="3"/>
  <c r="CU34" i="3"/>
  <c r="CV34" i="3"/>
  <c r="CW34" i="3"/>
  <c r="CX34" i="3"/>
  <c r="CY34" i="3"/>
  <c r="CZ34" i="3"/>
  <c r="DA34" i="3"/>
  <c r="DB34" i="3"/>
  <c r="DC34" i="3"/>
  <c r="DD34" i="3"/>
  <c r="DE34" i="3"/>
  <c r="DF34" i="3"/>
  <c r="DG34" i="3"/>
  <c r="DH34" i="3"/>
  <c r="DI34" i="3"/>
  <c r="DJ34" i="3"/>
  <c r="DK34" i="3"/>
  <c r="DL34" i="3"/>
  <c r="DM34" i="3"/>
  <c r="DN34" i="3"/>
  <c r="DO34" i="3"/>
  <c r="DP34" i="3"/>
  <c r="DQ34" i="3"/>
  <c r="DR34" i="3"/>
  <c r="DS34" i="3"/>
  <c r="DT34" i="3"/>
  <c r="DU34" i="3"/>
  <c r="DV34" i="3"/>
  <c r="DW34" i="3"/>
  <c r="DX34" i="3"/>
  <c r="DY34" i="3"/>
  <c r="DZ34" i="3"/>
  <c r="EA34" i="3"/>
  <c r="EB34" i="3"/>
  <c r="EC34" i="3"/>
  <c r="ED34" i="3"/>
  <c r="EE34" i="3"/>
  <c r="EF34" i="3"/>
  <c r="EG34" i="3"/>
  <c r="EH34" i="3"/>
  <c r="EI34" i="3"/>
  <c r="EJ34" i="3"/>
  <c r="EK34" i="3"/>
  <c r="EL34" i="3"/>
  <c r="EM34" i="3"/>
  <c r="EN34" i="3"/>
  <c r="EO34" i="3"/>
  <c r="EP34" i="3"/>
  <c r="EQ34" i="3"/>
  <c r="ER34" i="3"/>
  <c r="ES34" i="3"/>
  <c r="ET34" i="3"/>
  <c r="EU34" i="3"/>
  <c r="EV34" i="3"/>
  <c r="EW34" i="3"/>
  <c r="EX34" i="3"/>
  <c r="EY34" i="3"/>
  <c r="EZ34" i="3"/>
  <c r="FA34" i="3"/>
  <c r="FB34" i="3"/>
  <c r="FC34" i="3"/>
  <c r="FD34" i="3"/>
  <c r="FE34" i="3"/>
  <c r="FF34" i="3"/>
  <c r="FG34" i="3"/>
  <c r="FH34" i="3"/>
  <c r="FI34" i="3"/>
  <c r="FJ34" i="3"/>
  <c r="FK34" i="3"/>
  <c r="FL34" i="3"/>
  <c r="FM34" i="3"/>
  <c r="FN34" i="3"/>
  <c r="FO34" i="3"/>
  <c r="FP34" i="3"/>
  <c r="FQ34" i="3"/>
  <c r="FR34" i="3"/>
  <c r="FS34" i="3"/>
  <c r="FT34" i="3"/>
  <c r="FU34" i="3"/>
  <c r="FV34" i="3"/>
  <c r="FW34" i="3"/>
  <c r="FX34" i="3"/>
  <c r="FY34" i="3"/>
  <c r="FZ34" i="3"/>
  <c r="GA34" i="3"/>
  <c r="GB34" i="3"/>
  <c r="GC34" i="3"/>
  <c r="GD34" i="3"/>
  <c r="GE34" i="3"/>
  <c r="GF34" i="3"/>
  <c r="GG34" i="3"/>
  <c r="GH34" i="3"/>
  <c r="GI34" i="3"/>
  <c r="GJ34" i="3"/>
  <c r="GK34" i="3"/>
  <c r="GL34" i="3"/>
  <c r="GM34" i="3"/>
  <c r="GN34" i="3"/>
  <c r="GO34" i="3"/>
  <c r="GP34" i="3"/>
  <c r="GQ34" i="3"/>
  <c r="GR34" i="3"/>
  <c r="GS34" i="3"/>
  <c r="GT34" i="3"/>
  <c r="GU34" i="3"/>
  <c r="GV34" i="3"/>
  <c r="GW34" i="3"/>
  <c r="GX34" i="3"/>
  <c r="GY34" i="3"/>
  <c r="GZ34" i="3"/>
  <c r="HA34" i="3"/>
  <c r="HB34" i="3"/>
  <c r="HC34" i="3"/>
  <c r="HD34" i="3"/>
  <c r="HE34" i="3"/>
  <c r="HF34" i="3"/>
  <c r="HG34" i="3"/>
  <c r="HH34" i="3"/>
  <c r="HI34" i="3"/>
  <c r="HJ34" i="3"/>
  <c r="HK34" i="3"/>
  <c r="HL34" i="3"/>
  <c r="HM34" i="3"/>
  <c r="HN34" i="3"/>
  <c r="HO34" i="3"/>
  <c r="HP34" i="3"/>
  <c r="HQ34" i="3"/>
  <c r="HR34" i="3"/>
  <c r="HS34" i="3"/>
  <c r="HT34" i="3"/>
  <c r="HU34" i="3"/>
  <c r="HV34" i="3"/>
  <c r="HW34" i="3"/>
  <c r="HX34" i="3"/>
  <c r="HY34" i="3"/>
  <c r="HZ34" i="3"/>
  <c r="IA34" i="3"/>
  <c r="IB34" i="3"/>
  <c r="IC34" i="3"/>
  <c r="ID34" i="3"/>
  <c r="IE34" i="3"/>
  <c r="IF34" i="3"/>
  <c r="IG34" i="3"/>
  <c r="IH34" i="3"/>
  <c r="II34" i="3"/>
  <c r="IJ34" i="3"/>
  <c r="IK34" i="3"/>
  <c r="IL34" i="3"/>
  <c r="IM34" i="3"/>
  <c r="IN34" i="3"/>
  <c r="IO34" i="3"/>
  <c r="IP34" i="3"/>
  <c r="IQ34" i="3"/>
  <c r="IR34" i="3"/>
  <c r="IS34" i="3"/>
  <c r="IT34" i="3"/>
  <c r="IU34" i="3"/>
  <c r="IV34" i="3"/>
  <c r="A33" i="3"/>
  <c r="B33" i="3"/>
  <c r="C33" i="3"/>
  <c r="D33" i="3"/>
  <c r="E33" i="3"/>
  <c r="F33" i="3"/>
  <c r="G33" i="3"/>
  <c r="H33" i="3"/>
  <c r="I33" i="3"/>
  <c r="J33" i="3"/>
  <c r="K33" i="3"/>
  <c r="L33" i="3"/>
  <c r="M33" i="3"/>
  <c r="N33" i="3"/>
  <c r="O33" i="3"/>
  <c r="P33" i="3"/>
  <c r="Q33" i="3"/>
  <c r="R33" i="3"/>
  <c r="S33" i="3"/>
  <c r="T33" i="3"/>
  <c r="U33" i="3"/>
  <c r="V33" i="3"/>
  <c r="W33" i="3"/>
  <c r="X33" i="3"/>
  <c r="Y33" i="3"/>
  <c r="Z33" i="3"/>
  <c r="AA33" i="3"/>
  <c r="AB33" i="3"/>
  <c r="AC33" i="3"/>
  <c r="AD33" i="3"/>
  <c r="AE33" i="3"/>
  <c r="AF33" i="3"/>
  <c r="AG33" i="3"/>
  <c r="AH33" i="3"/>
  <c r="AI33" i="3"/>
  <c r="AJ33" i="3"/>
  <c r="AK33" i="3"/>
  <c r="AL33" i="3"/>
  <c r="AM33" i="3"/>
  <c r="AN33" i="3"/>
  <c r="AO33" i="3"/>
  <c r="AP33" i="3"/>
  <c r="AQ33" i="3"/>
  <c r="AR33" i="3"/>
  <c r="AS33" i="3"/>
  <c r="AT33" i="3"/>
  <c r="AU33" i="3"/>
  <c r="AV33" i="3"/>
  <c r="AW33" i="3"/>
  <c r="AX33" i="3"/>
  <c r="AY33" i="3"/>
  <c r="AZ33" i="3"/>
  <c r="BA33" i="3"/>
  <c r="BB33" i="3"/>
  <c r="BC33" i="3"/>
  <c r="BD33" i="3"/>
  <c r="BE33" i="3"/>
  <c r="BF33" i="3"/>
  <c r="BG33" i="3"/>
  <c r="BH33" i="3"/>
  <c r="BI33" i="3"/>
  <c r="BJ33" i="3"/>
  <c r="BK33" i="3"/>
  <c r="BL33" i="3"/>
  <c r="BM33" i="3"/>
  <c r="BN33" i="3"/>
  <c r="BO33" i="3"/>
  <c r="BP33" i="3"/>
  <c r="BQ33" i="3"/>
  <c r="BR33" i="3"/>
  <c r="BS33" i="3"/>
  <c r="BT33" i="3"/>
  <c r="BU33" i="3"/>
  <c r="BV33" i="3"/>
  <c r="BW33" i="3"/>
  <c r="BX33" i="3"/>
  <c r="BY33" i="3"/>
  <c r="BZ33" i="3"/>
  <c r="CA33" i="3"/>
  <c r="CB33" i="3"/>
  <c r="CC33" i="3"/>
  <c r="CD33" i="3"/>
  <c r="CE33" i="3"/>
  <c r="CF33" i="3"/>
  <c r="CG33" i="3"/>
  <c r="CH33" i="3"/>
  <c r="CI33" i="3"/>
  <c r="CJ33" i="3"/>
  <c r="CK33" i="3"/>
  <c r="CL33" i="3"/>
  <c r="CM33" i="3"/>
  <c r="CN33" i="3"/>
  <c r="CO33" i="3"/>
  <c r="CP33" i="3"/>
  <c r="CQ33" i="3"/>
  <c r="CR33" i="3"/>
  <c r="CS33" i="3"/>
  <c r="CT33" i="3"/>
  <c r="CU33" i="3"/>
  <c r="CV33" i="3"/>
  <c r="CW33" i="3"/>
  <c r="CX33" i="3"/>
  <c r="CY33" i="3"/>
  <c r="CZ33" i="3"/>
  <c r="DA33" i="3"/>
  <c r="DB33" i="3"/>
  <c r="DC33" i="3"/>
  <c r="DD33" i="3"/>
  <c r="DE33" i="3"/>
  <c r="DF33" i="3"/>
  <c r="DG33" i="3"/>
  <c r="DH33" i="3"/>
  <c r="DI33" i="3"/>
  <c r="DJ33" i="3"/>
  <c r="DK33" i="3"/>
  <c r="DL33" i="3"/>
  <c r="DM33" i="3"/>
  <c r="DN33" i="3"/>
  <c r="DO33" i="3"/>
  <c r="DP33" i="3"/>
  <c r="DQ33" i="3"/>
  <c r="DR33" i="3"/>
  <c r="DS33" i="3"/>
  <c r="DT33" i="3"/>
  <c r="DU33" i="3"/>
  <c r="DV33" i="3"/>
  <c r="DW33" i="3"/>
  <c r="DX33" i="3"/>
  <c r="DY33" i="3"/>
  <c r="DZ33" i="3"/>
  <c r="EA33" i="3"/>
  <c r="EB33" i="3"/>
  <c r="EC33" i="3"/>
  <c r="ED33" i="3"/>
  <c r="EE33" i="3"/>
  <c r="EF33" i="3"/>
  <c r="EG33" i="3"/>
  <c r="EH33" i="3"/>
  <c r="EI33" i="3"/>
  <c r="EJ33" i="3"/>
  <c r="EK33" i="3"/>
  <c r="EL33" i="3"/>
  <c r="EM33" i="3"/>
  <c r="EN33" i="3"/>
  <c r="EO33" i="3"/>
  <c r="EP33" i="3"/>
  <c r="EQ33" i="3"/>
  <c r="ER33" i="3"/>
  <c r="ES33" i="3"/>
  <c r="ET33" i="3"/>
  <c r="EU33" i="3"/>
  <c r="EV33" i="3"/>
  <c r="EW33" i="3"/>
  <c r="EX33" i="3"/>
  <c r="EY33" i="3"/>
  <c r="EZ33" i="3"/>
  <c r="FA33" i="3"/>
  <c r="FB33" i="3"/>
  <c r="FC33" i="3"/>
  <c r="FD33" i="3"/>
  <c r="FE33" i="3"/>
  <c r="FF33" i="3"/>
  <c r="FG33" i="3"/>
  <c r="FH33" i="3"/>
  <c r="FI33" i="3"/>
  <c r="FJ33" i="3"/>
  <c r="FK33" i="3"/>
  <c r="FL33" i="3"/>
  <c r="FM33" i="3"/>
  <c r="FN33" i="3"/>
  <c r="FO33" i="3"/>
  <c r="FP33" i="3"/>
  <c r="FQ33" i="3"/>
  <c r="FR33" i="3"/>
  <c r="FS33" i="3"/>
  <c r="FT33" i="3"/>
  <c r="FU33" i="3"/>
  <c r="FV33" i="3"/>
  <c r="FW33" i="3"/>
  <c r="FX33" i="3"/>
  <c r="FY33" i="3"/>
  <c r="FZ33" i="3"/>
  <c r="GA33" i="3"/>
  <c r="GB33" i="3"/>
  <c r="GC33" i="3"/>
  <c r="GD33" i="3"/>
  <c r="GE33" i="3"/>
  <c r="GF33" i="3"/>
  <c r="GG33" i="3"/>
  <c r="GH33" i="3"/>
  <c r="GI33" i="3"/>
  <c r="GJ33" i="3"/>
  <c r="GK33" i="3"/>
  <c r="GL33" i="3"/>
  <c r="GM33" i="3"/>
  <c r="GN33" i="3"/>
  <c r="GO33" i="3"/>
  <c r="GP33" i="3"/>
  <c r="GQ33" i="3"/>
  <c r="GR33" i="3"/>
  <c r="GS33" i="3"/>
  <c r="GT33" i="3"/>
  <c r="GU33" i="3"/>
  <c r="GV33" i="3"/>
  <c r="GW33" i="3"/>
  <c r="GX33" i="3"/>
  <c r="GY33" i="3"/>
  <c r="GZ33" i="3"/>
  <c r="HA33" i="3"/>
  <c r="HB33" i="3"/>
  <c r="HC33" i="3"/>
  <c r="HD33" i="3"/>
  <c r="HE33" i="3"/>
  <c r="HF33" i="3"/>
  <c r="HG33" i="3"/>
  <c r="HH33" i="3"/>
  <c r="HI33" i="3"/>
  <c r="HJ33" i="3"/>
  <c r="HK33" i="3"/>
  <c r="HL33" i="3"/>
  <c r="HM33" i="3"/>
  <c r="HN33" i="3"/>
  <c r="HO33" i="3"/>
  <c r="HP33" i="3"/>
  <c r="HQ33" i="3"/>
  <c r="HR33" i="3"/>
  <c r="HS33" i="3"/>
  <c r="HT33" i="3"/>
  <c r="HU33" i="3"/>
  <c r="HV33" i="3"/>
  <c r="HW33" i="3"/>
  <c r="HX33" i="3"/>
  <c r="HY33" i="3"/>
  <c r="HZ33" i="3"/>
  <c r="IA33" i="3"/>
  <c r="IB33" i="3"/>
  <c r="IC33" i="3"/>
  <c r="ID33" i="3"/>
  <c r="IE33" i="3"/>
  <c r="IF33" i="3"/>
  <c r="IG33" i="3"/>
  <c r="IH33" i="3"/>
  <c r="II33" i="3"/>
  <c r="IJ33" i="3"/>
  <c r="IK33" i="3"/>
  <c r="IL33" i="3"/>
  <c r="IM33" i="3"/>
  <c r="IN33" i="3"/>
  <c r="IO33" i="3"/>
  <c r="IP33" i="3"/>
  <c r="IQ33" i="3"/>
  <c r="IR33" i="3"/>
  <c r="IS33" i="3"/>
  <c r="IT33" i="3"/>
  <c r="IU33" i="3"/>
  <c r="IV33" i="3"/>
  <c r="A32" i="3"/>
  <c r="B32" i="3"/>
  <c r="C32" i="3"/>
  <c r="D32" i="3"/>
  <c r="E32" i="3"/>
  <c r="F32" i="3"/>
  <c r="G32" i="3"/>
  <c r="H32" i="3"/>
  <c r="I32" i="3"/>
  <c r="J32" i="3"/>
  <c r="K32" i="3"/>
  <c r="L32" i="3"/>
  <c r="M32" i="3"/>
  <c r="N32" i="3"/>
  <c r="O32" i="3"/>
  <c r="P32" i="3"/>
  <c r="Q32" i="3"/>
  <c r="R32" i="3"/>
  <c r="S32" i="3"/>
  <c r="T32" i="3"/>
  <c r="U32" i="3"/>
  <c r="V32" i="3"/>
  <c r="W32" i="3"/>
  <c r="X32" i="3"/>
  <c r="Y32" i="3"/>
  <c r="Z32" i="3"/>
  <c r="AA32" i="3"/>
  <c r="AB32" i="3"/>
  <c r="AC32" i="3"/>
  <c r="AD32" i="3"/>
  <c r="AE32" i="3"/>
  <c r="AF32" i="3"/>
  <c r="AG32" i="3"/>
  <c r="AH32" i="3"/>
  <c r="AI32" i="3"/>
  <c r="AJ32" i="3"/>
  <c r="AK32" i="3"/>
  <c r="AL32" i="3"/>
  <c r="AM32" i="3"/>
  <c r="AN32" i="3"/>
  <c r="AO32" i="3"/>
  <c r="AP32" i="3"/>
  <c r="AQ32" i="3"/>
  <c r="AR32" i="3"/>
  <c r="AS32" i="3"/>
  <c r="AT32" i="3"/>
  <c r="AU32" i="3"/>
  <c r="AV32" i="3"/>
  <c r="AW32" i="3"/>
  <c r="AX32" i="3"/>
  <c r="AY32" i="3"/>
  <c r="AZ32" i="3"/>
  <c r="BA32" i="3"/>
  <c r="BB32" i="3"/>
  <c r="BC32" i="3"/>
  <c r="BD32" i="3"/>
  <c r="BE32" i="3"/>
  <c r="BF32" i="3"/>
  <c r="BG32" i="3"/>
  <c r="BH32" i="3"/>
  <c r="BI32" i="3"/>
  <c r="BJ32" i="3"/>
  <c r="BK32" i="3"/>
  <c r="BL32" i="3"/>
  <c r="BM32" i="3"/>
  <c r="BN32" i="3"/>
  <c r="BO32" i="3"/>
  <c r="BP32" i="3"/>
  <c r="BQ32" i="3"/>
  <c r="BR32" i="3"/>
  <c r="BS32" i="3"/>
  <c r="BT32" i="3"/>
  <c r="BU32" i="3"/>
  <c r="BV32" i="3"/>
  <c r="BW32" i="3"/>
  <c r="BX32" i="3"/>
  <c r="BY32" i="3"/>
  <c r="BZ32" i="3"/>
  <c r="CA32" i="3"/>
  <c r="CB32" i="3"/>
  <c r="CC32" i="3"/>
  <c r="CD32" i="3"/>
  <c r="CE32" i="3"/>
  <c r="CF32" i="3"/>
  <c r="CG32" i="3"/>
  <c r="CH32" i="3"/>
  <c r="CI32" i="3"/>
  <c r="CJ32" i="3"/>
  <c r="CK32" i="3"/>
  <c r="CL32" i="3"/>
  <c r="CM32" i="3"/>
  <c r="CN32" i="3"/>
  <c r="CO32" i="3"/>
  <c r="CP32" i="3"/>
  <c r="CQ32" i="3"/>
  <c r="CR32" i="3"/>
  <c r="CS32" i="3"/>
  <c r="CT32" i="3"/>
  <c r="CU32" i="3"/>
  <c r="CV32" i="3"/>
  <c r="CW32" i="3"/>
  <c r="CX32" i="3"/>
  <c r="CY32" i="3"/>
  <c r="CZ32" i="3"/>
  <c r="DA32" i="3"/>
  <c r="DB32" i="3"/>
  <c r="DC32" i="3"/>
  <c r="DD32" i="3"/>
  <c r="DE32" i="3"/>
  <c r="DF32" i="3"/>
  <c r="DG32" i="3"/>
  <c r="DH32" i="3"/>
  <c r="DI32" i="3"/>
  <c r="DJ32" i="3"/>
  <c r="DK32" i="3"/>
  <c r="DL32" i="3"/>
  <c r="DM32" i="3"/>
  <c r="DN32" i="3"/>
  <c r="DO32" i="3"/>
  <c r="DP32" i="3"/>
  <c r="DQ32" i="3"/>
  <c r="DR32" i="3"/>
  <c r="DS32" i="3"/>
  <c r="DT32" i="3"/>
  <c r="DU32" i="3"/>
  <c r="DV32" i="3"/>
  <c r="DW32" i="3"/>
  <c r="DX32" i="3"/>
  <c r="DY32" i="3"/>
  <c r="DZ32" i="3"/>
  <c r="EA32" i="3"/>
  <c r="EB32" i="3"/>
  <c r="EC32" i="3"/>
  <c r="ED32" i="3"/>
  <c r="EE32" i="3"/>
  <c r="EF32" i="3"/>
  <c r="EG32" i="3"/>
  <c r="EH32" i="3"/>
  <c r="EI32" i="3"/>
  <c r="EJ32" i="3"/>
  <c r="EK32" i="3"/>
  <c r="EL32" i="3"/>
  <c r="EM32" i="3"/>
  <c r="EN32" i="3"/>
  <c r="EO32" i="3"/>
  <c r="EP32" i="3"/>
  <c r="EQ32" i="3"/>
  <c r="ER32" i="3"/>
  <c r="ES32" i="3"/>
  <c r="ET32" i="3"/>
  <c r="EU32" i="3"/>
  <c r="EV32" i="3"/>
  <c r="EW32" i="3"/>
  <c r="EX32" i="3"/>
  <c r="EY32" i="3"/>
  <c r="EZ32" i="3"/>
  <c r="FA32" i="3"/>
  <c r="FB32" i="3"/>
  <c r="FC32" i="3"/>
  <c r="FD32" i="3"/>
  <c r="FE32" i="3"/>
  <c r="FF32" i="3"/>
  <c r="FG32" i="3"/>
  <c r="FH32" i="3"/>
  <c r="FI32" i="3"/>
  <c r="FJ32" i="3"/>
  <c r="FK32" i="3"/>
  <c r="FL32" i="3"/>
  <c r="FM32" i="3"/>
  <c r="FN32" i="3"/>
  <c r="FO32" i="3"/>
  <c r="FP32" i="3"/>
  <c r="FQ32" i="3"/>
  <c r="FR32" i="3"/>
  <c r="FS32" i="3"/>
  <c r="FT32" i="3"/>
  <c r="FU32" i="3"/>
  <c r="FV32" i="3"/>
  <c r="FW32" i="3"/>
  <c r="FX32" i="3"/>
  <c r="FY32" i="3"/>
  <c r="FZ32" i="3"/>
  <c r="GA32" i="3"/>
  <c r="GB32" i="3"/>
  <c r="GC32" i="3"/>
  <c r="GD32" i="3"/>
  <c r="GE32" i="3"/>
  <c r="GF32" i="3"/>
  <c r="GG32" i="3"/>
  <c r="GH32" i="3"/>
  <c r="GI32" i="3"/>
  <c r="GJ32" i="3"/>
  <c r="GK32" i="3"/>
  <c r="GL32" i="3"/>
  <c r="GM32" i="3"/>
  <c r="GN32" i="3"/>
  <c r="GO32" i="3"/>
  <c r="GP32" i="3"/>
  <c r="GQ32" i="3"/>
  <c r="GR32" i="3"/>
  <c r="GS32" i="3"/>
  <c r="GT32" i="3"/>
  <c r="GU32" i="3"/>
  <c r="GV32" i="3"/>
  <c r="GW32" i="3"/>
  <c r="GX32" i="3"/>
  <c r="GY32" i="3"/>
  <c r="GZ32" i="3"/>
  <c r="HA32" i="3"/>
  <c r="HB32" i="3"/>
  <c r="HC32" i="3"/>
  <c r="HD32" i="3"/>
  <c r="HE32" i="3"/>
  <c r="HF32" i="3"/>
  <c r="HG32" i="3"/>
  <c r="HH32" i="3"/>
  <c r="HI32" i="3"/>
  <c r="HJ32" i="3"/>
  <c r="HK32" i="3"/>
  <c r="HL32" i="3"/>
  <c r="HM32" i="3"/>
  <c r="HN32" i="3"/>
  <c r="HO32" i="3"/>
  <c r="HP32" i="3"/>
  <c r="HQ32" i="3"/>
  <c r="HR32" i="3"/>
  <c r="HS32" i="3"/>
  <c r="HT32" i="3"/>
  <c r="HU32" i="3"/>
  <c r="HV32" i="3"/>
  <c r="HW32" i="3"/>
  <c r="HX32" i="3"/>
  <c r="HY32" i="3"/>
  <c r="HZ32" i="3"/>
  <c r="IA32" i="3"/>
  <c r="IB32" i="3"/>
  <c r="IC32" i="3"/>
  <c r="ID32" i="3"/>
  <c r="IE32" i="3"/>
  <c r="IF32" i="3"/>
  <c r="IG32" i="3"/>
  <c r="IH32" i="3"/>
  <c r="II32" i="3"/>
  <c r="IJ32" i="3"/>
  <c r="IK32" i="3"/>
  <c r="IL32" i="3"/>
  <c r="IM32" i="3"/>
  <c r="IN32" i="3"/>
  <c r="IO32" i="3"/>
  <c r="IP32" i="3"/>
  <c r="IQ32" i="3"/>
  <c r="IR32" i="3"/>
  <c r="IS32" i="3"/>
  <c r="IT32" i="3"/>
  <c r="IU32" i="3"/>
  <c r="IV32" i="3"/>
  <c r="A31" i="3"/>
  <c r="B31" i="3"/>
  <c r="C31" i="3"/>
  <c r="D31" i="3"/>
  <c r="E31" i="3"/>
  <c r="F31" i="3"/>
  <c r="G31" i="3"/>
  <c r="H31" i="3"/>
  <c r="I31" i="3"/>
  <c r="J31" i="3"/>
  <c r="K31" i="3"/>
  <c r="L31" i="3"/>
  <c r="M31" i="3"/>
  <c r="N31" i="3"/>
  <c r="O31" i="3"/>
  <c r="P31" i="3"/>
  <c r="Q31" i="3"/>
  <c r="R31" i="3"/>
  <c r="S31" i="3"/>
  <c r="T31" i="3"/>
  <c r="U31" i="3"/>
  <c r="V31" i="3"/>
  <c r="W31" i="3"/>
  <c r="X31" i="3"/>
  <c r="Y31" i="3"/>
  <c r="Z31" i="3"/>
  <c r="AA31" i="3"/>
  <c r="AB31" i="3"/>
  <c r="AC31" i="3"/>
  <c r="AD31" i="3"/>
  <c r="AE31" i="3"/>
  <c r="AF31" i="3"/>
  <c r="AG31" i="3"/>
  <c r="AH31" i="3"/>
  <c r="AI31" i="3"/>
  <c r="AJ31" i="3"/>
  <c r="AK31" i="3"/>
  <c r="AL31" i="3"/>
  <c r="AM31" i="3"/>
  <c r="AN31" i="3"/>
  <c r="AO31" i="3"/>
  <c r="AP31" i="3"/>
  <c r="AQ31" i="3"/>
  <c r="AR31" i="3"/>
  <c r="AS31" i="3"/>
  <c r="AT31" i="3"/>
  <c r="AU31" i="3"/>
  <c r="AV31" i="3"/>
  <c r="AW31" i="3"/>
  <c r="AX31" i="3"/>
  <c r="AY31" i="3"/>
  <c r="AZ31" i="3"/>
  <c r="BA31" i="3"/>
  <c r="BB31" i="3"/>
  <c r="BC31" i="3"/>
  <c r="BD31" i="3"/>
  <c r="BE31" i="3"/>
  <c r="BF31" i="3"/>
  <c r="BG31" i="3"/>
  <c r="BH31" i="3"/>
  <c r="BI31" i="3"/>
  <c r="BJ31" i="3"/>
  <c r="BK31" i="3"/>
  <c r="BL31" i="3"/>
  <c r="BM31" i="3"/>
  <c r="BN31" i="3"/>
  <c r="BO31" i="3"/>
  <c r="BP31" i="3"/>
  <c r="BQ31" i="3"/>
  <c r="BR31" i="3"/>
  <c r="BS31" i="3"/>
  <c r="BT31" i="3"/>
  <c r="BU31" i="3"/>
  <c r="BV31" i="3"/>
  <c r="BW31" i="3"/>
  <c r="BX31" i="3"/>
  <c r="BY31" i="3"/>
  <c r="BZ31" i="3"/>
  <c r="CA31" i="3"/>
  <c r="CB31" i="3"/>
  <c r="CC31" i="3"/>
  <c r="CD31" i="3"/>
  <c r="CE31" i="3"/>
  <c r="CF31" i="3"/>
  <c r="CG31" i="3"/>
  <c r="CH31" i="3"/>
  <c r="CI31" i="3"/>
  <c r="CJ31" i="3"/>
  <c r="CK31" i="3"/>
  <c r="CL31" i="3"/>
  <c r="CM31" i="3"/>
  <c r="CN31" i="3"/>
  <c r="CO31" i="3"/>
  <c r="CP31" i="3"/>
  <c r="CQ31" i="3"/>
  <c r="CR31" i="3"/>
  <c r="CS31" i="3"/>
  <c r="CT31" i="3"/>
  <c r="CU31" i="3"/>
  <c r="CV31" i="3"/>
  <c r="CW31" i="3"/>
  <c r="CX31" i="3"/>
  <c r="CY31" i="3"/>
  <c r="CZ31" i="3"/>
  <c r="DA31" i="3"/>
  <c r="DB31" i="3"/>
  <c r="DC31" i="3"/>
  <c r="DD31" i="3"/>
  <c r="DE31" i="3"/>
  <c r="DF31" i="3"/>
  <c r="DG31" i="3"/>
  <c r="DH31" i="3"/>
  <c r="DI31" i="3"/>
  <c r="DJ31" i="3"/>
  <c r="DK31" i="3"/>
  <c r="DL31" i="3"/>
  <c r="DM31" i="3"/>
  <c r="DN31" i="3"/>
  <c r="DO31" i="3"/>
  <c r="DP31" i="3"/>
  <c r="DQ31" i="3"/>
  <c r="DR31" i="3"/>
  <c r="DS31" i="3"/>
  <c r="DT31" i="3"/>
  <c r="DU31" i="3"/>
  <c r="DV31" i="3"/>
  <c r="DW31" i="3"/>
  <c r="DX31" i="3"/>
  <c r="DY31" i="3"/>
  <c r="DZ31" i="3"/>
  <c r="EA31" i="3"/>
  <c r="EB31" i="3"/>
  <c r="EC31" i="3"/>
  <c r="ED31" i="3"/>
  <c r="EE31" i="3"/>
  <c r="EF31" i="3"/>
  <c r="EG31" i="3"/>
  <c r="EH31" i="3"/>
  <c r="EI31" i="3"/>
  <c r="EJ31" i="3"/>
  <c r="EK31" i="3"/>
  <c r="EL31" i="3"/>
  <c r="EM31" i="3"/>
  <c r="EN31" i="3"/>
  <c r="EO31" i="3"/>
  <c r="EP31" i="3"/>
  <c r="EQ31" i="3"/>
  <c r="ER31" i="3"/>
  <c r="ES31" i="3"/>
  <c r="ET31" i="3"/>
  <c r="EU31" i="3"/>
  <c r="EV31" i="3"/>
  <c r="EW31" i="3"/>
  <c r="EX31" i="3"/>
  <c r="EY31" i="3"/>
  <c r="EZ31" i="3"/>
  <c r="FA31" i="3"/>
  <c r="FB31" i="3"/>
  <c r="FC31" i="3"/>
  <c r="FD31" i="3"/>
  <c r="FE31" i="3"/>
  <c r="FF31" i="3"/>
  <c r="FG31" i="3"/>
  <c r="FH31" i="3"/>
  <c r="FI31" i="3"/>
  <c r="FJ31" i="3"/>
  <c r="FK31" i="3"/>
  <c r="FL31" i="3"/>
  <c r="FM31" i="3"/>
  <c r="FN31" i="3"/>
  <c r="FO31" i="3"/>
  <c r="FP31" i="3"/>
  <c r="FQ31" i="3"/>
  <c r="FR31" i="3"/>
  <c r="FS31" i="3"/>
  <c r="FT31" i="3"/>
  <c r="FU31" i="3"/>
  <c r="FV31" i="3"/>
  <c r="FW31" i="3"/>
  <c r="FX31" i="3"/>
  <c r="FY31" i="3"/>
  <c r="FZ31" i="3"/>
  <c r="GA31" i="3"/>
  <c r="GB31" i="3"/>
  <c r="GC31" i="3"/>
  <c r="GD31" i="3"/>
  <c r="GE31" i="3"/>
  <c r="GF31" i="3"/>
  <c r="GG31" i="3"/>
  <c r="GH31" i="3"/>
  <c r="GI31" i="3"/>
  <c r="GJ31" i="3"/>
  <c r="GK31" i="3"/>
  <c r="GL31" i="3"/>
  <c r="GM31" i="3"/>
  <c r="GN31" i="3"/>
  <c r="GO31" i="3"/>
  <c r="GP31" i="3"/>
  <c r="GQ31" i="3"/>
  <c r="GR31" i="3"/>
  <c r="GS31" i="3"/>
  <c r="GT31" i="3"/>
  <c r="GU31" i="3"/>
  <c r="GV31" i="3"/>
  <c r="GW31" i="3"/>
  <c r="GX31" i="3"/>
  <c r="GY31" i="3"/>
  <c r="GZ31" i="3"/>
  <c r="HA31" i="3"/>
  <c r="HB31" i="3"/>
  <c r="HC31" i="3"/>
  <c r="HD31" i="3"/>
  <c r="HE31" i="3"/>
  <c r="HF31" i="3"/>
  <c r="HG31" i="3"/>
  <c r="HH31" i="3"/>
  <c r="HI31" i="3"/>
  <c r="HJ31" i="3"/>
  <c r="HK31" i="3"/>
  <c r="HL31" i="3"/>
  <c r="HM31" i="3"/>
  <c r="HN31" i="3"/>
  <c r="HO31" i="3"/>
  <c r="HP31" i="3"/>
  <c r="HQ31" i="3"/>
  <c r="HR31" i="3"/>
  <c r="HS31" i="3"/>
  <c r="HT31" i="3"/>
  <c r="HU31" i="3"/>
  <c r="HV31" i="3"/>
  <c r="HW31" i="3"/>
  <c r="HX31" i="3"/>
  <c r="HY31" i="3"/>
  <c r="HZ31" i="3"/>
  <c r="IA31" i="3"/>
  <c r="IB31" i="3"/>
  <c r="IC31" i="3"/>
  <c r="ID31" i="3"/>
  <c r="IE31" i="3"/>
  <c r="IF31" i="3"/>
  <c r="IG31" i="3"/>
  <c r="IH31" i="3"/>
  <c r="II31" i="3"/>
  <c r="IJ31" i="3"/>
  <c r="IK31" i="3"/>
  <c r="IL31" i="3"/>
  <c r="IM31" i="3"/>
  <c r="IN31" i="3"/>
  <c r="IO31" i="3"/>
  <c r="IP31" i="3"/>
  <c r="IQ31" i="3"/>
  <c r="IR31" i="3"/>
  <c r="IS31" i="3"/>
  <c r="IT31" i="3"/>
  <c r="IU31" i="3"/>
  <c r="IV31" i="3"/>
  <c r="A30" i="3"/>
  <c r="B30" i="3"/>
  <c r="C30" i="3"/>
  <c r="D30" i="3"/>
  <c r="E30" i="3"/>
  <c r="F30" i="3"/>
  <c r="G30" i="3"/>
  <c r="H30" i="3"/>
  <c r="I30" i="3"/>
  <c r="J30" i="3"/>
  <c r="K30" i="3"/>
  <c r="L30" i="3"/>
  <c r="M30" i="3"/>
  <c r="N30" i="3"/>
  <c r="O30" i="3"/>
  <c r="P30" i="3"/>
  <c r="Q30" i="3"/>
  <c r="R30" i="3"/>
  <c r="S30" i="3"/>
  <c r="T30" i="3"/>
  <c r="U30" i="3"/>
  <c r="V30" i="3"/>
  <c r="W30" i="3"/>
  <c r="X30" i="3"/>
  <c r="Y30" i="3"/>
  <c r="Z30" i="3"/>
  <c r="AA30" i="3"/>
  <c r="AB30" i="3"/>
  <c r="AC30" i="3"/>
  <c r="AD30" i="3"/>
  <c r="AE30" i="3"/>
  <c r="AF30" i="3"/>
  <c r="AG30" i="3"/>
  <c r="AH30" i="3"/>
  <c r="AI30" i="3"/>
  <c r="AJ30" i="3"/>
  <c r="AK30" i="3"/>
  <c r="AL30" i="3"/>
  <c r="AM30" i="3"/>
  <c r="AN30" i="3"/>
  <c r="AO30" i="3"/>
  <c r="AP30" i="3"/>
  <c r="AQ30" i="3"/>
  <c r="AR30" i="3"/>
  <c r="AS30" i="3"/>
  <c r="AT30" i="3"/>
  <c r="AU30" i="3"/>
  <c r="AV30" i="3"/>
  <c r="AW30" i="3"/>
  <c r="AX30" i="3"/>
  <c r="AY30" i="3"/>
  <c r="AZ30" i="3"/>
  <c r="BA30" i="3"/>
  <c r="BB30" i="3"/>
  <c r="BC30" i="3"/>
  <c r="BD30" i="3"/>
  <c r="BE30" i="3"/>
  <c r="BF30" i="3"/>
  <c r="BG30" i="3"/>
  <c r="BH30" i="3"/>
  <c r="BI30" i="3"/>
  <c r="BJ30" i="3"/>
  <c r="BK30" i="3"/>
  <c r="BL30" i="3"/>
  <c r="BM30" i="3"/>
  <c r="BN30" i="3"/>
  <c r="BO30" i="3"/>
  <c r="BP30" i="3"/>
  <c r="BQ30" i="3"/>
  <c r="BR30" i="3"/>
  <c r="BS30" i="3"/>
  <c r="BT30" i="3"/>
  <c r="BU30" i="3"/>
  <c r="BV30" i="3"/>
  <c r="BW30" i="3"/>
  <c r="BX30" i="3"/>
  <c r="BY30" i="3"/>
  <c r="BZ30" i="3"/>
  <c r="CA30" i="3"/>
  <c r="CB30" i="3"/>
  <c r="CC30" i="3"/>
  <c r="CD30" i="3"/>
  <c r="CE30" i="3"/>
  <c r="CF30" i="3"/>
  <c r="CG30" i="3"/>
  <c r="CH30" i="3"/>
  <c r="CI30" i="3"/>
  <c r="CJ30" i="3"/>
  <c r="CK30" i="3"/>
  <c r="CL30" i="3"/>
  <c r="CM30" i="3"/>
  <c r="CN30" i="3"/>
  <c r="CO30" i="3"/>
  <c r="CP30" i="3"/>
  <c r="CQ30" i="3"/>
  <c r="CR30" i="3"/>
  <c r="CS30" i="3"/>
  <c r="CT30" i="3"/>
  <c r="CU30" i="3"/>
  <c r="CV30" i="3"/>
  <c r="CW30" i="3"/>
  <c r="CX30" i="3"/>
  <c r="CY30" i="3"/>
  <c r="CZ30" i="3"/>
  <c r="DA30" i="3"/>
  <c r="DB30" i="3"/>
  <c r="DC30" i="3"/>
  <c r="DD30" i="3"/>
  <c r="DE30" i="3"/>
  <c r="DF30" i="3"/>
  <c r="DG30" i="3"/>
  <c r="DH30" i="3"/>
  <c r="DI30" i="3"/>
  <c r="DJ30" i="3"/>
  <c r="DK30" i="3"/>
  <c r="DL30" i="3"/>
  <c r="DM30" i="3"/>
  <c r="DN30" i="3"/>
  <c r="DO30" i="3"/>
  <c r="DP30" i="3"/>
  <c r="DQ30" i="3"/>
  <c r="DR30" i="3"/>
  <c r="DS30" i="3"/>
  <c r="DT30" i="3"/>
  <c r="DU30" i="3"/>
  <c r="DV30" i="3"/>
  <c r="DW30" i="3"/>
  <c r="DX30" i="3"/>
  <c r="DY30" i="3"/>
  <c r="DZ30" i="3"/>
  <c r="EA30" i="3"/>
  <c r="EB30" i="3"/>
  <c r="EC30" i="3"/>
  <c r="ED30" i="3"/>
  <c r="EE30" i="3"/>
  <c r="EF30" i="3"/>
  <c r="EG30" i="3"/>
  <c r="EH30" i="3"/>
  <c r="EI30" i="3"/>
  <c r="EJ30" i="3"/>
  <c r="EK30" i="3"/>
  <c r="EL30" i="3"/>
  <c r="EM30" i="3"/>
  <c r="EN30" i="3"/>
  <c r="EO30" i="3"/>
  <c r="EP30" i="3"/>
  <c r="EQ30" i="3"/>
  <c r="ER30" i="3"/>
  <c r="ES30" i="3"/>
  <c r="ET30" i="3"/>
  <c r="EU30" i="3"/>
  <c r="EV30" i="3"/>
  <c r="EW30" i="3"/>
  <c r="EX30" i="3"/>
  <c r="EY30" i="3"/>
  <c r="EZ30" i="3"/>
  <c r="FA30" i="3"/>
  <c r="FB30" i="3"/>
  <c r="FC30" i="3"/>
  <c r="FD30" i="3"/>
  <c r="FE30" i="3"/>
  <c r="FF30" i="3"/>
  <c r="FG30" i="3"/>
  <c r="FH30" i="3"/>
  <c r="FI30" i="3"/>
  <c r="FJ30" i="3"/>
  <c r="FK30" i="3"/>
  <c r="FL30" i="3"/>
  <c r="FM30" i="3"/>
  <c r="FN30" i="3"/>
  <c r="FO30" i="3"/>
  <c r="FP30" i="3"/>
  <c r="FQ30" i="3"/>
  <c r="FR30" i="3"/>
  <c r="FS30" i="3"/>
  <c r="FT30" i="3"/>
  <c r="FU30" i="3"/>
  <c r="FV30" i="3"/>
  <c r="FW30" i="3"/>
  <c r="FX30" i="3"/>
  <c r="FY30" i="3"/>
  <c r="FZ30" i="3"/>
  <c r="GA30" i="3"/>
  <c r="GB30" i="3"/>
  <c r="GC30" i="3"/>
  <c r="GD30" i="3"/>
  <c r="GE30" i="3"/>
  <c r="GF30" i="3"/>
  <c r="GG30" i="3"/>
  <c r="GH30" i="3"/>
  <c r="GI30" i="3"/>
  <c r="GJ30" i="3"/>
  <c r="GK30" i="3"/>
  <c r="GL30" i="3"/>
  <c r="GM30" i="3"/>
  <c r="GN30" i="3"/>
  <c r="GO30" i="3"/>
  <c r="GP30" i="3"/>
  <c r="GQ30" i="3"/>
  <c r="GR30" i="3"/>
  <c r="GS30" i="3"/>
  <c r="GT30" i="3"/>
  <c r="GU30" i="3"/>
  <c r="GV30" i="3"/>
  <c r="GW30" i="3"/>
  <c r="GX30" i="3"/>
  <c r="GY30" i="3"/>
  <c r="GZ30" i="3"/>
  <c r="HA30" i="3"/>
  <c r="HB30" i="3"/>
  <c r="HC30" i="3"/>
  <c r="HD30" i="3"/>
  <c r="HE30" i="3"/>
  <c r="HF30" i="3"/>
  <c r="HG30" i="3"/>
  <c r="HH30" i="3"/>
  <c r="HI30" i="3"/>
  <c r="HJ30" i="3"/>
  <c r="HK30" i="3"/>
  <c r="HL30" i="3"/>
  <c r="HM30" i="3"/>
  <c r="HN30" i="3"/>
  <c r="HO30" i="3"/>
  <c r="HP30" i="3"/>
  <c r="HQ30" i="3"/>
  <c r="HR30" i="3"/>
  <c r="HS30" i="3"/>
  <c r="HT30" i="3"/>
  <c r="HU30" i="3"/>
  <c r="HV30" i="3"/>
  <c r="HW30" i="3"/>
  <c r="HX30" i="3"/>
  <c r="HY30" i="3"/>
  <c r="HZ30" i="3"/>
  <c r="IA30" i="3"/>
  <c r="IB30" i="3"/>
  <c r="IC30" i="3"/>
  <c r="ID30" i="3"/>
  <c r="IE30" i="3"/>
  <c r="IF30" i="3"/>
  <c r="IG30" i="3"/>
  <c r="IH30" i="3"/>
  <c r="II30" i="3"/>
  <c r="IJ30" i="3"/>
  <c r="IK30" i="3"/>
  <c r="IL30" i="3"/>
  <c r="IM30" i="3"/>
  <c r="IN30" i="3"/>
  <c r="IO30" i="3"/>
  <c r="IP30" i="3"/>
  <c r="IQ30" i="3"/>
  <c r="IR30" i="3"/>
  <c r="IS30" i="3"/>
  <c r="IT30" i="3"/>
  <c r="IU30" i="3"/>
  <c r="IV30" i="3"/>
  <c r="A29" i="3"/>
  <c r="B29" i="3"/>
  <c r="C29" i="3"/>
  <c r="D29" i="3"/>
  <c r="E29" i="3"/>
  <c r="F29" i="3"/>
  <c r="G29" i="3"/>
  <c r="H29" i="3"/>
  <c r="I29" i="3"/>
  <c r="J29" i="3"/>
  <c r="K29" i="3"/>
  <c r="L29" i="3"/>
  <c r="M29" i="3"/>
  <c r="N29" i="3"/>
  <c r="O29" i="3"/>
  <c r="P29" i="3"/>
  <c r="Q29" i="3"/>
  <c r="R29" i="3"/>
  <c r="S29" i="3"/>
  <c r="T29" i="3"/>
  <c r="U29" i="3"/>
  <c r="V29" i="3"/>
  <c r="W29" i="3"/>
  <c r="X29" i="3"/>
  <c r="Y29" i="3"/>
  <c r="Z29" i="3"/>
  <c r="AA29" i="3"/>
  <c r="AB29" i="3"/>
  <c r="AC29" i="3"/>
  <c r="AD29" i="3"/>
  <c r="AE29" i="3"/>
  <c r="AF29" i="3"/>
  <c r="AG29" i="3"/>
  <c r="AH29" i="3"/>
  <c r="AI29" i="3"/>
  <c r="AJ29" i="3"/>
  <c r="AK29" i="3"/>
  <c r="AL29" i="3"/>
  <c r="AM29" i="3"/>
  <c r="AN29" i="3"/>
  <c r="AO29" i="3"/>
  <c r="AP29" i="3"/>
  <c r="AQ29" i="3"/>
  <c r="AR29" i="3"/>
  <c r="AS29" i="3"/>
  <c r="AT29" i="3"/>
  <c r="AU29" i="3"/>
  <c r="AV29" i="3"/>
  <c r="AW29" i="3"/>
  <c r="AX29" i="3"/>
  <c r="AY29" i="3"/>
  <c r="AZ29" i="3"/>
  <c r="BA29" i="3"/>
  <c r="BB29" i="3"/>
  <c r="BC29" i="3"/>
  <c r="BD29" i="3"/>
  <c r="BE29" i="3"/>
  <c r="BF29" i="3"/>
  <c r="BG29" i="3"/>
  <c r="BH29" i="3"/>
  <c r="BI29" i="3"/>
  <c r="BJ29" i="3"/>
  <c r="BK29" i="3"/>
  <c r="BL29" i="3"/>
  <c r="BM29" i="3"/>
  <c r="BN29" i="3"/>
  <c r="BO29" i="3"/>
  <c r="BP29" i="3"/>
  <c r="BQ29" i="3"/>
  <c r="BR29" i="3"/>
  <c r="BS29" i="3"/>
  <c r="BT29" i="3"/>
  <c r="BU29" i="3"/>
  <c r="BV29" i="3"/>
  <c r="BW29" i="3"/>
  <c r="BX29" i="3"/>
  <c r="BY29" i="3"/>
  <c r="BZ29" i="3"/>
  <c r="CA29" i="3"/>
  <c r="CB29" i="3"/>
  <c r="CC29" i="3"/>
  <c r="CD29" i="3"/>
  <c r="CE29" i="3"/>
  <c r="CF29" i="3"/>
  <c r="CG29" i="3"/>
  <c r="CH29" i="3"/>
  <c r="CI29" i="3"/>
  <c r="CJ29" i="3"/>
  <c r="CK29" i="3"/>
  <c r="CL29" i="3"/>
  <c r="CM29" i="3"/>
  <c r="CN29" i="3"/>
  <c r="CO29" i="3"/>
  <c r="CP29" i="3"/>
  <c r="CQ29" i="3"/>
  <c r="CR29" i="3"/>
  <c r="CS29" i="3"/>
  <c r="CT29" i="3"/>
  <c r="CU29" i="3"/>
  <c r="CV29" i="3"/>
  <c r="CW29" i="3"/>
  <c r="CX29" i="3"/>
  <c r="CY29" i="3"/>
  <c r="CZ29" i="3"/>
  <c r="DA29" i="3"/>
  <c r="DB29" i="3"/>
  <c r="DC29" i="3"/>
  <c r="DD29" i="3"/>
  <c r="DE29" i="3"/>
  <c r="DF29" i="3"/>
  <c r="DG29" i="3"/>
  <c r="DH29" i="3"/>
  <c r="DI29" i="3"/>
  <c r="DJ29" i="3"/>
  <c r="DK29" i="3"/>
  <c r="DL29" i="3"/>
  <c r="DM29" i="3"/>
  <c r="DN29" i="3"/>
  <c r="DO29" i="3"/>
  <c r="DP29" i="3"/>
  <c r="DQ29" i="3"/>
  <c r="DR29" i="3"/>
  <c r="DS29" i="3"/>
  <c r="DT29" i="3"/>
  <c r="DU29" i="3"/>
  <c r="DV29" i="3"/>
  <c r="DW29" i="3"/>
  <c r="DX29" i="3"/>
  <c r="DY29" i="3"/>
  <c r="DZ29" i="3"/>
  <c r="EA29" i="3"/>
  <c r="EB29" i="3"/>
  <c r="EC29" i="3"/>
  <c r="ED29" i="3"/>
  <c r="EE29" i="3"/>
  <c r="EF29" i="3"/>
  <c r="EG29" i="3"/>
  <c r="EH29" i="3"/>
  <c r="EI29" i="3"/>
  <c r="EJ29" i="3"/>
  <c r="EK29" i="3"/>
  <c r="EL29" i="3"/>
  <c r="EM29" i="3"/>
  <c r="EN29" i="3"/>
  <c r="EO29" i="3"/>
  <c r="EP29" i="3"/>
  <c r="EQ29" i="3"/>
  <c r="ER29" i="3"/>
  <c r="ES29" i="3"/>
  <c r="ET29" i="3"/>
  <c r="EU29" i="3"/>
  <c r="EV29" i="3"/>
  <c r="EW29" i="3"/>
  <c r="EX29" i="3"/>
  <c r="EY29" i="3"/>
  <c r="EZ29" i="3"/>
  <c r="FA29" i="3"/>
  <c r="FB29" i="3"/>
  <c r="FC29" i="3"/>
  <c r="FD29" i="3"/>
  <c r="FE29" i="3"/>
  <c r="FF29" i="3"/>
  <c r="FG29" i="3"/>
  <c r="FH29" i="3"/>
  <c r="FI29" i="3"/>
  <c r="FJ29" i="3"/>
  <c r="FK29" i="3"/>
  <c r="FL29" i="3"/>
  <c r="FM29" i="3"/>
  <c r="FN29" i="3"/>
  <c r="FO29" i="3"/>
  <c r="FP29" i="3"/>
  <c r="FQ29" i="3"/>
  <c r="FR29" i="3"/>
  <c r="FS29" i="3"/>
  <c r="FT29" i="3"/>
  <c r="FU29" i="3"/>
  <c r="FV29" i="3"/>
  <c r="FW29" i="3"/>
  <c r="FX29" i="3"/>
  <c r="FY29" i="3"/>
  <c r="FZ29" i="3"/>
  <c r="GA29" i="3"/>
  <c r="GB29" i="3"/>
  <c r="GC29" i="3"/>
  <c r="GD29" i="3"/>
  <c r="GE29" i="3"/>
  <c r="GF29" i="3"/>
  <c r="GG29" i="3"/>
  <c r="GH29" i="3"/>
  <c r="GI29" i="3"/>
  <c r="GJ29" i="3"/>
  <c r="GK29" i="3"/>
  <c r="GL29" i="3"/>
  <c r="GM29" i="3"/>
  <c r="GN29" i="3"/>
  <c r="GO29" i="3"/>
  <c r="GP29" i="3"/>
  <c r="GQ29" i="3"/>
  <c r="GR29" i="3"/>
  <c r="GS29" i="3"/>
  <c r="GT29" i="3"/>
  <c r="GU29" i="3"/>
  <c r="GV29" i="3"/>
  <c r="GW29" i="3"/>
  <c r="GX29" i="3"/>
  <c r="GY29" i="3"/>
  <c r="GZ29" i="3"/>
  <c r="HA29" i="3"/>
  <c r="HB29" i="3"/>
  <c r="HC29" i="3"/>
  <c r="HD29" i="3"/>
  <c r="HE29" i="3"/>
  <c r="HF29" i="3"/>
  <c r="HG29" i="3"/>
  <c r="HH29" i="3"/>
  <c r="HI29" i="3"/>
  <c r="HJ29" i="3"/>
  <c r="HK29" i="3"/>
  <c r="HL29" i="3"/>
  <c r="HM29" i="3"/>
  <c r="HN29" i="3"/>
  <c r="HO29" i="3"/>
  <c r="HP29" i="3"/>
  <c r="HQ29" i="3"/>
  <c r="HR29" i="3"/>
  <c r="HS29" i="3"/>
  <c r="HT29" i="3"/>
  <c r="HU29" i="3"/>
  <c r="HV29" i="3"/>
  <c r="HW29" i="3"/>
  <c r="HX29" i="3"/>
  <c r="HY29" i="3"/>
  <c r="HZ29" i="3"/>
  <c r="IA29" i="3"/>
  <c r="IB29" i="3"/>
  <c r="IC29" i="3"/>
  <c r="ID29" i="3"/>
  <c r="IE29" i="3"/>
  <c r="IF29" i="3"/>
  <c r="IG29" i="3"/>
  <c r="IH29" i="3"/>
  <c r="II29" i="3"/>
  <c r="IJ29" i="3"/>
  <c r="IK29" i="3"/>
  <c r="IL29" i="3"/>
  <c r="IM29" i="3"/>
  <c r="IN29" i="3"/>
  <c r="IO29" i="3"/>
  <c r="IP29" i="3"/>
  <c r="IQ29" i="3"/>
  <c r="IR29" i="3"/>
  <c r="IS29" i="3"/>
  <c r="IT29" i="3"/>
  <c r="IU29" i="3"/>
  <c r="IV29" i="3"/>
  <c r="A28" i="3"/>
  <c r="B28" i="3"/>
  <c r="C28" i="3"/>
  <c r="D28" i="3"/>
  <c r="E28" i="3"/>
  <c r="F28" i="3"/>
  <c r="G28" i="3"/>
  <c r="H28" i="3"/>
  <c r="I28" i="3"/>
  <c r="J28" i="3"/>
  <c r="K28" i="3"/>
  <c r="L28" i="3"/>
  <c r="M28" i="3"/>
  <c r="N28" i="3"/>
  <c r="O28" i="3"/>
  <c r="P28" i="3"/>
  <c r="Q28" i="3"/>
  <c r="R28" i="3"/>
  <c r="S28" i="3"/>
  <c r="T28" i="3"/>
  <c r="U28" i="3"/>
  <c r="V28" i="3"/>
  <c r="W28" i="3"/>
  <c r="X28" i="3"/>
  <c r="Y28" i="3"/>
  <c r="Z28" i="3"/>
  <c r="AA28" i="3"/>
  <c r="AB28" i="3"/>
  <c r="AC28" i="3"/>
  <c r="AD28" i="3"/>
  <c r="AE28" i="3"/>
  <c r="AF28" i="3"/>
  <c r="AG28" i="3"/>
  <c r="AH28" i="3"/>
  <c r="AI28" i="3"/>
  <c r="AJ28" i="3"/>
  <c r="AK28" i="3"/>
  <c r="AL28" i="3"/>
  <c r="AM28" i="3"/>
  <c r="AN28" i="3"/>
  <c r="AO28" i="3"/>
  <c r="AP28" i="3"/>
  <c r="AQ28" i="3"/>
  <c r="AR28" i="3"/>
  <c r="AS28" i="3"/>
  <c r="AT28" i="3"/>
  <c r="AU28" i="3"/>
  <c r="AV28" i="3"/>
  <c r="AW28" i="3"/>
  <c r="AX28" i="3"/>
  <c r="AY28" i="3"/>
  <c r="AZ28" i="3"/>
  <c r="BA28" i="3"/>
  <c r="BB28" i="3"/>
  <c r="BC28" i="3"/>
  <c r="BD28" i="3"/>
  <c r="BE28" i="3"/>
  <c r="BF28" i="3"/>
  <c r="BG28" i="3"/>
  <c r="BH28" i="3"/>
  <c r="BI28" i="3"/>
  <c r="BJ28" i="3"/>
  <c r="BK28" i="3"/>
  <c r="BL28" i="3"/>
  <c r="BM28" i="3"/>
  <c r="BN28" i="3"/>
  <c r="BO28" i="3"/>
  <c r="BP28" i="3"/>
  <c r="BQ28" i="3"/>
  <c r="BR28" i="3"/>
  <c r="BS28" i="3"/>
  <c r="BT28" i="3"/>
  <c r="BU28" i="3"/>
  <c r="BV28" i="3"/>
  <c r="BW28" i="3"/>
  <c r="BX28" i="3"/>
  <c r="BY28" i="3"/>
  <c r="BZ28" i="3"/>
  <c r="CA28" i="3"/>
  <c r="CB28" i="3"/>
  <c r="CC28" i="3"/>
  <c r="CD28" i="3"/>
  <c r="CE28" i="3"/>
  <c r="CF28" i="3"/>
  <c r="CG28" i="3"/>
  <c r="CH28" i="3"/>
  <c r="CI28" i="3"/>
  <c r="CJ28" i="3"/>
  <c r="CK28" i="3"/>
  <c r="CL28" i="3"/>
  <c r="CM28" i="3"/>
  <c r="CN28" i="3"/>
  <c r="CO28" i="3"/>
  <c r="CP28" i="3"/>
  <c r="CQ28" i="3"/>
  <c r="CR28" i="3"/>
  <c r="CS28" i="3"/>
  <c r="CT28" i="3"/>
  <c r="CU28" i="3"/>
  <c r="CV28" i="3"/>
  <c r="CW28" i="3"/>
  <c r="CX28" i="3"/>
  <c r="CY28" i="3"/>
  <c r="CZ28" i="3"/>
  <c r="DA28" i="3"/>
  <c r="DB28" i="3"/>
  <c r="DC28" i="3"/>
  <c r="DD28" i="3"/>
  <c r="DE28" i="3"/>
  <c r="DF28" i="3"/>
  <c r="DG28" i="3"/>
  <c r="DH28" i="3"/>
  <c r="DI28" i="3"/>
  <c r="DJ28" i="3"/>
  <c r="DK28" i="3"/>
  <c r="DL28" i="3"/>
  <c r="DM28" i="3"/>
  <c r="DN28" i="3"/>
  <c r="DO28" i="3"/>
  <c r="DP28" i="3"/>
  <c r="DQ28" i="3"/>
  <c r="DR28" i="3"/>
  <c r="DS28" i="3"/>
  <c r="DT28" i="3"/>
  <c r="DU28" i="3"/>
  <c r="DV28" i="3"/>
  <c r="DW28" i="3"/>
  <c r="DX28" i="3"/>
  <c r="DY28" i="3"/>
  <c r="DZ28" i="3"/>
  <c r="EA28" i="3"/>
  <c r="EB28" i="3"/>
  <c r="EC28" i="3"/>
  <c r="ED28" i="3"/>
  <c r="EE28" i="3"/>
  <c r="EF28" i="3"/>
  <c r="EG28" i="3"/>
  <c r="EH28" i="3"/>
  <c r="EI28" i="3"/>
  <c r="EJ28" i="3"/>
  <c r="EK28" i="3"/>
  <c r="EL28" i="3"/>
  <c r="EM28" i="3"/>
  <c r="EN28" i="3"/>
  <c r="EO28" i="3"/>
  <c r="EP28" i="3"/>
  <c r="EQ28" i="3"/>
  <c r="ER28" i="3"/>
  <c r="ES28" i="3"/>
  <c r="ET28" i="3"/>
  <c r="EU28" i="3"/>
  <c r="EV28" i="3"/>
  <c r="EW28" i="3"/>
  <c r="EX28" i="3"/>
  <c r="EY28" i="3"/>
  <c r="EZ28" i="3"/>
  <c r="FA28" i="3"/>
  <c r="FB28" i="3"/>
  <c r="FC28" i="3"/>
  <c r="FD28" i="3"/>
  <c r="FE28" i="3"/>
  <c r="FF28" i="3"/>
  <c r="FG28" i="3"/>
  <c r="FH28" i="3"/>
  <c r="FI28" i="3"/>
  <c r="FJ28" i="3"/>
  <c r="FK28" i="3"/>
  <c r="FL28" i="3"/>
  <c r="FM28" i="3"/>
  <c r="FN28" i="3"/>
  <c r="FO28" i="3"/>
  <c r="FP28" i="3"/>
  <c r="FQ28" i="3"/>
  <c r="FR28" i="3"/>
  <c r="FS28" i="3"/>
  <c r="FT28" i="3"/>
  <c r="FU28" i="3"/>
  <c r="FV28" i="3"/>
  <c r="FW28" i="3"/>
  <c r="FX28" i="3"/>
  <c r="FY28" i="3"/>
  <c r="FZ28" i="3"/>
  <c r="GA28" i="3"/>
  <c r="GB28" i="3"/>
  <c r="GC28" i="3"/>
  <c r="GD28" i="3"/>
  <c r="GE28" i="3"/>
  <c r="GF28" i="3"/>
  <c r="GG28" i="3"/>
  <c r="GH28" i="3"/>
  <c r="GI28" i="3"/>
  <c r="GJ28" i="3"/>
  <c r="GK28" i="3"/>
  <c r="GL28" i="3"/>
  <c r="GM28" i="3"/>
  <c r="GN28" i="3"/>
  <c r="GO28" i="3"/>
  <c r="GP28" i="3"/>
  <c r="GQ28" i="3"/>
  <c r="GR28" i="3"/>
  <c r="GS28" i="3"/>
  <c r="GT28" i="3"/>
  <c r="GU28" i="3"/>
  <c r="GV28" i="3"/>
  <c r="GW28" i="3"/>
  <c r="GX28" i="3"/>
  <c r="GY28" i="3"/>
  <c r="GZ28" i="3"/>
  <c r="HA28" i="3"/>
  <c r="HB28" i="3"/>
  <c r="HC28" i="3"/>
  <c r="HD28" i="3"/>
  <c r="HE28" i="3"/>
  <c r="HF28" i="3"/>
  <c r="HG28" i="3"/>
  <c r="HH28" i="3"/>
  <c r="HI28" i="3"/>
  <c r="HJ28" i="3"/>
  <c r="HK28" i="3"/>
  <c r="HL28" i="3"/>
  <c r="HM28" i="3"/>
  <c r="HN28" i="3"/>
  <c r="HO28" i="3"/>
  <c r="HP28" i="3"/>
  <c r="HQ28" i="3"/>
  <c r="HR28" i="3"/>
  <c r="HS28" i="3"/>
  <c r="HT28" i="3"/>
  <c r="HU28" i="3"/>
  <c r="HV28" i="3"/>
  <c r="HW28" i="3"/>
  <c r="HX28" i="3"/>
  <c r="HY28" i="3"/>
  <c r="HZ28" i="3"/>
  <c r="IA28" i="3"/>
  <c r="IB28" i="3"/>
  <c r="IC28" i="3"/>
  <c r="ID28" i="3"/>
  <c r="IE28" i="3"/>
  <c r="IF28" i="3"/>
  <c r="IG28" i="3"/>
  <c r="IH28" i="3"/>
  <c r="II28" i="3"/>
  <c r="IJ28" i="3"/>
  <c r="IK28" i="3"/>
  <c r="IL28" i="3"/>
  <c r="IM28" i="3"/>
  <c r="IN28" i="3"/>
  <c r="IO28" i="3"/>
  <c r="IP28" i="3"/>
  <c r="IQ28" i="3"/>
  <c r="IR28" i="3"/>
  <c r="IS28" i="3"/>
  <c r="IT28" i="3"/>
  <c r="IU28" i="3"/>
  <c r="IV28" i="3"/>
  <c r="A27" i="3"/>
  <c r="B27" i="3"/>
  <c r="C27" i="3"/>
  <c r="D27" i="3"/>
  <c r="E27" i="3"/>
  <c r="F27" i="3"/>
  <c r="G27" i="3"/>
  <c r="H27" i="3"/>
  <c r="I27" i="3"/>
  <c r="J27" i="3"/>
  <c r="K27" i="3"/>
  <c r="L27" i="3"/>
  <c r="M27" i="3"/>
  <c r="N27" i="3"/>
  <c r="O27" i="3"/>
  <c r="P27" i="3"/>
  <c r="Q27" i="3"/>
  <c r="R27" i="3"/>
  <c r="S27" i="3"/>
  <c r="T27" i="3"/>
  <c r="U27" i="3"/>
  <c r="V27" i="3"/>
  <c r="W27" i="3"/>
  <c r="X27" i="3"/>
  <c r="Y27" i="3"/>
  <c r="Z27" i="3"/>
  <c r="AA27" i="3"/>
  <c r="AB27" i="3"/>
  <c r="AC27" i="3"/>
  <c r="AD27" i="3"/>
  <c r="AE27" i="3"/>
  <c r="AF27" i="3"/>
  <c r="AG27" i="3"/>
  <c r="AH27" i="3"/>
  <c r="AI27" i="3"/>
  <c r="AJ27" i="3"/>
  <c r="AK27" i="3"/>
  <c r="AL27" i="3"/>
  <c r="AM27" i="3"/>
  <c r="AN27" i="3"/>
  <c r="AO27" i="3"/>
  <c r="AP27" i="3"/>
  <c r="AQ27" i="3"/>
  <c r="AR27" i="3"/>
  <c r="AS27" i="3"/>
  <c r="AT27" i="3"/>
  <c r="AU27" i="3"/>
  <c r="AV27" i="3"/>
  <c r="AW27" i="3"/>
  <c r="AX27" i="3"/>
  <c r="AY27" i="3"/>
  <c r="AZ27" i="3"/>
  <c r="BA27" i="3"/>
  <c r="BB27" i="3"/>
  <c r="BC27" i="3"/>
  <c r="BD27" i="3"/>
  <c r="BE27" i="3"/>
  <c r="BF27" i="3"/>
  <c r="BG27" i="3"/>
  <c r="BH27" i="3"/>
  <c r="BI27" i="3"/>
  <c r="BJ27" i="3"/>
  <c r="BK27" i="3"/>
  <c r="BL27" i="3"/>
  <c r="BM27" i="3"/>
  <c r="BN27" i="3"/>
  <c r="BO27" i="3"/>
  <c r="BP27" i="3"/>
  <c r="BQ27" i="3"/>
  <c r="BR27" i="3"/>
  <c r="BS27" i="3"/>
  <c r="BT27" i="3"/>
  <c r="BU27" i="3"/>
  <c r="BV27" i="3"/>
  <c r="BW27" i="3"/>
  <c r="BX27" i="3"/>
  <c r="BY27" i="3"/>
  <c r="BZ27" i="3"/>
  <c r="CA27" i="3"/>
  <c r="CB27" i="3"/>
  <c r="CC27" i="3"/>
  <c r="CD27" i="3"/>
  <c r="CE27" i="3"/>
  <c r="CF27" i="3"/>
  <c r="CG27" i="3"/>
  <c r="CH27" i="3"/>
  <c r="CI27" i="3"/>
  <c r="CJ27" i="3"/>
  <c r="CK27" i="3"/>
  <c r="CL27" i="3"/>
  <c r="CM27" i="3"/>
  <c r="CN27" i="3"/>
  <c r="CO27" i="3"/>
  <c r="CP27" i="3"/>
  <c r="CQ27" i="3"/>
  <c r="CR27" i="3"/>
  <c r="CS27" i="3"/>
  <c r="CT27" i="3"/>
  <c r="CU27" i="3"/>
  <c r="CV27" i="3"/>
  <c r="CW27" i="3"/>
  <c r="CX27" i="3"/>
  <c r="CY27" i="3"/>
  <c r="CZ27" i="3"/>
  <c r="DA27" i="3"/>
  <c r="DB27" i="3"/>
  <c r="DC27" i="3"/>
  <c r="DD27" i="3"/>
  <c r="DE27" i="3"/>
  <c r="DF27" i="3"/>
  <c r="DG27" i="3"/>
  <c r="DH27" i="3"/>
  <c r="DI27" i="3"/>
  <c r="DJ27" i="3"/>
  <c r="DK27" i="3"/>
  <c r="DL27" i="3"/>
  <c r="DM27" i="3"/>
  <c r="DN27" i="3"/>
  <c r="DO27" i="3"/>
  <c r="DP27" i="3"/>
  <c r="DQ27" i="3"/>
  <c r="DR27" i="3"/>
  <c r="DS27" i="3"/>
  <c r="DT27" i="3"/>
  <c r="DU27" i="3"/>
  <c r="DV27" i="3"/>
  <c r="DW27" i="3"/>
  <c r="DX27" i="3"/>
  <c r="DY27" i="3"/>
  <c r="DZ27" i="3"/>
  <c r="EA27" i="3"/>
  <c r="EB27" i="3"/>
  <c r="EC27" i="3"/>
  <c r="ED27" i="3"/>
  <c r="EE27" i="3"/>
  <c r="EF27" i="3"/>
  <c r="EG27" i="3"/>
  <c r="EH27" i="3"/>
  <c r="EI27" i="3"/>
  <c r="EJ27" i="3"/>
  <c r="EK27" i="3"/>
  <c r="EL27" i="3"/>
  <c r="EM27" i="3"/>
  <c r="EN27" i="3"/>
  <c r="EO27" i="3"/>
  <c r="EP27" i="3"/>
  <c r="EQ27" i="3"/>
  <c r="ER27" i="3"/>
  <c r="ES27" i="3"/>
  <c r="ET27" i="3"/>
  <c r="EU27" i="3"/>
  <c r="EV27" i="3"/>
  <c r="EW27" i="3"/>
  <c r="EX27" i="3"/>
  <c r="EY27" i="3"/>
  <c r="EZ27" i="3"/>
  <c r="FA27" i="3"/>
  <c r="FB27" i="3"/>
  <c r="FC27" i="3"/>
  <c r="FD27" i="3"/>
  <c r="FE27" i="3"/>
  <c r="FF27" i="3"/>
  <c r="FG27" i="3"/>
  <c r="FH27" i="3"/>
  <c r="FI27" i="3"/>
  <c r="FJ27" i="3"/>
  <c r="FK27" i="3"/>
  <c r="FL27" i="3"/>
  <c r="FM27" i="3"/>
  <c r="FN27" i="3"/>
  <c r="FO27" i="3"/>
  <c r="FP27" i="3"/>
  <c r="FQ27" i="3"/>
  <c r="FR27" i="3"/>
  <c r="FS27" i="3"/>
  <c r="FT27" i="3"/>
  <c r="FU27" i="3"/>
  <c r="FV27" i="3"/>
  <c r="FW27" i="3"/>
  <c r="FX27" i="3"/>
  <c r="FY27" i="3"/>
  <c r="FZ27" i="3"/>
  <c r="GA27" i="3"/>
  <c r="GB27" i="3"/>
  <c r="GC27" i="3"/>
  <c r="GD27" i="3"/>
  <c r="GE27" i="3"/>
  <c r="GF27" i="3"/>
  <c r="GG27" i="3"/>
  <c r="GH27" i="3"/>
  <c r="GI27" i="3"/>
  <c r="GJ27" i="3"/>
  <c r="GK27" i="3"/>
  <c r="GL27" i="3"/>
  <c r="GM27" i="3"/>
  <c r="GN27" i="3"/>
  <c r="GO27" i="3"/>
  <c r="GP27" i="3"/>
  <c r="GQ27" i="3"/>
  <c r="GR27" i="3"/>
  <c r="GS27" i="3"/>
  <c r="GT27" i="3"/>
  <c r="GU27" i="3"/>
  <c r="GV27" i="3"/>
  <c r="GW27" i="3"/>
  <c r="GX27" i="3"/>
  <c r="GY27" i="3"/>
  <c r="GZ27" i="3"/>
  <c r="HA27" i="3"/>
  <c r="HB27" i="3"/>
  <c r="HC27" i="3"/>
  <c r="HD27" i="3"/>
  <c r="HE27" i="3"/>
  <c r="HF27" i="3"/>
  <c r="HG27" i="3"/>
  <c r="HH27" i="3"/>
  <c r="HI27" i="3"/>
  <c r="HJ27" i="3"/>
  <c r="HK27" i="3"/>
  <c r="HL27" i="3"/>
  <c r="HM27" i="3"/>
  <c r="HN27" i="3"/>
  <c r="HO27" i="3"/>
  <c r="HP27" i="3"/>
  <c r="HQ27" i="3"/>
  <c r="HR27" i="3"/>
  <c r="HS27" i="3"/>
  <c r="HT27" i="3"/>
  <c r="HU27" i="3"/>
  <c r="HV27" i="3"/>
  <c r="HW27" i="3"/>
  <c r="HX27" i="3"/>
  <c r="HY27" i="3"/>
  <c r="HZ27" i="3"/>
  <c r="IA27" i="3"/>
  <c r="IB27" i="3"/>
  <c r="IC27" i="3"/>
  <c r="ID27" i="3"/>
  <c r="IE27" i="3"/>
  <c r="IF27" i="3"/>
  <c r="IG27" i="3"/>
  <c r="IH27" i="3"/>
  <c r="II27" i="3"/>
  <c r="IJ27" i="3"/>
  <c r="IK27" i="3"/>
  <c r="IL27" i="3"/>
  <c r="IM27" i="3"/>
  <c r="IN27" i="3"/>
  <c r="IO27" i="3"/>
  <c r="IP27" i="3"/>
  <c r="IQ27" i="3"/>
  <c r="IR27" i="3"/>
  <c r="IS27" i="3"/>
  <c r="IT27" i="3"/>
  <c r="IU27" i="3"/>
  <c r="IV27" i="3"/>
  <c r="A26" i="3"/>
  <c r="B26" i="3"/>
  <c r="C26" i="3"/>
  <c r="D26" i="3"/>
  <c r="E26" i="3"/>
  <c r="F26" i="3"/>
  <c r="G26" i="3"/>
  <c r="H26" i="3"/>
  <c r="I26" i="3"/>
  <c r="J26" i="3"/>
  <c r="K26" i="3"/>
  <c r="L26" i="3"/>
  <c r="M26" i="3"/>
  <c r="N26" i="3"/>
  <c r="O26" i="3"/>
  <c r="P26" i="3"/>
  <c r="Q26" i="3"/>
  <c r="R26" i="3"/>
  <c r="S26" i="3"/>
  <c r="T26" i="3"/>
  <c r="U26" i="3"/>
  <c r="V26" i="3"/>
  <c r="W26" i="3"/>
  <c r="X26" i="3"/>
  <c r="Y26" i="3"/>
  <c r="Z26" i="3"/>
  <c r="AA26" i="3"/>
  <c r="AB26" i="3"/>
  <c r="AC26" i="3"/>
  <c r="AD26" i="3"/>
  <c r="AE26" i="3"/>
  <c r="AF26" i="3"/>
  <c r="AG26" i="3"/>
  <c r="AH26" i="3"/>
  <c r="AI26" i="3"/>
  <c r="AJ26" i="3"/>
  <c r="AK26" i="3"/>
  <c r="AL26" i="3"/>
  <c r="AM26" i="3"/>
  <c r="AN26" i="3"/>
  <c r="AO26" i="3"/>
  <c r="AP26" i="3"/>
  <c r="AQ26" i="3"/>
  <c r="AR26" i="3"/>
  <c r="AS26" i="3"/>
  <c r="AT26" i="3"/>
  <c r="AU26" i="3"/>
  <c r="AV26" i="3"/>
  <c r="AW26" i="3"/>
  <c r="AX26" i="3"/>
  <c r="AY26" i="3"/>
  <c r="AZ26" i="3"/>
  <c r="BA26" i="3"/>
  <c r="BB26" i="3"/>
  <c r="BC26" i="3"/>
  <c r="BD26" i="3"/>
  <c r="BE26" i="3"/>
  <c r="BF26" i="3"/>
  <c r="BG26" i="3"/>
  <c r="BH26" i="3"/>
  <c r="BI26" i="3"/>
  <c r="BJ26" i="3"/>
  <c r="BK26" i="3"/>
  <c r="BL26" i="3"/>
  <c r="BM26" i="3"/>
  <c r="BN26" i="3"/>
  <c r="BO26" i="3"/>
  <c r="BP26" i="3"/>
  <c r="BQ26" i="3"/>
  <c r="BR26" i="3"/>
  <c r="BS26" i="3"/>
  <c r="BT26" i="3"/>
  <c r="BU26" i="3"/>
  <c r="BV26" i="3"/>
  <c r="BW26" i="3"/>
  <c r="BX26" i="3"/>
  <c r="BY26" i="3"/>
  <c r="BZ26" i="3"/>
  <c r="CA26" i="3"/>
  <c r="CB26" i="3"/>
  <c r="CC26" i="3"/>
  <c r="CD26" i="3"/>
  <c r="CE26" i="3"/>
  <c r="CF26" i="3"/>
  <c r="CG26" i="3"/>
  <c r="CH26" i="3"/>
  <c r="CI26" i="3"/>
  <c r="CJ26" i="3"/>
  <c r="CK26" i="3"/>
  <c r="CL26" i="3"/>
  <c r="CM26" i="3"/>
  <c r="CN26" i="3"/>
  <c r="CO26" i="3"/>
  <c r="CP26" i="3"/>
  <c r="CQ26" i="3"/>
  <c r="CR26" i="3"/>
  <c r="CS26" i="3"/>
  <c r="CT26" i="3"/>
  <c r="CU26" i="3"/>
  <c r="CV26" i="3"/>
  <c r="CW26" i="3"/>
  <c r="CX26" i="3"/>
  <c r="CY26" i="3"/>
  <c r="CZ26" i="3"/>
  <c r="DA26" i="3"/>
  <c r="DB26" i="3"/>
  <c r="DC26" i="3"/>
  <c r="DD26" i="3"/>
  <c r="DE26" i="3"/>
  <c r="DF26" i="3"/>
  <c r="DG26" i="3"/>
  <c r="DH26" i="3"/>
  <c r="DI26" i="3"/>
  <c r="DJ26" i="3"/>
  <c r="DK26" i="3"/>
  <c r="DL26" i="3"/>
  <c r="DM26" i="3"/>
  <c r="DN26" i="3"/>
  <c r="DO26" i="3"/>
  <c r="DP26" i="3"/>
  <c r="DQ26" i="3"/>
  <c r="DR26" i="3"/>
  <c r="DS26" i="3"/>
  <c r="DT26" i="3"/>
  <c r="DU26" i="3"/>
  <c r="DV26" i="3"/>
  <c r="DW26" i="3"/>
  <c r="DX26" i="3"/>
  <c r="DY26" i="3"/>
  <c r="DZ26" i="3"/>
  <c r="EA26" i="3"/>
  <c r="EB26" i="3"/>
  <c r="EC26" i="3"/>
  <c r="ED26" i="3"/>
  <c r="EE26" i="3"/>
  <c r="EF26" i="3"/>
  <c r="EG26" i="3"/>
  <c r="EH26" i="3"/>
  <c r="EI26" i="3"/>
  <c r="EJ26" i="3"/>
  <c r="EK26" i="3"/>
  <c r="EL26" i="3"/>
  <c r="EM26" i="3"/>
  <c r="EN26" i="3"/>
  <c r="EO26" i="3"/>
  <c r="EP26" i="3"/>
  <c r="EQ26" i="3"/>
  <c r="ER26" i="3"/>
  <c r="ES26" i="3"/>
  <c r="ET26" i="3"/>
  <c r="EU26" i="3"/>
  <c r="EV26" i="3"/>
  <c r="EW26" i="3"/>
  <c r="EX26" i="3"/>
  <c r="EY26" i="3"/>
  <c r="EZ26" i="3"/>
  <c r="FA26" i="3"/>
  <c r="FB26" i="3"/>
  <c r="FC26" i="3"/>
  <c r="FD26" i="3"/>
  <c r="FE26" i="3"/>
  <c r="FF26" i="3"/>
  <c r="FG26" i="3"/>
  <c r="FH26" i="3"/>
  <c r="FI26" i="3"/>
  <c r="FJ26" i="3"/>
  <c r="FK26" i="3"/>
  <c r="FL26" i="3"/>
  <c r="FM26" i="3"/>
  <c r="FN26" i="3"/>
  <c r="FO26" i="3"/>
  <c r="FP26" i="3"/>
  <c r="FQ26" i="3"/>
  <c r="FR26" i="3"/>
  <c r="FS26" i="3"/>
  <c r="FT26" i="3"/>
  <c r="FU26" i="3"/>
  <c r="FV26" i="3"/>
  <c r="FW26" i="3"/>
  <c r="FX26" i="3"/>
  <c r="FY26" i="3"/>
  <c r="FZ26" i="3"/>
  <c r="GA26" i="3"/>
  <c r="GB26" i="3"/>
  <c r="GC26" i="3"/>
  <c r="GD26" i="3"/>
  <c r="GE26" i="3"/>
  <c r="GF26" i="3"/>
  <c r="GG26" i="3"/>
  <c r="GH26" i="3"/>
  <c r="GI26" i="3"/>
  <c r="GJ26" i="3"/>
  <c r="GK26" i="3"/>
  <c r="GL26" i="3"/>
  <c r="GM26" i="3"/>
  <c r="GN26" i="3"/>
  <c r="GO26" i="3"/>
  <c r="GP26" i="3"/>
  <c r="GQ26" i="3"/>
  <c r="GR26" i="3"/>
  <c r="GS26" i="3"/>
  <c r="GT26" i="3"/>
  <c r="GU26" i="3"/>
  <c r="GV26" i="3"/>
  <c r="GW26" i="3"/>
  <c r="GX26" i="3"/>
  <c r="GY26" i="3"/>
  <c r="GZ26" i="3"/>
  <c r="HA26" i="3"/>
  <c r="HB26" i="3"/>
  <c r="HC26" i="3"/>
  <c r="HD26" i="3"/>
  <c r="HE26" i="3"/>
  <c r="HF26" i="3"/>
  <c r="HG26" i="3"/>
  <c r="HH26" i="3"/>
  <c r="HI26" i="3"/>
  <c r="HJ26" i="3"/>
  <c r="HK26" i="3"/>
  <c r="HL26" i="3"/>
  <c r="HM26" i="3"/>
  <c r="HN26" i="3"/>
  <c r="HO26" i="3"/>
  <c r="HP26" i="3"/>
  <c r="HQ26" i="3"/>
  <c r="HR26" i="3"/>
  <c r="HS26" i="3"/>
  <c r="HT26" i="3"/>
  <c r="HU26" i="3"/>
  <c r="HV26" i="3"/>
  <c r="HW26" i="3"/>
  <c r="HX26" i="3"/>
  <c r="HY26" i="3"/>
  <c r="HZ26" i="3"/>
  <c r="IA26" i="3"/>
  <c r="IB26" i="3"/>
  <c r="IC26" i="3"/>
  <c r="ID26" i="3"/>
  <c r="IE26" i="3"/>
  <c r="IF26" i="3"/>
  <c r="IG26" i="3"/>
  <c r="IH26" i="3"/>
  <c r="II26" i="3"/>
  <c r="IJ26" i="3"/>
  <c r="IK26" i="3"/>
  <c r="IL26" i="3"/>
  <c r="IM26" i="3"/>
  <c r="IN26" i="3"/>
  <c r="IO26" i="3"/>
  <c r="IP26" i="3"/>
  <c r="IQ26" i="3"/>
  <c r="IR26" i="3"/>
  <c r="IS26" i="3"/>
  <c r="IT26" i="3"/>
  <c r="IU26" i="3"/>
  <c r="IV26" i="3"/>
  <c r="A25" i="3"/>
  <c r="B25" i="3"/>
  <c r="C25" i="3"/>
  <c r="D25" i="3"/>
  <c r="E25" i="3"/>
  <c r="F25" i="3"/>
  <c r="G25" i="3"/>
  <c r="H25" i="3"/>
  <c r="I25" i="3"/>
  <c r="J25" i="3"/>
  <c r="K25" i="3"/>
  <c r="L25" i="3"/>
  <c r="M25" i="3"/>
  <c r="N25" i="3"/>
  <c r="O25" i="3"/>
  <c r="P25" i="3"/>
  <c r="Q25" i="3"/>
  <c r="R25" i="3"/>
  <c r="S25" i="3"/>
  <c r="T2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AZ25" i="3"/>
  <c r="BA25" i="3"/>
  <c r="BB25" i="3"/>
  <c r="BC25" i="3"/>
  <c r="BD25" i="3"/>
  <c r="BE25" i="3"/>
  <c r="BF25" i="3"/>
  <c r="BG25" i="3"/>
  <c r="BH25" i="3"/>
  <c r="BI25" i="3"/>
  <c r="BJ25" i="3"/>
  <c r="BK25" i="3"/>
  <c r="BL25" i="3"/>
  <c r="BM25" i="3"/>
  <c r="BN25" i="3"/>
  <c r="BO25" i="3"/>
  <c r="BP25" i="3"/>
  <c r="BQ25" i="3"/>
  <c r="BR25" i="3"/>
  <c r="BS25" i="3"/>
  <c r="BT25" i="3"/>
  <c r="BU25" i="3"/>
  <c r="BV25" i="3"/>
  <c r="BW25" i="3"/>
  <c r="BX25" i="3"/>
  <c r="BY25" i="3"/>
  <c r="BZ25" i="3"/>
  <c r="CA25" i="3"/>
  <c r="CB25" i="3"/>
  <c r="CC25" i="3"/>
  <c r="CD25" i="3"/>
  <c r="CE25" i="3"/>
  <c r="CF25" i="3"/>
  <c r="CG25" i="3"/>
  <c r="CH25" i="3"/>
  <c r="CI25" i="3"/>
  <c r="CJ25" i="3"/>
  <c r="CK25" i="3"/>
  <c r="CL25" i="3"/>
  <c r="CM25" i="3"/>
  <c r="CN25" i="3"/>
  <c r="CO25" i="3"/>
  <c r="CP25" i="3"/>
  <c r="CQ25" i="3"/>
  <c r="CR25" i="3"/>
  <c r="CS25" i="3"/>
  <c r="CT25" i="3"/>
  <c r="CU25" i="3"/>
  <c r="CV25" i="3"/>
  <c r="CW25" i="3"/>
  <c r="CX25" i="3"/>
  <c r="CY25" i="3"/>
  <c r="CZ25" i="3"/>
  <c r="DA25" i="3"/>
  <c r="DB25" i="3"/>
  <c r="DC25" i="3"/>
  <c r="DD25" i="3"/>
  <c r="DE25" i="3"/>
  <c r="DF25" i="3"/>
  <c r="DG25" i="3"/>
  <c r="DH25" i="3"/>
  <c r="DI25" i="3"/>
  <c r="DJ25" i="3"/>
  <c r="DK25" i="3"/>
  <c r="DL25" i="3"/>
  <c r="DM25" i="3"/>
  <c r="DN25" i="3"/>
  <c r="DO25" i="3"/>
  <c r="DP25" i="3"/>
  <c r="DQ25" i="3"/>
  <c r="DR25" i="3"/>
  <c r="DS25" i="3"/>
  <c r="DT25" i="3"/>
  <c r="DU25" i="3"/>
  <c r="DV25" i="3"/>
  <c r="DW25" i="3"/>
  <c r="DX25" i="3"/>
  <c r="DY25" i="3"/>
  <c r="DZ25" i="3"/>
  <c r="EA25" i="3"/>
  <c r="EB25" i="3"/>
  <c r="EC25" i="3"/>
  <c r="ED25" i="3"/>
  <c r="EE25" i="3"/>
  <c r="EF25" i="3"/>
  <c r="EG25" i="3"/>
  <c r="EH25" i="3"/>
  <c r="EI25" i="3"/>
  <c r="EJ25" i="3"/>
  <c r="EK25" i="3"/>
  <c r="EL25" i="3"/>
  <c r="EM25" i="3"/>
  <c r="EN25" i="3"/>
  <c r="EO25" i="3"/>
  <c r="EP25" i="3"/>
  <c r="EQ25" i="3"/>
  <c r="ER25" i="3"/>
  <c r="ES25" i="3"/>
  <c r="ET25" i="3"/>
  <c r="EU25" i="3"/>
  <c r="EV25" i="3"/>
  <c r="EW25" i="3"/>
  <c r="EX25" i="3"/>
  <c r="EY25" i="3"/>
  <c r="EZ25" i="3"/>
  <c r="FA25" i="3"/>
  <c r="FB25" i="3"/>
  <c r="FC25" i="3"/>
  <c r="FD25" i="3"/>
  <c r="FE25" i="3"/>
  <c r="FF25" i="3"/>
  <c r="FG25" i="3"/>
  <c r="FH25" i="3"/>
  <c r="FI25" i="3"/>
  <c r="FJ25" i="3"/>
  <c r="FK25" i="3"/>
  <c r="FL25" i="3"/>
  <c r="FM25" i="3"/>
  <c r="FN25" i="3"/>
  <c r="FO25" i="3"/>
  <c r="FP25" i="3"/>
  <c r="FQ25" i="3"/>
  <c r="FR25" i="3"/>
  <c r="FS25" i="3"/>
  <c r="FT25" i="3"/>
  <c r="FU25" i="3"/>
  <c r="FV25" i="3"/>
  <c r="FW25" i="3"/>
  <c r="FX25" i="3"/>
  <c r="FY25" i="3"/>
  <c r="FZ25" i="3"/>
  <c r="GA25" i="3"/>
  <c r="GB25" i="3"/>
  <c r="GC25" i="3"/>
  <c r="GD25" i="3"/>
  <c r="GE25" i="3"/>
  <c r="GF25" i="3"/>
  <c r="GG25" i="3"/>
  <c r="GH25" i="3"/>
  <c r="GI25" i="3"/>
  <c r="GJ25" i="3"/>
  <c r="GK25" i="3"/>
  <c r="GL25" i="3"/>
  <c r="GM25" i="3"/>
  <c r="GN25" i="3"/>
  <c r="GO25" i="3"/>
  <c r="GP25" i="3"/>
  <c r="GQ25" i="3"/>
  <c r="GR25" i="3"/>
  <c r="GS25" i="3"/>
  <c r="GT25" i="3"/>
  <c r="GU25" i="3"/>
  <c r="GV25" i="3"/>
  <c r="GW25" i="3"/>
  <c r="GX25" i="3"/>
  <c r="GY25" i="3"/>
  <c r="GZ25" i="3"/>
  <c r="HA25" i="3"/>
  <c r="HB25" i="3"/>
  <c r="HC25" i="3"/>
  <c r="HD25" i="3"/>
  <c r="HE25" i="3"/>
  <c r="HF25" i="3"/>
  <c r="HG25" i="3"/>
  <c r="HH25" i="3"/>
  <c r="HI25" i="3"/>
  <c r="HJ25" i="3"/>
  <c r="HK25" i="3"/>
  <c r="HL25" i="3"/>
  <c r="HM25" i="3"/>
  <c r="HN25" i="3"/>
  <c r="HO25" i="3"/>
  <c r="HP25" i="3"/>
  <c r="HQ25" i="3"/>
  <c r="HR25" i="3"/>
  <c r="HS25" i="3"/>
  <c r="HT25" i="3"/>
  <c r="HU25" i="3"/>
  <c r="HV25" i="3"/>
  <c r="HW25" i="3"/>
  <c r="HX25" i="3"/>
  <c r="HY25" i="3"/>
  <c r="HZ25" i="3"/>
  <c r="IA25" i="3"/>
  <c r="IB25" i="3"/>
  <c r="IC25" i="3"/>
  <c r="ID25" i="3"/>
  <c r="IE25" i="3"/>
  <c r="IF25" i="3"/>
  <c r="IG25" i="3"/>
  <c r="IH25" i="3"/>
  <c r="II25" i="3"/>
  <c r="IJ25" i="3"/>
  <c r="IK25" i="3"/>
  <c r="IL25" i="3"/>
  <c r="IM25" i="3"/>
  <c r="IN25" i="3"/>
  <c r="IO25" i="3"/>
  <c r="IP25" i="3"/>
  <c r="IQ25" i="3"/>
  <c r="IR25" i="3"/>
  <c r="IS25" i="3"/>
  <c r="IT25" i="3"/>
  <c r="IU25" i="3"/>
  <c r="IV25" i="3"/>
  <c r="A24" i="3"/>
  <c r="B24" i="3"/>
  <c r="C24" i="3"/>
  <c r="D24" i="3"/>
  <c r="E24" i="3"/>
  <c r="F24" i="3"/>
  <c r="G24" i="3"/>
  <c r="H24" i="3"/>
  <c r="I24" i="3"/>
  <c r="J24" i="3"/>
  <c r="K24" i="3"/>
  <c r="L24" i="3"/>
  <c r="M24" i="3"/>
  <c r="N24" i="3"/>
  <c r="O24" i="3"/>
  <c r="P24" i="3"/>
  <c r="Q24" i="3"/>
  <c r="R24" i="3"/>
  <c r="S24" i="3"/>
  <c r="T24" i="3"/>
  <c r="U24" i="3"/>
  <c r="V24" i="3"/>
  <c r="W24" i="3"/>
  <c r="X24" i="3"/>
  <c r="Y24" i="3"/>
  <c r="Z24" i="3"/>
  <c r="AA24" i="3"/>
  <c r="AB24" i="3"/>
  <c r="AC24" i="3"/>
  <c r="AD24" i="3"/>
  <c r="AE24" i="3"/>
  <c r="AF24" i="3"/>
  <c r="AG24" i="3"/>
  <c r="AH24" i="3"/>
  <c r="AI24" i="3"/>
  <c r="AJ24" i="3"/>
  <c r="AK24" i="3"/>
  <c r="AL24" i="3"/>
  <c r="AM24" i="3"/>
  <c r="AN24" i="3"/>
  <c r="AO24" i="3"/>
  <c r="AP24" i="3"/>
  <c r="AQ24" i="3"/>
  <c r="AR24" i="3"/>
  <c r="AS24" i="3"/>
  <c r="AT24" i="3"/>
  <c r="AU24" i="3"/>
  <c r="AV24" i="3"/>
  <c r="AW24" i="3"/>
  <c r="AX24" i="3"/>
  <c r="AY24" i="3"/>
  <c r="AZ24" i="3"/>
  <c r="BA24" i="3"/>
  <c r="BB24" i="3"/>
  <c r="BC24" i="3"/>
  <c r="BD24" i="3"/>
  <c r="BE24" i="3"/>
  <c r="BF24" i="3"/>
  <c r="BG24" i="3"/>
  <c r="BH24" i="3"/>
  <c r="BI24" i="3"/>
  <c r="BJ24" i="3"/>
  <c r="BK24" i="3"/>
  <c r="BL24" i="3"/>
  <c r="BM24" i="3"/>
  <c r="BN24" i="3"/>
  <c r="BO24" i="3"/>
  <c r="BP24" i="3"/>
  <c r="BQ24" i="3"/>
  <c r="BR24" i="3"/>
  <c r="BS24" i="3"/>
  <c r="BT24" i="3"/>
  <c r="BU24" i="3"/>
  <c r="BV24" i="3"/>
  <c r="BW24" i="3"/>
  <c r="BX24" i="3"/>
  <c r="BY24" i="3"/>
  <c r="BZ24" i="3"/>
  <c r="CA24" i="3"/>
  <c r="CB24" i="3"/>
  <c r="CC24" i="3"/>
  <c r="CD24" i="3"/>
  <c r="CE24" i="3"/>
  <c r="CF24" i="3"/>
  <c r="CG24" i="3"/>
  <c r="CH24" i="3"/>
  <c r="CI24" i="3"/>
  <c r="CJ24" i="3"/>
  <c r="CK24" i="3"/>
  <c r="CL24" i="3"/>
  <c r="CM24" i="3"/>
  <c r="CN24" i="3"/>
  <c r="CO24" i="3"/>
  <c r="CP24" i="3"/>
  <c r="CQ24" i="3"/>
  <c r="CR24" i="3"/>
  <c r="CS24" i="3"/>
  <c r="CT24" i="3"/>
  <c r="CU24" i="3"/>
  <c r="CV24" i="3"/>
  <c r="CW24" i="3"/>
  <c r="CX24" i="3"/>
  <c r="CY24" i="3"/>
  <c r="CZ24" i="3"/>
  <c r="DA24" i="3"/>
  <c r="DB24" i="3"/>
  <c r="DC24" i="3"/>
  <c r="DD24" i="3"/>
  <c r="DE24" i="3"/>
  <c r="DF24" i="3"/>
  <c r="DG24" i="3"/>
  <c r="DH24" i="3"/>
  <c r="DI24" i="3"/>
  <c r="DJ24" i="3"/>
  <c r="DK24" i="3"/>
  <c r="DL24" i="3"/>
  <c r="DM24" i="3"/>
  <c r="DN24" i="3"/>
  <c r="DO24" i="3"/>
  <c r="DP24" i="3"/>
  <c r="DQ24" i="3"/>
  <c r="DR24" i="3"/>
  <c r="DS24" i="3"/>
  <c r="DT24" i="3"/>
  <c r="DU24" i="3"/>
  <c r="DV24" i="3"/>
  <c r="DW24" i="3"/>
  <c r="DX24" i="3"/>
  <c r="DY24" i="3"/>
  <c r="DZ24" i="3"/>
  <c r="EA24" i="3"/>
  <c r="EB24" i="3"/>
  <c r="EC24" i="3"/>
  <c r="ED24" i="3"/>
  <c r="EE24" i="3"/>
  <c r="EF24" i="3"/>
  <c r="EG24" i="3"/>
  <c r="EH24" i="3"/>
  <c r="EI24" i="3"/>
  <c r="EJ24" i="3"/>
  <c r="EK24" i="3"/>
  <c r="EL24" i="3"/>
  <c r="EM24" i="3"/>
  <c r="EN24" i="3"/>
  <c r="EO24" i="3"/>
  <c r="EP24" i="3"/>
  <c r="EQ24" i="3"/>
  <c r="ER24" i="3"/>
  <c r="ES24" i="3"/>
  <c r="ET24" i="3"/>
  <c r="EU24" i="3"/>
  <c r="EV24" i="3"/>
  <c r="EW24" i="3"/>
  <c r="EX24" i="3"/>
  <c r="EY24" i="3"/>
  <c r="EZ24" i="3"/>
  <c r="FA24" i="3"/>
  <c r="FB24" i="3"/>
  <c r="FC24" i="3"/>
  <c r="FD24" i="3"/>
  <c r="FE24" i="3"/>
  <c r="FF24" i="3"/>
  <c r="FG24" i="3"/>
  <c r="FH24" i="3"/>
  <c r="FI24" i="3"/>
  <c r="FJ24" i="3"/>
  <c r="FK24" i="3"/>
  <c r="FL24" i="3"/>
  <c r="FM24" i="3"/>
  <c r="FN24" i="3"/>
  <c r="FO24" i="3"/>
  <c r="FP24" i="3"/>
  <c r="FQ24" i="3"/>
  <c r="FR24" i="3"/>
  <c r="FS24" i="3"/>
  <c r="FT24" i="3"/>
  <c r="FU24" i="3"/>
  <c r="FV24" i="3"/>
  <c r="FW24" i="3"/>
  <c r="FX24" i="3"/>
  <c r="FY24" i="3"/>
  <c r="FZ24" i="3"/>
  <c r="GA24" i="3"/>
  <c r="GB24" i="3"/>
  <c r="GC24" i="3"/>
  <c r="GD24" i="3"/>
  <c r="GE24" i="3"/>
  <c r="GF24" i="3"/>
  <c r="GG24" i="3"/>
  <c r="GH24" i="3"/>
  <c r="GI24" i="3"/>
  <c r="GJ24" i="3"/>
  <c r="GK24" i="3"/>
  <c r="GL24" i="3"/>
  <c r="GM24" i="3"/>
  <c r="GN24" i="3"/>
  <c r="GO24" i="3"/>
  <c r="GP24" i="3"/>
  <c r="GQ24" i="3"/>
  <c r="GR24" i="3"/>
  <c r="GS24" i="3"/>
  <c r="GT24" i="3"/>
  <c r="GU24" i="3"/>
  <c r="GV24" i="3"/>
  <c r="GW24" i="3"/>
  <c r="GX24" i="3"/>
  <c r="GY24" i="3"/>
  <c r="GZ24" i="3"/>
  <c r="HA24" i="3"/>
  <c r="HB24" i="3"/>
  <c r="HC24" i="3"/>
  <c r="HD24" i="3"/>
  <c r="HE24" i="3"/>
  <c r="HF24" i="3"/>
  <c r="HG24" i="3"/>
  <c r="HH24" i="3"/>
  <c r="HI24" i="3"/>
  <c r="HJ24" i="3"/>
  <c r="HK24" i="3"/>
  <c r="HL24" i="3"/>
  <c r="HM24" i="3"/>
  <c r="HN24" i="3"/>
  <c r="HO24" i="3"/>
  <c r="HP24" i="3"/>
  <c r="HQ24" i="3"/>
  <c r="HR24" i="3"/>
  <c r="HS24" i="3"/>
  <c r="HT24" i="3"/>
  <c r="HU24" i="3"/>
  <c r="HV24" i="3"/>
  <c r="HW24" i="3"/>
  <c r="HX24" i="3"/>
  <c r="HY24" i="3"/>
  <c r="HZ24" i="3"/>
  <c r="IA24" i="3"/>
  <c r="IB24" i="3"/>
  <c r="IC24" i="3"/>
  <c r="ID24" i="3"/>
  <c r="IE24" i="3"/>
  <c r="IF24" i="3"/>
  <c r="IG24" i="3"/>
  <c r="IH24" i="3"/>
  <c r="II24" i="3"/>
  <c r="IJ24" i="3"/>
  <c r="IK24" i="3"/>
  <c r="IL24" i="3"/>
  <c r="IM24" i="3"/>
  <c r="IN24" i="3"/>
  <c r="IO24" i="3"/>
  <c r="IP24" i="3"/>
  <c r="IQ24" i="3"/>
  <c r="IR24" i="3"/>
  <c r="IS24" i="3"/>
  <c r="IT24" i="3"/>
  <c r="IU24" i="3"/>
  <c r="IV24" i="3"/>
  <c r="A23" i="3"/>
  <c r="B23" i="3"/>
  <c r="C23" i="3"/>
  <c r="D23" i="3"/>
  <c r="E23" i="3"/>
  <c r="F23" i="3"/>
  <c r="G23" i="3"/>
  <c r="H23" i="3"/>
  <c r="I23" i="3"/>
  <c r="J23" i="3"/>
  <c r="K23" i="3"/>
  <c r="L23" i="3"/>
  <c r="M23" i="3"/>
  <c r="N23" i="3"/>
  <c r="O23" i="3"/>
  <c r="P23" i="3"/>
  <c r="Q23" i="3"/>
  <c r="R23" i="3"/>
  <c r="S23" i="3"/>
  <c r="T23" i="3"/>
  <c r="U23" i="3"/>
  <c r="V23" i="3"/>
  <c r="W23" i="3"/>
  <c r="X23" i="3"/>
  <c r="Y23" i="3"/>
  <c r="Z23" i="3"/>
  <c r="AA23" i="3"/>
  <c r="AB23" i="3"/>
  <c r="AC23" i="3"/>
  <c r="AD23" i="3"/>
  <c r="AE23" i="3"/>
  <c r="AF23" i="3"/>
  <c r="AG23" i="3"/>
  <c r="AH23" i="3"/>
  <c r="AI23" i="3"/>
  <c r="AJ23" i="3"/>
  <c r="AK23" i="3"/>
  <c r="AL23" i="3"/>
  <c r="AM23" i="3"/>
  <c r="AN23" i="3"/>
  <c r="AO23" i="3"/>
  <c r="AP23" i="3"/>
  <c r="AQ23" i="3"/>
  <c r="AR23" i="3"/>
  <c r="AS23" i="3"/>
  <c r="AT23" i="3"/>
  <c r="AU23" i="3"/>
  <c r="AV23" i="3"/>
  <c r="AW23" i="3"/>
  <c r="AX23" i="3"/>
  <c r="AY23" i="3"/>
  <c r="AZ23" i="3"/>
  <c r="BA23" i="3"/>
  <c r="BB23" i="3"/>
  <c r="BC23" i="3"/>
  <c r="BD23" i="3"/>
  <c r="BE23" i="3"/>
  <c r="BF23" i="3"/>
  <c r="BG23" i="3"/>
  <c r="BH23" i="3"/>
  <c r="BI23" i="3"/>
  <c r="BJ23" i="3"/>
  <c r="BK23" i="3"/>
  <c r="BL23" i="3"/>
  <c r="BM23" i="3"/>
  <c r="BN23" i="3"/>
  <c r="BO23" i="3"/>
  <c r="BP23" i="3"/>
  <c r="BQ23" i="3"/>
  <c r="BR23" i="3"/>
  <c r="BS23" i="3"/>
  <c r="BT23" i="3"/>
  <c r="BU23" i="3"/>
  <c r="BV23" i="3"/>
  <c r="BW23" i="3"/>
  <c r="BX23" i="3"/>
  <c r="BY23" i="3"/>
  <c r="BZ23" i="3"/>
  <c r="CA23" i="3"/>
  <c r="CB23" i="3"/>
  <c r="CC23" i="3"/>
  <c r="CD23" i="3"/>
  <c r="CE23" i="3"/>
  <c r="CF23" i="3"/>
  <c r="CG23" i="3"/>
  <c r="CH23" i="3"/>
  <c r="CI23" i="3"/>
  <c r="CJ23" i="3"/>
  <c r="CK23" i="3"/>
  <c r="CL23" i="3"/>
  <c r="CM23" i="3"/>
  <c r="CN23" i="3"/>
  <c r="CO23" i="3"/>
  <c r="CP23" i="3"/>
  <c r="CQ23" i="3"/>
  <c r="CR23" i="3"/>
  <c r="CS23" i="3"/>
  <c r="CT23" i="3"/>
  <c r="CU23" i="3"/>
  <c r="CV23" i="3"/>
  <c r="CW23" i="3"/>
  <c r="CX23" i="3"/>
  <c r="CY23" i="3"/>
  <c r="CZ23" i="3"/>
  <c r="DA23" i="3"/>
  <c r="DB23" i="3"/>
  <c r="DC23" i="3"/>
  <c r="DD23" i="3"/>
  <c r="DE23" i="3"/>
  <c r="DF23" i="3"/>
  <c r="DG23" i="3"/>
  <c r="DH23" i="3"/>
  <c r="DI23" i="3"/>
  <c r="DJ23" i="3"/>
  <c r="DK23" i="3"/>
  <c r="DL23" i="3"/>
  <c r="DM23" i="3"/>
  <c r="DN23" i="3"/>
  <c r="DO23" i="3"/>
  <c r="DP23" i="3"/>
  <c r="DQ23" i="3"/>
  <c r="DR23" i="3"/>
  <c r="DS23" i="3"/>
  <c r="DT23" i="3"/>
  <c r="DU23" i="3"/>
  <c r="DV23" i="3"/>
  <c r="DW23" i="3"/>
  <c r="DX23" i="3"/>
  <c r="DY23" i="3"/>
  <c r="DZ23" i="3"/>
  <c r="EA23" i="3"/>
  <c r="EB23" i="3"/>
  <c r="EC23" i="3"/>
  <c r="ED23" i="3"/>
  <c r="EE23" i="3"/>
  <c r="EF23" i="3"/>
  <c r="EG23" i="3"/>
  <c r="EH23" i="3"/>
  <c r="EI23" i="3"/>
  <c r="EJ23" i="3"/>
  <c r="EK23" i="3"/>
  <c r="EL23" i="3"/>
  <c r="EM23" i="3"/>
  <c r="EN23" i="3"/>
  <c r="EO23" i="3"/>
  <c r="EP23" i="3"/>
  <c r="EQ23" i="3"/>
  <c r="ER23" i="3"/>
  <c r="ES23" i="3"/>
  <c r="ET23" i="3"/>
  <c r="EU23" i="3"/>
  <c r="EV23" i="3"/>
  <c r="EW23" i="3"/>
  <c r="EX23" i="3"/>
  <c r="EY23" i="3"/>
  <c r="EZ23" i="3"/>
  <c r="FA23" i="3"/>
  <c r="FB23" i="3"/>
  <c r="FC23" i="3"/>
  <c r="FD23" i="3"/>
  <c r="FE23" i="3"/>
  <c r="FF23" i="3"/>
  <c r="FG23" i="3"/>
  <c r="FH23" i="3"/>
  <c r="FI23" i="3"/>
  <c r="FJ23" i="3"/>
  <c r="FK23" i="3"/>
  <c r="FL23" i="3"/>
  <c r="FM23" i="3"/>
  <c r="FN23" i="3"/>
  <c r="FO23" i="3"/>
  <c r="FP23" i="3"/>
  <c r="FQ23" i="3"/>
  <c r="FR23" i="3"/>
  <c r="FS23" i="3"/>
  <c r="FT23" i="3"/>
  <c r="FU23" i="3"/>
  <c r="FV23" i="3"/>
  <c r="FW23" i="3"/>
  <c r="FX23" i="3"/>
  <c r="FY23" i="3"/>
  <c r="FZ23" i="3"/>
  <c r="GA23" i="3"/>
  <c r="GB23" i="3"/>
  <c r="GC23" i="3"/>
  <c r="GD23" i="3"/>
  <c r="GE23" i="3"/>
  <c r="GF23" i="3"/>
  <c r="GG23" i="3"/>
  <c r="GH23" i="3"/>
  <c r="GI23" i="3"/>
  <c r="GJ23" i="3"/>
  <c r="GK23" i="3"/>
  <c r="GL23" i="3"/>
  <c r="GM23" i="3"/>
  <c r="GN23" i="3"/>
  <c r="GO23" i="3"/>
  <c r="GP23" i="3"/>
  <c r="GQ23" i="3"/>
  <c r="GR23" i="3"/>
  <c r="GS23" i="3"/>
  <c r="GT23" i="3"/>
  <c r="GU23" i="3"/>
  <c r="GV23" i="3"/>
  <c r="GW23" i="3"/>
  <c r="GX23" i="3"/>
  <c r="GY23" i="3"/>
  <c r="GZ23" i="3"/>
  <c r="HA23" i="3"/>
  <c r="HB23" i="3"/>
  <c r="HC23" i="3"/>
  <c r="HD23" i="3"/>
  <c r="HE23" i="3"/>
  <c r="HF23" i="3"/>
  <c r="HG23" i="3"/>
  <c r="HH23" i="3"/>
  <c r="HI23" i="3"/>
  <c r="HJ23" i="3"/>
  <c r="HK23" i="3"/>
  <c r="HL23" i="3"/>
  <c r="HM23" i="3"/>
  <c r="HN23" i="3"/>
  <c r="HO23" i="3"/>
  <c r="HP23" i="3"/>
  <c r="HQ23" i="3"/>
  <c r="HR23" i="3"/>
  <c r="HS23" i="3"/>
  <c r="HT23" i="3"/>
  <c r="HU23" i="3"/>
  <c r="HV23" i="3"/>
  <c r="HW23" i="3"/>
  <c r="HX23" i="3"/>
  <c r="HY23" i="3"/>
  <c r="HZ23" i="3"/>
  <c r="IA23" i="3"/>
  <c r="IB23" i="3"/>
  <c r="IC23" i="3"/>
  <c r="ID23" i="3"/>
  <c r="IE23" i="3"/>
  <c r="IF23" i="3"/>
  <c r="IG23" i="3"/>
  <c r="IH23" i="3"/>
  <c r="II23" i="3"/>
  <c r="IJ23" i="3"/>
  <c r="IK23" i="3"/>
  <c r="IL23" i="3"/>
  <c r="IM23" i="3"/>
  <c r="IN23" i="3"/>
  <c r="IO23" i="3"/>
  <c r="IP23" i="3"/>
  <c r="IQ23" i="3"/>
  <c r="IR23" i="3"/>
  <c r="IS23" i="3"/>
  <c r="IT23" i="3"/>
  <c r="IU23" i="3"/>
  <c r="IV23" i="3"/>
  <c r="A22" i="3"/>
  <c r="B22" i="3"/>
  <c r="C22" i="3"/>
  <c r="D22" i="3"/>
  <c r="E22" i="3"/>
  <c r="F22" i="3"/>
  <c r="G22" i="3"/>
  <c r="H22" i="3"/>
  <c r="I22" i="3"/>
  <c r="J22" i="3"/>
  <c r="K22" i="3"/>
  <c r="L22" i="3"/>
  <c r="M22" i="3"/>
  <c r="N22" i="3"/>
  <c r="O22" i="3"/>
  <c r="P22" i="3"/>
  <c r="Q22" i="3"/>
  <c r="R22" i="3"/>
  <c r="S22" i="3"/>
  <c r="T22" i="3"/>
  <c r="U22" i="3"/>
  <c r="V22" i="3"/>
  <c r="W22" i="3"/>
  <c r="X22" i="3"/>
  <c r="Y22" i="3"/>
  <c r="Z22" i="3"/>
  <c r="AA22" i="3"/>
  <c r="AB22" i="3"/>
  <c r="AC22" i="3"/>
  <c r="AD22" i="3"/>
  <c r="AE22" i="3"/>
  <c r="AF22" i="3"/>
  <c r="AG22" i="3"/>
  <c r="AH22" i="3"/>
  <c r="AI22" i="3"/>
  <c r="AJ22" i="3"/>
  <c r="AK22" i="3"/>
  <c r="AL22" i="3"/>
  <c r="AM22" i="3"/>
  <c r="AN22" i="3"/>
  <c r="AO22" i="3"/>
  <c r="AP22" i="3"/>
  <c r="AQ22" i="3"/>
  <c r="AR22" i="3"/>
  <c r="AS22" i="3"/>
  <c r="AT22" i="3"/>
  <c r="AU22" i="3"/>
  <c r="AV22" i="3"/>
  <c r="AW22" i="3"/>
  <c r="AX22" i="3"/>
  <c r="AY22" i="3"/>
  <c r="AZ22" i="3"/>
  <c r="BA22" i="3"/>
  <c r="BB22" i="3"/>
  <c r="BC22" i="3"/>
  <c r="BD22" i="3"/>
  <c r="BE22" i="3"/>
  <c r="BF22" i="3"/>
  <c r="BG22" i="3"/>
  <c r="BH22" i="3"/>
  <c r="BI22" i="3"/>
  <c r="BJ22" i="3"/>
  <c r="BK22" i="3"/>
  <c r="BL22" i="3"/>
  <c r="BM22" i="3"/>
  <c r="BN22" i="3"/>
  <c r="BO22" i="3"/>
  <c r="BP22" i="3"/>
  <c r="BQ22" i="3"/>
  <c r="BR22" i="3"/>
  <c r="BS22" i="3"/>
  <c r="BT22" i="3"/>
  <c r="BU22" i="3"/>
  <c r="BV22" i="3"/>
  <c r="BW22" i="3"/>
  <c r="BX22" i="3"/>
  <c r="BY22" i="3"/>
  <c r="BZ22" i="3"/>
  <c r="CA22" i="3"/>
  <c r="CB22" i="3"/>
  <c r="CC22" i="3"/>
  <c r="CD22" i="3"/>
  <c r="CE22" i="3"/>
  <c r="CF22" i="3"/>
  <c r="CG22" i="3"/>
  <c r="CH22" i="3"/>
  <c r="CI22" i="3"/>
  <c r="CJ22" i="3"/>
  <c r="CK22" i="3"/>
  <c r="CL22" i="3"/>
  <c r="CM22" i="3"/>
  <c r="CN22" i="3"/>
  <c r="CO22" i="3"/>
  <c r="CP22" i="3"/>
  <c r="CQ22" i="3"/>
  <c r="CR22" i="3"/>
  <c r="CS22" i="3"/>
  <c r="CT22" i="3"/>
  <c r="CU22" i="3"/>
  <c r="CV22" i="3"/>
  <c r="CW22" i="3"/>
  <c r="CX22" i="3"/>
  <c r="CY22" i="3"/>
  <c r="CZ22" i="3"/>
  <c r="DA22" i="3"/>
  <c r="DB22" i="3"/>
  <c r="DC22" i="3"/>
  <c r="DD22" i="3"/>
  <c r="DE22" i="3"/>
  <c r="DF22" i="3"/>
  <c r="DG22" i="3"/>
  <c r="DH22" i="3"/>
  <c r="DI22" i="3"/>
  <c r="DJ22" i="3"/>
  <c r="DK22" i="3"/>
  <c r="DL22" i="3"/>
  <c r="DM22" i="3"/>
  <c r="DN22" i="3"/>
  <c r="DO22" i="3"/>
  <c r="DP22" i="3"/>
  <c r="DQ22" i="3"/>
  <c r="DR22" i="3"/>
  <c r="DS22" i="3"/>
  <c r="DT22" i="3"/>
  <c r="DU22" i="3"/>
  <c r="DV22" i="3"/>
  <c r="DW22" i="3"/>
  <c r="DX22" i="3"/>
  <c r="DY22" i="3"/>
  <c r="DZ22" i="3"/>
  <c r="EA22" i="3"/>
  <c r="EB22" i="3"/>
  <c r="EC22" i="3"/>
  <c r="ED22" i="3"/>
  <c r="EE22" i="3"/>
  <c r="EF22" i="3"/>
  <c r="EG22" i="3"/>
  <c r="EH22" i="3"/>
  <c r="EI22" i="3"/>
  <c r="EJ22" i="3"/>
  <c r="EK22" i="3"/>
  <c r="EL22" i="3"/>
  <c r="EM22" i="3"/>
  <c r="EN22" i="3"/>
  <c r="EO22" i="3"/>
  <c r="EP22" i="3"/>
  <c r="EQ22" i="3"/>
  <c r="ER22" i="3"/>
  <c r="ES22" i="3"/>
  <c r="ET22" i="3"/>
  <c r="EU22" i="3"/>
  <c r="EV22" i="3"/>
  <c r="EW22" i="3"/>
  <c r="EX22" i="3"/>
  <c r="EY22" i="3"/>
  <c r="EZ22" i="3"/>
  <c r="FA22" i="3"/>
  <c r="FB22" i="3"/>
  <c r="FC22" i="3"/>
  <c r="FD22" i="3"/>
  <c r="FE22" i="3"/>
  <c r="FF22" i="3"/>
  <c r="FG22" i="3"/>
  <c r="FH22" i="3"/>
  <c r="FI22" i="3"/>
  <c r="FJ22" i="3"/>
  <c r="FK22" i="3"/>
  <c r="FL22" i="3"/>
  <c r="FM22" i="3"/>
  <c r="FN22" i="3"/>
  <c r="FO22" i="3"/>
  <c r="FP22" i="3"/>
  <c r="FQ22" i="3"/>
  <c r="FR22" i="3"/>
  <c r="FS22" i="3"/>
  <c r="FT22" i="3"/>
  <c r="FU22" i="3"/>
  <c r="FV22" i="3"/>
  <c r="FW22" i="3"/>
  <c r="FX22" i="3"/>
  <c r="FY22" i="3"/>
  <c r="FZ22" i="3"/>
  <c r="GA22" i="3"/>
  <c r="GB22" i="3"/>
  <c r="GC22" i="3"/>
  <c r="GD22" i="3"/>
  <c r="GE22" i="3"/>
  <c r="GF22" i="3"/>
  <c r="GG22" i="3"/>
  <c r="GH22" i="3"/>
  <c r="GI22" i="3"/>
  <c r="GJ22" i="3"/>
  <c r="GK22" i="3"/>
  <c r="GL22" i="3"/>
  <c r="GM22" i="3"/>
  <c r="GN22" i="3"/>
  <c r="GO22" i="3"/>
  <c r="GP22" i="3"/>
  <c r="GQ22" i="3"/>
  <c r="GR22" i="3"/>
  <c r="GS22" i="3"/>
  <c r="GT22" i="3"/>
  <c r="GU22" i="3"/>
  <c r="GV22" i="3"/>
  <c r="GW22" i="3"/>
  <c r="GX22" i="3"/>
  <c r="GY22" i="3"/>
  <c r="GZ22" i="3"/>
  <c r="HA22" i="3"/>
  <c r="HB22" i="3"/>
  <c r="HC22" i="3"/>
  <c r="HD22" i="3"/>
  <c r="HE22" i="3"/>
  <c r="HF22" i="3"/>
  <c r="HG22" i="3"/>
  <c r="HH22" i="3"/>
  <c r="HI22" i="3"/>
  <c r="HJ22" i="3"/>
  <c r="HK22" i="3"/>
  <c r="HL22" i="3"/>
  <c r="HM22" i="3"/>
  <c r="HN22" i="3"/>
  <c r="HO22" i="3"/>
  <c r="HP22" i="3"/>
  <c r="HQ22" i="3"/>
  <c r="HR22" i="3"/>
  <c r="HS22" i="3"/>
  <c r="HT22" i="3"/>
  <c r="HU22" i="3"/>
  <c r="HV22" i="3"/>
  <c r="HW22" i="3"/>
  <c r="HX22" i="3"/>
  <c r="HY22" i="3"/>
  <c r="HZ22" i="3"/>
  <c r="IA22" i="3"/>
  <c r="IB22" i="3"/>
  <c r="IC22" i="3"/>
  <c r="ID22" i="3"/>
  <c r="IE22" i="3"/>
  <c r="IF22" i="3"/>
  <c r="IG22" i="3"/>
  <c r="IH22" i="3"/>
  <c r="II22" i="3"/>
  <c r="IJ22" i="3"/>
  <c r="IK22" i="3"/>
  <c r="IL22" i="3"/>
  <c r="IM22" i="3"/>
  <c r="IN22" i="3"/>
  <c r="IO22" i="3"/>
  <c r="IP22" i="3"/>
  <c r="IQ22" i="3"/>
  <c r="IR22" i="3"/>
  <c r="IS22" i="3"/>
  <c r="IT22" i="3"/>
  <c r="IU22" i="3"/>
  <c r="IV22" i="3"/>
  <c r="A21" i="3"/>
  <c r="B21" i="3"/>
  <c r="C21" i="3"/>
  <c r="D21" i="3"/>
  <c r="E21" i="3"/>
  <c r="F21" i="3"/>
  <c r="G21" i="3"/>
  <c r="H21" i="3"/>
  <c r="I21" i="3"/>
  <c r="J21" i="3"/>
  <c r="K21" i="3"/>
  <c r="L21" i="3"/>
  <c r="M21" i="3"/>
  <c r="N21" i="3"/>
  <c r="O21" i="3"/>
  <c r="P21" i="3"/>
  <c r="Q21" i="3"/>
  <c r="R21" i="3"/>
  <c r="S21" i="3"/>
  <c r="T21" i="3"/>
  <c r="U21" i="3"/>
  <c r="V21" i="3"/>
  <c r="W21" i="3"/>
  <c r="X21" i="3"/>
  <c r="Y21" i="3"/>
  <c r="Z21" i="3"/>
  <c r="AA21" i="3"/>
  <c r="AB21" i="3"/>
  <c r="AC21" i="3"/>
  <c r="AD21" i="3"/>
  <c r="AE21" i="3"/>
  <c r="AF21" i="3"/>
  <c r="AG21" i="3"/>
  <c r="AH21" i="3"/>
  <c r="AI21" i="3"/>
  <c r="AJ21" i="3"/>
  <c r="AK21" i="3"/>
  <c r="AL21" i="3"/>
  <c r="AM21" i="3"/>
  <c r="AN21" i="3"/>
  <c r="AO21" i="3"/>
  <c r="AP21" i="3"/>
  <c r="AQ21" i="3"/>
  <c r="AR21" i="3"/>
  <c r="AS21" i="3"/>
  <c r="AT21" i="3"/>
  <c r="AU21" i="3"/>
  <c r="AV21" i="3"/>
  <c r="AW21" i="3"/>
  <c r="AX21" i="3"/>
  <c r="AY21" i="3"/>
  <c r="AZ21" i="3"/>
  <c r="BA21" i="3"/>
  <c r="BB21" i="3"/>
  <c r="BC21" i="3"/>
  <c r="BD21" i="3"/>
  <c r="BE21" i="3"/>
  <c r="BF21" i="3"/>
  <c r="BG21" i="3"/>
  <c r="BH21" i="3"/>
  <c r="BI21" i="3"/>
  <c r="BJ21" i="3"/>
  <c r="BK21" i="3"/>
  <c r="BL21" i="3"/>
  <c r="BM21" i="3"/>
  <c r="BN21" i="3"/>
  <c r="BO21" i="3"/>
  <c r="BP21" i="3"/>
  <c r="BQ21" i="3"/>
  <c r="BR21" i="3"/>
  <c r="BS21" i="3"/>
  <c r="BT21" i="3"/>
  <c r="BU21" i="3"/>
  <c r="BV21" i="3"/>
  <c r="BW21" i="3"/>
  <c r="BX21" i="3"/>
  <c r="BY21" i="3"/>
  <c r="BZ21" i="3"/>
  <c r="CA21" i="3"/>
  <c r="CB21" i="3"/>
  <c r="CC21" i="3"/>
  <c r="CD21" i="3"/>
  <c r="CE21" i="3"/>
  <c r="CF21" i="3"/>
  <c r="CG21" i="3"/>
  <c r="CH21" i="3"/>
  <c r="CI21" i="3"/>
  <c r="CJ21" i="3"/>
  <c r="CK21" i="3"/>
  <c r="CL21" i="3"/>
  <c r="CM21" i="3"/>
  <c r="CN21" i="3"/>
  <c r="CO21" i="3"/>
  <c r="CP21" i="3"/>
  <c r="CQ21" i="3"/>
  <c r="CR21" i="3"/>
  <c r="CS21" i="3"/>
  <c r="CT21" i="3"/>
  <c r="CU21" i="3"/>
  <c r="CV21" i="3"/>
  <c r="CW21" i="3"/>
  <c r="CX21" i="3"/>
  <c r="CY21" i="3"/>
  <c r="CZ21" i="3"/>
  <c r="DA21" i="3"/>
  <c r="DB21" i="3"/>
  <c r="DC21" i="3"/>
  <c r="DD21" i="3"/>
  <c r="DE21" i="3"/>
  <c r="DF21" i="3"/>
  <c r="DG21" i="3"/>
  <c r="DH21" i="3"/>
  <c r="DI21" i="3"/>
  <c r="DJ21" i="3"/>
  <c r="DK21" i="3"/>
  <c r="DL21" i="3"/>
  <c r="DM21" i="3"/>
  <c r="DN21" i="3"/>
  <c r="DO21" i="3"/>
  <c r="DP21" i="3"/>
  <c r="DQ21" i="3"/>
  <c r="DR21" i="3"/>
  <c r="DS21" i="3"/>
  <c r="DT21" i="3"/>
  <c r="DU21" i="3"/>
  <c r="DV21" i="3"/>
  <c r="DW21" i="3"/>
  <c r="DX21" i="3"/>
  <c r="DY21" i="3"/>
  <c r="DZ21" i="3"/>
  <c r="EA21" i="3"/>
  <c r="EB21" i="3"/>
  <c r="EC21" i="3"/>
  <c r="ED21" i="3"/>
  <c r="EE21" i="3"/>
  <c r="EF21" i="3"/>
  <c r="EG21" i="3"/>
  <c r="EH21" i="3"/>
  <c r="EI21" i="3"/>
  <c r="EJ21" i="3"/>
  <c r="EK21" i="3"/>
  <c r="EL21" i="3"/>
  <c r="EM21" i="3"/>
  <c r="EN21" i="3"/>
  <c r="EO21" i="3"/>
  <c r="EP21" i="3"/>
  <c r="EQ21" i="3"/>
  <c r="ER21" i="3"/>
  <c r="ES21" i="3"/>
  <c r="ET21" i="3"/>
  <c r="EU21" i="3"/>
  <c r="EV21" i="3"/>
  <c r="EW21" i="3"/>
  <c r="EX21" i="3"/>
  <c r="EY21" i="3"/>
  <c r="EZ21" i="3"/>
  <c r="FA21" i="3"/>
  <c r="FB21" i="3"/>
  <c r="FC21" i="3"/>
  <c r="FD21" i="3"/>
  <c r="FE21" i="3"/>
  <c r="FF21" i="3"/>
  <c r="FG21" i="3"/>
  <c r="FH21" i="3"/>
  <c r="FI21" i="3"/>
  <c r="FJ21" i="3"/>
  <c r="FK21" i="3"/>
  <c r="FL21" i="3"/>
  <c r="FM21" i="3"/>
  <c r="FN21" i="3"/>
  <c r="FO21" i="3"/>
  <c r="FP21" i="3"/>
  <c r="FQ21" i="3"/>
  <c r="FR21" i="3"/>
  <c r="FS21" i="3"/>
  <c r="FT21" i="3"/>
  <c r="FU21" i="3"/>
  <c r="FV21" i="3"/>
  <c r="FW21" i="3"/>
  <c r="FX21" i="3"/>
  <c r="FY21" i="3"/>
  <c r="FZ21" i="3"/>
  <c r="GA21" i="3"/>
  <c r="GB21" i="3"/>
  <c r="GC21" i="3"/>
  <c r="GD21" i="3"/>
  <c r="GE21" i="3"/>
  <c r="GF21" i="3"/>
  <c r="GG21" i="3"/>
  <c r="GH21" i="3"/>
  <c r="GI21" i="3"/>
  <c r="GJ21" i="3"/>
  <c r="GK21" i="3"/>
  <c r="GL21" i="3"/>
  <c r="GM21" i="3"/>
  <c r="GN21" i="3"/>
  <c r="GO21" i="3"/>
  <c r="GP21" i="3"/>
  <c r="GQ21" i="3"/>
  <c r="GR21" i="3"/>
  <c r="GS21" i="3"/>
  <c r="GT21" i="3"/>
  <c r="GU21" i="3"/>
  <c r="GV21" i="3"/>
  <c r="GW21" i="3"/>
  <c r="GX21" i="3"/>
  <c r="GY21" i="3"/>
  <c r="GZ21" i="3"/>
  <c r="HA21" i="3"/>
  <c r="HB21" i="3"/>
  <c r="HC21" i="3"/>
  <c r="HD21" i="3"/>
  <c r="HE21" i="3"/>
  <c r="HF21" i="3"/>
  <c r="HG21" i="3"/>
  <c r="HH21" i="3"/>
  <c r="HI21" i="3"/>
  <c r="HJ21" i="3"/>
  <c r="HK21" i="3"/>
  <c r="HL21" i="3"/>
  <c r="HM21" i="3"/>
  <c r="HN21" i="3"/>
  <c r="HO21" i="3"/>
  <c r="HP21" i="3"/>
  <c r="HQ21" i="3"/>
  <c r="HR21" i="3"/>
  <c r="HS21" i="3"/>
  <c r="HT21" i="3"/>
  <c r="HU21" i="3"/>
  <c r="HV21" i="3"/>
  <c r="HW21" i="3"/>
  <c r="HX21" i="3"/>
  <c r="HY21" i="3"/>
  <c r="HZ21" i="3"/>
  <c r="IA21" i="3"/>
  <c r="IB21" i="3"/>
  <c r="IC21" i="3"/>
  <c r="ID21" i="3"/>
  <c r="IE21" i="3"/>
  <c r="IF21" i="3"/>
  <c r="IG21" i="3"/>
  <c r="IH21" i="3"/>
  <c r="II21" i="3"/>
  <c r="IJ21" i="3"/>
  <c r="IK21" i="3"/>
  <c r="IL21" i="3"/>
  <c r="IM21" i="3"/>
  <c r="IN21" i="3"/>
  <c r="IO21" i="3"/>
  <c r="IP21" i="3"/>
  <c r="IQ21" i="3"/>
  <c r="IR21" i="3"/>
  <c r="IS21" i="3"/>
  <c r="IT21" i="3"/>
  <c r="IU21" i="3"/>
  <c r="IV21" i="3"/>
  <c r="A20" i="3"/>
  <c r="B20" i="3"/>
  <c r="C20" i="3"/>
  <c r="D20" i="3"/>
  <c r="E20" i="3"/>
  <c r="F20" i="3"/>
  <c r="G20" i="3"/>
  <c r="H20" i="3"/>
  <c r="I20" i="3"/>
  <c r="J20" i="3"/>
  <c r="K20" i="3"/>
  <c r="L20" i="3"/>
  <c r="M20" i="3"/>
  <c r="N20" i="3"/>
  <c r="O20" i="3"/>
  <c r="P20" i="3"/>
  <c r="Q20" i="3"/>
  <c r="R20" i="3"/>
  <c r="S20" i="3"/>
  <c r="T20" i="3"/>
  <c r="U20" i="3"/>
  <c r="V20" i="3"/>
  <c r="W20" i="3"/>
  <c r="X20" i="3"/>
  <c r="Y20" i="3"/>
  <c r="Z20" i="3"/>
  <c r="AA20" i="3"/>
  <c r="AB20" i="3"/>
  <c r="AC20" i="3"/>
  <c r="AD20" i="3"/>
  <c r="AE20" i="3"/>
  <c r="AF20" i="3"/>
  <c r="AG20" i="3"/>
  <c r="AH20" i="3"/>
  <c r="AI20" i="3"/>
  <c r="AJ20" i="3"/>
  <c r="AK20" i="3"/>
  <c r="AL20" i="3"/>
  <c r="AM20" i="3"/>
  <c r="AN20" i="3"/>
  <c r="AO20" i="3"/>
  <c r="AP20" i="3"/>
  <c r="AQ20" i="3"/>
  <c r="AR20" i="3"/>
  <c r="AS20" i="3"/>
  <c r="AT20" i="3"/>
  <c r="AU20" i="3"/>
  <c r="AV20" i="3"/>
  <c r="AW20" i="3"/>
  <c r="AX20" i="3"/>
  <c r="AY20" i="3"/>
  <c r="AZ20" i="3"/>
  <c r="BA20" i="3"/>
  <c r="BB20" i="3"/>
  <c r="BC20" i="3"/>
  <c r="BD20" i="3"/>
  <c r="BE20" i="3"/>
  <c r="BF20" i="3"/>
  <c r="BG20" i="3"/>
  <c r="BH20" i="3"/>
  <c r="BI20" i="3"/>
  <c r="BJ20" i="3"/>
  <c r="BK20" i="3"/>
  <c r="BL20" i="3"/>
  <c r="BM20" i="3"/>
  <c r="BN20" i="3"/>
  <c r="BO20" i="3"/>
  <c r="BP20" i="3"/>
  <c r="BQ20" i="3"/>
  <c r="BR20" i="3"/>
  <c r="BS20" i="3"/>
  <c r="BT20" i="3"/>
  <c r="BU20" i="3"/>
  <c r="BV20" i="3"/>
  <c r="BW20" i="3"/>
  <c r="BX20" i="3"/>
  <c r="BY20" i="3"/>
  <c r="BZ20" i="3"/>
  <c r="CA20" i="3"/>
  <c r="CB20" i="3"/>
  <c r="CC20" i="3"/>
  <c r="CD20" i="3"/>
  <c r="CE20" i="3"/>
  <c r="CF20" i="3"/>
  <c r="CG20" i="3"/>
  <c r="CH20" i="3"/>
  <c r="CI20" i="3"/>
  <c r="CJ20" i="3"/>
  <c r="CK20" i="3"/>
  <c r="CL20" i="3"/>
  <c r="CM20" i="3"/>
  <c r="CN20" i="3"/>
  <c r="CO20" i="3"/>
  <c r="CP20" i="3"/>
  <c r="CQ20" i="3"/>
  <c r="CR20" i="3"/>
  <c r="CS20" i="3"/>
  <c r="CT20" i="3"/>
  <c r="CU20" i="3"/>
  <c r="CV20" i="3"/>
  <c r="CW20" i="3"/>
  <c r="CX20" i="3"/>
  <c r="CY20" i="3"/>
  <c r="CZ20" i="3"/>
  <c r="DA20" i="3"/>
  <c r="DB20" i="3"/>
  <c r="DC20" i="3"/>
  <c r="DD20" i="3"/>
  <c r="DE20" i="3"/>
  <c r="DF20" i="3"/>
  <c r="DG20" i="3"/>
  <c r="DH20" i="3"/>
  <c r="DI20" i="3"/>
  <c r="DJ20" i="3"/>
  <c r="DK20" i="3"/>
  <c r="DL20" i="3"/>
  <c r="DM20" i="3"/>
  <c r="DN20" i="3"/>
  <c r="DO20" i="3"/>
  <c r="DP20" i="3"/>
  <c r="DQ20" i="3"/>
  <c r="DR20" i="3"/>
  <c r="DS20" i="3"/>
  <c r="DT20" i="3"/>
  <c r="DU20" i="3"/>
  <c r="DV20" i="3"/>
  <c r="DW20" i="3"/>
  <c r="DX20" i="3"/>
  <c r="DY20" i="3"/>
  <c r="DZ20" i="3"/>
  <c r="EA20" i="3"/>
  <c r="EB20" i="3"/>
  <c r="EC20" i="3"/>
  <c r="ED20" i="3"/>
  <c r="EE20" i="3"/>
  <c r="EF20" i="3"/>
  <c r="EG20" i="3"/>
  <c r="EH20" i="3"/>
  <c r="EI20" i="3"/>
  <c r="EJ20" i="3"/>
  <c r="EK20" i="3"/>
  <c r="EL20" i="3"/>
  <c r="EM20" i="3"/>
  <c r="EN20" i="3"/>
  <c r="EO20" i="3"/>
  <c r="EP20" i="3"/>
  <c r="EQ20" i="3"/>
  <c r="ER20" i="3"/>
  <c r="ES20" i="3"/>
  <c r="ET20" i="3"/>
  <c r="EU20" i="3"/>
  <c r="EV20" i="3"/>
  <c r="EW20" i="3"/>
  <c r="EX20" i="3"/>
  <c r="EY20" i="3"/>
  <c r="EZ20" i="3"/>
  <c r="FA20" i="3"/>
  <c r="FB20" i="3"/>
  <c r="FC20" i="3"/>
  <c r="FD20" i="3"/>
  <c r="FE20" i="3"/>
  <c r="FF20" i="3"/>
  <c r="FG20" i="3"/>
  <c r="FH20" i="3"/>
  <c r="FI20" i="3"/>
  <c r="FJ20" i="3"/>
  <c r="FK20" i="3"/>
  <c r="FL20" i="3"/>
  <c r="FM20" i="3"/>
  <c r="FN20" i="3"/>
  <c r="FO20" i="3"/>
  <c r="FP20" i="3"/>
  <c r="FQ20" i="3"/>
  <c r="FR20" i="3"/>
  <c r="FS20" i="3"/>
  <c r="FT20" i="3"/>
  <c r="FU20" i="3"/>
  <c r="FV20" i="3"/>
  <c r="FW20" i="3"/>
  <c r="FX20" i="3"/>
  <c r="FY20" i="3"/>
  <c r="FZ20" i="3"/>
  <c r="GA20" i="3"/>
  <c r="GB20" i="3"/>
  <c r="GC20" i="3"/>
  <c r="GD20" i="3"/>
  <c r="GE20" i="3"/>
  <c r="GF20" i="3"/>
  <c r="GG20" i="3"/>
  <c r="GH20" i="3"/>
  <c r="GI20" i="3"/>
  <c r="GJ20" i="3"/>
  <c r="GK20" i="3"/>
  <c r="GL20" i="3"/>
  <c r="GM20" i="3"/>
  <c r="GN20" i="3"/>
  <c r="GO20" i="3"/>
  <c r="GP20" i="3"/>
  <c r="GQ20" i="3"/>
  <c r="GR20" i="3"/>
  <c r="GS20" i="3"/>
  <c r="GT20" i="3"/>
  <c r="GU20" i="3"/>
  <c r="GV20" i="3"/>
  <c r="GW20" i="3"/>
  <c r="GX20" i="3"/>
  <c r="GY20" i="3"/>
  <c r="GZ20" i="3"/>
  <c r="HA20" i="3"/>
  <c r="HB20" i="3"/>
  <c r="HC20" i="3"/>
  <c r="HD20" i="3"/>
  <c r="HE20" i="3"/>
  <c r="HF20" i="3"/>
  <c r="HG20" i="3"/>
  <c r="HH20" i="3"/>
  <c r="HI20" i="3"/>
  <c r="HJ20" i="3"/>
  <c r="HK20" i="3"/>
  <c r="HL20" i="3"/>
  <c r="HM20" i="3"/>
  <c r="HN20" i="3"/>
  <c r="HO20" i="3"/>
  <c r="HP20" i="3"/>
  <c r="HQ20" i="3"/>
  <c r="HR20" i="3"/>
  <c r="HS20" i="3"/>
  <c r="HT20" i="3"/>
  <c r="HU20" i="3"/>
  <c r="HV20" i="3"/>
  <c r="HW20" i="3"/>
  <c r="HX20" i="3"/>
  <c r="HY20" i="3"/>
  <c r="HZ20" i="3"/>
  <c r="IA20" i="3"/>
  <c r="IB20" i="3"/>
  <c r="IC20" i="3"/>
  <c r="ID20" i="3"/>
  <c r="IE20" i="3"/>
  <c r="IF20" i="3"/>
  <c r="IG20" i="3"/>
  <c r="IH20" i="3"/>
  <c r="II20" i="3"/>
  <c r="IJ20" i="3"/>
  <c r="IK20" i="3"/>
  <c r="IL20" i="3"/>
  <c r="IM20" i="3"/>
  <c r="IN20" i="3"/>
  <c r="IO20" i="3"/>
  <c r="IP20" i="3"/>
  <c r="IQ20" i="3"/>
  <c r="IR20" i="3"/>
  <c r="IS20" i="3"/>
  <c r="IT20" i="3"/>
  <c r="IU20" i="3"/>
  <c r="IV20" i="3"/>
  <c r="A19" i="3"/>
  <c r="B19" i="3"/>
  <c r="C19" i="3"/>
  <c r="D19" i="3"/>
  <c r="E19" i="3"/>
  <c r="F19" i="3"/>
  <c r="G19" i="3"/>
  <c r="H19" i="3"/>
  <c r="I19" i="3"/>
  <c r="J19" i="3"/>
  <c r="K19" i="3"/>
  <c r="L19" i="3"/>
  <c r="M19" i="3"/>
  <c r="N19" i="3"/>
  <c r="O19" i="3"/>
  <c r="P19" i="3"/>
  <c r="Q19" i="3"/>
  <c r="R19" i="3"/>
  <c r="S19" i="3"/>
  <c r="T19" i="3"/>
  <c r="U19" i="3"/>
  <c r="V19" i="3"/>
  <c r="W19" i="3"/>
  <c r="X19" i="3"/>
  <c r="Y19" i="3"/>
  <c r="Z19" i="3"/>
  <c r="AA19" i="3"/>
  <c r="AB19" i="3"/>
  <c r="AC19" i="3"/>
  <c r="AD19" i="3"/>
  <c r="AE19" i="3"/>
  <c r="AF19" i="3"/>
  <c r="AG19" i="3"/>
  <c r="AH19" i="3"/>
  <c r="AI19" i="3"/>
  <c r="AJ19" i="3"/>
  <c r="AK19" i="3"/>
  <c r="AL19" i="3"/>
  <c r="AM19" i="3"/>
  <c r="AN19" i="3"/>
  <c r="AO19" i="3"/>
  <c r="AP19" i="3"/>
  <c r="AQ19" i="3"/>
  <c r="AR19" i="3"/>
  <c r="AS19" i="3"/>
  <c r="AT19" i="3"/>
  <c r="AU19" i="3"/>
  <c r="AV19" i="3"/>
  <c r="AW19" i="3"/>
  <c r="AX19" i="3"/>
  <c r="AY19" i="3"/>
  <c r="AZ19" i="3"/>
  <c r="BA19" i="3"/>
  <c r="BB19" i="3"/>
  <c r="BC19" i="3"/>
  <c r="BD19" i="3"/>
  <c r="BE19" i="3"/>
  <c r="BF19" i="3"/>
  <c r="BG19" i="3"/>
  <c r="BH19" i="3"/>
  <c r="BI19" i="3"/>
  <c r="BJ19" i="3"/>
  <c r="BK19" i="3"/>
  <c r="BL19" i="3"/>
  <c r="BM19" i="3"/>
  <c r="BN19" i="3"/>
  <c r="BO19" i="3"/>
  <c r="BP19" i="3"/>
  <c r="BQ19" i="3"/>
  <c r="BR19" i="3"/>
  <c r="BS19" i="3"/>
  <c r="BT19" i="3"/>
  <c r="BU19" i="3"/>
  <c r="BV19" i="3"/>
  <c r="BW19" i="3"/>
  <c r="BX19" i="3"/>
  <c r="BY19" i="3"/>
  <c r="BZ19" i="3"/>
  <c r="CA19" i="3"/>
  <c r="CB19" i="3"/>
  <c r="CC19" i="3"/>
  <c r="CD19" i="3"/>
  <c r="CE19" i="3"/>
  <c r="CF19" i="3"/>
  <c r="CG19" i="3"/>
  <c r="CH19" i="3"/>
  <c r="CI19" i="3"/>
  <c r="CJ19" i="3"/>
  <c r="CK19" i="3"/>
  <c r="CL19" i="3"/>
  <c r="CM19" i="3"/>
  <c r="CN19" i="3"/>
  <c r="CO19" i="3"/>
  <c r="CP19" i="3"/>
  <c r="CQ19" i="3"/>
  <c r="CR19" i="3"/>
  <c r="CS19" i="3"/>
  <c r="CT19" i="3"/>
  <c r="CU19" i="3"/>
  <c r="CV19" i="3"/>
  <c r="CW19" i="3"/>
  <c r="CX19" i="3"/>
  <c r="CY19" i="3"/>
  <c r="CZ19" i="3"/>
  <c r="DA19" i="3"/>
  <c r="DB19" i="3"/>
  <c r="DC19" i="3"/>
  <c r="DD19" i="3"/>
  <c r="DE19" i="3"/>
  <c r="DF19" i="3"/>
  <c r="DG19" i="3"/>
  <c r="DH19" i="3"/>
  <c r="DI19" i="3"/>
  <c r="DJ19" i="3"/>
  <c r="DK19" i="3"/>
  <c r="DL19" i="3"/>
  <c r="DM19" i="3"/>
  <c r="DN19" i="3"/>
  <c r="DO19" i="3"/>
  <c r="DP19" i="3"/>
  <c r="DQ19" i="3"/>
  <c r="DR19" i="3"/>
  <c r="DS19" i="3"/>
  <c r="DT19" i="3"/>
  <c r="DU19" i="3"/>
  <c r="DV19" i="3"/>
  <c r="DW19" i="3"/>
  <c r="DX19" i="3"/>
  <c r="DY19" i="3"/>
  <c r="DZ19" i="3"/>
  <c r="EA19" i="3"/>
  <c r="EB19" i="3"/>
  <c r="EC19" i="3"/>
  <c r="ED19" i="3"/>
  <c r="EE19" i="3"/>
  <c r="EF19" i="3"/>
  <c r="EG19" i="3"/>
  <c r="EH19" i="3"/>
  <c r="EI19" i="3"/>
  <c r="EJ19" i="3"/>
  <c r="EK19" i="3"/>
  <c r="EL19" i="3"/>
  <c r="EM19" i="3"/>
  <c r="EN19" i="3"/>
  <c r="EO19" i="3"/>
  <c r="EP19" i="3"/>
  <c r="EQ19" i="3"/>
  <c r="ER19" i="3"/>
  <c r="ES19" i="3"/>
  <c r="ET19" i="3"/>
  <c r="EU19" i="3"/>
  <c r="EV19" i="3"/>
  <c r="EW19" i="3"/>
  <c r="EX19" i="3"/>
  <c r="EY19" i="3"/>
  <c r="EZ19" i="3"/>
  <c r="FA19" i="3"/>
  <c r="FB19" i="3"/>
  <c r="FC19" i="3"/>
  <c r="FD19" i="3"/>
  <c r="FE19" i="3"/>
  <c r="FF19" i="3"/>
  <c r="FG19" i="3"/>
  <c r="FH19" i="3"/>
  <c r="FI19" i="3"/>
  <c r="FJ19" i="3"/>
  <c r="FK19" i="3"/>
  <c r="FL19" i="3"/>
  <c r="FM19" i="3"/>
  <c r="FN19" i="3"/>
  <c r="FO19" i="3"/>
  <c r="FP19" i="3"/>
  <c r="FQ19" i="3"/>
  <c r="FR19" i="3"/>
  <c r="FS19" i="3"/>
  <c r="FT19" i="3"/>
  <c r="FU19" i="3"/>
  <c r="FV19" i="3"/>
  <c r="FW19" i="3"/>
  <c r="FX19" i="3"/>
  <c r="FY19" i="3"/>
  <c r="FZ19" i="3"/>
  <c r="GA19" i="3"/>
  <c r="GB19" i="3"/>
  <c r="GC19" i="3"/>
  <c r="GD19" i="3"/>
  <c r="GE19" i="3"/>
  <c r="GF19" i="3"/>
  <c r="GG19" i="3"/>
  <c r="GH19" i="3"/>
  <c r="GI19" i="3"/>
  <c r="GJ19" i="3"/>
  <c r="GK19" i="3"/>
  <c r="GL19" i="3"/>
  <c r="GM19" i="3"/>
  <c r="GN19" i="3"/>
  <c r="GO19" i="3"/>
  <c r="GP19" i="3"/>
  <c r="GQ19" i="3"/>
  <c r="GR19" i="3"/>
  <c r="GS19" i="3"/>
  <c r="GT19" i="3"/>
  <c r="GU19" i="3"/>
  <c r="GV19" i="3"/>
  <c r="GW19" i="3"/>
  <c r="GX19" i="3"/>
  <c r="GY19" i="3"/>
  <c r="GZ19" i="3"/>
  <c r="HA19" i="3"/>
  <c r="HB19" i="3"/>
  <c r="HC19" i="3"/>
  <c r="HD19" i="3"/>
  <c r="HE19" i="3"/>
  <c r="HF19" i="3"/>
  <c r="HG19" i="3"/>
  <c r="HH19" i="3"/>
  <c r="HI19" i="3"/>
  <c r="HJ19" i="3"/>
  <c r="HK19" i="3"/>
  <c r="HL19" i="3"/>
  <c r="HM19" i="3"/>
  <c r="HN19" i="3"/>
  <c r="HO19" i="3"/>
  <c r="HP19" i="3"/>
  <c r="HQ19" i="3"/>
  <c r="HR19" i="3"/>
  <c r="HS19" i="3"/>
  <c r="HT19" i="3"/>
  <c r="HU19" i="3"/>
  <c r="HV19" i="3"/>
  <c r="HW19" i="3"/>
  <c r="HX19" i="3"/>
  <c r="HY19" i="3"/>
  <c r="HZ19" i="3"/>
  <c r="IA19" i="3"/>
  <c r="IB19" i="3"/>
  <c r="IC19" i="3"/>
  <c r="ID19" i="3"/>
  <c r="IE19" i="3"/>
  <c r="IF19" i="3"/>
  <c r="IG19" i="3"/>
  <c r="IH19" i="3"/>
  <c r="II19" i="3"/>
  <c r="IJ19" i="3"/>
  <c r="IK19" i="3"/>
  <c r="IL19" i="3"/>
  <c r="IM19" i="3"/>
  <c r="IN19" i="3"/>
  <c r="IO19" i="3"/>
  <c r="IP19" i="3"/>
  <c r="IQ19" i="3"/>
  <c r="IR19" i="3"/>
  <c r="IS19" i="3"/>
  <c r="IT19" i="3"/>
  <c r="IU19" i="3"/>
  <c r="IV19" i="3"/>
  <c r="A18" i="3"/>
  <c r="B18" i="3"/>
  <c r="C18" i="3"/>
  <c r="D18" i="3"/>
  <c r="E18" i="3"/>
  <c r="F18" i="3"/>
  <c r="G18" i="3"/>
  <c r="H18" i="3"/>
  <c r="I18" i="3"/>
  <c r="J18" i="3"/>
  <c r="K18" i="3"/>
  <c r="L18" i="3"/>
  <c r="M18" i="3"/>
  <c r="N18" i="3"/>
  <c r="O18" i="3"/>
  <c r="P18" i="3"/>
  <c r="Q18" i="3"/>
  <c r="R18" i="3"/>
  <c r="S18" i="3"/>
  <c r="T18" i="3"/>
  <c r="U18" i="3"/>
  <c r="V18" i="3"/>
  <c r="W18" i="3"/>
  <c r="X18" i="3"/>
  <c r="Y18" i="3"/>
  <c r="Z18" i="3"/>
  <c r="AA18" i="3"/>
  <c r="AB18" i="3"/>
  <c r="AC18" i="3"/>
  <c r="AD18" i="3"/>
  <c r="AE18" i="3"/>
  <c r="AF18" i="3"/>
  <c r="AG18" i="3"/>
  <c r="AH18" i="3"/>
  <c r="AI18" i="3"/>
  <c r="AJ18" i="3"/>
  <c r="AK18" i="3"/>
  <c r="AL18" i="3"/>
  <c r="AM18" i="3"/>
  <c r="AN18" i="3"/>
  <c r="AO18" i="3"/>
  <c r="AP18" i="3"/>
  <c r="AQ18" i="3"/>
  <c r="AR18" i="3"/>
  <c r="AS18" i="3"/>
  <c r="AT18" i="3"/>
  <c r="AU18" i="3"/>
  <c r="AV18" i="3"/>
  <c r="AW18" i="3"/>
  <c r="AX18" i="3"/>
  <c r="AY18" i="3"/>
  <c r="AZ18" i="3"/>
  <c r="BA18" i="3"/>
  <c r="BB18" i="3"/>
  <c r="BC18" i="3"/>
  <c r="BD18" i="3"/>
  <c r="BE18" i="3"/>
  <c r="BF18" i="3"/>
  <c r="BG18" i="3"/>
  <c r="BH18" i="3"/>
  <c r="BI18" i="3"/>
  <c r="BJ18" i="3"/>
  <c r="BK18" i="3"/>
  <c r="BL18" i="3"/>
  <c r="BM18" i="3"/>
  <c r="BN18" i="3"/>
  <c r="BO18" i="3"/>
  <c r="BP18" i="3"/>
  <c r="BQ18" i="3"/>
  <c r="BR18" i="3"/>
  <c r="BS18" i="3"/>
  <c r="BT18" i="3"/>
  <c r="BU18" i="3"/>
  <c r="BV18" i="3"/>
  <c r="BW18" i="3"/>
  <c r="BX18" i="3"/>
  <c r="BY18" i="3"/>
  <c r="BZ18" i="3"/>
  <c r="CA18" i="3"/>
  <c r="CB18" i="3"/>
  <c r="CC18" i="3"/>
  <c r="CD18" i="3"/>
  <c r="CE18" i="3"/>
  <c r="CF18" i="3"/>
  <c r="CG18" i="3"/>
  <c r="CH18" i="3"/>
  <c r="CI18" i="3"/>
  <c r="CJ18" i="3"/>
  <c r="CK18" i="3"/>
  <c r="CL18" i="3"/>
  <c r="CM18" i="3"/>
  <c r="CN18" i="3"/>
  <c r="CO18" i="3"/>
  <c r="CP18" i="3"/>
  <c r="CQ18" i="3"/>
  <c r="CR18" i="3"/>
  <c r="CS18" i="3"/>
  <c r="CT18" i="3"/>
  <c r="CU18" i="3"/>
  <c r="CV18" i="3"/>
  <c r="CW18" i="3"/>
  <c r="CX18" i="3"/>
  <c r="CY18" i="3"/>
  <c r="CZ18" i="3"/>
  <c r="DA18" i="3"/>
  <c r="DB18" i="3"/>
  <c r="DC18" i="3"/>
  <c r="DD18" i="3"/>
  <c r="DE18" i="3"/>
  <c r="DF18" i="3"/>
  <c r="DG18" i="3"/>
  <c r="DH18" i="3"/>
  <c r="DI18" i="3"/>
  <c r="DJ18" i="3"/>
  <c r="DK18" i="3"/>
  <c r="DL18" i="3"/>
  <c r="DM18" i="3"/>
  <c r="DN18" i="3"/>
  <c r="DO18" i="3"/>
  <c r="DP18" i="3"/>
  <c r="DQ18" i="3"/>
  <c r="DR18" i="3"/>
  <c r="DS18" i="3"/>
  <c r="DT18" i="3"/>
  <c r="DU18" i="3"/>
  <c r="DV18" i="3"/>
  <c r="DW18" i="3"/>
  <c r="DX18" i="3"/>
  <c r="DY18" i="3"/>
  <c r="DZ18" i="3"/>
  <c r="EA18" i="3"/>
  <c r="EB18" i="3"/>
  <c r="EC18" i="3"/>
  <c r="ED18" i="3"/>
  <c r="EE18" i="3"/>
  <c r="EF18" i="3"/>
  <c r="EG18" i="3"/>
  <c r="EH18" i="3"/>
  <c r="EI18" i="3"/>
  <c r="EJ18" i="3"/>
  <c r="EK18" i="3"/>
  <c r="EL18" i="3"/>
  <c r="EM18" i="3"/>
  <c r="EN18" i="3"/>
  <c r="EO18" i="3"/>
  <c r="EP18" i="3"/>
  <c r="EQ18" i="3"/>
  <c r="ER18" i="3"/>
  <c r="ES18" i="3"/>
  <c r="ET18" i="3"/>
  <c r="EU18" i="3"/>
  <c r="EV18" i="3"/>
  <c r="EW18" i="3"/>
  <c r="EX18" i="3"/>
  <c r="EY18" i="3"/>
  <c r="EZ18" i="3"/>
  <c r="FA18" i="3"/>
  <c r="FB18" i="3"/>
  <c r="FC18" i="3"/>
  <c r="FD18" i="3"/>
  <c r="FE18" i="3"/>
  <c r="FF18" i="3"/>
  <c r="FG18" i="3"/>
  <c r="FH18" i="3"/>
  <c r="FI18" i="3"/>
  <c r="FJ18" i="3"/>
  <c r="FK18" i="3"/>
  <c r="FL18" i="3"/>
  <c r="FM18" i="3"/>
  <c r="FN18" i="3"/>
  <c r="FO18" i="3"/>
  <c r="FP18" i="3"/>
  <c r="FQ18" i="3"/>
  <c r="FR18" i="3"/>
  <c r="FS18" i="3"/>
  <c r="FT18" i="3"/>
  <c r="FU18" i="3"/>
  <c r="FV18" i="3"/>
  <c r="FW18" i="3"/>
  <c r="FX18" i="3"/>
  <c r="FY18" i="3"/>
  <c r="FZ18" i="3"/>
  <c r="GA18" i="3"/>
  <c r="GB18" i="3"/>
  <c r="GC18" i="3"/>
  <c r="GD18" i="3"/>
  <c r="GE18" i="3"/>
  <c r="GF18" i="3"/>
  <c r="GG18" i="3"/>
  <c r="GH18" i="3"/>
  <c r="GI18" i="3"/>
  <c r="GJ18" i="3"/>
  <c r="GK18" i="3"/>
  <c r="GL18" i="3"/>
  <c r="GM18" i="3"/>
  <c r="GN18" i="3"/>
  <c r="GO18" i="3"/>
  <c r="GP18" i="3"/>
  <c r="GQ18" i="3"/>
  <c r="GR18" i="3"/>
  <c r="GS18" i="3"/>
  <c r="GT18" i="3"/>
  <c r="GU18" i="3"/>
  <c r="GV18" i="3"/>
  <c r="GW18" i="3"/>
  <c r="GX18" i="3"/>
  <c r="GY18" i="3"/>
  <c r="GZ18" i="3"/>
  <c r="HA18" i="3"/>
  <c r="HB18" i="3"/>
  <c r="HC18" i="3"/>
  <c r="HD18" i="3"/>
  <c r="HE18" i="3"/>
  <c r="HF18" i="3"/>
  <c r="HG18" i="3"/>
  <c r="HH18" i="3"/>
  <c r="HI18" i="3"/>
  <c r="HJ18" i="3"/>
  <c r="HK18" i="3"/>
  <c r="HL18" i="3"/>
  <c r="HM18" i="3"/>
  <c r="HN18" i="3"/>
  <c r="HO18" i="3"/>
  <c r="HP18" i="3"/>
  <c r="HQ18" i="3"/>
  <c r="HR18" i="3"/>
  <c r="HS18" i="3"/>
  <c r="HT18" i="3"/>
  <c r="HU18" i="3"/>
  <c r="HV18" i="3"/>
  <c r="HW18" i="3"/>
  <c r="HX18" i="3"/>
  <c r="HY18" i="3"/>
  <c r="HZ18" i="3"/>
  <c r="IA18" i="3"/>
  <c r="IB18" i="3"/>
  <c r="IC18" i="3"/>
  <c r="ID18" i="3"/>
  <c r="IE18" i="3"/>
  <c r="IF18" i="3"/>
  <c r="IG18" i="3"/>
  <c r="IH18" i="3"/>
  <c r="II18" i="3"/>
  <c r="IJ18" i="3"/>
  <c r="IK18" i="3"/>
  <c r="IL18" i="3"/>
  <c r="IM18" i="3"/>
  <c r="IN18" i="3"/>
  <c r="IO18" i="3"/>
  <c r="IP18" i="3"/>
  <c r="IQ18" i="3"/>
  <c r="IR18" i="3"/>
  <c r="IS18" i="3"/>
  <c r="IT18" i="3"/>
  <c r="IU18" i="3"/>
  <c r="IV18" i="3"/>
  <c r="A17" i="3"/>
  <c r="B17" i="3"/>
  <c r="C17" i="3"/>
  <c r="D17" i="3"/>
  <c r="E17" i="3"/>
  <c r="F17" i="3"/>
  <c r="G17" i="3"/>
  <c r="H17" i="3"/>
  <c r="I17" i="3"/>
  <c r="J17" i="3"/>
  <c r="K17" i="3"/>
  <c r="L17" i="3"/>
  <c r="M17" i="3"/>
  <c r="N17" i="3"/>
  <c r="O17" i="3"/>
  <c r="P17" i="3"/>
  <c r="Q17" i="3"/>
  <c r="R17" i="3"/>
  <c r="S17" i="3"/>
  <c r="T17" i="3"/>
  <c r="U17" i="3"/>
  <c r="V17" i="3"/>
  <c r="W17" i="3"/>
  <c r="X17" i="3"/>
  <c r="Y17" i="3"/>
  <c r="Z17" i="3"/>
  <c r="AA17" i="3"/>
  <c r="AB17" i="3"/>
  <c r="AC17" i="3"/>
  <c r="AD17" i="3"/>
  <c r="AE17" i="3"/>
  <c r="AF17" i="3"/>
  <c r="AG17" i="3"/>
  <c r="AH17" i="3"/>
  <c r="AI17" i="3"/>
  <c r="AJ17" i="3"/>
  <c r="AK17" i="3"/>
  <c r="AL17" i="3"/>
  <c r="AM17" i="3"/>
  <c r="AN17" i="3"/>
  <c r="AO17" i="3"/>
  <c r="AP17" i="3"/>
  <c r="AQ17" i="3"/>
  <c r="AR17" i="3"/>
  <c r="AS17" i="3"/>
  <c r="AT17" i="3"/>
  <c r="AU17" i="3"/>
  <c r="AV17" i="3"/>
  <c r="AW17" i="3"/>
  <c r="AX17" i="3"/>
  <c r="AY17" i="3"/>
  <c r="AZ17" i="3"/>
  <c r="BA17" i="3"/>
  <c r="BB17" i="3"/>
  <c r="BC17" i="3"/>
  <c r="BD17" i="3"/>
  <c r="BE17" i="3"/>
  <c r="BF17" i="3"/>
  <c r="BG17" i="3"/>
  <c r="BH17" i="3"/>
  <c r="BI17" i="3"/>
  <c r="BJ17" i="3"/>
  <c r="BK17" i="3"/>
  <c r="BL17" i="3"/>
  <c r="BM17" i="3"/>
  <c r="BN17" i="3"/>
  <c r="BO17" i="3"/>
  <c r="BP17" i="3"/>
  <c r="BQ17" i="3"/>
  <c r="BR17" i="3"/>
  <c r="BS17" i="3"/>
  <c r="BT17" i="3"/>
  <c r="BU17" i="3"/>
  <c r="BV17" i="3"/>
  <c r="BW17" i="3"/>
  <c r="BX17" i="3"/>
  <c r="BY17" i="3"/>
  <c r="BZ17" i="3"/>
  <c r="CA17" i="3"/>
  <c r="CB17" i="3"/>
  <c r="CC17" i="3"/>
  <c r="CD17" i="3"/>
  <c r="CE17" i="3"/>
  <c r="CF17" i="3"/>
  <c r="CG17" i="3"/>
  <c r="CH17" i="3"/>
  <c r="CI17" i="3"/>
  <c r="CJ17" i="3"/>
  <c r="CK17" i="3"/>
  <c r="CL17" i="3"/>
  <c r="CM17" i="3"/>
  <c r="CN17" i="3"/>
  <c r="CO17" i="3"/>
  <c r="CP17" i="3"/>
  <c r="CQ17" i="3"/>
  <c r="CR17" i="3"/>
  <c r="CS17" i="3"/>
  <c r="CT17" i="3"/>
  <c r="CU17" i="3"/>
  <c r="CV17" i="3"/>
  <c r="CW17" i="3"/>
  <c r="CX17" i="3"/>
  <c r="CY17" i="3"/>
  <c r="CZ17" i="3"/>
  <c r="DA17" i="3"/>
  <c r="DB17" i="3"/>
  <c r="DC17" i="3"/>
  <c r="DD17" i="3"/>
  <c r="DE17" i="3"/>
  <c r="DF17" i="3"/>
  <c r="DG17" i="3"/>
  <c r="DH17" i="3"/>
  <c r="DI17" i="3"/>
  <c r="DJ17" i="3"/>
  <c r="DK17" i="3"/>
  <c r="DL17" i="3"/>
  <c r="DM17" i="3"/>
  <c r="DN17" i="3"/>
  <c r="DO17" i="3"/>
  <c r="DP17" i="3"/>
  <c r="DQ17" i="3"/>
  <c r="DR17" i="3"/>
  <c r="DS17" i="3"/>
  <c r="DT17" i="3"/>
  <c r="DU17" i="3"/>
  <c r="DV17" i="3"/>
  <c r="DW17" i="3"/>
  <c r="DX17" i="3"/>
  <c r="DY17" i="3"/>
  <c r="DZ17" i="3"/>
  <c r="EA17" i="3"/>
  <c r="EB17" i="3"/>
  <c r="EC17" i="3"/>
  <c r="ED17" i="3"/>
  <c r="EE17" i="3"/>
  <c r="EF17" i="3"/>
  <c r="EG17" i="3"/>
  <c r="EH17" i="3"/>
  <c r="EI17" i="3"/>
  <c r="EJ17" i="3"/>
  <c r="EK17" i="3"/>
  <c r="EL17" i="3"/>
  <c r="EM17" i="3"/>
  <c r="EN17" i="3"/>
  <c r="EO17" i="3"/>
  <c r="EP17" i="3"/>
  <c r="EQ17" i="3"/>
  <c r="ER17" i="3"/>
  <c r="ES17" i="3"/>
  <c r="ET17" i="3"/>
  <c r="EU17" i="3"/>
  <c r="EV17" i="3"/>
  <c r="EW17" i="3"/>
  <c r="EX17" i="3"/>
  <c r="EY17" i="3"/>
  <c r="EZ17" i="3"/>
  <c r="FA17" i="3"/>
  <c r="FB17" i="3"/>
  <c r="FC17" i="3"/>
  <c r="FD17" i="3"/>
  <c r="FE17" i="3"/>
  <c r="FF17" i="3"/>
  <c r="FG17" i="3"/>
  <c r="FH17" i="3"/>
  <c r="FI17" i="3"/>
  <c r="FJ17" i="3"/>
  <c r="FK17" i="3"/>
  <c r="FL17" i="3"/>
  <c r="FM17" i="3"/>
  <c r="FN17" i="3"/>
  <c r="FO17" i="3"/>
  <c r="FP17" i="3"/>
  <c r="FQ17" i="3"/>
  <c r="FR17" i="3"/>
  <c r="FS17" i="3"/>
  <c r="FT17" i="3"/>
  <c r="FU17" i="3"/>
  <c r="FV17" i="3"/>
  <c r="FW17" i="3"/>
  <c r="FX17" i="3"/>
  <c r="FY17" i="3"/>
  <c r="FZ17" i="3"/>
  <c r="GA17" i="3"/>
  <c r="GB17" i="3"/>
  <c r="GC17" i="3"/>
  <c r="GD17" i="3"/>
  <c r="GE17" i="3"/>
  <c r="GF17" i="3"/>
  <c r="GG17" i="3"/>
  <c r="GH17" i="3"/>
  <c r="GI17" i="3"/>
  <c r="GJ17" i="3"/>
  <c r="GK17" i="3"/>
  <c r="GL17" i="3"/>
  <c r="GM17" i="3"/>
  <c r="GN17" i="3"/>
  <c r="GO17" i="3"/>
  <c r="GP17" i="3"/>
  <c r="GQ17" i="3"/>
  <c r="GR17" i="3"/>
  <c r="GS17" i="3"/>
  <c r="GT17" i="3"/>
  <c r="GU17" i="3"/>
  <c r="GV17" i="3"/>
  <c r="GW17" i="3"/>
  <c r="GX17" i="3"/>
  <c r="GY17" i="3"/>
  <c r="GZ17" i="3"/>
  <c r="HA17" i="3"/>
  <c r="HB17" i="3"/>
  <c r="HC17" i="3"/>
  <c r="HD17" i="3"/>
  <c r="HE17" i="3"/>
  <c r="HF17" i="3"/>
  <c r="HG17" i="3"/>
  <c r="HH17" i="3"/>
  <c r="HI17" i="3"/>
  <c r="HJ17" i="3"/>
  <c r="HK17" i="3"/>
  <c r="HL17" i="3"/>
  <c r="HM17" i="3"/>
  <c r="HN17" i="3"/>
  <c r="HO17" i="3"/>
  <c r="HP17" i="3"/>
  <c r="HQ17" i="3"/>
  <c r="HR17" i="3"/>
  <c r="HS17" i="3"/>
  <c r="HT17" i="3"/>
  <c r="HU17" i="3"/>
  <c r="HV17" i="3"/>
  <c r="HW17" i="3"/>
  <c r="HX17" i="3"/>
  <c r="HY17" i="3"/>
  <c r="HZ17" i="3"/>
  <c r="IA17" i="3"/>
  <c r="IB17" i="3"/>
  <c r="IC17" i="3"/>
  <c r="ID17" i="3"/>
  <c r="IE17" i="3"/>
  <c r="IF17" i="3"/>
  <c r="IG17" i="3"/>
  <c r="IH17" i="3"/>
  <c r="II17" i="3"/>
  <c r="IJ17" i="3"/>
  <c r="IK17" i="3"/>
  <c r="IL17" i="3"/>
  <c r="IM17" i="3"/>
  <c r="IN17" i="3"/>
  <c r="IO17" i="3"/>
  <c r="IP17" i="3"/>
  <c r="IQ17" i="3"/>
  <c r="IR17" i="3"/>
  <c r="IS17" i="3"/>
  <c r="IT17" i="3"/>
  <c r="IU17" i="3"/>
  <c r="IV17" i="3"/>
  <c r="A16" i="3"/>
  <c r="B16" i="3"/>
  <c r="C16" i="3"/>
  <c r="D16" i="3"/>
  <c r="E16" i="3"/>
  <c r="F16" i="3"/>
  <c r="G16" i="3"/>
  <c r="H16" i="3"/>
  <c r="I16" i="3"/>
  <c r="J16" i="3"/>
  <c r="K16" i="3"/>
  <c r="L16" i="3"/>
  <c r="M16" i="3"/>
  <c r="N16" i="3"/>
  <c r="O16" i="3"/>
  <c r="P16" i="3"/>
  <c r="Q16" i="3"/>
  <c r="R16" i="3"/>
  <c r="S16" i="3"/>
  <c r="T16" i="3"/>
  <c r="U16" i="3"/>
  <c r="V16" i="3"/>
  <c r="W16" i="3"/>
  <c r="X16" i="3"/>
  <c r="Y16" i="3"/>
  <c r="Z16" i="3"/>
  <c r="AA16" i="3"/>
  <c r="AB16" i="3"/>
  <c r="AC16" i="3"/>
  <c r="AD16" i="3"/>
  <c r="AE16" i="3"/>
  <c r="AF16" i="3"/>
  <c r="AG16" i="3"/>
  <c r="AH16" i="3"/>
  <c r="AI16" i="3"/>
  <c r="AJ16" i="3"/>
  <c r="AK16" i="3"/>
  <c r="AL16" i="3"/>
  <c r="AM16" i="3"/>
  <c r="AN16" i="3"/>
  <c r="AO16" i="3"/>
  <c r="AP16" i="3"/>
  <c r="AQ16" i="3"/>
  <c r="AR16" i="3"/>
  <c r="AS16" i="3"/>
  <c r="AT16" i="3"/>
  <c r="AU16" i="3"/>
  <c r="AV16" i="3"/>
  <c r="AW16" i="3"/>
  <c r="AX16" i="3"/>
  <c r="AY16" i="3"/>
  <c r="AZ16" i="3"/>
  <c r="BA16" i="3"/>
  <c r="BB16" i="3"/>
  <c r="BC16" i="3"/>
  <c r="BD16" i="3"/>
  <c r="BE16" i="3"/>
  <c r="BF16" i="3"/>
  <c r="BG16" i="3"/>
  <c r="BH16" i="3"/>
  <c r="BI16" i="3"/>
  <c r="BJ16" i="3"/>
  <c r="BK16" i="3"/>
  <c r="BL16" i="3"/>
  <c r="BM16" i="3"/>
  <c r="BN16" i="3"/>
  <c r="BO16" i="3"/>
  <c r="BP16" i="3"/>
  <c r="BQ16" i="3"/>
  <c r="BR16" i="3"/>
  <c r="BS16" i="3"/>
  <c r="BT16" i="3"/>
  <c r="BU16" i="3"/>
  <c r="BV16" i="3"/>
  <c r="BW16" i="3"/>
  <c r="BX16" i="3"/>
  <c r="BY16" i="3"/>
  <c r="BZ16" i="3"/>
  <c r="CA16" i="3"/>
  <c r="CB16" i="3"/>
  <c r="CC16" i="3"/>
  <c r="CD16" i="3"/>
  <c r="CE16" i="3"/>
  <c r="CF16" i="3"/>
  <c r="CG16" i="3"/>
  <c r="CH16" i="3"/>
  <c r="CI16" i="3"/>
  <c r="CJ16" i="3"/>
  <c r="CK16" i="3"/>
  <c r="CL16" i="3"/>
  <c r="CM16" i="3"/>
  <c r="CN16" i="3"/>
  <c r="CO16" i="3"/>
  <c r="CP16" i="3"/>
  <c r="CQ16" i="3"/>
  <c r="CR16" i="3"/>
  <c r="CS16" i="3"/>
  <c r="CT16" i="3"/>
  <c r="CU16" i="3"/>
  <c r="CV16" i="3"/>
  <c r="CW16" i="3"/>
  <c r="CX16" i="3"/>
  <c r="CY16" i="3"/>
  <c r="CZ16" i="3"/>
  <c r="DA16" i="3"/>
  <c r="DB16" i="3"/>
  <c r="DC16" i="3"/>
  <c r="DD16" i="3"/>
  <c r="DE16" i="3"/>
  <c r="DF16" i="3"/>
  <c r="DG16" i="3"/>
  <c r="DH16" i="3"/>
  <c r="DI16" i="3"/>
  <c r="DJ16" i="3"/>
  <c r="DK16" i="3"/>
  <c r="DL16" i="3"/>
  <c r="DM16" i="3"/>
  <c r="DN16" i="3"/>
  <c r="DO16" i="3"/>
  <c r="DP16" i="3"/>
  <c r="DQ16" i="3"/>
  <c r="DR16" i="3"/>
  <c r="DS16" i="3"/>
  <c r="DT16" i="3"/>
  <c r="DU16" i="3"/>
  <c r="DV16" i="3"/>
  <c r="DW16" i="3"/>
  <c r="DX16" i="3"/>
  <c r="DY16" i="3"/>
  <c r="DZ16" i="3"/>
  <c r="EA16" i="3"/>
  <c r="EB16" i="3"/>
  <c r="EC16" i="3"/>
  <c r="ED16" i="3"/>
  <c r="EE16" i="3"/>
  <c r="EF16" i="3"/>
  <c r="EG16" i="3"/>
  <c r="EH16" i="3"/>
  <c r="EI16" i="3"/>
  <c r="EJ16" i="3"/>
  <c r="EK16" i="3"/>
  <c r="EL16" i="3"/>
  <c r="EM16" i="3"/>
  <c r="EN16" i="3"/>
  <c r="EO16" i="3"/>
  <c r="EP16" i="3"/>
  <c r="EQ16" i="3"/>
  <c r="ER16" i="3"/>
  <c r="ES16" i="3"/>
  <c r="ET16" i="3"/>
  <c r="EU16" i="3"/>
  <c r="EV16" i="3"/>
  <c r="EW16" i="3"/>
  <c r="EX16" i="3"/>
  <c r="EY16" i="3"/>
  <c r="EZ16" i="3"/>
  <c r="FA16" i="3"/>
  <c r="FB16" i="3"/>
  <c r="FC16" i="3"/>
  <c r="FD16" i="3"/>
  <c r="FE16" i="3"/>
  <c r="FF16" i="3"/>
  <c r="FG16" i="3"/>
  <c r="FH16" i="3"/>
  <c r="FI16" i="3"/>
  <c r="FJ16" i="3"/>
  <c r="FK16" i="3"/>
  <c r="FL16" i="3"/>
  <c r="FM16" i="3"/>
  <c r="FN16" i="3"/>
  <c r="FO16" i="3"/>
  <c r="FP16" i="3"/>
  <c r="FQ16" i="3"/>
  <c r="FR16" i="3"/>
  <c r="FS16" i="3"/>
  <c r="FT16" i="3"/>
  <c r="FU16" i="3"/>
  <c r="FV16" i="3"/>
  <c r="FW16" i="3"/>
  <c r="FX16" i="3"/>
  <c r="FY16" i="3"/>
  <c r="FZ16" i="3"/>
  <c r="GA16" i="3"/>
  <c r="GB16" i="3"/>
  <c r="GC16" i="3"/>
  <c r="GD16" i="3"/>
  <c r="GE16" i="3"/>
  <c r="GF16" i="3"/>
  <c r="GG16" i="3"/>
  <c r="GH16" i="3"/>
  <c r="GI16" i="3"/>
  <c r="GJ16" i="3"/>
  <c r="GK16" i="3"/>
  <c r="GL16" i="3"/>
  <c r="GM16" i="3"/>
  <c r="GN16" i="3"/>
  <c r="GO16" i="3"/>
  <c r="GP16" i="3"/>
  <c r="GQ16" i="3"/>
  <c r="GR16" i="3"/>
  <c r="GS16" i="3"/>
  <c r="GT16" i="3"/>
  <c r="GU16" i="3"/>
  <c r="GV16" i="3"/>
  <c r="GW16" i="3"/>
  <c r="GX16" i="3"/>
  <c r="GY16" i="3"/>
  <c r="GZ16" i="3"/>
  <c r="HA16" i="3"/>
  <c r="HB16" i="3"/>
  <c r="HC16" i="3"/>
  <c r="HD16" i="3"/>
  <c r="HE16" i="3"/>
  <c r="HF16" i="3"/>
  <c r="HG16" i="3"/>
  <c r="HH16" i="3"/>
  <c r="HI16" i="3"/>
  <c r="HJ16" i="3"/>
  <c r="HK16" i="3"/>
  <c r="HL16" i="3"/>
  <c r="HM16" i="3"/>
  <c r="HN16" i="3"/>
  <c r="HO16" i="3"/>
  <c r="HP16" i="3"/>
  <c r="HQ16" i="3"/>
  <c r="HR16" i="3"/>
  <c r="HS16" i="3"/>
  <c r="HT16" i="3"/>
  <c r="HU16" i="3"/>
  <c r="HV16" i="3"/>
  <c r="HW16" i="3"/>
  <c r="HX16" i="3"/>
  <c r="HY16" i="3"/>
  <c r="HZ16" i="3"/>
  <c r="IA16" i="3"/>
  <c r="IB16" i="3"/>
  <c r="IC16" i="3"/>
  <c r="ID16" i="3"/>
  <c r="IE16" i="3"/>
  <c r="IF16" i="3"/>
  <c r="IG16" i="3"/>
  <c r="IH16" i="3"/>
  <c r="II16" i="3"/>
  <c r="IJ16" i="3"/>
  <c r="IK16" i="3"/>
  <c r="IL16" i="3"/>
  <c r="IM16" i="3"/>
  <c r="IN16" i="3"/>
  <c r="IO16" i="3"/>
  <c r="IP16" i="3"/>
  <c r="IQ16" i="3"/>
  <c r="IR16" i="3"/>
  <c r="IS16" i="3"/>
  <c r="IT16" i="3"/>
  <c r="IU16" i="3"/>
  <c r="IV16" i="3"/>
  <c r="A15" i="3"/>
  <c r="B15" i="3"/>
  <c r="C15" i="3"/>
  <c r="D15" i="3"/>
  <c r="E15" i="3"/>
  <c r="F15" i="3"/>
  <c r="G15" i="3"/>
  <c r="H15" i="3"/>
  <c r="I15" i="3"/>
  <c r="J15" i="3"/>
  <c r="K15" i="3"/>
  <c r="L15" i="3"/>
  <c r="M15" i="3"/>
  <c r="N15" i="3"/>
  <c r="O15" i="3"/>
  <c r="P15" i="3"/>
  <c r="Q15" i="3"/>
  <c r="R15" i="3"/>
  <c r="S15" i="3"/>
  <c r="T15" i="3"/>
  <c r="U15" i="3"/>
  <c r="V15" i="3"/>
  <c r="W15" i="3"/>
  <c r="X15" i="3"/>
  <c r="Y15" i="3"/>
  <c r="Z15" i="3"/>
  <c r="AA15" i="3"/>
  <c r="AB15" i="3"/>
  <c r="AC15" i="3"/>
  <c r="AD15" i="3"/>
  <c r="AE15" i="3"/>
  <c r="AF15" i="3"/>
  <c r="AG15" i="3"/>
  <c r="AH15" i="3"/>
  <c r="AI15" i="3"/>
  <c r="AJ15" i="3"/>
  <c r="AK15" i="3"/>
  <c r="AL15" i="3"/>
  <c r="AM15" i="3"/>
  <c r="AN15" i="3"/>
  <c r="AO15" i="3"/>
  <c r="AP15" i="3"/>
  <c r="AQ15" i="3"/>
  <c r="AR15" i="3"/>
  <c r="AS15" i="3"/>
  <c r="AT15" i="3"/>
  <c r="AU15" i="3"/>
  <c r="AV15" i="3"/>
  <c r="AW15" i="3"/>
  <c r="AX15" i="3"/>
  <c r="AY15" i="3"/>
  <c r="AZ15" i="3"/>
  <c r="BA15" i="3"/>
  <c r="BB15" i="3"/>
  <c r="BC15" i="3"/>
  <c r="BD15" i="3"/>
  <c r="BE15" i="3"/>
  <c r="BF15" i="3"/>
  <c r="BG15" i="3"/>
  <c r="BH15" i="3"/>
  <c r="BI15" i="3"/>
  <c r="BJ15" i="3"/>
  <c r="BK15" i="3"/>
  <c r="BL15" i="3"/>
  <c r="BM15" i="3"/>
  <c r="BN15" i="3"/>
  <c r="BO15" i="3"/>
  <c r="BP15" i="3"/>
  <c r="BQ15" i="3"/>
  <c r="BR15" i="3"/>
  <c r="BS15" i="3"/>
  <c r="BT15" i="3"/>
  <c r="BU15" i="3"/>
  <c r="BV15" i="3"/>
  <c r="BW15" i="3"/>
  <c r="BX15" i="3"/>
  <c r="BY15" i="3"/>
  <c r="BZ15" i="3"/>
  <c r="CA15" i="3"/>
  <c r="CB15" i="3"/>
  <c r="CC15" i="3"/>
  <c r="CD15" i="3"/>
  <c r="CE15" i="3"/>
  <c r="CF15" i="3"/>
  <c r="CG15" i="3"/>
  <c r="CH15" i="3"/>
  <c r="CI15" i="3"/>
  <c r="CJ15" i="3"/>
  <c r="CK15" i="3"/>
  <c r="CL15" i="3"/>
  <c r="CM15" i="3"/>
  <c r="CN15" i="3"/>
  <c r="CO15" i="3"/>
  <c r="CP15" i="3"/>
  <c r="CQ15" i="3"/>
  <c r="CR15" i="3"/>
  <c r="CS15" i="3"/>
  <c r="CT15" i="3"/>
  <c r="CU15" i="3"/>
  <c r="CV15" i="3"/>
  <c r="CW15" i="3"/>
  <c r="CX15" i="3"/>
  <c r="CY15" i="3"/>
  <c r="CZ15" i="3"/>
  <c r="DA15" i="3"/>
  <c r="DB15" i="3"/>
  <c r="DC15" i="3"/>
  <c r="DD15" i="3"/>
  <c r="DE15" i="3"/>
  <c r="DF15" i="3"/>
  <c r="DG15" i="3"/>
  <c r="DH15" i="3"/>
  <c r="DI15" i="3"/>
  <c r="DJ15" i="3"/>
  <c r="DK15" i="3"/>
  <c r="DL15" i="3"/>
  <c r="DM15" i="3"/>
  <c r="DN15" i="3"/>
  <c r="DO15" i="3"/>
  <c r="DP15" i="3"/>
  <c r="DQ15" i="3"/>
  <c r="DR15" i="3"/>
  <c r="DS15" i="3"/>
  <c r="DT15" i="3"/>
  <c r="DU15" i="3"/>
  <c r="DV15" i="3"/>
  <c r="DW15" i="3"/>
  <c r="DX15" i="3"/>
  <c r="DY15" i="3"/>
  <c r="DZ15" i="3"/>
  <c r="EA15" i="3"/>
  <c r="EB15" i="3"/>
  <c r="EC15" i="3"/>
  <c r="ED15" i="3"/>
  <c r="EE15" i="3"/>
  <c r="EF15" i="3"/>
  <c r="EG15" i="3"/>
  <c r="EH15" i="3"/>
  <c r="EI15" i="3"/>
  <c r="EJ15" i="3"/>
  <c r="EK15" i="3"/>
  <c r="EL15" i="3"/>
  <c r="EM15" i="3"/>
  <c r="EN15" i="3"/>
  <c r="EO15" i="3"/>
  <c r="EP15" i="3"/>
  <c r="EQ15" i="3"/>
  <c r="ER15" i="3"/>
  <c r="ES15" i="3"/>
  <c r="ET15" i="3"/>
  <c r="EU15" i="3"/>
  <c r="EV15" i="3"/>
  <c r="EW15" i="3"/>
  <c r="EX15" i="3"/>
  <c r="EY15" i="3"/>
  <c r="EZ15" i="3"/>
  <c r="FA15" i="3"/>
  <c r="FB15" i="3"/>
  <c r="FC15" i="3"/>
  <c r="FD15" i="3"/>
  <c r="FE15" i="3"/>
  <c r="FF15" i="3"/>
  <c r="FG15" i="3"/>
  <c r="FH15" i="3"/>
  <c r="FI15" i="3"/>
  <c r="FJ15" i="3"/>
  <c r="FK15" i="3"/>
  <c r="FL15" i="3"/>
  <c r="FM15" i="3"/>
  <c r="FN15" i="3"/>
  <c r="FO15" i="3"/>
  <c r="FP15" i="3"/>
  <c r="FQ15" i="3"/>
  <c r="FR15" i="3"/>
  <c r="FS15" i="3"/>
  <c r="FT15" i="3"/>
  <c r="FU15" i="3"/>
  <c r="FV15" i="3"/>
  <c r="FW15" i="3"/>
  <c r="FX15" i="3"/>
  <c r="FY15" i="3"/>
  <c r="FZ15" i="3"/>
  <c r="GA15" i="3"/>
  <c r="GB15" i="3"/>
  <c r="GC15" i="3"/>
  <c r="GD15" i="3"/>
  <c r="GE15" i="3"/>
  <c r="GF15" i="3"/>
  <c r="GG15" i="3"/>
  <c r="GH15" i="3"/>
  <c r="GI15" i="3"/>
  <c r="GJ15" i="3"/>
  <c r="GK15" i="3"/>
  <c r="GL15" i="3"/>
  <c r="GM15" i="3"/>
  <c r="GN15" i="3"/>
  <c r="GO15" i="3"/>
  <c r="GP15" i="3"/>
  <c r="GQ15" i="3"/>
  <c r="GR15" i="3"/>
  <c r="GS15" i="3"/>
  <c r="GT15" i="3"/>
  <c r="GU15" i="3"/>
  <c r="GV15" i="3"/>
  <c r="GW15" i="3"/>
  <c r="GX15" i="3"/>
  <c r="GY15" i="3"/>
  <c r="GZ15" i="3"/>
  <c r="HA15" i="3"/>
  <c r="HB15" i="3"/>
  <c r="HC15" i="3"/>
  <c r="HD15" i="3"/>
  <c r="HE15" i="3"/>
  <c r="HF15" i="3"/>
  <c r="HG15" i="3"/>
  <c r="HH15" i="3"/>
  <c r="HI15" i="3"/>
  <c r="HJ15" i="3"/>
  <c r="HK15" i="3"/>
  <c r="HL15" i="3"/>
  <c r="HM15" i="3"/>
  <c r="HN15" i="3"/>
  <c r="HO15" i="3"/>
  <c r="HP15" i="3"/>
  <c r="HQ15" i="3"/>
  <c r="HR15" i="3"/>
  <c r="HS15" i="3"/>
  <c r="HT15" i="3"/>
  <c r="HU15" i="3"/>
  <c r="HV15" i="3"/>
  <c r="HW15" i="3"/>
  <c r="HX15" i="3"/>
  <c r="HY15" i="3"/>
  <c r="HZ15" i="3"/>
  <c r="IA15" i="3"/>
  <c r="IB15" i="3"/>
  <c r="IC15" i="3"/>
  <c r="ID15" i="3"/>
  <c r="IE15" i="3"/>
  <c r="IF15" i="3"/>
  <c r="IG15" i="3"/>
  <c r="IH15" i="3"/>
  <c r="II15" i="3"/>
  <c r="IJ15" i="3"/>
  <c r="IK15" i="3"/>
  <c r="IL15" i="3"/>
  <c r="IM15" i="3"/>
  <c r="IN15" i="3"/>
  <c r="IO15" i="3"/>
  <c r="IP15" i="3"/>
  <c r="IQ15" i="3"/>
  <c r="IR15" i="3"/>
  <c r="IS15" i="3"/>
  <c r="IT15" i="3"/>
  <c r="IU15" i="3"/>
  <c r="IV15" i="3"/>
  <c r="A14" i="3"/>
  <c r="B14" i="3"/>
  <c r="C14" i="3"/>
  <c r="D14" i="3"/>
  <c r="E14" i="3"/>
  <c r="F14" i="3"/>
  <c r="G14" i="3"/>
  <c r="H14" i="3"/>
  <c r="I14" i="3"/>
  <c r="J14" i="3"/>
  <c r="K14" i="3"/>
  <c r="L14" i="3"/>
  <c r="M14" i="3"/>
  <c r="N14" i="3"/>
  <c r="O14" i="3"/>
  <c r="P14" i="3"/>
  <c r="Q14" i="3"/>
  <c r="R14" i="3"/>
  <c r="S14" i="3"/>
  <c r="T14" i="3"/>
  <c r="U14" i="3"/>
  <c r="V14" i="3"/>
  <c r="W14" i="3"/>
  <c r="X14" i="3"/>
  <c r="Y14" i="3"/>
  <c r="Z14" i="3"/>
  <c r="AA14" i="3"/>
  <c r="AB14" i="3"/>
  <c r="AC14" i="3"/>
  <c r="AD14" i="3"/>
  <c r="AE14" i="3"/>
  <c r="AF14" i="3"/>
  <c r="AG14" i="3"/>
  <c r="AH14" i="3"/>
  <c r="AI14" i="3"/>
  <c r="AJ14" i="3"/>
  <c r="AK14" i="3"/>
  <c r="AL14" i="3"/>
  <c r="AM14" i="3"/>
  <c r="AN14" i="3"/>
  <c r="AO14" i="3"/>
  <c r="AP14" i="3"/>
  <c r="AQ14" i="3"/>
  <c r="AR14" i="3"/>
  <c r="AS14" i="3"/>
  <c r="AT14" i="3"/>
  <c r="AU14" i="3"/>
  <c r="AV14" i="3"/>
  <c r="AW14" i="3"/>
  <c r="AX14" i="3"/>
  <c r="AY14" i="3"/>
  <c r="AZ14" i="3"/>
  <c r="BA14" i="3"/>
  <c r="BB14" i="3"/>
  <c r="BC14" i="3"/>
  <c r="BD14" i="3"/>
  <c r="BE14" i="3"/>
  <c r="BF14" i="3"/>
  <c r="BG14" i="3"/>
  <c r="BH14" i="3"/>
  <c r="BI14" i="3"/>
  <c r="BJ14" i="3"/>
  <c r="BK14" i="3"/>
  <c r="BL14" i="3"/>
  <c r="BM14" i="3"/>
  <c r="BN14" i="3"/>
  <c r="BO14" i="3"/>
  <c r="BP14" i="3"/>
  <c r="BQ14" i="3"/>
  <c r="BR14" i="3"/>
  <c r="BS14" i="3"/>
  <c r="BT14" i="3"/>
  <c r="BU14" i="3"/>
  <c r="BV14" i="3"/>
  <c r="BW14" i="3"/>
  <c r="BX14" i="3"/>
  <c r="BY14" i="3"/>
  <c r="BZ14" i="3"/>
  <c r="CA14" i="3"/>
  <c r="CB14" i="3"/>
  <c r="CC14" i="3"/>
  <c r="CD14" i="3"/>
  <c r="CE14" i="3"/>
  <c r="CF14" i="3"/>
  <c r="CG14" i="3"/>
  <c r="CH14" i="3"/>
  <c r="CI14" i="3"/>
  <c r="CJ14" i="3"/>
  <c r="CK14" i="3"/>
  <c r="CL14" i="3"/>
  <c r="CM14" i="3"/>
  <c r="CN14" i="3"/>
  <c r="CO14" i="3"/>
  <c r="CP14" i="3"/>
  <c r="CQ14" i="3"/>
  <c r="CR14" i="3"/>
  <c r="CS14" i="3"/>
  <c r="CT14" i="3"/>
  <c r="CU14" i="3"/>
  <c r="CV14" i="3"/>
  <c r="CW14" i="3"/>
  <c r="CX14" i="3"/>
  <c r="CY14" i="3"/>
  <c r="CZ14" i="3"/>
  <c r="DA14" i="3"/>
  <c r="DB14" i="3"/>
  <c r="DC14" i="3"/>
  <c r="DD14" i="3"/>
  <c r="DE14" i="3"/>
  <c r="DF14" i="3"/>
  <c r="DG14" i="3"/>
  <c r="DH14" i="3"/>
  <c r="DI14" i="3"/>
  <c r="DJ14" i="3"/>
  <c r="DK14" i="3"/>
  <c r="DL14" i="3"/>
  <c r="DM14" i="3"/>
  <c r="DN14" i="3"/>
  <c r="DO14" i="3"/>
  <c r="DP14" i="3"/>
  <c r="DQ14" i="3"/>
  <c r="DR14" i="3"/>
  <c r="DS14" i="3"/>
  <c r="DT14" i="3"/>
  <c r="DU14" i="3"/>
  <c r="DV14" i="3"/>
  <c r="DW14" i="3"/>
  <c r="DX14" i="3"/>
  <c r="DY14" i="3"/>
  <c r="DZ14" i="3"/>
  <c r="EA14" i="3"/>
  <c r="EB14" i="3"/>
  <c r="EC14" i="3"/>
  <c r="ED14" i="3"/>
  <c r="EE14" i="3"/>
  <c r="EF14" i="3"/>
  <c r="EG14" i="3"/>
  <c r="EH14" i="3"/>
  <c r="EI14" i="3"/>
  <c r="EJ14" i="3"/>
  <c r="EK14" i="3"/>
  <c r="EL14" i="3"/>
  <c r="EM14" i="3"/>
  <c r="EN14" i="3"/>
  <c r="EO14" i="3"/>
  <c r="EP14" i="3"/>
  <c r="EQ14" i="3"/>
  <c r="ER14" i="3"/>
  <c r="ES14" i="3"/>
  <c r="ET14" i="3"/>
  <c r="EU14" i="3"/>
  <c r="EV14" i="3"/>
  <c r="EW14" i="3"/>
  <c r="EX14" i="3"/>
  <c r="EY14" i="3"/>
  <c r="EZ14" i="3"/>
  <c r="FA14" i="3"/>
  <c r="FB14" i="3"/>
  <c r="FC14" i="3"/>
  <c r="FD14" i="3"/>
  <c r="FE14" i="3"/>
  <c r="FF14" i="3"/>
  <c r="FG14" i="3"/>
  <c r="FH14" i="3"/>
  <c r="FI14" i="3"/>
  <c r="FJ14" i="3"/>
  <c r="FK14" i="3"/>
  <c r="FL14" i="3"/>
  <c r="FM14" i="3"/>
  <c r="FN14" i="3"/>
  <c r="FO14" i="3"/>
  <c r="FP14" i="3"/>
  <c r="FQ14" i="3"/>
  <c r="FR14" i="3"/>
  <c r="FS14" i="3"/>
  <c r="FT14" i="3"/>
  <c r="FU14" i="3"/>
  <c r="FV14" i="3"/>
  <c r="FW14" i="3"/>
  <c r="FX14" i="3"/>
  <c r="FY14" i="3"/>
  <c r="FZ14" i="3"/>
  <c r="GA14" i="3"/>
  <c r="GB14" i="3"/>
  <c r="GC14" i="3"/>
  <c r="GD14" i="3"/>
  <c r="GE14" i="3"/>
  <c r="GF14" i="3"/>
  <c r="GG14" i="3"/>
  <c r="GH14" i="3"/>
  <c r="GI14" i="3"/>
  <c r="GJ14" i="3"/>
  <c r="GK14" i="3"/>
  <c r="GL14" i="3"/>
  <c r="GM14" i="3"/>
  <c r="GN14" i="3"/>
  <c r="GO14" i="3"/>
  <c r="GP14" i="3"/>
  <c r="GQ14" i="3"/>
  <c r="GR14" i="3"/>
  <c r="GS14" i="3"/>
  <c r="GT14" i="3"/>
  <c r="GU14" i="3"/>
  <c r="GV14" i="3"/>
  <c r="GW14" i="3"/>
  <c r="GX14" i="3"/>
  <c r="GY14" i="3"/>
  <c r="GZ14" i="3"/>
  <c r="HA14" i="3"/>
  <c r="HB14" i="3"/>
  <c r="HC14" i="3"/>
  <c r="HD14" i="3"/>
  <c r="HE14" i="3"/>
  <c r="HF14" i="3"/>
  <c r="HG14" i="3"/>
  <c r="HH14" i="3"/>
  <c r="HI14" i="3"/>
  <c r="HJ14" i="3"/>
  <c r="HK14" i="3"/>
  <c r="HL14" i="3"/>
  <c r="HM14" i="3"/>
  <c r="HN14" i="3"/>
  <c r="HO14" i="3"/>
  <c r="HP14" i="3"/>
  <c r="HQ14" i="3"/>
  <c r="HR14" i="3"/>
  <c r="HS14" i="3"/>
  <c r="HT14" i="3"/>
  <c r="HU14" i="3"/>
  <c r="HV14" i="3"/>
  <c r="HW14" i="3"/>
  <c r="HX14" i="3"/>
  <c r="HY14" i="3"/>
  <c r="HZ14" i="3"/>
  <c r="IA14" i="3"/>
  <c r="IB14" i="3"/>
  <c r="IC14" i="3"/>
  <c r="ID14" i="3"/>
  <c r="IE14" i="3"/>
  <c r="IF14" i="3"/>
  <c r="IG14" i="3"/>
  <c r="IH14" i="3"/>
  <c r="II14" i="3"/>
  <c r="IJ14" i="3"/>
  <c r="IK14" i="3"/>
  <c r="IL14" i="3"/>
  <c r="IM14" i="3"/>
  <c r="IN14" i="3"/>
  <c r="IO14" i="3"/>
  <c r="IP14" i="3"/>
  <c r="IQ14" i="3"/>
  <c r="IR14" i="3"/>
  <c r="IS14" i="3"/>
  <c r="IT14" i="3"/>
  <c r="IU14" i="3"/>
  <c r="IV14" i="3"/>
  <c r="A13" i="3"/>
  <c r="B13" i="3"/>
  <c r="C13" i="3"/>
  <c r="D13" i="3"/>
  <c r="E13" i="3"/>
  <c r="F13" i="3"/>
  <c r="G13" i="3"/>
  <c r="H13" i="3"/>
  <c r="I13" i="3"/>
  <c r="J13" i="3"/>
  <c r="K13" i="3"/>
  <c r="L13" i="3"/>
  <c r="M13" i="3"/>
  <c r="N13" i="3"/>
  <c r="O13" i="3"/>
  <c r="P13" i="3"/>
  <c r="Q13" i="3"/>
  <c r="R13" i="3"/>
  <c r="S13" i="3"/>
  <c r="T13" i="3"/>
  <c r="U13" i="3"/>
  <c r="V13" i="3"/>
  <c r="W13" i="3"/>
  <c r="X13" i="3"/>
  <c r="Y13" i="3"/>
  <c r="Z13" i="3"/>
  <c r="AA13" i="3"/>
  <c r="AB13" i="3"/>
  <c r="AC13" i="3"/>
  <c r="AD13" i="3"/>
  <c r="AE13" i="3"/>
  <c r="AF13" i="3"/>
  <c r="AG13" i="3"/>
  <c r="AH13" i="3"/>
  <c r="AI13" i="3"/>
  <c r="AJ13" i="3"/>
  <c r="AK13" i="3"/>
  <c r="AL13" i="3"/>
  <c r="AM13" i="3"/>
  <c r="AN13" i="3"/>
  <c r="AO13" i="3"/>
  <c r="AP13" i="3"/>
  <c r="AQ13" i="3"/>
  <c r="AR13" i="3"/>
  <c r="AS13" i="3"/>
  <c r="AT13" i="3"/>
  <c r="AU13" i="3"/>
  <c r="AV13" i="3"/>
  <c r="AW13" i="3"/>
  <c r="AX13" i="3"/>
  <c r="AY13" i="3"/>
  <c r="AZ13" i="3"/>
  <c r="BA13" i="3"/>
  <c r="BB13" i="3"/>
  <c r="BC13" i="3"/>
  <c r="BD13" i="3"/>
  <c r="BE13" i="3"/>
  <c r="BF13" i="3"/>
  <c r="BG13" i="3"/>
  <c r="BH13" i="3"/>
  <c r="BI13" i="3"/>
  <c r="BJ13" i="3"/>
  <c r="BK13" i="3"/>
  <c r="BL13" i="3"/>
  <c r="BM13" i="3"/>
  <c r="BN13" i="3"/>
  <c r="BO13" i="3"/>
  <c r="BP13" i="3"/>
  <c r="BQ13" i="3"/>
  <c r="BR13" i="3"/>
  <c r="BS13" i="3"/>
  <c r="BT13" i="3"/>
  <c r="BU13" i="3"/>
  <c r="BV13" i="3"/>
  <c r="BW13" i="3"/>
  <c r="BX13" i="3"/>
  <c r="BY13" i="3"/>
  <c r="BZ13" i="3"/>
  <c r="CA13" i="3"/>
  <c r="CB13" i="3"/>
  <c r="CC13" i="3"/>
  <c r="CD13" i="3"/>
  <c r="CE13" i="3"/>
  <c r="CF13" i="3"/>
  <c r="CG13" i="3"/>
  <c r="CH13" i="3"/>
  <c r="CI13" i="3"/>
  <c r="CJ13" i="3"/>
  <c r="CK13" i="3"/>
  <c r="CL13" i="3"/>
  <c r="CM13" i="3"/>
  <c r="CN13" i="3"/>
  <c r="CO13" i="3"/>
  <c r="CP13" i="3"/>
  <c r="CQ13" i="3"/>
  <c r="CR13" i="3"/>
  <c r="CS13" i="3"/>
  <c r="CT13" i="3"/>
  <c r="CU13" i="3"/>
  <c r="CV13" i="3"/>
  <c r="CW13" i="3"/>
  <c r="CX13" i="3"/>
  <c r="CY13" i="3"/>
  <c r="CZ13" i="3"/>
  <c r="DA13" i="3"/>
  <c r="DB13" i="3"/>
  <c r="DC13" i="3"/>
  <c r="DD13" i="3"/>
  <c r="DE13" i="3"/>
  <c r="DF13" i="3"/>
  <c r="DG13" i="3"/>
  <c r="DH13" i="3"/>
  <c r="DI13" i="3"/>
  <c r="DJ13" i="3"/>
  <c r="DK13" i="3"/>
  <c r="DL13" i="3"/>
  <c r="DM13" i="3"/>
  <c r="DN13" i="3"/>
  <c r="DO13" i="3"/>
  <c r="DP13" i="3"/>
  <c r="DQ13" i="3"/>
  <c r="DR13" i="3"/>
  <c r="DS13" i="3"/>
  <c r="DT13" i="3"/>
  <c r="DU13" i="3"/>
  <c r="DV13" i="3"/>
  <c r="DW13" i="3"/>
  <c r="DX13" i="3"/>
  <c r="DY13" i="3"/>
  <c r="DZ13" i="3"/>
  <c r="EA13" i="3"/>
  <c r="EB13" i="3"/>
  <c r="EC13" i="3"/>
  <c r="ED13" i="3"/>
  <c r="EE13" i="3"/>
  <c r="EF13" i="3"/>
  <c r="EG13" i="3"/>
  <c r="EH13" i="3"/>
  <c r="EI13" i="3"/>
  <c r="EJ13" i="3"/>
  <c r="EK13" i="3"/>
  <c r="EL13" i="3"/>
  <c r="EM13" i="3"/>
  <c r="EN13" i="3"/>
  <c r="EO13" i="3"/>
  <c r="EP13" i="3"/>
  <c r="EQ13" i="3"/>
  <c r="ER13" i="3"/>
  <c r="ES13" i="3"/>
  <c r="ET13" i="3"/>
  <c r="EU13" i="3"/>
  <c r="EV13" i="3"/>
  <c r="EW13" i="3"/>
  <c r="EX13" i="3"/>
  <c r="EY13" i="3"/>
  <c r="EZ13" i="3"/>
  <c r="FA13" i="3"/>
  <c r="FB13" i="3"/>
  <c r="FC13" i="3"/>
  <c r="FD13" i="3"/>
  <c r="FE13" i="3"/>
  <c r="FF13" i="3"/>
  <c r="FG13" i="3"/>
  <c r="FH13" i="3"/>
  <c r="FI13" i="3"/>
  <c r="FJ13" i="3"/>
  <c r="FK13" i="3"/>
  <c r="FL13" i="3"/>
  <c r="FM13" i="3"/>
  <c r="FN13" i="3"/>
  <c r="FO13" i="3"/>
  <c r="FP13" i="3"/>
  <c r="FQ13" i="3"/>
  <c r="FR13" i="3"/>
  <c r="FS13" i="3"/>
  <c r="FT13" i="3"/>
  <c r="FU13" i="3"/>
  <c r="FV13" i="3"/>
  <c r="FW13" i="3"/>
  <c r="FX13" i="3"/>
  <c r="FY13" i="3"/>
  <c r="FZ13" i="3"/>
  <c r="GA13" i="3"/>
  <c r="GB13" i="3"/>
  <c r="GC13" i="3"/>
  <c r="GD13" i="3"/>
  <c r="GE13" i="3"/>
  <c r="GF13" i="3"/>
  <c r="GG13" i="3"/>
  <c r="GH13" i="3"/>
  <c r="GI13" i="3"/>
  <c r="GJ13" i="3"/>
  <c r="GK13" i="3"/>
  <c r="GL13" i="3"/>
  <c r="GM13" i="3"/>
  <c r="GN13" i="3"/>
  <c r="GO13" i="3"/>
  <c r="GP13" i="3"/>
  <c r="GQ13" i="3"/>
  <c r="GR13" i="3"/>
  <c r="GS13" i="3"/>
  <c r="GT13" i="3"/>
  <c r="GU13" i="3"/>
  <c r="GV13" i="3"/>
  <c r="GW13" i="3"/>
  <c r="GX13" i="3"/>
  <c r="GY13" i="3"/>
  <c r="GZ13" i="3"/>
  <c r="HA13" i="3"/>
  <c r="HB13" i="3"/>
  <c r="HC13" i="3"/>
  <c r="HD13" i="3"/>
  <c r="HE13" i="3"/>
  <c r="HF13" i="3"/>
  <c r="HG13" i="3"/>
  <c r="HH13" i="3"/>
  <c r="HI13" i="3"/>
  <c r="HJ13" i="3"/>
  <c r="HK13" i="3"/>
  <c r="HL13" i="3"/>
  <c r="HM13" i="3"/>
  <c r="HN13" i="3"/>
  <c r="HO13" i="3"/>
  <c r="HP13" i="3"/>
  <c r="HQ13" i="3"/>
  <c r="HR13" i="3"/>
  <c r="HS13" i="3"/>
  <c r="HT13" i="3"/>
  <c r="HU13" i="3"/>
  <c r="HV13" i="3"/>
  <c r="HW13" i="3"/>
  <c r="HX13" i="3"/>
  <c r="HY13" i="3"/>
  <c r="HZ13" i="3"/>
  <c r="IA13" i="3"/>
  <c r="IB13" i="3"/>
  <c r="IC13" i="3"/>
  <c r="ID13" i="3"/>
  <c r="IE13" i="3"/>
  <c r="IF13" i="3"/>
  <c r="IG13" i="3"/>
  <c r="IH13" i="3"/>
  <c r="II13" i="3"/>
  <c r="IJ13" i="3"/>
  <c r="IK13" i="3"/>
  <c r="IL13" i="3"/>
  <c r="IM13" i="3"/>
  <c r="IN13" i="3"/>
  <c r="IO13" i="3"/>
  <c r="IP13" i="3"/>
  <c r="IQ13" i="3"/>
  <c r="IR13" i="3"/>
  <c r="IS13" i="3"/>
  <c r="IT13" i="3"/>
  <c r="IU13" i="3"/>
  <c r="IV13" i="3"/>
  <c r="A12" i="3"/>
  <c r="B12" i="3"/>
  <c r="C12" i="3"/>
  <c r="D12" i="3"/>
  <c r="E12" i="3"/>
  <c r="F12" i="3"/>
  <c r="G12" i="3"/>
  <c r="H12" i="3"/>
  <c r="I12" i="3"/>
  <c r="J12" i="3"/>
  <c r="K12" i="3"/>
  <c r="L12" i="3"/>
  <c r="M12" i="3"/>
  <c r="N12" i="3"/>
  <c r="O12" i="3"/>
  <c r="P12" i="3"/>
  <c r="Q12" i="3"/>
  <c r="R12" i="3"/>
  <c r="S12" i="3"/>
  <c r="T12" i="3"/>
  <c r="U12" i="3"/>
  <c r="V12" i="3"/>
  <c r="W12" i="3"/>
  <c r="X12" i="3"/>
  <c r="Y12" i="3"/>
  <c r="Z12" i="3"/>
  <c r="AA12" i="3"/>
  <c r="AB12" i="3"/>
  <c r="AC12" i="3"/>
  <c r="AD12" i="3"/>
  <c r="AE12" i="3"/>
  <c r="AF12" i="3"/>
  <c r="AG12" i="3"/>
  <c r="AH12" i="3"/>
  <c r="AI12" i="3"/>
  <c r="AJ12" i="3"/>
  <c r="AK12" i="3"/>
  <c r="AL12" i="3"/>
  <c r="AM12" i="3"/>
  <c r="AN12" i="3"/>
  <c r="AO12" i="3"/>
  <c r="AP12" i="3"/>
  <c r="AQ12" i="3"/>
  <c r="AR12" i="3"/>
  <c r="AS12" i="3"/>
  <c r="AT12" i="3"/>
  <c r="AU12" i="3"/>
  <c r="AV12" i="3"/>
  <c r="AW12" i="3"/>
  <c r="AX12" i="3"/>
  <c r="AY12" i="3"/>
  <c r="AZ12" i="3"/>
  <c r="BA12" i="3"/>
  <c r="BB12" i="3"/>
  <c r="BC12" i="3"/>
  <c r="BD12" i="3"/>
  <c r="BE12" i="3"/>
  <c r="BF12" i="3"/>
  <c r="BG12" i="3"/>
  <c r="BH12" i="3"/>
  <c r="BI12" i="3"/>
  <c r="BJ12" i="3"/>
  <c r="BK12" i="3"/>
  <c r="BL12" i="3"/>
  <c r="BM12" i="3"/>
  <c r="BN12" i="3"/>
  <c r="BO12" i="3"/>
  <c r="BP12" i="3"/>
  <c r="BQ12" i="3"/>
  <c r="BR12" i="3"/>
  <c r="BS12" i="3"/>
  <c r="BT12" i="3"/>
  <c r="BU12" i="3"/>
  <c r="BV12" i="3"/>
  <c r="BW12" i="3"/>
  <c r="BX12" i="3"/>
  <c r="BY12" i="3"/>
  <c r="BZ12" i="3"/>
  <c r="CA12" i="3"/>
  <c r="CB12" i="3"/>
  <c r="CC12" i="3"/>
  <c r="CD12" i="3"/>
  <c r="CE12" i="3"/>
  <c r="CF12" i="3"/>
  <c r="CG12" i="3"/>
  <c r="CH12" i="3"/>
  <c r="CI12" i="3"/>
  <c r="CJ12" i="3"/>
  <c r="CK12" i="3"/>
  <c r="CL12" i="3"/>
  <c r="CM12" i="3"/>
  <c r="CN12" i="3"/>
  <c r="CO12" i="3"/>
  <c r="CP12" i="3"/>
  <c r="CQ12" i="3"/>
  <c r="CR12" i="3"/>
  <c r="CS12" i="3"/>
  <c r="CT12" i="3"/>
  <c r="CU12" i="3"/>
  <c r="CV12" i="3"/>
  <c r="CW12" i="3"/>
  <c r="CX12" i="3"/>
  <c r="CY12" i="3"/>
  <c r="CZ12" i="3"/>
  <c r="DA12" i="3"/>
  <c r="DB12" i="3"/>
  <c r="DC12" i="3"/>
  <c r="DD12" i="3"/>
  <c r="DE12" i="3"/>
  <c r="DF12" i="3"/>
  <c r="DG12" i="3"/>
  <c r="DH12" i="3"/>
  <c r="DI12" i="3"/>
  <c r="DJ12" i="3"/>
  <c r="DK12" i="3"/>
  <c r="DL12" i="3"/>
  <c r="DM12" i="3"/>
  <c r="DN12" i="3"/>
  <c r="DO12" i="3"/>
  <c r="DP12" i="3"/>
  <c r="DQ12" i="3"/>
  <c r="DR12" i="3"/>
  <c r="DS12" i="3"/>
  <c r="DT12" i="3"/>
  <c r="DU12" i="3"/>
  <c r="DV12" i="3"/>
  <c r="DW12" i="3"/>
  <c r="DX12" i="3"/>
  <c r="DY12" i="3"/>
  <c r="DZ12" i="3"/>
  <c r="EA12" i="3"/>
  <c r="EB12" i="3"/>
  <c r="EC12" i="3"/>
  <c r="ED12" i="3"/>
  <c r="EE12" i="3"/>
  <c r="EF12" i="3"/>
  <c r="EG12" i="3"/>
  <c r="EH12" i="3"/>
  <c r="EI12" i="3"/>
  <c r="EJ12" i="3"/>
  <c r="EK12" i="3"/>
  <c r="EL12" i="3"/>
  <c r="EM12" i="3"/>
  <c r="EN12" i="3"/>
  <c r="EO12" i="3"/>
  <c r="EP12" i="3"/>
  <c r="EQ12" i="3"/>
  <c r="ER12" i="3"/>
  <c r="ES12" i="3"/>
  <c r="ET12" i="3"/>
  <c r="EU12" i="3"/>
  <c r="EV12" i="3"/>
  <c r="EW12" i="3"/>
  <c r="EX12" i="3"/>
  <c r="EY12" i="3"/>
  <c r="EZ12" i="3"/>
  <c r="FA12" i="3"/>
  <c r="FB12" i="3"/>
  <c r="FC12" i="3"/>
  <c r="FD12" i="3"/>
  <c r="FE12" i="3"/>
  <c r="FF12" i="3"/>
  <c r="FG12" i="3"/>
  <c r="FH12" i="3"/>
  <c r="FI12" i="3"/>
  <c r="FJ12" i="3"/>
  <c r="FK12" i="3"/>
  <c r="FL12" i="3"/>
  <c r="FM12" i="3"/>
  <c r="FN12" i="3"/>
  <c r="FO12" i="3"/>
  <c r="FP12" i="3"/>
  <c r="FQ12" i="3"/>
  <c r="FR12" i="3"/>
  <c r="FS12" i="3"/>
  <c r="FT12" i="3"/>
  <c r="FU12" i="3"/>
  <c r="FV12" i="3"/>
  <c r="FW12" i="3"/>
  <c r="FX12" i="3"/>
  <c r="FY12" i="3"/>
  <c r="FZ12" i="3"/>
  <c r="GA12" i="3"/>
  <c r="GB12" i="3"/>
  <c r="GC12" i="3"/>
  <c r="GD12" i="3"/>
  <c r="GE12" i="3"/>
  <c r="GF12" i="3"/>
  <c r="GG12" i="3"/>
  <c r="GH12" i="3"/>
  <c r="GI12" i="3"/>
  <c r="GJ12" i="3"/>
  <c r="GK12" i="3"/>
  <c r="GL12" i="3"/>
  <c r="GM12" i="3"/>
  <c r="GN12" i="3"/>
  <c r="GO12" i="3"/>
  <c r="GP12" i="3"/>
  <c r="GQ12" i="3"/>
  <c r="GR12" i="3"/>
  <c r="GS12" i="3"/>
  <c r="GT12" i="3"/>
  <c r="GU12" i="3"/>
  <c r="GV12" i="3"/>
  <c r="GW12" i="3"/>
  <c r="GX12" i="3"/>
  <c r="GY12" i="3"/>
  <c r="GZ12" i="3"/>
  <c r="HA12" i="3"/>
  <c r="HB12" i="3"/>
  <c r="HC12" i="3"/>
  <c r="HD12" i="3"/>
  <c r="HE12" i="3"/>
  <c r="HF12" i="3"/>
  <c r="HG12" i="3"/>
  <c r="HH12" i="3"/>
  <c r="HI12" i="3"/>
  <c r="HJ12" i="3"/>
  <c r="HK12" i="3"/>
  <c r="HL12" i="3"/>
  <c r="HM12" i="3"/>
  <c r="HN12" i="3"/>
  <c r="HO12" i="3"/>
  <c r="HP12" i="3"/>
  <c r="HQ12" i="3"/>
  <c r="HR12" i="3"/>
  <c r="HS12" i="3"/>
  <c r="HT12" i="3"/>
  <c r="HU12" i="3"/>
  <c r="HV12" i="3"/>
  <c r="HW12" i="3"/>
  <c r="HX12" i="3"/>
  <c r="HY12" i="3"/>
  <c r="HZ12" i="3"/>
  <c r="IA12" i="3"/>
  <c r="IB12" i="3"/>
  <c r="IC12" i="3"/>
  <c r="ID12" i="3"/>
  <c r="IE12" i="3"/>
  <c r="IF12" i="3"/>
  <c r="IG12" i="3"/>
  <c r="IH12" i="3"/>
  <c r="II12" i="3"/>
  <c r="IJ12" i="3"/>
  <c r="IK12" i="3"/>
  <c r="IL12" i="3"/>
  <c r="IM12" i="3"/>
  <c r="IN12" i="3"/>
  <c r="IO12" i="3"/>
  <c r="IP12" i="3"/>
  <c r="IQ12" i="3"/>
  <c r="IR12" i="3"/>
  <c r="IS12" i="3"/>
  <c r="IT12" i="3"/>
  <c r="IU12" i="3"/>
  <c r="IV12" i="3"/>
  <c r="A11" i="3"/>
  <c r="B11" i="3"/>
  <c r="C11" i="3"/>
  <c r="D11" i="3"/>
  <c r="E11" i="3"/>
  <c r="F11" i="3"/>
  <c r="G11" i="3"/>
  <c r="H11" i="3"/>
  <c r="I11" i="3"/>
  <c r="J11" i="3"/>
  <c r="K11" i="3"/>
  <c r="L11" i="3"/>
  <c r="M11" i="3"/>
  <c r="N11" i="3"/>
  <c r="O11" i="3"/>
  <c r="P11" i="3"/>
  <c r="Q11" i="3"/>
  <c r="R11" i="3"/>
  <c r="S11" i="3"/>
  <c r="T11" i="3"/>
  <c r="U11" i="3"/>
  <c r="V11" i="3"/>
  <c r="W11" i="3"/>
  <c r="X11" i="3"/>
  <c r="Y11" i="3"/>
  <c r="Z11" i="3"/>
  <c r="AA11" i="3"/>
  <c r="AB11" i="3"/>
  <c r="AC11" i="3"/>
  <c r="AD11" i="3"/>
  <c r="AE11" i="3"/>
  <c r="AF11" i="3"/>
  <c r="AG11" i="3"/>
  <c r="AH11" i="3"/>
  <c r="AI11" i="3"/>
  <c r="AJ11" i="3"/>
  <c r="AK11" i="3"/>
  <c r="AL11" i="3"/>
  <c r="AM11" i="3"/>
  <c r="AN11" i="3"/>
  <c r="AO11" i="3"/>
  <c r="AP11" i="3"/>
  <c r="AQ11" i="3"/>
  <c r="AR11" i="3"/>
  <c r="AS11" i="3"/>
  <c r="AT11" i="3"/>
  <c r="AU11" i="3"/>
  <c r="AV11" i="3"/>
  <c r="AW11" i="3"/>
  <c r="AX11" i="3"/>
  <c r="AY11" i="3"/>
  <c r="AZ11" i="3"/>
  <c r="BA11" i="3"/>
  <c r="BB11" i="3"/>
  <c r="BC11" i="3"/>
  <c r="BD11" i="3"/>
  <c r="BE11" i="3"/>
  <c r="BF11" i="3"/>
  <c r="BG11" i="3"/>
  <c r="BH11" i="3"/>
  <c r="BI11" i="3"/>
  <c r="BJ11" i="3"/>
  <c r="BK11" i="3"/>
  <c r="BL11" i="3"/>
  <c r="BM11" i="3"/>
  <c r="BN11" i="3"/>
  <c r="BO11" i="3"/>
  <c r="BP11" i="3"/>
  <c r="BQ11" i="3"/>
  <c r="BR11" i="3"/>
  <c r="BS11" i="3"/>
  <c r="BT11" i="3"/>
  <c r="BU11" i="3"/>
  <c r="BV11" i="3"/>
  <c r="BW11" i="3"/>
  <c r="BX11" i="3"/>
  <c r="BY11" i="3"/>
  <c r="BZ11" i="3"/>
  <c r="CA11" i="3"/>
  <c r="CB11" i="3"/>
  <c r="CC11" i="3"/>
  <c r="CD11" i="3"/>
  <c r="CE11" i="3"/>
  <c r="CF11" i="3"/>
  <c r="CG11" i="3"/>
  <c r="CH11" i="3"/>
  <c r="CI11" i="3"/>
  <c r="CJ11" i="3"/>
  <c r="CK11" i="3"/>
  <c r="CL11" i="3"/>
  <c r="CM11" i="3"/>
  <c r="CN11" i="3"/>
  <c r="CO11" i="3"/>
  <c r="CP11" i="3"/>
  <c r="CQ11" i="3"/>
  <c r="CR11" i="3"/>
  <c r="CS11" i="3"/>
  <c r="CT11" i="3"/>
  <c r="CU11" i="3"/>
  <c r="CV11" i="3"/>
  <c r="CW11" i="3"/>
  <c r="CX11" i="3"/>
  <c r="CY11" i="3"/>
  <c r="CZ11" i="3"/>
  <c r="DA11" i="3"/>
  <c r="DB11" i="3"/>
  <c r="DC11" i="3"/>
  <c r="DD11" i="3"/>
  <c r="DE11" i="3"/>
  <c r="DF11" i="3"/>
  <c r="DG11" i="3"/>
  <c r="DH11" i="3"/>
  <c r="DI11" i="3"/>
  <c r="DJ11" i="3"/>
  <c r="DK11" i="3"/>
  <c r="DL11" i="3"/>
  <c r="DM11" i="3"/>
  <c r="DN11" i="3"/>
  <c r="DO11" i="3"/>
  <c r="DP11" i="3"/>
  <c r="DQ11" i="3"/>
  <c r="DR11" i="3"/>
  <c r="DS11" i="3"/>
  <c r="DT11" i="3"/>
  <c r="DU11" i="3"/>
  <c r="DV11" i="3"/>
  <c r="DW11" i="3"/>
  <c r="DX11" i="3"/>
  <c r="DY11" i="3"/>
  <c r="DZ11" i="3"/>
  <c r="EA11" i="3"/>
  <c r="EB11" i="3"/>
  <c r="EC11" i="3"/>
  <c r="ED11" i="3"/>
  <c r="EE11" i="3"/>
  <c r="EF11" i="3"/>
  <c r="EG11" i="3"/>
  <c r="EH11" i="3"/>
  <c r="EI11" i="3"/>
  <c r="EJ11" i="3"/>
  <c r="EK11" i="3"/>
  <c r="EL11" i="3"/>
  <c r="EM11" i="3"/>
  <c r="EN11" i="3"/>
  <c r="EO11" i="3"/>
  <c r="EP11" i="3"/>
  <c r="EQ11" i="3"/>
  <c r="ER11" i="3"/>
  <c r="ES11" i="3"/>
  <c r="ET11" i="3"/>
  <c r="EU11" i="3"/>
  <c r="EV11" i="3"/>
  <c r="EW11" i="3"/>
  <c r="EX11" i="3"/>
  <c r="EY11" i="3"/>
  <c r="EZ11" i="3"/>
  <c r="FA11" i="3"/>
  <c r="FB11" i="3"/>
  <c r="FC11" i="3"/>
  <c r="FD11" i="3"/>
  <c r="FE11" i="3"/>
  <c r="FF11" i="3"/>
  <c r="FG11" i="3"/>
  <c r="FH11" i="3"/>
  <c r="FI11" i="3"/>
  <c r="FJ11" i="3"/>
  <c r="FK11" i="3"/>
  <c r="FL11" i="3"/>
  <c r="FM11" i="3"/>
  <c r="FN11" i="3"/>
  <c r="FO11" i="3"/>
  <c r="FP11" i="3"/>
  <c r="FQ11" i="3"/>
  <c r="FR11" i="3"/>
  <c r="FS11" i="3"/>
  <c r="FT11" i="3"/>
  <c r="FU11" i="3"/>
  <c r="FV11" i="3"/>
  <c r="FW11" i="3"/>
  <c r="FX11" i="3"/>
  <c r="FY11" i="3"/>
  <c r="FZ11" i="3"/>
  <c r="GA11" i="3"/>
  <c r="GB11" i="3"/>
  <c r="GC11" i="3"/>
  <c r="GD11" i="3"/>
  <c r="GE11" i="3"/>
  <c r="GF11" i="3"/>
  <c r="GG11" i="3"/>
  <c r="GH11" i="3"/>
  <c r="GI11" i="3"/>
  <c r="GJ11" i="3"/>
  <c r="GK11" i="3"/>
  <c r="GL11" i="3"/>
  <c r="GM11" i="3"/>
  <c r="GN11" i="3"/>
  <c r="GO11" i="3"/>
  <c r="GP11" i="3"/>
  <c r="GQ11" i="3"/>
  <c r="GR11" i="3"/>
  <c r="GS11" i="3"/>
  <c r="GT11" i="3"/>
  <c r="GU11" i="3"/>
  <c r="GV11" i="3"/>
  <c r="GW11" i="3"/>
  <c r="GX11" i="3"/>
  <c r="GY11" i="3"/>
  <c r="GZ11" i="3"/>
  <c r="HA11" i="3"/>
  <c r="HB11" i="3"/>
  <c r="HC11" i="3"/>
  <c r="HD11" i="3"/>
  <c r="HE11" i="3"/>
  <c r="HF11" i="3"/>
  <c r="HG11" i="3"/>
  <c r="HH11" i="3"/>
  <c r="HI11" i="3"/>
  <c r="HJ11" i="3"/>
  <c r="HK11" i="3"/>
  <c r="HL11" i="3"/>
  <c r="HM11" i="3"/>
  <c r="HN11" i="3"/>
  <c r="HO11" i="3"/>
  <c r="HP11" i="3"/>
  <c r="HQ11" i="3"/>
  <c r="HR11" i="3"/>
  <c r="HS11" i="3"/>
  <c r="HT11" i="3"/>
  <c r="HU11" i="3"/>
  <c r="HV11" i="3"/>
  <c r="HW11" i="3"/>
  <c r="HX11" i="3"/>
  <c r="HY11" i="3"/>
  <c r="HZ11" i="3"/>
  <c r="IA11" i="3"/>
  <c r="IB11" i="3"/>
  <c r="IC11" i="3"/>
  <c r="ID11" i="3"/>
  <c r="IE11" i="3"/>
  <c r="IF11" i="3"/>
  <c r="IG11" i="3"/>
  <c r="IH11" i="3"/>
  <c r="II11" i="3"/>
  <c r="IJ11" i="3"/>
  <c r="IK11" i="3"/>
  <c r="IL11" i="3"/>
  <c r="IM11" i="3"/>
  <c r="IN11" i="3"/>
  <c r="IO11" i="3"/>
  <c r="IP11" i="3"/>
  <c r="IQ11" i="3"/>
  <c r="IR11" i="3"/>
  <c r="IS11" i="3"/>
  <c r="IT11" i="3"/>
  <c r="IU11" i="3"/>
  <c r="IV11" i="3"/>
  <c r="A10" i="3"/>
  <c r="B10" i="3"/>
  <c r="C10" i="3"/>
  <c r="D10" i="3"/>
  <c r="E10" i="3"/>
  <c r="F10" i="3"/>
  <c r="G10" i="3"/>
  <c r="H10" i="3"/>
  <c r="I10" i="3"/>
  <c r="J10" i="3"/>
  <c r="K10" i="3"/>
  <c r="L10" i="3"/>
  <c r="M10" i="3"/>
  <c r="N10" i="3"/>
  <c r="O10" i="3"/>
  <c r="P10" i="3"/>
  <c r="Q10" i="3"/>
  <c r="R10" i="3"/>
  <c r="S10" i="3"/>
  <c r="T10" i="3"/>
  <c r="U10" i="3"/>
  <c r="V10" i="3"/>
  <c r="W10" i="3"/>
  <c r="X10" i="3"/>
  <c r="Y10" i="3"/>
  <c r="Z10" i="3"/>
  <c r="AA10" i="3"/>
  <c r="AB10" i="3"/>
  <c r="AC10" i="3"/>
  <c r="AD10" i="3"/>
  <c r="AE10" i="3"/>
  <c r="AF10" i="3"/>
  <c r="AG10" i="3"/>
  <c r="AH10" i="3"/>
  <c r="AI10" i="3"/>
  <c r="AJ10" i="3"/>
  <c r="AK10" i="3"/>
  <c r="AL10" i="3"/>
  <c r="AM10" i="3"/>
  <c r="AN10" i="3"/>
  <c r="AO10" i="3"/>
  <c r="AP10" i="3"/>
  <c r="AQ10" i="3"/>
  <c r="AR10" i="3"/>
  <c r="AS10" i="3"/>
  <c r="AT10" i="3"/>
  <c r="AU10" i="3"/>
  <c r="AV10" i="3"/>
  <c r="AW10" i="3"/>
  <c r="AX10" i="3"/>
  <c r="AY10" i="3"/>
  <c r="AZ10" i="3"/>
  <c r="BA10" i="3"/>
  <c r="BB10" i="3"/>
  <c r="BC10" i="3"/>
  <c r="BD10" i="3"/>
  <c r="BE10" i="3"/>
  <c r="BF10" i="3"/>
  <c r="BG10" i="3"/>
  <c r="BH10" i="3"/>
  <c r="BI10" i="3"/>
  <c r="BJ10" i="3"/>
  <c r="BK10" i="3"/>
  <c r="BL10" i="3"/>
  <c r="BM10" i="3"/>
  <c r="BN10" i="3"/>
  <c r="BO10" i="3"/>
  <c r="BP10" i="3"/>
  <c r="BQ10" i="3"/>
  <c r="BR10" i="3"/>
  <c r="BS10" i="3"/>
  <c r="BT10" i="3"/>
  <c r="BU10" i="3"/>
  <c r="BV10" i="3"/>
  <c r="BW10" i="3"/>
  <c r="BX10" i="3"/>
  <c r="BY10" i="3"/>
  <c r="BZ10" i="3"/>
  <c r="CA10" i="3"/>
  <c r="CB10" i="3"/>
  <c r="CC10" i="3"/>
  <c r="CD10" i="3"/>
  <c r="CE10" i="3"/>
  <c r="CF10" i="3"/>
  <c r="CG10" i="3"/>
  <c r="CH10" i="3"/>
  <c r="CI10" i="3"/>
  <c r="CJ10" i="3"/>
  <c r="CK10" i="3"/>
  <c r="CL10" i="3"/>
  <c r="CM10" i="3"/>
  <c r="CN10" i="3"/>
  <c r="CO10" i="3"/>
  <c r="CP10" i="3"/>
  <c r="CQ10" i="3"/>
  <c r="CR10" i="3"/>
  <c r="CS10" i="3"/>
  <c r="CT10" i="3"/>
  <c r="CU10" i="3"/>
  <c r="CV10" i="3"/>
  <c r="CW10" i="3"/>
  <c r="CX10" i="3"/>
  <c r="CY10" i="3"/>
  <c r="CZ10" i="3"/>
  <c r="DA10" i="3"/>
  <c r="DB10" i="3"/>
  <c r="DC10" i="3"/>
  <c r="DD10" i="3"/>
  <c r="DE10" i="3"/>
  <c r="DF10" i="3"/>
  <c r="DG10" i="3"/>
  <c r="DH10" i="3"/>
  <c r="DI10" i="3"/>
  <c r="DJ10" i="3"/>
  <c r="DK10" i="3"/>
  <c r="DL10" i="3"/>
  <c r="DM10" i="3"/>
  <c r="DN10" i="3"/>
  <c r="DO10" i="3"/>
  <c r="DP10" i="3"/>
  <c r="DQ10" i="3"/>
  <c r="DR10" i="3"/>
  <c r="DS10" i="3"/>
  <c r="DT10" i="3"/>
  <c r="DU10" i="3"/>
  <c r="DV10" i="3"/>
  <c r="DW10" i="3"/>
  <c r="DX10" i="3"/>
  <c r="DY10" i="3"/>
  <c r="DZ10" i="3"/>
  <c r="EA10" i="3"/>
  <c r="EB10" i="3"/>
  <c r="EC10" i="3"/>
  <c r="ED10" i="3"/>
  <c r="EE10" i="3"/>
  <c r="EF10" i="3"/>
  <c r="EG10" i="3"/>
  <c r="EH10" i="3"/>
  <c r="EI10" i="3"/>
  <c r="EJ10" i="3"/>
  <c r="EK10" i="3"/>
  <c r="EL10" i="3"/>
  <c r="EM10" i="3"/>
  <c r="EN10" i="3"/>
  <c r="EO10" i="3"/>
  <c r="EP10" i="3"/>
  <c r="EQ10" i="3"/>
  <c r="ER10" i="3"/>
  <c r="ES10" i="3"/>
  <c r="ET10" i="3"/>
  <c r="EU10" i="3"/>
  <c r="EV10" i="3"/>
  <c r="EW10" i="3"/>
  <c r="EX10" i="3"/>
  <c r="EY10" i="3"/>
  <c r="EZ10" i="3"/>
  <c r="FA10" i="3"/>
  <c r="FB10" i="3"/>
  <c r="FC10" i="3"/>
  <c r="FD10" i="3"/>
  <c r="FE10" i="3"/>
  <c r="FF10" i="3"/>
  <c r="FG10" i="3"/>
  <c r="FH10" i="3"/>
  <c r="FI10" i="3"/>
  <c r="FJ10" i="3"/>
  <c r="FK10" i="3"/>
  <c r="FL10" i="3"/>
  <c r="FM10" i="3"/>
  <c r="FN10" i="3"/>
  <c r="FO10" i="3"/>
  <c r="FP10" i="3"/>
  <c r="FQ10" i="3"/>
  <c r="FR10" i="3"/>
  <c r="FS10" i="3"/>
  <c r="FT10" i="3"/>
  <c r="FU10" i="3"/>
  <c r="FV10" i="3"/>
  <c r="FW10" i="3"/>
  <c r="FX10" i="3"/>
  <c r="FY10" i="3"/>
  <c r="FZ10" i="3"/>
  <c r="GA10" i="3"/>
  <c r="GB10" i="3"/>
  <c r="GC10" i="3"/>
  <c r="GD10" i="3"/>
  <c r="GE10" i="3"/>
  <c r="GF10" i="3"/>
  <c r="GG10" i="3"/>
  <c r="GH10" i="3"/>
  <c r="GI10" i="3"/>
  <c r="GJ10" i="3"/>
  <c r="GK10" i="3"/>
  <c r="GL10" i="3"/>
  <c r="GM10" i="3"/>
  <c r="GN10" i="3"/>
  <c r="GO10" i="3"/>
  <c r="GP10" i="3"/>
  <c r="GQ10" i="3"/>
  <c r="GR10" i="3"/>
  <c r="GS10" i="3"/>
  <c r="GT10" i="3"/>
  <c r="GU10" i="3"/>
  <c r="GV10" i="3"/>
  <c r="GW10" i="3"/>
  <c r="GX10" i="3"/>
  <c r="GY10" i="3"/>
  <c r="GZ10" i="3"/>
  <c r="HA10" i="3"/>
  <c r="HB10" i="3"/>
  <c r="HC10" i="3"/>
  <c r="HD10" i="3"/>
  <c r="HE10" i="3"/>
  <c r="HF10" i="3"/>
  <c r="HG10" i="3"/>
  <c r="HH10" i="3"/>
  <c r="HI10" i="3"/>
  <c r="HJ10" i="3"/>
  <c r="HK10" i="3"/>
  <c r="HL10" i="3"/>
  <c r="HM10" i="3"/>
  <c r="HN10" i="3"/>
  <c r="HO10" i="3"/>
  <c r="HP10" i="3"/>
  <c r="HQ10" i="3"/>
  <c r="HR10" i="3"/>
  <c r="HS10" i="3"/>
  <c r="HT10" i="3"/>
  <c r="HU10" i="3"/>
  <c r="HV10" i="3"/>
  <c r="HW10" i="3"/>
  <c r="HX10" i="3"/>
  <c r="HY10" i="3"/>
  <c r="HZ10" i="3"/>
  <c r="IA10" i="3"/>
  <c r="IB10" i="3"/>
  <c r="IC10" i="3"/>
  <c r="ID10" i="3"/>
  <c r="IE10" i="3"/>
  <c r="IF10" i="3"/>
  <c r="IG10" i="3"/>
  <c r="IH10" i="3"/>
  <c r="II10" i="3"/>
  <c r="IJ10" i="3"/>
  <c r="IK10" i="3"/>
  <c r="IL10" i="3"/>
  <c r="IM10" i="3"/>
  <c r="IN10" i="3"/>
  <c r="IO10" i="3"/>
  <c r="IP10" i="3"/>
  <c r="IQ10" i="3"/>
  <c r="IR10" i="3"/>
  <c r="IS10" i="3"/>
  <c r="IT10" i="3"/>
  <c r="IU10" i="3"/>
  <c r="IV10" i="3"/>
  <c r="A9" i="3"/>
  <c r="B9" i="3"/>
  <c r="C9" i="3"/>
  <c r="D9" i="3"/>
  <c r="E9" i="3"/>
  <c r="F9" i="3"/>
  <c r="G9" i="3"/>
  <c r="H9" i="3"/>
  <c r="I9" i="3"/>
  <c r="J9" i="3"/>
  <c r="K9" i="3"/>
  <c r="L9" i="3"/>
  <c r="M9" i="3"/>
  <c r="N9" i="3"/>
  <c r="O9" i="3"/>
  <c r="P9" i="3"/>
  <c r="Q9" i="3"/>
  <c r="R9" i="3"/>
  <c r="S9" i="3"/>
  <c r="T9" i="3"/>
  <c r="U9" i="3"/>
  <c r="V9" i="3"/>
  <c r="W9" i="3"/>
  <c r="X9" i="3"/>
  <c r="Y9" i="3"/>
  <c r="Z9" i="3"/>
  <c r="AA9" i="3"/>
  <c r="AB9" i="3"/>
  <c r="AC9" i="3"/>
  <c r="AD9" i="3"/>
  <c r="AE9" i="3"/>
  <c r="AF9" i="3"/>
  <c r="AG9" i="3"/>
  <c r="AH9" i="3"/>
  <c r="AI9" i="3"/>
  <c r="AJ9" i="3"/>
  <c r="AK9" i="3"/>
  <c r="AL9" i="3"/>
  <c r="AM9" i="3"/>
  <c r="AN9" i="3"/>
  <c r="AO9" i="3"/>
  <c r="AP9" i="3"/>
  <c r="AQ9" i="3"/>
  <c r="AR9" i="3"/>
  <c r="AS9" i="3"/>
  <c r="AT9" i="3"/>
  <c r="AU9" i="3"/>
  <c r="AV9" i="3"/>
  <c r="AW9" i="3"/>
  <c r="AX9" i="3"/>
  <c r="AY9" i="3"/>
  <c r="AZ9" i="3"/>
  <c r="BA9" i="3"/>
  <c r="BB9" i="3"/>
  <c r="BC9" i="3"/>
  <c r="BD9" i="3"/>
  <c r="BE9" i="3"/>
  <c r="BF9" i="3"/>
  <c r="BG9" i="3"/>
  <c r="BH9" i="3"/>
  <c r="BI9" i="3"/>
  <c r="BJ9" i="3"/>
  <c r="BK9" i="3"/>
  <c r="BL9" i="3"/>
  <c r="BM9" i="3"/>
  <c r="BN9" i="3"/>
  <c r="BO9" i="3"/>
  <c r="BP9" i="3"/>
  <c r="BQ9" i="3"/>
  <c r="BR9" i="3"/>
  <c r="BS9" i="3"/>
  <c r="BT9" i="3"/>
  <c r="BU9" i="3"/>
  <c r="BV9" i="3"/>
  <c r="BW9" i="3"/>
  <c r="BX9" i="3"/>
  <c r="BY9" i="3"/>
  <c r="BZ9" i="3"/>
  <c r="CA9" i="3"/>
  <c r="CB9" i="3"/>
  <c r="CC9" i="3"/>
  <c r="CD9" i="3"/>
  <c r="CE9" i="3"/>
  <c r="CF9" i="3"/>
  <c r="CG9" i="3"/>
  <c r="CH9" i="3"/>
  <c r="CI9" i="3"/>
  <c r="CJ9" i="3"/>
  <c r="CK9" i="3"/>
  <c r="CL9" i="3"/>
  <c r="CM9" i="3"/>
  <c r="CN9" i="3"/>
  <c r="CO9" i="3"/>
  <c r="CP9" i="3"/>
  <c r="CQ9" i="3"/>
  <c r="CR9" i="3"/>
  <c r="CS9" i="3"/>
  <c r="CT9" i="3"/>
  <c r="CU9" i="3"/>
  <c r="CV9" i="3"/>
  <c r="CW9" i="3"/>
  <c r="CX9" i="3"/>
  <c r="CY9" i="3"/>
  <c r="CZ9" i="3"/>
  <c r="DA9" i="3"/>
  <c r="DB9" i="3"/>
  <c r="DC9" i="3"/>
  <c r="DD9" i="3"/>
  <c r="DE9" i="3"/>
  <c r="DF9" i="3"/>
  <c r="DG9" i="3"/>
  <c r="DH9" i="3"/>
  <c r="DI9" i="3"/>
  <c r="DJ9" i="3"/>
  <c r="DK9" i="3"/>
  <c r="DL9" i="3"/>
  <c r="DM9" i="3"/>
  <c r="DN9" i="3"/>
  <c r="DO9" i="3"/>
  <c r="DP9" i="3"/>
  <c r="DQ9" i="3"/>
  <c r="DR9" i="3"/>
  <c r="DS9" i="3"/>
  <c r="DT9" i="3"/>
  <c r="DU9" i="3"/>
  <c r="DV9" i="3"/>
  <c r="DW9" i="3"/>
  <c r="DX9" i="3"/>
  <c r="DY9" i="3"/>
  <c r="DZ9" i="3"/>
  <c r="EA9" i="3"/>
  <c r="EB9" i="3"/>
  <c r="EC9" i="3"/>
  <c r="ED9" i="3"/>
  <c r="EE9" i="3"/>
  <c r="EF9" i="3"/>
  <c r="EG9" i="3"/>
  <c r="EH9" i="3"/>
  <c r="EI9" i="3"/>
  <c r="EJ9" i="3"/>
  <c r="EK9" i="3"/>
  <c r="EL9" i="3"/>
  <c r="EM9" i="3"/>
  <c r="EN9" i="3"/>
  <c r="EO9" i="3"/>
  <c r="EP9" i="3"/>
  <c r="EQ9" i="3"/>
  <c r="ER9" i="3"/>
  <c r="ES9" i="3"/>
  <c r="ET9" i="3"/>
  <c r="EU9" i="3"/>
  <c r="EV9" i="3"/>
  <c r="EW9" i="3"/>
  <c r="EX9" i="3"/>
  <c r="EY9" i="3"/>
  <c r="EZ9" i="3"/>
  <c r="FA9" i="3"/>
  <c r="FB9" i="3"/>
  <c r="FC9" i="3"/>
  <c r="FD9" i="3"/>
  <c r="FE9" i="3"/>
  <c r="FF9" i="3"/>
  <c r="FG9" i="3"/>
  <c r="FH9" i="3"/>
  <c r="FI9" i="3"/>
  <c r="FJ9" i="3"/>
  <c r="FK9" i="3"/>
  <c r="FL9" i="3"/>
  <c r="FM9" i="3"/>
  <c r="FN9" i="3"/>
  <c r="FO9" i="3"/>
  <c r="FP9" i="3"/>
  <c r="FQ9" i="3"/>
  <c r="FR9" i="3"/>
  <c r="FS9" i="3"/>
  <c r="FT9" i="3"/>
  <c r="FU9" i="3"/>
  <c r="FV9" i="3"/>
  <c r="FW9" i="3"/>
  <c r="FX9" i="3"/>
  <c r="FY9" i="3"/>
  <c r="FZ9" i="3"/>
  <c r="GA9" i="3"/>
  <c r="GB9" i="3"/>
  <c r="GC9" i="3"/>
  <c r="GD9" i="3"/>
  <c r="GE9" i="3"/>
  <c r="GF9" i="3"/>
  <c r="GG9" i="3"/>
  <c r="GH9" i="3"/>
  <c r="GI9" i="3"/>
  <c r="GJ9" i="3"/>
  <c r="GK9" i="3"/>
  <c r="GL9" i="3"/>
  <c r="GM9" i="3"/>
  <c r="GN9" i="3"/>
  <c r="GO9" i="3"/>
  <c r="GP9" i="3"/>
  <c r="GQ9" i="3"/>
  <c r="GR9" i="3"/>
  <c r="GS9" i="3"/>
  <c r="GT9" i="3"/>
  <c r="GU9" i="3"/>
  <c r="GV9" i="3"/>
  <c r="GW9" i="3"/>
  <c r="GX9" i="3"/>
  <c r="GY9" i="3"/>
  <c r="GZ9" i="3"/>
  <c r="HA9" i="3"/>
  <c r="HB9" i="3"/>
  <c r="HC9" i="3"/>
  <c r="HD9" i="3"/>
  <c r="HE9" i="3"/>
  <c r="HF9" i="3"/>
  <c r="HG9" i="3"/>
  <c r="HH9" i="3"/>
  <c r="HI9" i="3"/>
  <c r="HJ9" i="3"/>
  <c r="HK9" i="3"/>
  <c r="HL9" i="3"/>
  <c r="HM9" i="3"/>
  <c r="HN9" i="3"/>
  <c r="HO9" i="3"/>
  <c r="HP9" i="3"/>
  <c r="HQ9" i="3"/>
  <c r="HR9" i="3"/>
  <c r="HS9" i="3"/>
  <c r="HT9" i="3"/>
  <c r="HU9" i="3"/>
  <c r="HV9" i="3"/>
  <c r="HW9" i="3"/>
  <c r="HX9" i="3"/>
  <c r="HY9" i="3"/>
  <c r="HZ9" i="3"/>
  <c r="IA9" i="3"/>
  <c r="IB9" i="3"/>
  <c r="IC9" i="3"/>
  <c r="ID9" i="3"/>
  <c r="IE9" i="3"/>
  <c r="IF9" i="3"/>
  <c r="IG9" i="3"/>
  <c r="IH9" i="3"/>
  <c r="II9" i="3"/>
  <c r="IJ9" i="3"/>
  <c r="IK9" i="3"/>
  <c r="IL9" i="3"/>
  <c r="IM9" i="3"/>
  <c r="IN9" i="3"/>
  <c r="IO9" i="3"/>
  <c r="IP9" i="3"/>
  <c r="IQ9" i="3"/>
  <c r="IR9" i="3"/>
  <c r="IS9" i="3"/>
  <c r="IT9" i="3"/>
  <c r="IU9" i="3"/>
  <c r="IV9" i="3"/>
  <c r="A8" i="3"/>
  <c r="B8" i="3"/>
  <c r="C8" i="3"/>
  <c r="D8" i="3"/>
  <c r="E8" i="3"/>
  <c r="F8" i="3"/>
  <c r="G8" i="3"/>
  <c r="H8" i="3"/>
  <c r="I8" i="3"/>
  <c r="J8" i="3"/>
  <c r="K8" i="3"/>
  <c r="L8" i="3"/>
  <c r="M8" i="3"/>
  <c r="N8" i="3"/>
  <c r="O8" i="3"/>
  <c r="P8" i="3"/>
  <c r="Q8" i="3"/>
  <c r="R8" i="3"/>
  <c r="S8" i="3"/>
  <c r="T8" i="3"/>
  <c r="U8" i="3"/>
  <c r="V8" i="3"/>
  <c r="W8" i="3"/>
  <c r="X8" i="3"/>
  <c r="Y8" i="3"/>
  <c r="Z8" i="3"/>
  <c r="AA8" i="3"/>
  <c r="AB8" i="3"/>
  <c r="AC8" i="3"/>
  <c r="AD8" i="3"/>
  <c r="AE8" i="3"/>
  <c r="AF8" i="3"/>
  <c r="AG8" i="3"/>
  <c r="AH8" i="3"/>
  <c r="AI8" i="3"/>
  <c r="AJ8" i="3"/>
  <c r="AK8" i="3"/>
  <c r="AL8" i="3"/>
  <c r="AM8" i="3"/>
  <c r="AN8" i="3"/>
  <c r="AO8" i="3"/>
  <c r="AP8" i="3"/>
  <c r="AQ8" i="3"/>
  <c r="AR8" i="3"/>
  <c r="AS8" i="3"/>
  <c r="AT8" i="3"/>
  <c r="AU8" i="3"/>
  <c r="AV8" i="3"/>
  <c r="AW8" i="3"/>
  <c r="AX8" i="3"/>
  <c r="AY8" i="3"/>
  <c r="AZ8" i="3"/>
  <c r="BA8" i="3"/>
  <c r="BB8" i="3"/>
  <c r="BC8" i="3"/>
  <c r="BD8" i="3"/>
  <c r="BE8" i="3"/>
  <c r="BF8" i="3"/>
  <c r="BG8" i="3"/>
  <c r="BH8" i="3"/>
  <c r="BI8" i="3"/>
  <c r="BJ8" i="3"/>
  <c r="BK8" i="3"/>
  <c r="BL8" i="3"/>
  <c r="BM8" i="3"/>
  <c r="BN8" i="3"/>
  <c r="BO8" i="3"/>
  <c r="BP8" i="3"/>
  <c r="BQ8" i="3"/>
  <c r="BR8" i="3"/>
  <c r="BS8" i="3"/>
  <c r="BT8" i="3"/>
  <c r="BU8" i="3"/>
  <c r="BV8" i="3"/>
  <c r="BW8" i="3"/>
  <c r="BX8" i="3"/>
  <c r="BY8" i="3"/>
  <c r="BZ8" i="3"/>
  <c r="CA8" i="3"/>
  <c r="CB8" i="3"/>
  <c r="CC8" i="3"/>
  <c r="CD8" i="3"/>
  <c r="CE8" i="3"/>
  <c r="CF8" i="3"/>
  <c r="CG8" i="3"/>
  <c r="CH8" i="3"/>
  <c r="CI8" i="3"/>
  <c r="CJ8" i="3"/>
  <c r="CK8" i="3"/>
  <c r="CL8" i="3"/>
  <c r="CM8" i="3"/>
  <c r="CN8" i="3"/>
  <c r="CO8" i="3"/>
  <c r="CP8" i="3"/>
  <c r="CQ8" i="3"/>
  <c r="CR8" i="3"/>
  <c r="CS8" i="3"/>
  <c r="CT8" i="3"/>
  <c r="CU8" i="3"/>
  <c r="CV8" i="3"/>
  <c r="CW8" i="3"/>
  <c r="CX8" i="3"/>
  <c r="CY8" i="3"/>
  <c r="CZ8" i="3"/>
  <c r="DA8" i="3"/>
  <c r="DB8" i="3"/>
  <c r="DC8" i="3"/>
  <c r="DD8" i="3"/>
  <c r="DE8" i="3"/>
  <c r="DF8" i="3"/>
  <c r="DG8" i="3"/>
  <c r="DH8" i="3"/>
  <c r="DI8" i="3"/>
  <c r="DJ8" i="3"/>
  <c r="DK8" i="3"/>
  <c r="DL8" i="3"/>
  <c r="DM8" i="3"/>
  <c r="DN8" i="3"/>
  <c r="DO8" i="3"/>
  <c r="DP8" i="3"/>
  <c r="DQ8" i="3"/>
  <c r="DR8" i="3"/>
  <c r="DS8" i="3"/>
  <c r="DT8" i="3"/>
  <c r="DU8" i="3"/>
  <c r="DV8" i="3"/>
  <c r="DW8" i="3"/>
  <c r="DX8" i="3"/>
  <c r="DY8" i="3"/>
  <c r="DZ8" i="3"/>
  <c r="EA8" i="3"/>
  <c r="EB8" i="3"/>
  <c r="EC8" i="3"/>
  <c r="ED8" i="3"/>
  <c r="EE8" i="3"/>
  <c r="EF8" i="3"/>
  <c r="EG8" i="3"/>
  <c r="EH8" i="3"/>
  <c r="EI8" i="3"/>
  <c r="EJ8" i="3"/>
  <c r="EK8" i="3"/>
  <c r="EL8" i="3"/>
  <c r="EM8" i="3"/>
  <c r="EN8" i="3"/>
  <c r="EO8" i="3"/>
  <c r="EP8" i="3"/>
  <c r="EQ8" i="3"/>
  <c r="ER8" i="3"/>
  <c r="ES8" i="3"/>
  <c r="ET8" i="3"/>
  <c r="EU8" i="3"/>
  <c r="EV8" i="3"/>
  <c r="EW8" i="3"/>
  <c r="EX8" i="3"/>
  <c r="EY8" i="3"/>
  <c r="EZ8" i="3"/>
  <c r="FA8" i="3"/>
  <c r="FB8" i="3"/>
  <c r="FC8" i="3"/>
  <c r="FD8" i="3"/>
  <c r="FE8" i="3"/>
  <c r="FF8" i="3"/>
  <c r="FG8" i="3"/>
  <c r="FH8" i="3"/>
  <c r="FI8" i="3"/>
  <c r="FJ8" i="3"/>
  <c r="FK8" i="3"/>
  <c r="FL8" i="3"/>
  <c r="FM8" i="3"/>
  <c r="FN8" i="3"/>
  <c r="FO8" i="3"/>
  <c r="FP8" i="3"/>
  <c r="FQ8" i="3"/>
  <c r="FR8" i="3"/>
  <c r="FS8" i="3"/>
  <c r="FT8" i="3"/>
  <c r="FU8" i="3"/>
  <c r="FV8" i="3"/>
  <c r="FW8" i="3"/>
  <c r="FX8" i="3"/>
  <c r="FY8" i="3"/>
  <c r="FZ8" i="3"/>
  <c r="GA8" i="3"/>
  <c r="GB8" i="3"/>
  <c r="GC8" i="3"/>
  <c r="GD8" i="3"/>
  <c r="GE8" i="3"/>
  <c r="GF8" i="3"/>
  <c r="GG8" i="3"/>
  <c r="GH8" i="3"/>
  <c r="GI8" i="3"/>
  <c r="GJ8" i="3"/>
  <c r="GK8" i="3"/>
  <c r="GL8" i="3"/>
  <c r="GM8" i="3"/>
  <c r="GN8" i="3"/>
  <c r="GO8" i="3"/>
  <c r="GP8" i="3"/>
  <c r="GQ8" i="3"/>
  <c r="GR8" i="3"/>
  <c r="GS8" i="3"/>
  <c r="GT8" i="3"/>
  <c r="GU8" i="3"/>
  <c r="GV8" i="3"/>
  <c r="GW8" i="3"/>
  <c r="GX8" i="3"/>
  <c r="GY8" i="3"/>
  <c r="GZ8" i="3"/>
  <c r="HA8" i="3"/>
  <c r="HB8" i="3"/>
  <c r="HC8" i="3"/>
  <c r="HD8" i="3"/>
  <c r="HE8" i="3"/>
  <c r="HF8" i="3"/>
  <c r="HG8" i="3"/>
  <c r="HH8" i="3"/>
  <c r="HI8" i="3"/>
  <c r="HJ8" i="3"/>
  <c r="HK8" i="3"/>
  <c r="HL8" i="3"/>
  <c r="HM8" i="3"/>
  <c r="HN8" i="3"/>
  <c r="HO8" i="3"/>
  <c r="HP8" i="3"/>
  <c r="HQ8" i="3"/>
  <c r="HR8" i="3"/>
  <c r="HS8" i="3"/>
  <c r="HT8" i="3"/>
  <c r="HU8" i="3"/>
  <c r="HV8" i="3"/>
  <c r="HW8" i="3"/>
  <c r="HX8" i="3"/>
  <c r="HY8" i="3"/>
  <c r="HZ8" i="3"/>
  <c r="IA8" i="3"/>
  <c r="IB8" i="3"/>
  <c r="IC8" i="3"/>
  <c r="ID8" i="3"/>
  <c r="IE8" i="3"/>
  <c r="IF8" i="3"/>
  <c r="IG8" i="3"/>
  <c r="IH8" i="3"/>
  <c r="II8" i="3"/>
  <c r="IJ8" i="3"/>
  <c r="IK8" i="3"/>
  <c r="IL8" i="3"/>
  <c r="IM8" i="3"/>
  <c r="IN8" i="3"/>
  <c r="IO8" i="3"/>
  <c r="IP8" i="3"/>
  <c r="IQ8" i="3"/>
  <c r="IR8" i="3"/>
  <c r="IS8" i="3"/>
  <c r="IT8" i="3"/>
  <c r="IU8" i="3"/>
  <c r="IV8" i="3"/>
  <c r="A7" i="3"/>
  <c r="B7" i="3"/>
  <c r="C7" i="3"/>
  <c r="D7" i="3"/>
  <c r="E7" i="3"/>
  <c r="F7" i="3"/>
  <c r="G7" i="3"/>
  <c r="H7" i="3"/>
  <c r="I7" i="3"/>
  <c r="J7" i="3"/>
  <c r="K7" i="3"/>
  <c r="L7" i="3"/>
  <c r="M7" i="3"/>
  <c r="N7" i="3"/>
  <c r="O7" i="3"/>
  <c r="P7" i="3"/>
  <c r="Q7" i="3"/>
  <c r="R7" i="3"/>
  <c r="S7" i="3"/>
  <c r="T7" i="3"/>
  <c r="U7" i="3"/>
  <c r="V7" i="3"/>
  <c r="W7" i="3"/>
  <c r="X7" i="3"/>
  <c r="Y7" i="3"/>
  <c r="Z7" i="3"/>
  <c r="AA7" i="3"/>
  <c r="AB7" i="3"/>
  <c r="AC7" i="3"/>
  <c r="AD7" i="3"/>
  <c r="AE7" i="3"/>
  <c r="AF7" i="3"/>
  <c r="AG7" i="3"/>
  <c r="AH7" i="3"/>
  <c r="AI7" i="3"/>
  <c r="AJ7" i="3"/>
  <c r="AK7" i="3"/>
  <c r="AL7" i="3"/>
  <c r="AM7" i="3"/>
  <c r="AN7" i="3"/>
  <c r="AO7" i="3"/>
  <c r="AP7" i="3"/>
  <c r="AQ7" i="3"/>
  <c r="AR7" i="3"/>
  <c r="AS7" i="3"/>
  <c r="AT7" i="3"/>
  <c r="AU7" i="3"/>
  <c r="AV7" i="3"/>
  <c r="AW7" i="3"/>
  <c r="AX7" i="3"/>
  <c r="AY7" i="3"/>
  <c r="AZ7" i="3"/>
  <c r="BA7" i="3"/>
  <c r="BB7" i="3"/>
  <c r="BC7" i="3"/>
  <c r="BD7" i="3"/>
  <c r="BE7" i="3"/>
  <c r="BF7" i="3"/>
  <c r="BG7" i="3"/>
  <c r="BH7" i="3"/>
  <c r="BI7" i="3"/>
  <c r="BJ7" i="3"/>
  <c r="BK7" i="3"/>
  <c r="BL7" i="3"/>
  <c r="BM7" i="3"/>
  <c r="BN7" i="3"/>
  <c r="BO7" i="3"/>
  <c r="BP7" i="3"/>
  <c r="BQ7" i="3"/>
  <c r="BR7" i="3"/>
  <c r="BS7" i="3"/>
  <c r="BT7" i="3"/>
  <c r="BU7" i="3"/>
  <c r="BV7" i="3"/>
  <c r="BW7" i="3"/>
  <c r="BX7" i="3"/>
  <c r="BY7" i="3"/>
  <c r="BZ7" i="3"/>
  <c r="CA7" i="3"/>
  <c r="CB7" i="3"/>
  <c r="CC7" i="3"/>
  <c r="CD7" i="3"/>
  <c r="CE7" i="3"/>
  <c r="CF7" i="3"/>
  <c r="CG7" i="3"/>
  <c r="CH7" i="3"/>
  <c r="CI7" i="3"/>
  <c r="CJ7" i="3"/>
  <c r="CK7" i="3"/>
  <c r="CL7" i="3"/>
  <c r="CM7" i="3"/>
  <c r="CN7" i="3"/>
  <c r="CO7" i="3"/>
  <c r="CP7" i="3"/>
  <c r="CQ7" i="3"/>
  <c r="CR7" i="3"/>
  <c r="CS7" i="3"/>
  <c r="CT7" i="3"/>
  <c r="CU7" i="3"/>
  <c r="CV7" i="3"/>
  <c r="CW7" i="3"/>
  <c r="CX7" i="3"/>
  <c r="CY7" i="3"/>
  <c r="CZ7" i="3"/>
  <c r="DA7" i="3"/>
  <c r="DB7" i="3"/>
  <c r="DC7" i="3"/>
  <c r="DD7" i="3"/>
  <c r="DE7" i="3"/>
  <c r="DF7" i="3"/>
  <c r="DG7" i="3"/>
  <c r="DH7" i="3"/>
  <c r="DI7" i="3"/>
  <c r="DJ7" i="3"/>
  <c r="DK7" i="3"/>
  <c r="DL7" i="3"/>
  <c r="DM7" i="3"/>
  <c r="DN7" i="3"/>
  <c r="DO7" i="3"/>
  <c r="DP7" i="3"/>
  <c r="DQ7" i="3"/>
  <c r="DR7" i="3"/>
  <c r="DS7" i="3"/>
  <c r="DT7" i="3"/>
  <c r="DU7" i="3"/>
  <c r="DV7" i="3"/>
  <c r="DW7" i="3"/>
  <c r="DX7" i="3"/>
  <c r="DY7" i="3"/>
  <c r="DZ7" i="3"/>
  <c r="EA7" i="3"/>
  <c r="EB7" i="3"/>
  <c r="EC7" i="3"/>
  <c r="ED7" i="3"/>
  <c r="EE7" i="3"/>
  <c r="EF7" i="3"/>
  <c r="EG7" i="3"/>
  <c r="EH7" i="3"/>
  <c r="EI7" i="3"/>
  <c r="EJ7" i="3"/>
  <c r="EK7" i="3"/>
  <c r="EL7" i="3"/>
  <c r="EM7" i="3"/>
  <c r="EN7" i="3"/>
  <c r="EO7" i="3"/>
  <c r="EP7" i="3"/>
  <c r="EQ7" i="3"/>
  <c r="ER7" i="3"/>
  <c r="ES7" i="3"/>
  <c r="ET7" i="3"/>
  <c r="EU7" i="3"/>
  <c r="EV7" i="3"/>
  <c r="EW7" i="3"/>
  <c r="EX7" i="3"/>
  <c r="EY7" i="3"/>
  <c r="EZ7" i="3"/>
  <c r="FA7" i="3"/>
  <c r="FB7" i="3"/>
  <c r="FC7" i="3"/>
  <c r="FD7" i="3"/>
  <c r="FE7" i="3"/>
  <c r="FF7" i="3"/>
  <c r="FG7" i="3"/>
  <c r="FH7" i="3"/>
  <c r="FI7" i="3"/>
  <c r="FJ7" i="3"/>
  <c r="FK7" i="3"/>
  <c r="FL7" i="3"/>
  <c r="FM7" i="3"/>
  <c r="FN7" i="3"/>
  <c r="FO7" i="3"/>
  <c r="FP7" i="3"/>
  <c r="FQ7" i="3"/>
  <c r="FR7" i="3"/>
  <c r="FS7" i="3"/>
  <c r="FT7" i="3"/>
  <c r="FU7" i="3"/>
  <c r="FV7" i="3"/>
  <c r="FW7" i="3"/>
  <c r="FX7" i="3"/>
  <c r="FY7" i="3"/>
  <c r="FZ7" i="3"/>
  <c r="GA7" i="3"/>
  <c r="GB7" i="3"/>
  <c r="GC7" i="3"/>
  <c r="GD7" i="3"/>
  <c r="GE7" i="3"/>
  <c r="GF7" i="3"/>
  <c r="GG7" i="3"/>
  <c r="GH7" i="3"/>
  <c r="GI7" i="3"/>
  <c r="GJ7" i="3"/>
  <c r="GK7" i="3"/>
  <c r="GL7" i="3"/>
  <c r="GM7" i="3"/>
  <c r="GN7" i="3"/>
  <c r="GO7" i="3"/>
  <c r="GP7" i="3"/>
  <c r="GQ7" i="3"/>
  <c r="GR7" i="3"/>
  <c r="GS7" i="3"/>
  <c r="GT7" i="3"/>
  <c r="GU7" i="3"/>
  <c r="GV7" i="3"/>
  <c r="GW7" i="3"/>
  <c r="GX7" i="3"/>
  <c r="GY7" i="3"/>
  <c r="GZ7" i="3"/>
  <c r="HA7" i="3"/>
  <c r="HB7" i="3"/>
  <c r="HC7" i="3"/>
  <c r="HD7" i="3"/>
  <c r="HE7" i="3"/>
  <c r="HF7" i="3"/>
  <c r="HG7" i="3"/>
  <c r="HH7" i="3"/>
  <c r="HI7" i="3"/>
  <c r="HJ7" i="3"/>
  <c r="HK7" i="3"/>
  <c r="HL7" i="3"/>
  <c r="HM7" i="3"/>
  <c r="HN7" i="3"/>
  <c r="HO7" i="3"/>
  <c r="HP7" i="3"/>
  <c r="HQ7" i="3"/>
  <c r="HR7" i="3"/>
  <c r="HS7" i="3"/>
  <c r="HT7" i="3"/>
  <c r="HU7" i="3"/>
  <c r="HV7" i="3"/>
  <c r="HW7" i="3"/>
  <c r="HX7" i="3"/>
  <c r="HY7" i="3"/>
  <c r="HZ7" i="3"/>
  <c r="IA7" i="3"/>
  <c r="IB7" i="3"/>
  <c r="IC7" i="3"/>
  <c r="ID7" i="3"/>
  <c r="IE7" i="3"/>
  <c r="IF7" i="3"/>
  <c r="IG7" i="3"/>
  <c r="IH7" i="3"/>
  <c r="II7" i="3"/>
  <c r="IJ7" i="3"/>
  <c r="IK7" i="3"/>
  <c r="IL7" i="3"/>
  <c r="IM7" i="3"/>
  <c r="IN7" i="3"/>
  <c r="IO7" i="3"/>
  <c r="IP7" i="3"/>
  <c r="IQ7" i="3"/>
  <c r="IR7" i="3"/>
  <c r="IS7" i="3"/>
  <c r="IT7" i="3"/>
  <c r="IU7" i="3"/>
  <c r="IV7" i="3"/>
  <c r="A6" i="3"/>
  <c r="B6" i="3"/>
  <c r="C6" i="3"/>
  <c r="D6" i="3"/>
  <c r="E6" i="3"/>
  <c r="F6" i="3"/>
  <c r="G6" i="3"/>
  <c r="H6" i="3"/>
  <c r="I6" i="3"/>
  <c r="J6" i="3"/>
  <c r="K6" i="3"/>
  <c r="L6" i="3"/>
  <c r="M6" i="3"/>
  <c r="N6" i="3"/>
  <c r="O6" i="3"/>
  <c r="P6" i="3"/>
  <c r="Q6" i="3"/>
  <c r="R6" i="3"/>
  <c r="S6" i="3"/>
  <c r="T6" i="3"/>
  <c r="U6" i="3"/>
  <c r="V6" i="3"/>
  <c r="W6" i="3"/>
  <c r="X6" i="3"/>
  <c r="Y6" i="3"/>
  <c r="Z6" i="3"/>
  <c r="AA6" i="3"/>
  <c r="AB6" i="3"/>
  <c r="AC6" i="3"/>
  <c r="AD6" i="3"/>
  <c r="AE6" i="3"/>
  <c r="AF6" i="3"/>
  <c r="AG6" i="3"/>
  <c r="AH6" i="3"/>
  <c r="AI6" i="3"/>
  <c r="AJ6" i="3"/>
  <c r="AK6" i="3"/>
  <c r="AL6" i="3"/>
  <c r="AM6" i="3"/>
  <c r="AN6" i="3"/>
  <c r="AO6" i="3"/>
  <c r="AP6" i="3"/>
  <c r="AQ6" i="3"/>
  <c r="AR6" i="3"/>
  <c r="AS6" i="3"/>
  <c r="AT6" i="3"/>
  <c r="AU6" i="3"/>
  <c r="AV6" i="3"/>
  <c r="AW6" i="3"/>
  <c r="AX6" i="3"/>
  <c r="AY6" i="3"/>
  <c r="AZ6" i="3"/>
  <c r="BA6" i="3"/>
  <c r="BB6" i="3"/>
  <c r="BC6" i="3"/>
  <c r="BD6" i="3"/>
  <c r="BE6" i="3"/>
  <c r="BF6" i="3"/>
  <c r="BG6" i="3"/>
  <c r="BH6" i="3"/>
  <c r="BI6" i="3"/>
  <c r="BJ6" i="3"/>
  <c r="BK6" i="3"/>
  <c r="BL6" i="3"/>
  <c r="BM6" i="3"/>
  <c r="BN6" i="3"/>
  <c r="BO6" i="3"/>
  <c r="BP6" i="3"/>
  <c r="BQ6" i="3"/>
  <c r="BR6" i="3"/>
  <c r="BS6" i="3"/>
  <c r="BT6" i="3"/>
  <c r="BU6" i="3"/>
  <c r="BV6" i="3"/>
  <c r="BW6" i="3"/>
  <c r="BX6" i="3"/>
  <c r="BY6" i="3"/>
  <c r="BZ6" i="3"/>
  <c r="CA6" i="3"/>
  <c r="CB6" i="3"/>
  <c r="CC6" i="3"/>
  <c r="CD6" i="3"/>
  <c r="CE6" i="3"/>
  <c r="CF6" i="3"/>
  <c r="CG6" i="3"/>
  <c r="CH6" i="3"/>
  <c r="CI6" i="3"/>
  <c r="CJ6" i="3"/>
  <c r="CK6" i="3"/>
  <c r="CL6" i="3"/>
  <c r="CM6" i="3"/>
  <c r="CN6" i="3"/>
  <c r="CO6" i="3"/>
  <c r="CP6" i="3"/>
  <c r="CQ6" i="3"/>
  <c r="CR6" i="3"/>
  <c r="CS6" i="3"/>
  <c r="CT6" i="3"/>
  <c r="CU6" i="3"/>
  <c r="CV6" i="3"/>
  <c r="CW6" i="3"/>
  <c r="CX6" i="3"/>
  <c r="CY6" i="3"/>
  <c r="CZ6" i="3"/>
  <c r="DA6" i="3"/>
  <c r="DB6" i="3"/>
  <c r="DC6" i="3"/>
  <c r="DD6" i="3"/>
  <c r="DE6" i="3"/>
  <c r="DF6" i="3"/>
  <c r="DG6" i="3"/>
  <c r="DH6" i="3"/>
  <c r="DI6" i="3"/>
  <c r="DJ6" i="3"/>
  <c r="DK6" i="3"/>
  <c r="DL6" i="3"/>
  <c r="DM6" i="3"/>
  <c r="DN6" i="3"/>
  <c r="DO6" i="3"/>
  <c r="DP6" i="3"/>
  <c r="DQ6" i="3"/>
  <c r="DR6" i="3"/>
  <c r="DS6" i="3"/>
  <c r="DT6" i="3"/>
  <c r="DU6" i="3"/>
  <c r="DV6" i="3"/>
  <c r="DW6" i="3"/>
  <c r="DX6" i="3"/>
  <c r="DY6" i="3"/>
  <c r="DZ6" i="3"/>
  <c r="EA6" i="3"/>
  <c r="EB6" i="3"/>
  <c r="EC6" i="3"/>
  <c r="ED6" i="3"/>
  <c r="EE6" i="3"/>
  <c r="EF6" i="3"/>
  <c r="EG6" i="3"/>
  <c r="EH6" i="3"/>
  <c r="EI6" i="3"/>
  <c r="EJ6" i="3"/>
  <c r="EK6" i="3"/>
  <c r="EL6" i="3"/>
  <c r="EM6" i="3"/>
  <c r="EN6" i="3"/>
  <c r="EO6" i="3"/>
  <c r="EP6" i="3"/>
  <c r="EQ6" i="3"/>
  <c r="ER6" i="3"/>
  <c r="ES6" i="3"/>
  <c r="ET6" i="3"/>
  <c r="EU6" i="3"/>
  <c r="EV6" i="3"/>
  <c r="EW6" i="3"/>
  <c r="EX6" i="3"/>
  <c r="EY6" i="3"/>
  <c r="EZ6" i="3"/>
  <c r="FA6" i="3"/>
  <c r="FB6" i="3"/>
  <c r="FC6" i="3"/>
  <c r="FD6" i="3"/>
  <c r="FE6" i="3"/>
  <c r="FF6" i="3"/>
  <c r="FG6" i="3"/>
  <c r="FH6" i="3"/>
  <c r="FI6" i="3"/>
  <c r="FJ6" i="3"/>
  <c r="FK6" i="3"/>
  <c r="FL6" i="3"/>
  <c r="FM6" i="3"/>
  <c r="FN6" i="3"/>
  <c r="FO6" i="3"/>
  <c r="FP6" i="3"/>
  <c r="FQ6" i="3"/>
  <c r="FR6" i="3"/>
  <c r="FS6" i="3"/>
  <c r="FT6" i="3"/>
  <c r="FU6" i="3"/>
  <c r="FV6" i="3"/>
  <c r="FW6" i="3"/>
  <c r="FX6" i="3"/>
  <c r="FY6" i="3"/>
  <c r="FZ6" i="3"/>
  <c r="GA6" i="3"/>
  <c r="GB6" i="3"/>
  <c r="GC6" i="3"/>
  <c r="GD6" i="3"/>
  <c r="GE6" i="3"/>
  <c r="GF6" i="3"/>
  <c r="GG6" i="3"/>
  <c r="GH6" i="3"/>
  <c r="GI6" i="3"/>
  <c r="GJ6" i="3"/>
  <c r="GK6" i="3"/>
  <c r="GL6" i="3"/>
  <c r="GM6" i="3"/>
  <c r="GN6" i="3"/>
  <c r="GO6" i="3"/>
  <c r="GP6" i="3"/>
  <c r="GQ6" i="3"/>
  <c r="GR6" i="3"/>
  <c r="GS6" i="3"/>
  <c r="GT6" i="3"/>
  <c r="GU6" i="3"/>
  <c r="GV6" i="3"/>
  <c r="GW6" i="3"/>
  <c r="GX6" i="3"/>
  <c r="GY6" i="3"/>
  <c r="GZ6" i="3"/>
  <c r="HA6" i="3"/>
  <c r="HB6" i="3"/>
  <c r="HC6" i="3"/>
  <c r="HD6" i="3"/>
  <c r="HE6" i="3"/>
  <c r="HF6" i="3"/>
  <c r="HG6" i="3"/>
  <c r="HH6" i="3"/>
  <c r="HI6" i="3"/>
  <c r="HJ6" i="3"/>
  <c r="HK6" i="3"/>
  <c r="HL6" i="3"/>
  <c r="HM6" i="3"/>
  <c r="HN6" i="3"/>
  <c r="HO6" i="3"/>
  <c r="HP6" i="3"/>
  <c r="HQ6" i="3"/>
  <c r="HR6" i="3"/>
  <c r="HS6" i="3"/>
  <c r="HT6" i="3"/>
  <c r="HU6" i="3"/>
  <c r="HV6" i="3"/>
  <c r="HW6" i="3"/>
  <c r="HX6" i="3"/>
  <c r="HY6" i="3"/>
  <c r="HZ6" i="3"/>
  <c r="IA6" i="3"/>
  <c r="IB6" i="3"/>
  <c r="IC6" i="3"/>
  <c r="ID6" i="3"/>
  <c r="IE6" i="3"/>
  <c r="IF6" i="3"/>
  <c r="IG6" i="3"/>
  <c r="IH6" i="3"/>
  <c r="II6" i="3"/>
  <c r="IJ6" i="3"/>
  <c r="IK6" i="3"/>
  <c r="IL6" i="3"/>
  <c r="IM6" i="3"/>
  <c r="IN6" i="3"/>
  <c r="IO6" i="3"/>
  <c r="IP6" i="3"/>
  <c r="IQ6" i="3"/>
  <c r="IR6" i="3"/>
  <c r="IS6" i="3"/>
  <c r="IT6" i="3"/>
  <c r="IU6" i="3"/>
  <c r="IV6" i="3"/>
  <c r="A5" i="3"/>
  <c r="B5" i="3"/>
  <c r="C5" i="3"/>
  <c r="D5" i="3"/>
  <c r="E5" i="3"/>
  <c r="F5" i="3"/>
  <c r="G5" i="3"/>
  <c r="H5" i="3"/>
  <c r="I5" i="3"/>
  <c r="J5" i="3"/>
  <c r="K5" i="3"/>
  <c r="L5" i="3"/>
  <c r="M5" i="3"/>
  <c r="N5" i="3"/>
  <c r="O5" i="3"/>
  <c r="P5" i="3"/>
  <c r="Q5" i="3"/>
  <c r="R5" i="3"/>
  <c r="S5" i="3"/>
  <c r="T5" i="3"/>
  <c r="U5" i="3"/>
  <c r="V5" i="3"/>
  <c r="W5" i="3"/>
  <c r="X5" i="3"/>
  <c r="Y5" i="3"/>
  <c r="Z5" i="3"/>
  <c r="AA5" i="3"/>
  <c r="AB5" i="3"/>
  <c r="AC5" i="3"/>
  <c r="AD5" i="3"/>
  <c r="AE5" i="3"/>
  <c r="AF5" i="3"/>
  <c r="AG5" i="3"/>
  <c r="AH5" i="3"/>
  <c r="AI5" i="3"/>
  <c r="AJ5" i="3"/>
  <c r="AK5" i="3"/>
  <c r="AL5" i="3"/>
  <c r="AM5" i="3"/>
  <c r="AN5" i="3"/>
  <c r="AO5" i="3"/>
  <c r="AP5" i="3"/>
  <c r="AQ5" i="3"/>
  <c r="AR5" i="3"/>
  <c r="AS5" i="3"/>
  <c r="AT5" i="3"/>
  <c r="AU5" i="3"/>
  <c r="AV5" i="3"/>
  <c r="AW5" i="3"/>
  <c r="AX5" i="3"/>
  <c r="AY5" i="3"/>
  <c r="AZ5" i="3"/>
  <c r="BA5" i="3"/>
  <c r="BB5" i="3"/>
  <c r="BC5" i="3"/>
  <c r="BD5" i="3"/>
  <c r="BE5" i="3"/>
  <c r="BF5" i="3"/>
  <c r="BG5" i="3"/>
  <c r="BH5" i="3"/>
  <c r="BI5" i="3"/>
  <c r="BJ5" i="3"/>
  <c r="BK5" i="3"/>
  <c r="BL5" i="3"/>
  <c r="BM5" i="3"/>
  <c r="BN5" i="3"/>
  <c r="BO5" i="3"/>
  <c r="BP5" i="3"/>
  <c r="BQ5" i="3"/>
  <c r="BR5" i="3"/>
  <c r="BS5" i="3"/>
  <c r="BT5" i="3"/>
  <c r="BU5" i="3"/>
  <c r="BV5" i="3"/>
  <c r="BW5" i="3"/>
  <c r="BX5" i="3"/>
  <c r="BY5" i="3"/>
  <c r="BZ5" i="3"/>
  <c r="CA5" i="3"/>
  <c r="CB5" i="3"/>
  <c r="CC5" i="3"/>
  <c r="CD5" i="3"/>
  <c r="CE5" i="3"/>
  <c r="CF5" i="3"/>
  <c r="CG5" i="3"/>
  <c r="CH5" i="3"/>
  <c r="CI5" i="3"/>
  <c r="CJ5" i="3"/>
  <c r="CK5" i="3"/>
  <c r="CL5" i="3"/>
  <c r="CM5" i="3"/>
  <c r="CN5" i="3"/>
  <c r="CO5" i="3"/>
  <c r="CP5" i="3"/>
  <c r="CQ5" i="3"/>
  <c r="CR5" i="3"/>
  <c r="CS5" i="3"/>
  <c r="CT5" i="3"/>
  <c r="CU5" i="3"/>
  <c r="CV5" i="3"/>
  <c r="CW5" i="3"/>
  <c r="CX5" i="3"/>
  <c r="CY5" i="3"/>
  <c r="CZ5" i="3"/>
  <c r="DA5" i="3"/>
  <c r="DB5" i="3"/>
  <c r="DC5" i="3"/>
  <c r="DD5" i="3"/>
  <c r="DE5" i="3"/>
  <c r="DF5" i="3"/>
  <c r="DG5" i="3"/>
  <c r="DH5" i="3"/>
  <c r="DI5" i="3"/>
  <c r="DJ5" i="3"/>
  <c r="DK5" i="3"/>
  <c r="DL5" i="3"/>
  <c r="DM5" i="3"/>
  <c r="DN5" i="3"/>
  <c r="DO5" i="3"/>
  <c r="DP5" i="3"/>
  <c r="DQ5" i="3"/>
  <c r="DR5" i="3"/>
  <c r="DS5" i="3"/>
  <c r="DT5" i="3"/>
  <c r="DU5" i="3"/>
  <c r="DV5" i="3"/>
  <c r="DW5" i="3"/>
  <c r="DX5" i="3"/>
  <c r="DY5" i="3"/>
  <c r="DZ5" i="3"/>
  <c r="EA5" i="3"/>
  <c r="EB5" i="3"/>
  <c r="EC5" i="3"/>
  <c r="ED5" i="3"/>
  <c r="EE5" i="3"/>
  <c r="EF5" i="3"/>
  <c r="EG5" i="3"/>
  <c r="EH5" i="3"/>
  <c r="EI5" i="3"/>
  <c r="EJ5" i="3"/>
  <c r="EK5" i="3"/>
  <c r="EL5" i="3"/>
  <c r="EM5" i="3"/>
  <c r="EN5" i="3"/>
  <c r="EO5" i="3"/>
  <c r="EP5" i="3"/>
  <c r="EQ5" i="3"/>
  <c r="ER5" i="3"/>
  <c r="ES5" i="3"/>
  <c r="ET5" i="3"/>
  <c r="EU5" i="3"/>
  <c r="EV5" i="3"/>
  <c r="EW5" i="3"/>
  <c r="EX5" i="3"/>
  <c r="EY5" i="3"/>
  <c r="EZ5" i="3"/>
  <c r="FA5" i="3"/>
  <c r="FB5" i="3"/>
  <c r="FC5" i="3"/>
  <c r="FD5" i="3"/>
  <c r="FE5" i="3"/>
  <c r="FF5" i="3"/>
  <c r="FG5" i="3"/>
  <c r="FH5" i="3"/>
  <c r="FI5" i="3"/>
  <c r="FJ5" i="3"/>
  <c r="FK5" i="3"/>
  <c r="FL5" i="3"/>
  <c r="FM5" i="3"/>
  <c r="FN5" i="3"/>
  <c r="FO5" i="3"/>
  <c r="FP5" i="3"/>
  <c r="FQ5" i="3"/>
  <c r="FR5" i="3"/>
  <c r="FS5" i="3"/>
  <c r="FT5" i="3"/>
  <c r="FU5" i="3"/>
  <c r="FV5" i="3"/>
  <c r="FW5" i="3"/>
  <c r="FX5" i="3"/>
  <c r="FY5" i="3"/>
  <c r="FZ5" i="3"/>
  <c r="GA5" i="3"/>
  <c r="GB5" i="3"/>
  <c r="GC5" i="3"/>
  <c r="GD5" i="3"/>
  <c r="GE5" i="3"/>
  <c r="GF5" i="3"/>
  <c r="GG5" i="3"/>
  <c r="GH5" i="3"/>
  <c r="GI5" i="3"/>
  <c r="GJ5" i="3"/>
  <c r="GK5" i="3"/>
  <c r="GL5" i="3"/>
  <c r="GM5" i="3"/>
  <c r="GN5" i="3"/>
  <c r="GO5" i="3"/>
  <c r="GP5" i="3"/>
  <c r="GQ5" i="3"/>
  <c r="GR5" i="3"/>
  <c r="GS5" i="3"/>
  <c r="GT5" i="3"/>
  <c r="GU5" i="3"/>
  <c r="GV5" i="3"/>
  <c r="GW5" i="3"/>
  <c r="GX5" i="3"/>
  <c r="GY5" i="3"/>
  <c r="GZ5" i="3"/>
  <c r="HA5" i="3"/>
  <c r="HB5" i="3"/>
  <c r="HC5" i="3"/>
  <c r="HD5" i="3"/>
  <c r="HE5" i="3"/>
  <c r="HF5" i="3"/>
  <c r="HG5" i="3"/>
  <c r="HH5" i="3"/>
  <c r="HI5" i="3"/>
  <c r="HJ5" i="3"/>
  <c r="HK5" i="3"/>
  <c r="HL5" i="3"/>
  <c r="HM5" i="3"/>
  <c r="HN5" i="3"/>
  <c r="HO5" i="3"/>
  <c r="HP5" i="3"/>
  <c r="HQ5" i="3"/>
  <c r="HR5" i="3"/>
  <c r="HS5" i="3"/>
  <c r="HT5" i="3"/>
  <c r="HU5" i="3"/>
  <c r="HV5" i="3"/>
  <c r="HW5" i="3"/>
  <c r="HX5" i="3"/>
  <c r="HY5" i="3"/>
  <c r="HZ5" i="3"/>
  <c r="IA5" i="3"/>
  <c r="IB5" i="3"/>
  <c r="IC5" i="3"/>
  <c r="ID5" i="3"/>
  <c r="IE5" i="3"/>
  <c r="IF5" i="3"/>
  <c r="IG5" i="3"/>
  <c r="IH5" i="3"/>
  <c r="II5" i="3"/>
  <c r="IJ5" i="3"/>
  <c r="IK5" i="3"/>
  <c r="IL5" i="3"/>
  <c r="IM5" i="3"/>
  <c r="IN5" i="3"/>
  <c r="IO5" i="3"/>
  <c r="IP5" i="3"/>
  <c r="IQ5" i="3"/>
  <c r="IR5" i="3"/>
  <c r="IS5" i="3"/>
  <c r="IT5" i="3"/>
  <c r="IU5" i="3"/>
  <c r="IV5" i="3"/>
  <c r="A4" i="3"/>
  <c r="B4" i="3"/>
  <c r="C4" i="3"/>
  <c r="D4" i="3"/>
  <c r="E4" i="3"/>
  <c r="F4" i="3"/>
  <c r="G4" i="3"/>
  <c r="H4" i="3"/>
  <c r="I4" i="3"/>
  <c r="J4" i="3"/>
  <c r="K4" i="3"/>
  <c r="L4" i="3"/>
  <c r="M4" i="3"/>
  <c r="N4" i="3"/>
  <c r="O4" i="3"/>
  <c r="P4" i="3"/>
  <c r="Q4" i="3"/>
  <c r="R4" i="3"/>
  <c r="S4" i="3"/>
  <c r="T4" i="3"/>
  <c r="U4" i="3"/>
  <c r="V4" i="3"/>
  <c r="W4" i="3"/>
  <c r="X4" i="3"/>
  <c r="Y4" i="3"/>
  <c r="Z4" i="3"/>
  <c r="AA4" i="3"/>
  <c r="AB4" i="3"/>
  <c r="AC4" i="3"/>
  <c r="AD4" i="3"/>
  <c r="AE4" i="3"/>
  <c r="AF4" i="3"/>
  <c r="AG4" i="3"/>
  <c r="AH4" i="3"/>
  <c r="AI4" i="3"/>
  <c r="AJ4" i="3"/>
  <c r="AK4" i="3"/>
  <c r="AL4" i="3"/>
  <c r="AM4" i="3"/>
  <c r="AN4" i="3"/>
  <c r="AO4" i="3"/>
  <c r="AP4" i="3"/>
  <c r="AQ4" i="3"/>
  <c r="AR4" i="3"/>
  <c r="AS4" i="3"/>
  <c r="AT4" i="3"/>
  <c r="AU4" i="3"/>
  <c r="AV4" i="3"/>
  <c r="AW4" i="3"/>
  <c r="AX4" i="3"/>
  <c r="AY4" i="3"/>
  <c r="AZ4" i="3"/>
  <c r="BA4" i="3"/>
  <c r="BB4" i="3"/>
  <c r="BC4" i="3"/>
  <c r="BD4" i="3"/>
  <c r="BE4" i="3"/>
  <c r="BF4" i="3"/>
  <c r="BG4" i="3"/>
  <c r="BH4" i="3"/>
  <c r="BI4" i="3"/>
  <c r="BJ4" i="3"/>
  <c r="BK4" i="3"/>
  <c r="BL4" i="3"/>
  <c r="BM4" i="3"/>
  <c r="BN4" i="3"/>
  <c r="BO4" i="3"/>
  <c r="BP4" i="3"/>
  <c r="BQ4" i="3"/>
  <c r="BR4" i="3"/>
  <c r="BS4" i="3"/>
  <c r="BT4" i="3"/>
  <c r="BU4" i="3"/>
  <c r="BV4" i="3"/>
  <c r="BW4" i="3"/>
  <c r="BX4" i="3"/>
  <c r="BY4" i="3"/>
  <c r="BZ4" i="3"/>
  <c r="CA4" i="3"/>
  <c r="CB4" i="3"/>
  <c r="CC4" i="3"/>
  <c r="CD4" i="3"/>
  <c r="CE4" i="3"/>
  <c r="CF4" i="3"/>
  <c r="CG4" i="3"/>
  <c r="CH4" i="3"/>
  <c r="CI4" i="3"/>
  <c r="CJ4" i="3"/>
  <c r="CK4" i="3"/>
  <c r="CL4" i="3"/>
  <c r="CM4" i="3"/>
  <c r="CN4" i="3"/>
  <c r="CO4" i="3"/>
  <c r="CP4" i="3"/>
  <c r="CQ4" i="3"/>
  <c r="CR4" i="3"/>
  <c r="CS4" i="3"/>
  <c r="CT4" i="3"/>
  <c r="CU4" i="3"/>
  <c r="CV4" i="3"/>
  <c r="CW4" i="3"/>
  <c r="CX4" i="3"/>
  <c r="CY4" i="3"/>
  <c r="CZ4" i="3"/>
  <c r="DA4" i="3"/>
  <c r="DB4" i="3"/>
  <c r="DC4" i="3"/>
  <c r="DD4" i="3"/>
  <c r="DE4" i="3"/>
  <c r="DF4" i="3"/>
  <c r="DG4" i="3"/>
  <c r="DH4" i="3"/>
  <c r="DI4" i="3"/>
  <c r="DJ4" i="3"/>
  <c r="DK4" i="3"/>
  <c r="DL4" i="3"/>
  <c r="DM4" i="3"/>
  <c r="DN4" i="3"/>
  <c r="DO4" i="3"/>
  <c r="DP4" i="3"/>
  <c r="DQ4" i="3"/>
  <c r="DR4" i="3"/>
  <c r="DS4" i="3"/>
  <c r="DT4" i="3"/>
  <c r="DU4" i="3"/>
  <c r="DV4" i="3"/>
  <c r="DW4" i="3"/>
  <c r="DX4" i="3"/>
  <c r="DY4" i="3"/>
  <c r="DZ4" i="3"/>
  <c r="EA4" i="3"/>
  <c r="EB4" i="3"/>
  <c r="EC4" i="3"/>
  <c r="ED4" i="3"/>
  <c r="EE4" i="3"/>
  <c r="EF4" i="3"/>
  <c r="EG4" i="3"/>
  <c r="EH4" i="3"/>
  <c r="EI4" i="3"/>
  <c r="EJ4" i="3"/>
  <c r="EK4" i="3"/>
  <c r="EL4" i="3"/>
  <c r="EM4" i="3"/>
  <c r="EN4" i="3"/>
  <c r="EO4" i="3"/>
  <c r="EP4" i="3"/>
  <c r="EQ4" i="3"/>
  <c r="ER4" i="3"/>
  <c r="ES4" i="3"/>
  <c r="ET4" i="3"/>
  <c r="EU4" i="3"/>
  <c r="EV4" i="3"/>
  <c r="EW4" i="3"/>
  <c r="EX4" i="3"/>
  <c r="EY4" i="3"/>
  <c r="EZ4" i="3"/>
  <c r="FA4" i="3"/>
  <c r="FB4" i="3"/>
  <c r="FC4" i="3"/>
  <c r="FD4" i="3"/>
  <c r="FE4" i="3"/>
  <c r="FF4" i="3"/>
  <c r="FG4" i="3"/>
  <c r="FH4" i="3"/>
  <c r="FI4" i="3"/>
  <c r="FJ4" i="3"/>
  <c r="FK4" i="3"/>
  <c r="FL4" i="3"/>
  <c r="FM4" i="3"/>
  <c r="FN4" i="3"/>
  <c r="FO4" i="3"/>
  <c r="FP4" i="3"/>
  <c r="FQ4" i="3"/>
  <c r="FR4" i="3"/>
  <c r="FS4" i="3"/>
  <c r="FT4" i="3"/>
  <c r="FU4" i="3"/>
  <c r="FV4" i="3"/>
  <c r="FW4" i="3"/>
  <c r="FX4" i="3"/>
  <c r="FY4" i="3"/>
  <c r="FZ4" i="3"/>
  <c r="GA4" i="3"/>
  <c r="GB4" i="3"/>
  <c r="GC4" i="3"/>
  <c r="GD4" i="3"/>
  <c r="GE4" i="3"/>
  <c r="GF4" i="3"/>
  <c r="GG4" i="3"/>
  <c r="GH4" i="3"/>
  <c r="GI4" i="3"/>
  <c r="GJ4" i="3"/>
  <c r="GK4" i="3"/>
  <c r="GL4" i="3"/>
  <c r="GM4" i="3"/>
  <c r="GN4" i="3"/>
  <c r="GO4" i="3"/>
  <c r="GP4" i="3"/>
  <c r="GQ4" i="3"/>
  <c r="GR4" i="3"/>
  <c r="GS4" i="3"/>
  <c r="GT4" i="3"/>
  <c r="GU4" i="3"/>
  <c r="GV4" i="3"/>
  <c r="GW4" i="3"/>
  <c r="GX4" i="3"/>
  <c r="GY4" i="3"/>
  <c r="GZ4" i="3"/>
  <c r="HA4" i="3"/>
  <c r="HB4" i="3"/>
  <c r="HC4" i="3"/>
  <c r="HD4" i="3"/>
  <c r="HE4" i="3"/>
  <c r="HF4" i="3"/>
  <c r="HG4" i="3"/>
  <c r="HH4" i="3"/>
  <c r="HI4" i="3"/>
  <c r="HJ4" i="3"/>
  <c r="HK4" i="3"/>
  <c r="HL4" i="3"/>
  <c r="HM4" i="3"/>
  <c r="HN4" i="3"/>
  <c r="HO4" i="3"/>
  <c r="HP4" i="3"/>
  <c r="HQ4" i="3"/>
  <c r="HR4" i="3"/>
  <c r="HS4" i="3"/>
  <c r="HT4" i="3"/>
  <c r="HU4" i="3"/>
  <c r="HV4" i="3"/>
  <c r="HW4" i="3"/>
  <c r="HX4" i="3"/>
  <c r="HY4" i="3"/>
  <c r="HZ4" i="3"/>
  <c r="IA4" i="3"/>
  <c r="IB4" i="3"/>
  <c r="IC4" i="3"/>
  <c r="ID4" i="3"/>
  <c r="IE4" i="3"/>
  <c r="IF4" i="3"/>
  <c r="IG4" i="3"/>
  <c r="IH4" i="3"/>
  <c r="II4" i="3"/>
  <c r="IJ4" i="3"/>
  <c r="IK4" i="3"/>
  <c r="IL4" i="3"/>
  <c r="IM4" i="3"/>
  <c r="IN4" i="3"/>
  <c r="IO4" i="3"/>
  <c r="IP4" i="3"/>
  <c r="IQ4" i="3"/>
  <c r="IR4" i="3"/>
  <c r="IS4" i="3"/>
  <c r="IT4" i="3"/>
  <c r="IU4" i="3"/>
  <c r="IV4" i="3"/>
  <c r="A3" i="3"/>
  <c r="B3" i="3"/>
  <c r="C3" i="3"/>
  <c r="D3" i="3"/>
  <c r="E3" i="3"/>
  <c r="F3" i="3"/>
  <c r="G3" i="3"/>
  <c r="H3" i="3"/>
  <c r="I3" i="3"/>
  <c r="J3" i="3"/>
  <c r="K3" i="3"/>
  <c r="L3" i="3"/>
  <c r="M3" i="3"/>
  <c r="N3" i="3"/>
  <c r="O3" i="3"/>
  <c r="P3" i="3"/>
  <c r="Q3" i="3"/>
  <c r="R3" i="3"/>
  <c r="S3" i="3"/>
  <c r="T3" i="3"/>
  <c r="U3" i="3"/>
  <c r="V3" i="3"/>
  <c r="W3" i="3"/>
  <c r="X3" i="3"/>
  <c r="Y3" i="3"/>
  <c r="Z3" i="3"/>
  <c r="AA3" i="3"/>
  <c r="AB3" i="3"/>
  <c r="AC3" i="3"/>
  <c r="AD3" i="3"/>
  <c r="AE3" i="3"/>
  <c r="AF3" i="3"/>
  <c r="AG3" i="3"/>
  <c r="AH3" i="3"/>
  <c r="AI3" i="3"/>
  <c r="AJ3" i="3"/>
  <c r="AK3" i="3"/>
  <c r="AL3" i="3"/>
  <c r="AM3" i="3"/>
  <c r="AN3" i="3"/>
  <c r="AO3" i="3"/>
  <c r="AP3" i="3"/>
  <c r="AQ3" i="3"/>
  <c r="AR3" i="3"/>
  <c r="AS3" i="3"/>
  <c r="AT3" i="3"/>
  <c r="AU3" i="3"/>
  <c r="AV3" i="3"/>
  <c r="AW3" i="3"/>
  <c r="AX3" i="3"/>
  <c r="AY3" i="3"/>
  <c r="AZ3" i="3"/>
  <c r="BA3" i="3"/>
  <c r="BB3" i="3"/>
  <c r="BC3" i="3"/>
  <c r="BD3" i="3"/>
  <c r="BE3" i="3"/>
  <c r="BF3" i="3"/>
  <c r="BG3" i="3"/>
  <c r="BH3" i="3"/>
  <c r="BI3" i="3"/>
  <c r="BJ3" i="3"/>
  <c r="BK3" i="3"/>
  <c r="BL3" i="3"/>
  <c r="BM3" i="3"/>
  <c r="BN3" i="3"/>
  <c r="BO3" i="3"/>
  <c r="BP3" i="3"/>
  <c r="BQ3" i="3"/>
  <c r="BR3" i="3"/>
  <c r="BS3" i="3"/>
  <c r="BT3" i="3"/>
  <c r="BU3" i="3"/>
  <c r="BV3" i="3"/>
  <c r="BW3" i="3"/>
  <c r="BX3" i="3"/>
  <c r="BY3" i="3"/>
  <c r="BZ3" i="3"/>
  <c r="CA3" i="3"/>
  <c r="CB3" i="3"/>
  <c r="CC3" i="3"/>
  <c r="CD3" i="3"/>
  <c r="CE3" i="3"/>
  <c r="CF3" i="3"/>
  <c r="CG3" i="3"/>
  <c r="CH3" i="3"/>
  <c r="CI3" i="3"/>
  <c r="CJ3" i="3"/>
  <c r="CK3" i="3"/>
  <c r="CL3" i="3"/>
  <c r="CM3" i="3"/>
  <c r="CN3" i="3"/>
  <c r="CO3" i="3"/>
  <c r="CP3" i="3"/>
  <c r="CQ3" i="3"/>
  <c r="CR3" i="3"/>
  <c r="CS3" i="3"/>
  <c r="CT3" i="3"/>
  <c r="CU3" i="3"/>
  <c r="CV3" i="3"/>
  <c r="CW3" i="3"/>
  <c r="CX3" i="3"/>
  <c r="CY3" i="3"/>
  <c r="CZ3" i="3"/>
  <c r="DA3" i="3"/>
  <c r="DB3" i="3"/>
  <c r="DC3" i="3"/>
  <c r="DD3" i="3"/>
  <c r="DE3" i="3"/>
  <c r="DF3" i="3"/>
  <c r="DG3" i="3"/>
  <c r="DH3" i="3"/>
  <c r="DI3" i="3"/>
  <c r="DJ3" i="3"/>
  <c r="DK3" i="3"/>
  <c r="DL3" i="3"/>
  <c r="DM3" i="3"/>
  <c r="DN3" i="3"/>
  <c r="DO3" i="3"/>
  <c r="DP3" i="3"/>
  <c r="DQ3" i="3"/>
  <c r="DR3" i="3"/>
  <c r="DS3" i="3"/>
  <c r="DT3" i="3"/>
  <c r="DU3" i="3"/>
  <c r="DV3" i="3"/>
  <c r="DW3" i="3"/>
  <c r="DX3" i="3"/>
  <c r="DY3" i="3"/>
  <c r="DZ3" i="3"/>
  <c r="EA3" i="3"/>
  <c r="EB3" i="3"/>
  <c r="EC3" i="3"/>
  <c r="ED3" i="3"/>
  <c r="EE3" i="3"/>
  <c r="EF3" i="3"/>
  <c r="EG3" i="3"/>
  <c r="EH3" i="3"/>
  <c r="EI3" i="3"/>
  <c r="EJ3" i="3"/>
  <c r="EK3" i="3"/>
  <c r="EL3" i="3"/>
  <c r="EM3" i="3"/>
  <c r="EN3" i="3"/>
  <c r="EO3" i="3"/>
  <c r="EP3" i="3"/>
  <c r="EQ3" i="3"/>
  <c r="ER3" i="3"/>
  <c r="ES3" i="3"/>
  <c r="ET3" i="3"/>
  <c r="EU3" i="3"/>
  <c r="EV3" i="3"/>
  <c r="EW3" i="3"/>
  <c r="EX3" i="3"/>
  <c r="EY3" i="3"/>
  <c r="EZ3" i="3"/>
  <c r="FA3" i="3"/>
  <c r="FB3" i="3"/>
  <c r="FC3" i="3"/>
  <c r="FD3" i="3"/>
  <c r="FE3" i="3"/>
  <c r="FF3" i="3"/>
  <c r="FG3" i="3"/>
  <c r="FH3" i="3"/>
  <c r="FI3" i="3"/>
  <c r="FJ3" i="3"/>
  <c r="FK3" i="3"/>
  <c r="FL3" i="3"/>
  <c r="FM3" i="3"/>
  <c r="FN3" i="3"/>
  <c r="FO3" i="3"/>
  <c r="FP3" i="3"/>
  <c r="FQ3" i="3"/>
  <c r="FR3" i="3"/>
  <c r="FS3" i="3"/>
  <c r="FT3" i="3"/>
  <c r="FU3" i="3"/>
  <c r="FV3" i="3"/>
  <c r="FW3" i="3"/>
  <c r="FX3" i="3"/>
  <c r="FY3" i="3"/>
  <c r="FZ3" i="3"/>
  <c r="GA3" i="3"/>
  <c r="GB3" i="3"/>
  <c r="GC3" i="3"/>
  <c r="GD3" i="3"/>
  <c r="GE3" i="3"/>
  <c r="GF3" i="3"/>
  <c r="GG3" i="3"/>
  <c r="GH3" i="3"/>
  <c r="GI3" i="3"/>
  <c r="GJ3" i="3"/>
  <c r="GK3" i="3"/>
  <c r="GL3" i="3"/>
  <c r="GM3" i="3"/>
  <c r="GN3" i="3"/>
  <c r="GO3" i="3"/>
  <c r="GP3" i="3"/>
  <c r="GQ3" i="3"/>
  <c r="GR3" i="3"/>
  <c r="GS3" i="3"/>
  <c r="GT3" i="3"/>
  <c r="GU3" i="3"/>
  <c r="GV3" i="3"/>
  <c r="GW3" i="3"/>
  <c r="GX3" i="3"/>
  <c r="GY3" i="3"/>
  <c r="GZ3" i="3"/>
  <c r="HA3" i="3"/>
  <c r="HB3" i="3"/>
  <c r="HC3" i="3"/>
  <c r="HD3" i="3"/>
  <c r="HE3" i="3"/>
  <c r="HF3" i="3"/>
  <c r="HG3" i="3"/>
  <c r="HH3" i="3"/>
  <c r="HI3" i="3"/>
  <c r="HJ3" i="3"/>
  <c r="HK3" i="3"/>
  <c r="HL3" i="3"/>
  <c r="HM3" i="3"/>
  <c r="HN3" i="3"/>
  <c r="HO3" i="3"/>
  <c r="HP3" i="3"/>
  <c r="HQ3" i="3"/>
  <c r="HR3" i="3"/>
  <c r="HS3" i="3"/>
  <c r="HT3" i="3"/>
  <c r="HU3" i="3"/>
  <c r="HV3" i="3"/>
  <c r="HW3" i="3"/>
  <c r="HX3" i="3"/>
  <c r="HY3" i="3"/>
  <c r="HZ3" i="3"/>
  <c r="IA3" i="3"/>
  <c r="IB3" i="3"/>
  <c r="IC3" i="3"/>
  <c r="ID3" i="3"/>
  <c r="IE3" i="3"/>
  <c r="IF3" i="3"/>
  <c r="IG3" i="3"/>
  <c r="IH3" i="3"/>
  <c r="II3" i="3"/>
  <c r="IJ3" i="3"/>
  <c r="IK3" i="3"/>
  <c r="IL3" i="3"/>
  <c r="IM3" i="3"/>
  <c r="IN3" i="3"/>
  <c r="IO3" i="3"/>
  <c r="IP3" i="3"/>
  <c r="IQ3" i="3"/>
  <c r="IR3" i="3"/>
  <c r="IS3" i="3"/>
  <c r="IT3" i="3"/>
  <c r="IU3" i="3"/>
  <c r="IV3" i="3"/>
  <c r="A2" i="3"/>
  <c r="B2" i="3"/>
  <c r="C2" i="3"/>
  <c r="D2" i="3"/>
  <c r="E2" i="3"/>
  <c r="F2" i="3"/>
  <c r="G2" i="3"/>
  <c r="H2" i="3"/>
  <c r="I2" i="3"/>
  <c r="J2" i="3"/>
  <c r="K2" i="3"/>
  <c r="L2" i="3"/>
  <c r="M2" i="3"/>
  <c r="N2" i="3"/>
  <c r="O2" i="3"/>
  <c r="P2" i="3"/>
  <c r="Q2" i="3"/>
  <c r="R2" i="3"/>
  <c r="S2" i="3"/>
  <c r="T2" i="3"/>
  <c r="U2" i="3"/>
  <c r="V2" i="3"/>
  <c r="W2" i="3"/>
  <c r="X2" i="3"/>
  <c r="Y2" i="3"/>
  <c r="Z2" i="3"/>
  <c r="AA2" i="3"/>
  <c r="AB2" i="3"/>
  <c r="AC2" i="3"/>
  <c r="AD2" i="3"/>
  <c r="AE2" i="3"/>
  <c r="AF2" i="3"/>
  <c r="AG2" i="3"/>
  <c r="AH2" i="3"/>
  <c r="AI2" i="3"/>
  <c r="AJ2" i="3"/>
  <c r="AK2" i="3"/>
  <c r="AL2" i="3"/>
  <c r="AM2" i="3"/>
  <c r="AN2" i="3"/>
  <c r="AO2" i="3"/>
  <c r="AP2" i="3"/>
  <c r="AQ2" i="3"/>
  <c r="AR2" i="3"/>
  <c r="AS2" i="3"/>
  <c r="AT2" i="3"/>
  <c r="AU2" i="3"/>
  <c r="AV2" i="3"/>
  <c r="AW2" i="3"/>
  <c r="AX2" i="3"/>
  <c r="AY2" i="3"/>
  <c r="AZ2" i="3"/>
  <c r="BA2" i="3"/>
  <c r="BB2" i="3"/>
  <c r="BC2" i="3"/>
  <c r="BD2" i="3"/>
  <c r="BE2" i="3"/>
  <c r="BF2" i="3"/>
  <c r="BG2" i="3"/>
  <c r="BH2" i="3"/>
  <c r="BI2" i="3"/>
  <c r="BJ2" i="3"/>
  <c r="BK2" i="3"/>
  <c r="BL2" i="3"/>
  <c r="BM2" i="3"/>
  <c r="BN2" i="3"/>
  <c r="BO2" i="3"/>
  <c r="BP2" i="3"/>
  <c r="BQ2" i="3"/>
  <c r="BR2" i="3"/>
  <c r="BS2" i="3"/>
  <c r="BT2" i="3"/>
  <c r="BU2" i="3"/>
  <c r="BV2" i="3"/>
  <c r="BW2" i="3"/>
  <c r="BX2" i="3"/>
  <c r="BY2" i="3"/>
  <c r="BZ2" i="3"/>
  <c r="CA2" i="3"/>
  <c r="CB2" i="3"/>
  <c r="CC2" i="3"/>
  <c r="CD2" i="3"/>
  <c r="CE2" i="3"/>
  <c r="CF2" i="3"/>
  <c r="CG2" i="3"/>
  <c r="CH2" i="3"/>
  <c r="CI2" i="3"/>
  <c r="CJ2" i="3"/>
  <c r="CK2" i="3"/>
  <c r="CL2" i="3"/>
  <c r="CM2" i="3"/>
  <c r="CN2" i="3"/>
  <c r="CO2" i="3"/>
  <c r="CP2" i="3"/>
  <c r="CQ2" i="3"/>
  <c r="CR2" i="3"/>
  <c r="CS2" i="3"/>
  <c r="CT2" i="3"/>
  <c r="CU2" i="3"/>
  <c r="CV2" i="3"/>
  <c r="CW2" i="3"/>
  <c r="CX2" i="3"/>
  <c r="CY2" i="3"/>
  <c r="CZ2" i="3"/>
  <c r="DA2" i="3"/>
  <c r="DB2" i="3"/>
  <c r="DC2" i="3"/>
  <c r="DD2" i="3"/>
  <c r="DE2" i="3"/>
  <c r="DF2" i="3"/>
  <c r="DG2" i="3"/>
  <c r="DH2" i="3"/>
  <c r="DI2" i="3"/>
  <c r="DJ2" i="3"/>
  <c r="DK2" i="3"/>
  <c r="DL2" i="3"/>
  <c r="DM2" i="3"/>
  <c r="DN2" i="3"/>
  <c r="DO2" i="3"/>
  <c r="DP2" i="3"/>
  <c r="DQ2" i="3"/>
  <c r="DR2" i="3"/>
  <c r="DS2" i="3"/>
  <c r="DT2" i="3"/>
  <c r="DU2" i="3"/>
  <c r="DV2" i="3"/>
  <c r="DW2" i="3"/>
  <c r="DX2" i="3"/>
  <c r="DY2" i="3"/>
  <c r="DZ2" i="3"/>
  <c r="EA2" i="3"/>
  <c r="EB2" i="3"/>
  <c r="EC2" i="3"/>
  <c r="ED2" i="3"/>
  <c r="EE2" i="3"/>
  <c r="EF2" i="3"/>
  <c r="EG2" i="3"/>
  <c r="EH2" i="3"/>
  <c r="EI2" i="3"/>
  <c r="EJ2" i="3"/>
  <c r="EK2" i="3"/>
  <c r="EL2" i="3"/>
  <c r="EM2" i="3"/>
  <c r="EN2" i="3"/>
  <c r="EO2" i="3"/>
  <c r="EP2" i="3"/>
  <c r="EQ2" i="3"/>
  <c r="ER2" i="3"/>
  <c r="ES2" i="3"/>
  <c r="ET2" i="3"/>
  <c r="EU2" i="3"/>
  <c r="EV2" i="3"/>
  <c r="EW2" i="3"/>
  <c r="EX2" i="3"/>
  <c r="EY2" i="3"/>
  <c r="EZ2" i="3"/>
  <c r="FA2" i="3"/>
  <c r="FB2" i="3"/>
  <c r="FC2" i="3"/>
  <c r="FD2" i="3"/>
  <c r="FE2" i="3"/>
  <c r="FF2" i="3"/>
  <c r="FG2" i="3"/>
  <c r="FH2" i="3"/>
  <c r="FI2" i="3"/>
  <c r="FJ2" i="3"/>
  <c r="FK2" i="3"/>
  <c r="FL2" i="3"/>
  <c r="FM2" i="3"/>
  <c r="FN2" i="3"/>
  <c r="FO2" i="3"/>
  <c r="FP2" i="3"/>
  <c r="FQ2" i="3"/>
  <c r="FR2" i="3"/>
  <c r="FS2" i="3"/>
  <c r="FT2" i="3"/>
  <c r="FU2" i="3"/>
  <c r="FV2" i="3"/>
  <c r="FW2" i="3"/>
  <c r="FX2" i="3"/>
  <c r="FY2" i="3"/>
  <c r="FZ2" i="3"/>
  <c r="GA2" i="3"/>
  <c r="GB2" i="3"/>
  <c r="GC2" i="3"/>
  <c r="GD2" i="3"/>
  <c r="GE2" i="3"/>
  <c r="GF2" i="3"/>
  <c r="GG2" i="3"/>
  <c r="GH2" i="3"/>
  <c r="GI2" i="3"/>
  <c r="GJ2" i="3"/>
  <c r="GK2" i="3"/>
  <c r="GL2" i="3"/>
  <c r="GM2" i="3"/>
  <c r="GN2" i="3"/>
  <c r="GO2" i="3"/>
  <c r="GP2" i="3"/>
  <c r="GQ2" i="3"/>
  <c r="GR2" i="3"/>
  <c r="GS2" i="3"/>
  <c r="GT2" i="3"/>
  <c r="GU2" i="3"/>
  <c r="GV2" i="3"/>
  <c r="GW2" i="3"/>
  <c r="GX2" i="3"/>
  <c r="GY2" i="3"/>
  <c r="GZ2" i="3"/>
  <c r="HA2" i="3"/>
  <c r="HB2" i="3"/>
  <c r="HC2" i="3"/>
  <c r="HD2" i="3"/>
  <c r="HE2" i="3"/>
  <c r="HF2" i="3"/>
  <c r="HG2" i="3"/>
  <c r="HH2" i="3"/>
  <c r="HI2" i="3"/>
  <c r="HJ2" i="3"/>
  <c r="HK2" i="3"/>
  <c r="HL2" i="3"/>
  <c r="HM2" i="3"/>
  <c r="HN2" i="3"/>
  <c r="HO2" i="3"/>
  <c r="HP2" i="3"/>
  <c r="HQ2" i="3"/>
  <c r="HR2" i="3"/>
  <c r="HS2" i="3"/>
  <c r="HT2" i="3"/>
  <c r="HU2" i="3"/>
  <c r="HV2" i="3"/>
  <c r="HW2" i="3"/>
  <c r="HX2" i="3"/>
  <c r="HY2" i="3"/>
  <c r="HZ2" i="3"/>
  <c r="IA2" i="3"/>
  <c r="IB2" i="3"/>
  <c r="IC2" i="3"/>
  <c r="ID2" i="3"/>
  <c r="IE2" i="3"/>
  <c r="IF2" i="3"/>
  <c r="IG2" i="3"/>
  <c r="IH2" i="3"/>
  <c r="II2" i="3"/>
  <c r="IJ2" i="3"/>
  <c r="IK2" i="3"/>
  <c r="IL2" i="3"/>
  <c r="IM2" i="3"/>
  <c r="IN2" i="3"/>
  <c r="IO2" i="3"/>
  <c r="IP2" i="3"/>
  <c r="IQ2" i="3"/>
  <c r="IR2" i="3"/>
  <c r="IS2" i="3"/>
  <c r="IT2" i="3"/>
  <c r="IU2" i="3"/>
  <c r="IV2" i="3"/>
  <c r="A1" i="3"/>
  <c r="B1" i="3"/>
  <c r="C1" i="3"/>
  <c r="D1" i="3"/>
  <c r="E1" i="3"/>
  <c r="F1" i="3"/>
  <c r="G1" i="3"/>
  <c r="H1" i="3"/>
  <c r="I1" i="3"/>
  <c r="J1" i="3"/>
  <c r="K1" i="3"/>
  <c r="L1" i="3"/>
  <c r="M1" i="3"/>
  <c r="N1" i="3"/>
  <c r="O1" i="3"/>
  <c r="P1" i="3"/>
  <c r="Q1" i="3"/>
  <c r="R1" i="3"/>
  <c r="S1" i="3"/>
  <c r="T1" i="3"/>
  <c r="U1" i="3"/>
  <c r="V1" i="3"/>
  <c r="W1" i="3"/>
  <c r="X1" i="3"/>
  <c r="Y1" i="3"/>
  <c r="Z1" i="3"/>
  <c r="AA1" i="3"/>
  <c r="AB1" i="3"/>
  <c r="AC1" i="3"/>
  <c r="AD1" i="3"/>
  <c r="AE1" i="3"/>
  <c r="AF1" i="3"/>
  <c r="AG1" i="3"/>
  <c r="AH1" i="3"/>
  <c r="AI1" i="3"/>
  <c r="AJ1" i="3"/>
  <c r="AK1" i="3"/>
  <c r="AL1" i="3"/>
  <c r="AM1" i="3"/>
  <c r="AN1" i="3"/>
  <c r="AO1" i="3"/>
  <c r="AP1" i="3"/>
  <c r="AQ1" i="3"/>
  <c r="AR1" i="3"/>
  <c r="AS1" i="3"/>
  <c r="AT1" i="3"/>
  <c r="AU1" i="3"/>
  <c r="AV1" i="3"/>
  <c r="AW1" i="3"/>
  <c r="AX1" i="3"/>
  <c r="AY1" i="3"/>
  <c r="AZ1" i="3"/>
  <c r="BA1" i="3"/>
  <c r="BB1" i="3"/>
  <c r="BC1" i="3"/>
  <c r="BD1" i="3"/>
  <c r="BE1" i="3"/>
  <c r="BF1" i="3"/>
  <c r="BG1" i="3"/>
  <c r="BH1" i="3"/>
  <c r="BI1" i="3"/>
  <c r="BJ1" i="3"/>
  <c r="BK1" i="3"/>
  <c r="BL1" i="3"/>
  <c r="BM1" i="3"/>
  <c r="BN1" i="3"/>
  <c r="BO1" i="3"/>
  <c r="BP1" i="3"/>
  <c r="BQ1" i="3"/>
  <c r="BR1" i="3"/>
  <c r="BS1" i="3"/>
  <c r="BT1" i="3"/>
  <c r="BU1" i="3"/>
  <c r="BV1" i="3"/>
  <c r="BW1" i="3"/>
  <c r="BX1" i="3"/>
  <c r="BY1" i="3"/>
  <c r="BZ1" i="3"/>
  <c r="CA1" i="3"/>
  <c r="CB1" i="3"/>
  <c r="CC1" i="3"/>
  <c r="CD1" i="3"/>
  <c r="CE1" i="3"/>
  <c r="CF1" i="3"/>
  <c r="CG1" i="3"/>
  <c r="CH1" i="3"/>
  <c r="CI1" i="3"/>
  <c r="CJ1" i="3"/>
  <c r="CK1" i="3"/>
  <c r="CL1" i="3"/>
  <c r="CM1" i="3"/>
  <c r="CN1" i="3"/>
  <c r="CO1" i="3"/>
  <c r="CP1" i="3"/>
  <c r="CQ1" i="3"/>
  <c r="CR1" i="3"/>
  <c r="CS1" i="3"/>
  <c r="CT1" i="3"/>
  <c r="CU1" i="3"/>
  <c r="CV1" i="3"/>
  <c r="CW1" i="3"/>
  <c r="CX1" i="3"/>
  <c r="CY1" i="3"/>
  <c r="CZ1" i="3"/>
  <c r="DA1" i="3"/>
  <c r="DB1" i="3"/>
  <c r="DC1" i="3"/>
  <c r="DD1" i="3"/>
  <c r="DE1" i="3"/>
  <c r="DF1" i="3"/>
  <c r="DG1" i="3"/>
  <c r="DH1" i="3"/>
  <c r="DI1" i="3"/>
  <c r="DJ1" i="3"/>
  <c r="DK1" i="3"/>
  <c r="DL1" i="3"/>
  <c r="DM1" i="3"/>
  <c r="DN1" i="3"/>
  <c r="DO1" i="3"/>
  <c r="DP1" i="3"/>
  <c r="DQ1" i="3"/>
  <c r="DR1" i="3"/>
  <c r="DS1" i="3"/>
  <c r="DT1" i="3"/>
  <c r="DU1" i="3"/>
  <c r="DV1" i="3"/>
  <c r="DW1" i="3"/>
  <c r="DX1" i="3"/>
  <c r="DY1" i="3"/>
  <c r="DZ1" i="3"/>
  <c r="EA1" i="3"/>
  <c r="EB1" i="3"/>
  <c r="EC1" i="3"/>
  <c r="ED1" i="3"/>
  <c r="EE1" i="3"/>
  <c r="EF1" i="3"/>
  <c r="EG1" i="3"/>
  <c r="EH1" i="3"/>
  <c r="EI1" i="3"/>
  <c r="EJ1" i="3"/>
  <c r="EK1" i="3"/>
  <c r="EL1" i="3"/>
  <c r="EM1" i="3"/>
  <c r="EN1" i="3"/>
  <c r="EO1" i="3"/>
  <c r="EP1" i="3"/>
  <c r="EQ1" i="3"/>
  <c r="ER1" i="3"/>
  <c r="ES1" i="3"/>
  <c r="ET1" i="3"/>
  <c r="EU1" i="3"/>
  <c r="EV1" i="3"/>
  <c r="EW1" i="3"/>
  <c r="EX1" i="3"/>
  <c r="EY1" i="3"/>
  <c r="EZ1" i="3"/>
  <c r="FA1" i="3"/>
  <c r="FB1" i="3"/>
  <c r="FC1" i="3"/>
  <c r="FD1" i="3"/>
  <c r="FE1" i="3"/>
  <c r="FF1" i="3"/>
  <c r="FG1" i="3"/>
  <c r="FH1" i="3"/>
  <c r="FI1" i="3"/>
  <c r="FJ1" i="3"/>
  <c r="FK1" i="3"/>
  <c r="FL1" i="3"/>
  <c r="FM1" i="3"/>
  <c r="FN1" i="3"/>
  <c r="FO1" i="3"/>
  <c r="FP1" i="3"/>
  <c r="FQ1" i="3"/>
  <c r="FR1" i="3"/>
  <c r="FS1" i="3"/>
  <c r="FT1" i="3"/>
  <c r="FU1" i="3"/>
  <c r="FV1" i="3"/>
  <c r="FW1" i="3"/>
  <c r="FX1" i="3"/>
  <c r="FY1" i="3"/>
  <c r="FZ1" i="3"/>
  <c r="GA1" i="3"/>
  <c r="GB1" i="3"/>
  <c r="GC1" i="3"/>
  <c r="GD1" i="3"/>
  <c r="GE1" i="3"/>
  <c r="GF1" i="3"/>
  <c r="GG1" i="3"/>
  <c r="GH1" i="3"/>
  <c r="GI1" i="3"/>
  <c r="GJ1" i="3"/>
  <c r="GK1" i="3"/>
  <c r="GL1" i="3"/>
  <c r="GM1" i="3"/>
  <c r="GN1" i="3"/>
  <c r="GO1" i="3"/>
  <c r="GP1" i="3"/>
  <c r="GQ1" i="3"/>
  <c r="GR1" i="3"/>
  <c r="GS1" i="3"/>
  <c r="GT1" i="3"/>
  <c r="GU1" i="3"/>
  <c r="GV1" i="3"/>
  <c r="GW1" i="3"/>
  <c r="GX1" i="3"/>
  <c r="GY1" i="3"/>
  <c r="GZ1" i="3"/>
  <c r="HA1" i="3"/>
  <c r="HB1" i="3"/>
  <c r="HC1" i="3"/>
  <c r="HD1" i="3"/>
  <c r="HE1" i="3"/>
  <c r="HF1" i="3"/>
  <c r="HG1" i="3"/>
  <c r="HH1" i="3"/>
  <c r="HI1" i="3"/>
  <c r="HJ1" i="3"/>
  <c r="HK1" i="3"/>
  <c r="HL1" i="3"/>
  <c r="HM1" i="3"/>
  <c r="HN1" i="3"/>
  <c r="HO1" i="3"/>
  <c r="HP1" i="3"/>
  <c r="HQ1" i="3"/>
  <c r="HR1" i="3"/>
  <c r="HS1" i="3"/>
  <c r="HT1" i="3"/>
  <c r="HU1" i="3"/>
  <c r="HV1" i="3"/>
  <c r="HW1" i="3"/>
  <c r="HX1" i="3"/>
  <c r="HY1" i="3"/>
  <c r="HZ1" i="3"/>
  <c r="IA1" i="3"/>
  <c r="IB1" i="3"/>
  <c r="IC1" i="3"/>
  <c r="ID1" i="3"/>
  <c r="IE1" i="3"/>
  <c r="IF1" i="3"/>
  <c r="IG1" i="3"/>
  <c r="IH1" i="3"/>
  <c r="II1" i="3"/>
  <c r="IJ1" i="3"/>
  <c r="IK1" i="3"/>
  <c r="IL1" i="3"/>
  <c r="IM1" i="3"/>
  <c r="IN1" i="3"/>
  <c r="IO1" i="3"/>
  <c r="IP1" i="3"/>
  <c r="IQ1" i="3"/>
  <c r="IR1" i="3"/>
  <c r="IS1" i="3"/>
  <c r="IT1" i="3"/>
  <c r="IU1" i="3"/>
  <c r="IV1" i="3"/>
</calcChain>
</file>

<file path=xl/sharedStrings.xml><?xml version="1.0" encoding="utf-8"?>
<sst xmlns="http://schemas.openxmlformats.org/spreadsheetml/2006/main" count="26130" uniqueCount="717">
  <si>
    <t>Sub Tipo</t>
  </si>
  <si>
    <t>Productor</t>
  </si>
  <si>
    <t>Región</t>
  </si>
  <si>
    <t>Comuna</t>
  </si>
  <si>
    <t>Localidad</t>
  </si>
  <si>
    <t>Especie</t>
  </si>
  <si>
    <t>Tipo Variedad</t>
  </si>
  <si>
    <t>Evento Hembra</t>
  </si>
  <si>
    <t>Evento Macho</t>
  </si>
  <si>
    <t>Norte (y)</t>
  </si>
  <si>
    <t>Este (x)</t>
  </si>
  <si>
    <t>Huso</t>
  </si>
  <si>
    <t>Nº Potreros</t>
  </si>
  <si>
    <t>Sup. Insc</t>
  </si>
  <si>
    <t>ENSAYO OVM</t>
  </si>
  <si>
    <t>ACRE SEED</t>
  </si>
  <si>
    <t>VII</t>
  </si>
  <si>
    <t>SAN CLEMENTE</t>
  </si>
  <si>
    <t>MAÍZ</t>
  </si>
  <si>
    <t>CORRIENTE OVM</t>
  </si>
  <si>
    <t>AGRÍCOLA PURUTUN</t>
  </si>
  <si>
    <t>V</t>
  </si>
  <si>
    <t>NOGALES</t>
  </si>
  <si>
    <t>TOMATE</t>
  </si>
  <si>
    <t>LINEA PURA</t>
  </si>
  <si>
    <t>G</t>
  </si>
  <si>
    <t>K</t>
  </si>
  <si>
    <t>AGROSEARCH</t>
  </si>
  <si>
    <t>XIII</t>
  </si>
  <si>
    <t>PAINE</t>
  </si>
  <si>
    <t>HUELQUEN</t>
  </si>
  <si>
    <t>CARTAMO</t>
  </si>
  <si>
    <t>SAN BERNARDO</t>
  </si>
  <si>
    <t>NOS</t>
  </si>
  <si>
    <t>VIII</t>
  </si>
  <si>
    <t>LOS ANGELES</t>
  </si>
  <si>
    <t>VIRQUENCO</t>
  </si>
  <si>
    <t>CERTIFICADA Y OVM</t>
  </si>
  <si>
    <t>ANASAC CHILE</t>
  </si>
  <si>
    <t>MARIA PINTO</t>
  </si>
  <si>
    <t>MON-00810-6</t>
  </si>
  <si>
    <t>CIS</t>
  </si>
  <si>
    <t>CIS SEMILLAS S.A.</t>
  </si>
  <si>
    <t>RAPS</t>
  </si>
  <si>
    <t>PIRQUE</t>
  </si>
  <si>
    <t>REMOLACHA</t>
  </si>
  <si>
    <t>MOLINA</t>
  </si>
  <si>
    <t>BUENA FE</t>
  </si>
  <si>
    <t>HÍBRIDO</t>
  </si>
  <si>
    <t>MON-00603-6</t>
  </si>
  <si>
    <t>TALCA</t>
  </si>
  <si>
    <t>LAS RASTRAS</t>
  </si>
  <si>
    <t>VI</t>
  </si>
  <si>
    <t>CHIMBARONGO</t>
  </si>
  <si>
    <t>PEREJIL</t>
  </si>
  <si>
    <t>MARIPOSAS</t>
  </si>
  <si>
    <t>BUIN</t>
  </si>
  <si>
    <t>CRUZ DEL SUR</t>
  </si>
  <si>
    <t>PUNTA DE DIAMANTE</t>
  </si>
  <si>
    <t>MON-88017-3</t>
  </si>
  <si>
    <t>PELARCO</t>
  </si>
  <si>
    <t>EL MANZANO</t>
  </si>
  <si>
    <t>SN. CLEMENTE</t>
  </si>
  <si>
    <t>EL SAUCE</t>
  </si>
  <si>
    <t>SANTA FE</t>
  </si>
  <si>
    <t>SOYA</t>
  </si>
  <si>
    <t>VARIEDAD</t>
  </si>
  <si>
    <t>CAMINO A STA BARBARA</t>
  </si>
  <si>
    <t>MUNILQUE</t>
  </si>
  <si>
    <t>PATA DE GALLINA</t>
  </si>
  <si>
    <t>HUMAN</t>
  </si>
  <si>
    <t>SANTA BARBARA</t>
  </si>
  <si>
    <t>RIO CLARO</t>
  </si>
  <si>
    <t>SANTA RITA</t>
  </si>
  <si>
    <t>EL COLORADO</t>
  </si>
  <si>
    <t>EL ALBA</t>
  </si>
  <si>
    <t>PUNTA DIAMANTE</t>
  </si>
  <si>
    <t>EL MEMBRILLO</t>
  </si>
  <si>
    <t>AYTUE</t>
  </si>
  <si>
    <t>LA PLATINA</t>
  </si>
  <si>
    <t>LO OROSCO</t>
  </si>
  <si>
    <t>CODEGUA</t>
  </si>
  <si>
    <t>SANTA CRUZ</t>
  </si>
  <si>
    <t>PALMILLA</t>
  </si>
  <si>
    <t>PEÑAFLOR</t>
  </si>
  <si>
    <t>MALLOCO</t>
  </si>
  <si>
    <t>LA PALMILLA</t>
  </si>
  <si>
    <t>PIDIHUINCO</t>
  </si>
  <si>
    <t>EL RINCON</t>
  </si>
  <si>
    <t>SN.JUAN D LA SIERRA</t>
  </si>
  <si>
    <t>MARIPOSA</t>
  </si>
  <si>
    <t>MON-00073-7</t>
  </si>
  <si>
    <t>CURIMAPU EXPORT</t>
  </si>
  <si>
    <t>COIHUECO</t>
  </si>
  <si>
    <t>CATO</t>
  </si>
  <si>
    <t>BULNES</t>
  </si>
  <si>
    <t>SAN IGNACIO</t>
  </si>
  <si>
    <t>ACS-BN005-8</t>
  </si>
  <si>
    <t>ACS-BN003-6</t>
  </si>
  <si>
    <t>SANTA CLARA</t>
  </si>
  <si>
    <t>LOS TILOS</t>
  </si>
  <si>
    <t>EL CARMEN</t>
  </si>
  <si>
    <t>PUENTE URRUTIA</t>
  </si>
  <si>
    <t>PEMUCO</t>
  </si>
  <si>
    <t>SAN MIGUEL</t>
  </si>
  <si>
    <t>TANILVORO</t>
  </si>
  <si>
    <t>CHILLAN</t>
  </si>
  <si>
    <t>CHILLÁN</t>
  </si>
  <si>
    <t>LA GREDA</t>
  </si>
  <si>
    <t>LINEA ESTERIL</t>
  </si>
  <si>
    <t>SANTA FÉ</t>
  </si>
  <si>
    <t>SALTO DEL LAJA</t>
  </si>
  <si>
    <t>YUNGAY</t>
  </si>
  <si>
    <t>QUILLECO</t>
  </si>
  <si>
    <t>CANTARANA</t>
  </si>
  <si>
    <t>QUIRIQUINA</t>
  </si>
  <si>
    <t>CABRERO</t>
  </si>
  <si>
    <t>CHARRÚA</t>
  </si>
  <si>
    <t>SECTOR ARRAYÁN</t>
  </si>
  <si>
    <t>IX</t>
  </si>
  <si>
    <t>ANGOL</t>
  </si>
  <si>
    <t>SAN CARLOS</t>
  </si>
  <si>
    <t>BULI</t>
  </si>
  <si>
    <t>RENAICO</t>
  </si>
  <si>
    <t>GREENSEED</t>
  </si>
  <si>
    <t>MAULE</t>
  </si>
  <si>
    <t>MON-00021-9</t>
  </si>
  <si>
    <t>COLBUN</t>
  </si>
  <si>
    <t>SAN DIONISIO</t>
  </si>
  <si>
    <t>MON-00021-9 X SYN-BT011-1 X SYN-IR604-5</t>
  </si>
  <si>
    <t>SEMILLERO</t>
  </si>
  <si>
    <t>SYN-BT011-1 X SYN-IR604-5</t>
  </si>
  <si>
    <t>MACHALÍ</t>
  </si>
  <si>
    <t>MACHALI</t>
  </si>
  <si>
    <t>MON-00021-9 X SYN-BT011-1 X SYN-IR162-4 X SYN-IR604-5</t>
  </si>
  <si>
    <t>LA PINTANA</t>
  </si>
  <si>
    <t>STA RITA</t>
  </si>
  <si>
    <t>PENCAHUE</t>
  </si>
  <si>
    <t>BOTALCURA</t>
  </si>
  <si>
    <t>GRANEROS</t>
  </si>
  <si>
    <t>LA COMPAÑIA</t>
  </si>
  <si>
    <t>RANCAGUA</t>
  </si>
  <si>
    <t>CALERA DE TANGO</t>
  </si>
  <si>
    <t>LONQUE NORTE</t>
  </si>
  <si>
    <t>SYN-IR604-5</t>
  </si>
  <si>
    <t>SAN FERNANDO</t>
  </si>
  <si>
    <t>TALAGANTE</t>
  </si>
  <si>
    <t>LO HERRERA</t>
  </si>
  <si>
    <t>LONQUEN NORTE</t>
  </si>
  <si>
    <t>SAN DIEGO</t>
  </si>
  <si>
    <t>SYN-BT011-1 X SYN-IR162-4 X SYN-IR604-5</t>
  </si>
  <si>
    <t>RENGO</t>
  </si>
  <si>
    <t>LO DE LOBOS</t>
  </si>
  <si>
    <t>REQUINOA</t>
  </si>
  <si>
    <t>MON-00021-9 X SYN-BT011-1</t>
  </si>
  <si>
    <t>CURICO</t>
  </si>
  <si>
    <t>LOS NICHES</t>
  </si>
  <si>
    <t>CHEPICA</t>
  </si>
  <si>
    <t>CAMPUS U.DE CHILE</t>
  </si>
  <si>
    <t>SAN FRANCISCO DE MOSTAZAL</t>
  </si>
  <si>
    <t>MOSTAZAL</t>
  </si>
  <si>
    <t>MERCEDES</t>
  </si>
  <si>
    <t>VILUCO</t>
  </si>
  <si>
    <t>EL PRINCIPAL</t>
  </si>
  <si>
    <t>LA HIGUERA</t>
  </si>
  <si>
    <t>SANTA ELENA</t>
  </si>
  <si>
    <t>ISLA DEL MAIPO</t>
  </si>
  <si>
    <t>NALTAHUA</t>
  </si>
  <si>
    <t>LONGAVÍ</t>
  </si>
  <si>
    <t>LINARES</t>
  </si>
  <si>
    <t>VARA GRUESA</t>
  </si>
  <si>
    <t>RETIRO</t>
  </si>
  <si>
    <t>COPIHUE</t>
  </si>
  <si>
    <t>YERBAS BUENAS</t>
  </si>
  <si>
    <t>HUENCHUÑIR Y HUECHE</t>
  </si>
  <si>
    <t>VILCÚN</t>
  </si>
  <si>
    <t>VILCUN</t>
  </si>
  <si>
    <t>METO</t>
  </si>
  <si>
    <t>NIAGARA</t>
  </si>
  <si>
    <t>LAUTARO</t>
  </si>
  <si>
    <t>CODINHUE</t>
  </si>
  <si>
    <t>HYTECH</t>
  </si>
  <si>
    <t>CHACAICO</t>
  </si>
  <si>
    <t>ACS-BN003-6 X ACS-BN005-8 X MON-00073-7</t>
  </si>
  <si>
    <t>GENERAL LOPEZ</t>
  </si>
  <si>
    <t>XIV</t>
  </si>
  <si>
    <t>FUTRONO</t>
  </si>
  <si>
    <t>NONTUELA</t>
  </si>
  <si>
    <t>CANTERAS</t>
  </si>
  <si>
    <t>TOTORAL</t>
  </si>
  <si>
    <t>NEGRETE</t>
  </si>
  <si>
    <t>PICHIRENAICO</t>
  </si>
  <si>
    <t>MULCHÉN</t>
  </si>
  <si>
    <t>DICAO</t>
  </si>
  <si>
    <t>DUQUECO</t>
  </si>
  <si>
    <t>ESTACION CUÑIVAL</t>
  </si>
  <si>
    <t>PADRE LAS CASAS</t>
  </si>
  <si>
    <t>FREIRE</t>
  </si>
  <si>
    <t>HYTECH PRODUCTION CHILE S.A.</t>
  </si>
  <si>
    <t>TEODORO SCHMIDT</t>
  </si>
  <si>
    <t>QUIRMEL</t>
  </si>
  <si>
    <t>PEÑEHUE</t>
  </si>
  <si>
    <t>BOROA</t>
  </si>
  <si>
    <t>SAN PATRICIO</t>
  </si>
  <si>
    <t>CHOL CHOL</t>
  </si>
  <si>
    <t>RUCAPANGUE</t>
  </si>
  <si>
    <t>REPUCURA</t>
  </si>
  <si>
    <t>PEUCHEN</t>
  </si>
  <si>
    <t>LAUNACHE</t>
  </si>
  <si>
    <t>EL COIGUE</t>
  </si>
  <si>
    <t>MALAUCHE BAJO</t>
  </si>
  <si>
    <t>CARAHUE</t>
  </si>
  <si>
    <t>SECTOR EL ALMA</t>
  </si>
  <si>
    <t>LOS TRONCOS</t>
  </si>
  <si>
    <t>LLEUPECO</t>
  </si>
  <si>
    <t>EL ALMA</t>
  </si>
  <si>
    <t>IMPERIAL</t>
  </si>
  <si>
    <t>MAÑIO QUILONCO</t>
  </si>
  <si>
    <t>CANCURA</t>
  </si>
  <si>
    <t>SAAVEDRA</t>
  </si>
  <si>
    <t>MAITEN OÑOICO</t>
  </si>
  <si>
    <t>LAUTARO-CURACAUTIN</t>
  </si>
  <si>
    <t>CUNCO</t>
  </si>
  <si>
    <t>FAJA 24000</t>
  </si>
  <si>
    <t>CAMINO A CURACAUTIN</t>
  </si>
  <si>
    <t>VICTORIA</t>
  </si>
  <si>
    <t>CONQUEHUE</t>
  </si>
  <si>
    <t>RENACO</t>
  </si>
  <si>
    <t>PUA</t>
  </si>
  <si>
    <t>HUILCULLICAN</t>
  </si>
  <si>
    <t>PEDREGOSO</t>
  </si>
  <si>
    <t>HUILIO</t>
  </si>
  <si>
    <t>PRADERAS CHOL CHOL</t>
  </si>
  <si>
    <t>METRENCO</t>
  </si>
  <si>
    <t>SANTA JULIA</t>
  </si>
  <si>
    <t>NOHUALHUE</t>
  </si>
  <si>
    <t>LLAGUIN</t>
  </si>
  <si>
    <t>CHAMPULLI</t>
  </si>
  <si>
    <t>LONCOCHE</t>
  </si>
  <si>
    <t>RAMPEHUE</t>
  </si>
  <si>
    <t>TEMUCO</t>
  </si>
  <si>
    <t>CHANQUIN</t>
  </si>
  <si>
    <t>CONOCO GRANDE</t>
  </si>
  <si>
    <t>INIA</t>
  </si>
  <si>
    <t>TRIGO HARINERO</t>
  </si>
  <si>
    <t>KWS</t>
  </si>
  <si>
    <t>LA CABAÑA</t>
  </si>
  <si>
    <t>ROMA</t>
  </si>
  <si>
    <t>TALCAREHUE</t>
  </si>
  <si>
    <t>SAN VICENTE</t>
  </si>
  <si>
    <t>MANSUR</t>
  </si>
  <si>
    <t>SANTA MARÍA</t>
  </si>
  <si>
    <t>LAS CADENAS</t>
  </si>
  <si>
    <t>SAN ESTEBAN</t>
  </si>
  <si>
    <t>MASSAI</t>
  </si>
  <si>
    <t>PANGUILEMO</t>
  </si>
  <si>
    <t>LA UNIÓN</t>
  </si>
  <si>
    <t>PROVIDENCIA</t>
  </si>
  <si>
    <t>BELLA UNIÓN</t>
  </si>
  <si>
    <t>SAN JOSÉ DE PERQUIN</t>
  </si>
  <si>
    <t>MAITENES</t>
  </si>
  <si>
    <t>SAN NICOLÁS</t>
  </si>
  <si>
    <t>SAN JUAN</t>
  </si>
  <si>
    <t>QUECHEREGUAS</t>
  </si>
  <si>
    <t>SAGRADA FAMILIA</t>
  </si>
  <si>
    <t>SANTA ROSA</t>
  </si>
  <si>
    <t>EL ALAMO</t>
  </si>
  <si>
    <t>PASO RARI</t>
  </si>
  <si>
    <t>TENO</t>
  </si>
  <si>
    <t>DISCO BLANCO</t>
  </si>
  <si>
    <t>TUNICHE</t>
  </si>
  <si>
    <t>SAN JORGE DE ROMERAL</t>
  </si>
  <si>
    <t>LA GONZALINA</t>
  </si>
  <si>
    <t>NANCAGUA</t>
  </si>
  <si>
    <t>ODESSA</t>
  </si>
  <si>
    <t>MAULE SUR</t>
  </si>
  <si>
    <t>EL ESCUDO</t>
  </si>
  <si>
    <t>SAN RAMÓN</t>
  </si>
  <si>
    <t>HIJUELAS</t>
  </si>
  <si>
    <t>EL RETIRO</t>
  </si>
  <si>
    <t>LLAY LLAY</t>
  </si>
  <si>
    <t>LAS VEGAS</t>
  </si>
  <si>
    <t>LA MONTAÑA</t>
  </si>
  <si>
    <t>LA RAMADA</t>
  </si>
  <si>
    <t>SANTA SUSANA</t>
  </si>
  <si>
    <t>VENTANA DEL BAJO</t>
  </si>
  <si>
    <t>PLACILLA</t>
  </si>
  <si>
    <t>LO MOSCOSO</t>
  </si>
  <si>
    <t>LA PEÑA</t>
  </si>
  <si>
    <t>ZAPALLAR</t>
  </si>
  <si>
    <t>SAN FRANCISCO</t>
  </si>
  <si>
    <t>SANTA TERESA</t>
  </si>
  <si>
    <t>SAN RAFAEL</t>
  </si>
  <si>
    <t>LAS DELICIAS</t>
  </si>
  <si>
    <t>PEUMO NEGRO</t>
  </si>
  <si>
    <t>LOS ROBLES</t>
  </si>
  <si>
    <t>MALLOA</t>
  </si>
  <si>
    <t>LA CUENCA</t>
  </si>
  <si>
    <t>ESMERALDA</t>
  </si>
  <si>
    <t>CHANCON</t>
  </si>
  <si>
    <t>HIGUERILLA</t>
  </si>
  <si>
    <t>COPEVAL</t>
  </si>
  <si>
    <t>EL PORVENIR</t>
  </si>
  <si>
    <t>PEDEHUE</t>
  </si>
  <si>
    <t>LAS PALMAS</t>
  </si>
  <si>
    <t>LOS OBRA LOS NICHES</t>
  </si>
  <si>
    <t>ITAHUE</t>
  </si>
  <si>
    <t>PURÍSIMA</t>
  </si>
  <si>
    <t>EL GUANACO</t>
  </si>
  <si>
    <t>POPETA</t>
  </si>
  <si>
    <t>MON-00021-9 X SYN-BT011-1 X SYN-IR162-4</t>
  </si>
  <si>
    <t>SYN-IR162-4</t>
  </si>
  <si>
    <t>SAN JORGE ROMERAL</t>
  </si>
  <si>
    <t>SAN CAYETANO</t>
  </si>
  <si>
    <t>EL ARBOLITO</t>
  </si>
  <si>
    <t>LOS CUNCOS</t>
  </si>
  <si>
    <t>LA SOMBRA DE ROMERAL</t>
  </si>
  <si>
    <t>EL HUAPE</t>
  </si>
  <si>
    <t>LAS PAREDES</t>
  </si>
  <si>
    <t>LA OBRA LOS NICHES</t>
  </si>
  <si>
    <t>MORZA</t>
  </si>
  <si>
    <t>LAMONTAÑA</t>
  </si>
  <si>
    <t>XV</t>
  </si>
  <si>
    <t>ARICA</t>
  </si>
  <si>
    <t>CALETA VITOR-CHACA</t>
  </si>
  <si>
    <t>PANQUEHUE</t>
  </si>
  <si>
    <t>CALLEJÓN BLANCO (ESTADIO SAN ROQUE)</t>
  </si>
  <si>
    <t>LOMILLAS</t>
  </si>
  <si>
    <t>SAN ALBERTO</t>
  </si>
  <si>
    <t>LA MONTAÑA (SANTA REBECA)</t>
  </si>
  <si>
    <t>CAMINO LOS ROBLES</t>
  </si>
  <si>
    <t>OCOA</t>
  </si>
  <si>
    <t>PANGUE ARRIBA</t>
  </si>
  <si>
    <t>FLOR ORIENTE</t>
  </si>
  <si>
    <t>PEÑAFLOR VIEJO</t>
  </si>
  <si>
    <t>SAN JOSÉ-LA MONTAÑA</t>
  </si>
  <si>
    <t>LAS CABRAS</t>
  </si>
  <si>
    <t>ROMERAL</t>
  </si>
  <si>
    <t>SAN JOSÉ- LA MONTAÑA</t>
  </si>
  <si>
    <t>SANTA MARGARITA</t>
  </si>
  <si>
    <t>LONTHUE</t>
  </si>
  <si>
    <t>PURISIMA</t>
  </si>
  <si>
    <t>QUILLOTA</t>
  </si>
  <si>
    <t>MONSANTO</t>
  </si>
  <si>
    <t>MELIPILLA</t>
  </si>
  <si>
    <t>POMAIRE</t>
  </si>
  <si>
    <t>PILLANLELBUN</t>
  </si>
  <si>
    <t>PANGUILEMU</t>
  </si>
  <si>
    <t>PALO SECO</t>
  </si>
  <si>
    <t>PALMIRA</t>
  </si>
  <si>
    <t>LINDEROS</t>
  </si>
  <si>
    <t>CHAMPA</t>
  </si>
  <si>
    <t>AGUILA SUR</t>
  </si>
  <si>
    <t>CASA BLANCA</t>
  </si>
  <si>
    <t>ISLA DE MARCHANT</t>
  </si>
  <si>
    <t>SARMIENTO</t>
  </si>
  <si>
    <t>EL BOLDO</t>
  </si>
  <si>
    <t>LOS CANALES</t>
  </si>
  <si>
    <t>LOS QUILLAYES</t>
  </si>
  <si>
    <t>LA MONTAÑA DE TENO</t>
  </si>
  <si>
    <t>SAN ENRIQUE</t>
  </si>
  <si>
    <t>PUANGUE</t>
  </si>
  <si>
    <t>LORETO</t>
  </si>
  <si>
    <t>ISLA DE MAIPO</t>
  </si>
  <si>
    <t>MAIPU</t>
  </si>
  <si>
    <t>RINCONADA DE MAIPU</t>
  </si>
  <si>
    <t>AGUSTIN AURORA</t>
  </si>
  <si>
    <t>SAN JAVIER</t>
  </si>
  <si>
    <t>LONCOMILLA</t>
  </si>
  <si>
    <t>SAN AGUSTIN</t>
  </si>
  <si>
    <t>SAN ELENA</t>
  </si>
  <si>
    <t>CALLEJON SAN ANTONIO</t>
  </si>
  <si>
    <t>QUINTA</t>
  </si>
  <si>
    <t>CUNACO</t>
  </si>
  <si>
    <t>EL TAMBO</t>
  </si>
  <si>
    <t>CHÉPICA</t>
  </si>
  <si>
    <t>AUQUINCO</t>
  </si>
  <si>
    <t>TOTIHUE</t>
  </si>
  <si>
    <t>CAMPUSANO</t>
  </si>
  <si>
    <t>CAMINO LONQUEN</t>
  </si>
  <si>
    <t>SANATORIO</t>
  </si>
  <si>
    <t>HUASO CAMPESINO</t>
  </si>
  <si>
    <t>VILLASECA</t>
  </si>
  <si>
    <t>HOSPITAL</t>
  </si>
  <si>
    <t>SN FRAN MOSTAZAL</t>
  </si>
  <si>
    <t>PICHIDEGUA</t>
  </si>
  <si>
    <t>EL TOCO</t>
  </si>
  <si>
    <t>PUDAHUEL</t>
  </si>
  <si>
    <t>ÑUÑOA</t>
  </si>
  <si>
    <t>QUILIN</t>
  </si>
  <si>
    <t>MIRAFLORES</t>
  </si>
  <si>
    <t>TRES PUERTAS</t>
  </si>
  <si>
    <t>LAS DOSCIENTAS</t>
  </si>
  <si>
    <t>EL MONTE</t>
  </si>
  <si>
    <t>CHIÑIGUE EL CRISTO</t>
  </si>
  <si>
    <t>LO ESPEJO</t>
  </si>
  <si>
    <t>HUILQUILEMU</t>
  </si>
  <si>
    <t>PLA 3 PEUMO NEGRO</t>
  </si>
  <si>
    <t>LOS GUINDOS</t>
  </si>
  <si>
    <t>LA DEHESA BAJO</t>
  </si>
  <si>
    <t>AURORA</t>
  </si>
  <si>
    <t>EL MARCO</t>
  </si>
  <si>
    <t>ZAPALLO</t>
  </si>
  <si>
    <t>CLEMENTE</t>
  </si>
  <si>
    <t>LA COMPAÑÍA</t>
  </si>
  <si>
    <t>NILO LIZAMA</t>
  </si>
  <si>
    <t>GORBEA</t>
  </si>
  <si>
    <t>HUELLANTO ALTO</t>
  </si>
  <si>
    <t>PIGA</t>
  </si>
  <si>
    <t>SYN-BT011-1</t>
  </si>
  <si>
    <t>SAN GERARDO</t>
  </si>
  <si>
    <t>ISLA DE CHOCALAN</t>
  </si>
  <si>
    <t>CARMEN BAJO</t>
  </si>
  <si>
    <t>PUENTE ALTO</t>
  </si>
  <si>
    <t>LOS MAITENES</t>
  </si>
  <si>
    <t>PIONEER</t>
  </si>
  <si>
    <t>EL PINO</t>
  </si>
  <si>
    <t>HUICHAHUE</t>
  </si>
  <si>
    <t>LA FORTUNA</t>
  </si>
  <si>
    <t>LAS PALMERAS</t>
  </si>
  <si>
    <t>SANTA ISABEL</t>
  </si>
  <si>
    <t>CARRIZAL</t>
  </si>
  <si>
    <t>AZAPA</t>
  </si>
  <si>
    <t>TENO SUR</t>
  </si>
  <si>
    <t>SAN FCO. DE MOSTAZAL</t>
  </si>
  <si>
    <t>CAIVICO</t>
  </si>
  <si>
    <t>SAN RAMON</t>
  </si>
  <si>
    <t>LA PUNTA</t>
  </si>
  <si>
    <t>EL BOSQUE</t>
  </si>
  <si>
    <t>TIL TIL</t>
  </si>
  <si>
    <t>POLPAICO</t>
  </si>
  <si>
    <t>LA ESTRELLA</t>
  </si>
  <si>
    <t>MANSEL</t>
  </si>
  <si>
    <t>CAMINO EL COPIHUE</t>
  </si>
  <si>
    <t>RINCONADA</t>
  </si>
  <si>
    <t>NOVICIADO</t>
  </si>
  <si>
    <t>CUNAQUITO</t>
  </si>
  <si>
    <t>APALTA</t>
  </si>
  <si>
    <t>EL DESCANSO</t>
  </si>
  <si>
    <t>CERVERA</t>
  </si>
  <si>
    <t>STA TERESA DE TANGO</t>
  </si>
  <si>
    <t>MAIPÚ</t>
  </si>
  <si>
    <t>BARRANCÓN</t>
  </si>
  <si>
    <t>LA ESTANCILLA</t>
  </si>
  <si>
    <t>LONTUE</t>
  </si>
  <si>
    <t>TODOS LOS SANTOS</t>
  </si>
  <si>
    <t>PADRE HURTADO</t>
  </si>
  <si>
    <t>RENCA</t>
  </si>
  <si>
    <t>VILLA ALEGRE</t>
  </si>
  <si>
    <t>PUELLO</t>
  </si>
  <si>
    <t>CATEMITO</t>
  </si>
  <si>
    <t>PAINE-SANTA EUGENIA</t>
  </si>
  <si>
    <t>LAMPA</t>
  </si>
  <si>
    <t>PERALILLO</t>
  </si>
  <si>
    <t>ACS-ZM003-2</t>
  </si>
  <si>
    <t>RINCONADA DE MAIPÚ</t>
  </si>
  <si>
    <t>SAN MIGUEL DE PAINE</t>
  </si>
  <si>
    <t>STA. ROSA</t>
  </si>
  <si>
    <t>LONQUÉN</t>
  </si>
  <si>
    <t>NOVICIADO ALTO</t>
  </si>
  <si>
    <t>SANTA TERESA DE TANGO</t>
  </si>
  <si>
    <t>HUELQUÉN</t>
  </si>
  <si>
    <t>STA FILOMENA</t>
  </si>
  <si>
    <t>STA INES</t>
  </si>
  <si>
    <t>CALERA DE CALERA</t>
  </si>
  <si>
    <t>CARAMPANGUE</t>
  </si>
  <si>
    <t>APARICIÓN DE PAINE</t>
  </si>
  <si>
    <t>EL PERAL</t>
  </si>
  <si>
    <t>LAJA</t>
  </si>
  <si>
    <t>NUEVOS CAMPOS</t>
  </si>
  <si>
    <t>LA MORERA</t>
  </si>
  <si>
    <t>MARISCAL</t>
  </si>
  <si>
    <t>EL CISNE, TENO</t>
  </si>
  <si>
    <t>ESTANCILLA</t>
  </si>
  <si>
    <t>ABRANTES</t>
  </si>
  <si>
    <t>CHOLQUI</t>
  </si>
  <si>
    <t>LO INFANTE</t>
  </si>
  <si>
    <t>CULITRÍN</t>
  </si>
  <si>
    <t>RANGUE</t>
  </si>
  <si>
    <t>CAMINO DEL DIABLO</t>
  </si>
  <si>
    <t>ANGOSTURA</t>
  </si>
  <si>
    <t>LUMBRERAS</t>
  </si>
  <si>
    <t>QUILICURA</t>
  </si>
  <si>
    <t>COLINA</t>
  </si>
  <si>
    <t>LIRAY</t>
  </si>
  <si>
    <t>LA PALOMA</t>
  </si>
  <si>
    <t>PAICO</t>
  </si>
  <si>
    <t>LA PALMA</t>
  </si>
  <si>
    <t>EL HUINGAL</t>
  </si>
  <si>
    <t>LOS MARES</t>
  </si>
  <si>
    <t>RIO BUENO</t>
  </si>
  <si>
    <t>SECTOR CACHILLAHUE</t>
  </si>
  <si>
    <t>EL PAICO</t>
  </si>
  <si>
    <t>LIPANGUE</t>
  </si>
  <si>
    <t>SAN EUGENIO</t>
  </si>
  <si>
    <t>EL TRÁNSITO</t>
  </si>
  <si>
    <t>LOS MORROS</t>
  </si>
  <si>
    <t>DOÑIGUE</t>
  </si>
  <si>
    <t>TRAPICHE</t>
  </si>
  <si>
    <t>ALTO JAHUEL</t>
  </si>
  <si>
    <t>LOS ANDES</t>
  </si>
  <si>
    <t>CALLE LARGA</t>
  </si>
  <si>
    <t>EL DIAMANTE</t>
  </si>
  <si>
    <t>COQUIMBITO</t>
  </si>
  <si>
    <t>VALLE HERMOSO</t>
  </si>
  <si>
    <t>CHIÑIHUE</t>
  </si>
  <si>
    <t>APARICIÓN</t>
  </si>
  <si>
    <t>LOS QUILOS</t>
  </si>
  <si>
    <t>EL RODEO</t>
  </si>
  <si>
    <t>LA PUNTILLA</t>
  </si>
  <si>
    <t>CHACA</t>
  </si>
  <si>
    <t>SAN JAVIER DE LARRAÍN</t>
  </si>
  <si>
    <t>VALDIVIA DE PAINE</t>
  </si>
  <si>
    <t>PARICION</t>
  </si>
  <si>
    <t>RUMAY</t>
  </si>
  <si>
    <t>OLIVETO</t>
  </si>
  <si>
    <t>RECURSO</t>
  </si>
  <si>
    <t>CHIÑIGUE</t>
  </si>
  <si>
    <t>APARICION</t>
  </si>
  <si>
    <t>24 DE ABRIL</t>
  </si>
  <si>
    <t>EL TRANSITO</t>
  </si>
  <si>
    <t>SANTA INÉS</t>
  </si>
  <si>
    <t>ALTO JAHUE</t>
  </si>
  <si>
    <t>SANTA ADRIANA</t>
  </si>
  <si>
    <t>AGUILA NORTE</t>
  </si>
  <si>
    <t>CAPERANA</t>
  </si>
  <si>
    <t>SANTA ANA</t>
  </si>
  <si>
    <t>EL OLIVETO</t>
  </si>
  <si>
    <t>LA MACARENA</t>
  </si>
  <si>
    <t>LAS PIRCAS</t>
  </si>
  <si>
    <t>LAUREL</t>
  </si>
  <si>
    <t>ALTO RUMAY</t>
  </si>
  <si>
    <t>TRÁNSITO</t>
  </si>
  <si>
    <t>LOS BAJOS</t>
  </si>
  <si>
    <t>LAS GOLONDRINAS</t>
  </si>
  <si>
    <t>LEPANTO</t>
  </si>
  <si>
    <t>MAIPO</t>
  </si>
  <si>
    <t>SAN JORGE</t>
  </si>
  <si>
    <t>EL MARISCAL</t>
  </si>
  <si>
    <t>PINTANA</t>
  </si>
  <si>
    <t>LO BOZA</t>
  </si>
  <si>
    <t>STA MARIANA</t>
  </si>
  <si>
    <t>PAICO ALTO</t>
  </si>
  <si>
    <t>SAN JOSÉ DE TANGO</t>
  </si>
  <si>
    <t>EL CANELO</t>
  </si>
  <si>
    <t>LOS COPIHUES</t>
  </si>
  <si>
    <t>EL ACACIO</t>
  </si>
  <si>
    <t>CARDONAL ALTO</t>
  </si>
  <si>
    <t>STA ADRIANA</t>
  </si>
  <si>
    <t>AV DEL CARMEN</t>
  </si>
  <si>
    <t>CAMINO EL OLIVO</t>
  </si>
  <si>
    <t>HUERTOS FAMILIARES</t>
  </si>
  <si>
    <t>DOÑIHUE</t>
  </si>
  <si>
    <t>SAN FELIPE</t>
  </si>
  <si>
    <t>LA GLORIA</t>
  </si>
  <si>
    <t>SAN LUIS DE ALICO</t>
  </si>
  <si>
    <t>SEMILLAS BAER</t>
  </si>
  <si>
    <t>CAJON</t>
  </si>
  <si>
    <t>SGS</t>
  </si>
  <si>
    <t>LIMAHUE</t>
  </si>
  <si>
    <t>ROSARIO</t>
  </si>
  <si>
    <t>OLIVAR</t>
  </si>
  <si>
    <t>LONQUEN</t>
  </si>
  <si>
    <t>SG-2000</t>
  </si>
  <si>
    <t>QUINTRILPE</t>
  </si>
  <si>
    <t>QUEPE</t>
  </si>
  <si>
    <t>TIJERAL</t>
  </si>
  <si>
    <t>MULCHEN</t>
  </si>
  <si>
    <t>QUINO</t>
  </si>
  <si>
    <t>LANCO</t>
  </si>
  <si>
    <t>TRAIGUÉN</t>
  </si>
  <si>
    <t>PUMALAL</t>
  </si>
  <si>
    <t>SELVA OSCURA</t>
  </si>
  <si>
    <t>SINTÉTICO</t>
  </si>
  <si>
    <t>PERQUENCO</t>
  </si>
  <si>
    <t>GALVARINO</t>
  </si>
  <si>
    <t>QUILLEM</t>
  </si>
  <si>
    <t>CORDILLERILLA</t>
  </si>
  <si>
    <t>QUILPUE</t>
  </si>
  <si>
    <t>ROTONDA LO MIRANDA</t>
  </si>
  <si>
    <t>ORILLA DE AUQUINCO</t>
  </si>
  <si>
    <t>PUQUILLAY</t>
  </si>
  <si>
    <t>SAN GREGORIO</t>
  </si>
  <si>
    <t>GUAICO 2</t>
  </si>
  <si>
    <t>CATEMU</t>
  </si>
  <si>
    <t>REINOSO</t>
  </si>
  <si>
    <t>LA ESPERANZA</t>
  </si>
  <si>
    <t>LOS BOLDOS</t>
  </si>
  <si>
    <t>EL PEUMAL</t>
  </si>
  <si>
    <t>HUAICO</t>
  </si>
  <si>
    <t>SANTA MARIA</t>
  </si>
  <si>
    <t>RAMADILLA DE LIRCAY</t>
  </si>
  <si>
    <t>EL ALTILLO</t>
  </si>
  <si>
    <t>LA MORANINA</t>
  </si>
  <si>
    <t>SAN JOSE REINOSO</t>
  </si>
  <si>
    <t>HUALAÑÉ</t>
  </si>
  <si>
    <t>CHACARILLAS</t>
  </si>
  <si>
    <t>EL ROTO CHILENO</t>
  </si>
  <si>
    <t>QUERI</t>
  </si>
  <si>
    <t>EL CORTE</t>
  </si>
  <si>
    <t>EL OLIVIETO</t>
  </si>
  <si>
    <t>COMALLE</t>
  </si>
  <si>
    <t>BELLAVISTA</t>
  </si>
  <si>
    <t>EL TRANQUE</t>
  </si>
  <si>
    <t>SAN IGNACIO VIEJO</t>
  </si>
  <si>
    <t>LA ALBORADA</t>
  </si>
  <si>
    <t>EL GUAICO</t>
  </si>
  <si>
    <t>LAS COMPUERTAS</t>
  </si>
  <si>
    <t>CAMINO BOTALCURA</t>
  </si>
  <si>
    <t>CHAGRES</t>
  </si>
  <si>
    <t>LA SOMBRA</t>
  </si>
  <si>
    <t>PV-BNHT2672</t>
  </si>
  <si>
    <t>CERRILLOS</t>
  </si>
  <si>
    <t>LAGUNILLAS</t>
  </si>
  <si>
    <t>LA LUCANA</t>
  </si>
  <si>
    <t>PUNTA DE CORTES</t>
  </si>
  <si>
    <t>EL VINCULO</t>
  </si>
  <si>
    <t>FUNDO SAN MIGUEL</t>
  </si>
  <si>
    <t>FLOR DEL LLANO</t>
  </si>
  <si>
    <t>HIGUERILLAS</t>
  </si>
  <si>
    <t>EL PAPAGALLO</t>
  </si>
  <si>
    <t>CAMINO SAN RAFAEL</t>
  </si>
  <si>
    <t>RANQUIMILI</t>
  </si>
  <si>
    <t>TENIENTE CRUZ</t>
  </si>
  <si>
    <t>EL TRIUNFADOR</t>
  </si>
  <si>
    <t>VALLE ALEGRE</t>
  </si>
  <si>
    <t>RAMADILLAS DE LIRCAY</t>
  </si>
  <si>
    <t>LOS MONTES</t>
  </si>
  <si>
    <t>LA HORMIGA</t>
  </si>
  <si>
    <t>LIHUEIMO</t>
  </si>
  <si>
    <t>SAN JUAN DE LA SIERRA</t>
  </si>
  <si>
    <t>SAN DIEGO SUR</t>
  </si>
  <si>
    <t>RABONES</t>
  </si>
  <si>
    <t>PUNTA DE DIAMANTES</t>
  </si>
  <si>
    <t>TIERRA BLANCA</t>
  </si>
  <si>
    <t>LA MANRESA</t>
  </si>
  <si>
    <t>SAN RICARDO</t>
  </si>
  <si>
    <t>BAJO PERKIN</t>
  </si>
  <si>
    <t>LOS MAITENES DE OCOA</t>
  </si>
  <si>
    <t>SANTA MARTA</t>
  </si>
  <si>
    <t>QUILVO</t>
  </si>
  <si>
    <t>VALLE DE AZAPA</t>
  </si>
  <si>
    <t>CORRALONES</t>
  </si>
  <si>
    <t>CHEQUEN</t>
  </si>
  <si>
    <t>ROTO CHILENO</t>
  </si>
  <si>
    <t>BAJO LIRCAY</t>
  </si>
  <si>
    <t>LA CALERA</t>
  </si>
  <si>
    <t>SAN MANUEL</t>
  </si>
  <si>
    <t>EL MELON</t>
  </si>
  <si>
    <t>VIVERO DEL SUR</t>
  </si>
  <si>
    <t>CUARTA HIJUELA</t>
  </si>
  <si>
    <t>WINTERSEED</t>
  </si>
  <si>
    <t>EL ARROZAL</t>
  </si>
  <si>
    <t>LA ISLITA</t>
  </si>
  <si>
    <t>EL MAITÉN</t>
  </si>
  <si>
    <t>PUNTA DEL SOL</t>
  </si>
  <si>
    <t>LAS COLORADAS</t>
  </si>
  <si>
    <t>EL ALAMO NORTE</t>
  </si>
  <si>
    <t>SAN LUIS</t>
  </si>
  <si>
    <t>SAN JOAQUIN</t>
  </si>
  <si>
    <t>SOLICITUDID</t>
  </si>
  <si>
    <t>ESPECIE</t>
  </si>
  <si>
    <t>REGION</t>
  </si>
  <si>
    <t>COMUNA</t>
  </si>
  <si>
    <t>EVENTO</t>
  </si>
  <si>
    <t>2010-2011</t>
  </si>
  <si>
    <t>METROPOLITANA</t>
  </si>
  <si>
    <t xml:space="preserve">BERNARDO O'HIGGINS </t>
  </si>
  <si>
    <t>BIO-BIO</t>
  </si>
  <si>
    <t>CT01-4119-2</t>
  </si>
  <si>
    <t>ARAUCANIA</t>
  </si>
  <si>
    <t>PSBS4541</t>
  </si>
  <si>
    <t>VALPARAISO</t>
  </si>
  <si>
    <t>17351</t>
  </si>
  <si>
    <t>17474</t>
  </si>
  <si>
    <t>17495</t>
  </si>
  <si>
    <t>17549</t>
  </si>
  <si>
    <t>17581</t>
  </si>
  <si>
    <t>17595</t>
  </si>
  <si>
    <t>17606</t>
  </si>
  <si>
    <t>17665</t>
  </si>
  <si>
    <t>18209</t>
  </si>
  <si>
    <t>PSF10</t>
  </si>
  <si>
    <t>ACS-BN003-6 X PV-BNHT2672</t>
  </si>
  <si>
    <t>KM-00071-4</t>
  </si>
  <si>
    <t>CONSTRUCCIONES TRIGO INIA CARILLANCA</t>
  </si>
  <si>
    <t>***</t>
  </si>
  <si>
    <t>*** En la revisión  espacial de la  inflación de los semilleros entregados por los productores con el mapa digital del INE de las regiones de Chile, se constato que algunos pocos semilleros  no se encontraban en la región,  por lo cual no han sido incluidos en el listado.</t>
  </si>
  <si>
    <t xml:space="preserve">        </t>
  </si>
  <si>
    <t xml:space="preserve">No aplica </t>
  </si>
  <si>
    <t>Ver Anexo</t>
  </si>
  <si>
    <t>Convencional no GMO</t>
  </si>
  <si>
    <t>comentarios Adicionales</t>
  </si>
  <si>
    <t>TEMPORADA</t>
  </si>
  <si>
    <t>PRODUCTOR</t>
  </si>
  <si>
    <t>SOCIEDAD DE SERVICISO AGRONÓMICOS LTDA VIVIERO DEL SUR</t>
  </si>
  <si>
    <t>SOCIEDAD AGROSEARCH LTDA</t>
  </si>
  <si>
    <t>MANSUR AGRICULTURAL SERVICE LTDA.</t>
  </si>
  <si>
    <t>NILO LIZAMA  ARIAS</t>
  </si>
  <si>
    <t>SEMILLAS GENERACION 2000 LTDA.</t>
  </si>
  <si>
    <t>ACRE SEED LTDA</t>
  </si>
  <si>
    <t>SEMILLAS KWS CHILE LIMITADA</t>
  </si>
  <si>
    <t>AGRÍCOLA HUENCHUÑIR Y HUECHE LTDA (AGRÍCOLA NEW SEED)</t>
  </si>
  <si>
    <t>VID</t>
  </si>
  <si>
    <t>N/A</t>
  </si>
  <si>
    <t>Ver en cuadro anexo</t>
  </si>
  <si>
    <t xml:space="preserve">   </t>
  </si>
  <si>
    <t>2012-2013</t>
  </si>
  <si>
    <t>PCAMBIA34 4756 1 X</t>
  </si>
  <si>
    <t>PBIN(ENDONAG) 4756 1 X</t>
  </si>
  <si>
    <t>PBION19ESR 4756 1 X</t>
  </si>
  <si>
    <t>PBI121 C NAG</t>
  </si>
  <si>
    <t>Se opone a entrega de la información</t>
  </si>
  <si>
    <t>SYNGENTA</t>
  </si>
  <si>
    <t>Nº ID</t>
  </si>
  <si>
    <t>Ubicación georeferenciada de semilleros OGMs 2010-2011</t>
  </si>
  <si>
    <t>AAAAAG7d/wc=</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</si>
</sst>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rgb="FF00B05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9"/>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
    <xf numFmtId="0" fontId="0" fillId="0" borderId="0" xfId="0"/>
    <xf numFmtId="0" fontId="16" fillId="0" borderId="0" xfId="0" applyFont="1" applyAlignment="1">
      <alignment horizontal="right" wrapText="1"/>
    </xf>
    <xf numFmtId="0" fontId="0" fillId="0" borderId="0" xfId="0" applyAlignment="1">
      <alignment wrapText="1"/>
    </xf>
    <xf numFmtId="0" fontId="0" fillId="0" borderId="0" xfId="0" applyAlignment="1">
      <alignment horizontal="left"/>
    </xf>
    <xf numFmtId="0" fontId="0" fillId="33" borderId="0" xfId="0" applyFill="1"/>
    <xf numFmtId="3" fontId="0" fillId="0" borderId="0" xfId="0" applyNumberFormat="1"/>
    <xf numFmtId="0" fontId="16" fillId="0" borderId="10" xfId="0" applyFont="1" applyBorder="1" applyAlignment="1">
      <alignment horizontal="center" vertical="center"/>
    </xf>
    <xf numFmtId="0" fontId="0" fillId="0" borderId="10" xfId="0" applyBorder="1" applyAlignment="1">
      <alignment horizontal="left"/>
    </xf>
    <xf numFmtId="0" fontId="0" fillId="0" borderId="10" xfId="0" applyBorder="1"/>
    <xf numFmtId="0" fontId="0" fillId="0" borderId="0" xfId="0" applyFill="1" applyBorder="1" applyAlignment="1">
      <alignment horizontal="left"/>
    </xf>
    <xf numFmtId="0" fontId="0" fillId="0" borderId="0" xfId="0" applyAlignment="1">
      <alignment horizontal="left" vertical="top" wrapText="1"/>
    </xf>
    <xf numFmtId="0" fontId="18" fillId="0" borderId="0" xfId="0" applyFont="1"/>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http://csmtest.sag.gob.cl/img/i_logoCertificado.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http://csmtest.sag.gob.cl/img/i_logoCertificado.JPG"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819150</xdr:colOff>
          <xdr:row>1</xdr:row>
          <xdr:rowOff>19050</xdr:rowOff>
        </xdr:to>
        <xdr:sp macro="" textlink="">
          <xdr:nvSpPr>
            <xdr:cNvPr id="1025" name="Control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1</xdr:row>
      <xdr:rowOff>0</xdr:rowOff>
    </xdr:from>
    <xdr:to>
      <xdr:col>1</xdr:col>
      <xdr:colOff>17991</xdr:colOff>
      <xdr:row>4</xdr:row>
      <xdr:rowOff>475192</xdr:rowOff>
    </xdr:to>
    <xdr:pic>
      <xdr:nvPicPr>
        <xdr:cNvPr id="4" name="WucTopInforme1_asdasd" descr="Cargando"/>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1277408"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114300</xdr:rowOff>
    </xdr:from>
    <xdr:to>
      <xdr:col>1</xdr:col>
      <xdr:colOff>246591</xdr:colOff>
      <xdr:row>5</xdr:row>
      <xdr:rowOff>27517</xdr:rowOff>
    </xdr:to>
    <xdr:pic>
      <xdr:nvPicPr>
        <xdr:cNvPr id="2" name="WucTopInforme1_asdasd" descr="Cargando"/>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28600" y="114300"/>
          <a:ext cx="818091" cy="865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filterMode="1"/>
  <dimension ref="A2:P2835"/>
  <sheetViews>
    <sheetView showGridLines="0" tabSelected="1" topLeftCell="A2157" zoomScale="90" zoomScaleNormal="90" workbookViewId="0">
      <selection activeCell="D5" sqref="D5"/>
    </sheetView>
  </sheetViews>
  <sheetFormatPr baseColWidth="10" defaultRowHeight="15" x14ac:dyDescent="0.25"/>
  <cols>
    <col min="1" max="1" width="18.85546875" bestFit="1" customWidth="1"/>
    <col min="2" max="2" width="24.42578125" bestFit="1" customWidth="1"/>
    <col min="3" max="3" width="16.28515625" bestFit="1" customWidth="1"/>
    <col min="4" max="4" width="12" bestFit="1" customWidth="1"/>
    <col min="5" max="5" width="28.42578125" bestFit="1" customWidth="1"/>
    <col min="6" max="6" width="38.42578125" bestFit="1" customWidth="1"/>
    <col min="7" max="7" width="16.28515625" bestFit="1" customWidth="1"/>
    <col min="8" max="8" width="22.42578125" bestFit="1" customWidth="1"/>
    <col min="9" max="9" width="52.7109375" bestFit="1" customWidth="1"/>
    <col min="10" max="10" width="52.28515625" bestFit="1" customWidth="1"/>
    <col min="11" max="11" width="9" bestFit="1" customWidth="1"/>
    <col min="12" max="12" width="7.5703125" bestFit="1" customWidth="1"/>
    <col min="13" max="13" width="5.42578125" bestFit="1" customWidth="1"/>
    <col min="15" max="15" width="8.7109375" customWidth="1"/>
    <col min="16" max="16" width="27.5703125" bestFit="1" customWidth="1"/>
  </cols>
  <sheetData>
    <row r="2" spans="1:16" x14ac:dyDescent="0.25">
      <c r="A2" s="1"/>
      <c r="B2" s="2"/>
    </row>
    <row r="3" spans="1:16" ht="23.25" x14ac:dyDescent="0.35">
      <c r="A3" s="1"/>
      <c r="B3" s="2"/>
      <c r="C3" s="11" t="s">
        <v>715</v>
      </c>
    </row>
    <row r="4" spans="1:16" x14ac:dyDescent="0.25">
      <c r="A4" s="1"/>
      <c r="B4" s="2"/>
    </row>
    <row r="5" spans="1:16" ht="56.25" customHeight="1" x14ac:dyDescent="0.25">
      <c r="A5" s="1"/>
      <c r="B5" s="2"/>
    </row>
    <row r="6" spans="1:16" x14ac:dyDescent="0.25">
      <c r="A6" s="6" t="s">
        <v>0</v>
      </c>
      <c r="B6" s="6" t="s">
        <v>1</v>
      </c>
      <c r="C6" s="6" t="s">
        <v>714</v>
      </c>
      <c r="D6" s="6" t="s">
        <v>2</v>
      </c>
      <c r="E6" s="6" t="s">
        <v>3</v>
      </c>
      <c r="F6" s="6" t="s">
        <v>4</v>
      </c>
      <c r="G6" s="6" t="s">
        <v>5</v>
      </c>
      <c r="H6" s="6" t="s">
        <v>6</v>
      </c>
      <c r="I6" s="6" t="s">
        <v>7</v>
      </c>
      <c r="J6" s="6" t="s">
        <v>8</v>
      </c>
      <c r="K6" s="6" t="s">
        <v>9</v>
      </c>
      <c r="L6" s="6" t="s">
        <v>10</v>
      </c>
      <c r="M6" s="6" t="s">
        <v>11</v>
      </c>
      <c r="N6" s="6" t="s">
        <v>12</v>
      </c>
      <c r="O6" s="6" t="s">
        <v>13</v>
      </c>
      <c r="P6" s="6" t="s">
        <v>692</v>
      </c>
    </row>
    <row r="7" spans="1:16" hidden="1" x14ac:dyDescent="0.25">
      <c r="A7" s="7" t="s">
        <v>14</v>
      </c>
      <c r="B7" s="7" t="s">
        <v>270</v>
      </c>
      <c r="C7" s="8">
        <v>25184</v>
      </c>
      <c r="D7" s="7" t="s">
        <v>322</v>
      </c>
      <c r="E7" s="7" t="s">
        <v>323</v>
      </c>
      <c r="F7" s="7" t="s">
        <v>323</v>
      </c>
      <c r="G7" s="7" t="s">
        <v>43</v>
      </c>
      <c r="H7" s="7" t="s">
        <v>689</v>
      </c>
      <c r="I7" s="7" t="s">
        <v>712</v>
      </c>
      <c r="J7" s="7" t="s">
        <v>712</v>
      </c>
      <c r="K7" s="8">
        <v>7952436</v>
      </c>
      <c r="L7" s="8">
        <v>375205</v>
      </c>
      <c r="M7" s="8">
        <v>19</v>
      </c>
      <c r="N7" s="8">
        <v>6</v>
      </c>
      <c r="O7" s="8">
        <v>0.06</v>
      </c>
      <c r="P7" s="8"/>
    </row>
    <row r="8" spans="1:16" hidden="1" x14ac:dyDescent="0.25">
      <c r="A8" s="7" t="s">
        <v>14</v>
      </c>
      <c r="B8" s="7" t="s">
        <v>343</v>
      </c>
      <c r="C8" s="8">
        <v>25242</v>
      </c>
      <c r="D8" s="7" t="s">
        <v>28</v>
      </c>
      <c r="E8" s="7" t="s">
        <v>344</v>
      </c>
      <c r="F8" s="7" t="s">
        <v>345</v>
      </c>
      <c r="G8" s="7" t="s">
        <v>43</v>
      </c>
      <c r="H8" s="7" t="s">
        <v>689</v>
      </c>
      <c r="I8" s="7" t="s">
        <v>712</v>
      </c>
      <c r="J8" s="7" t="s">
        <v>712</v>
      </c>
      <c r="K8" s="8">
        <v>6271336</v>
      </c>
      <c r="L8" s="8">
        <v>300553</v>
      </c>
      <c r="M8" s="8">
        <v>19</v>
      </c>
      <c r="N8" s="8">
        <v>1</v>
      </c>
      <c r="O8" s="8">
        <v>0.2</v>
      </c>
      <c r="P8" s="8"/>
    </row>
    <row r="9" spans="1:16" hidden="1" x14ac:dyDescent="0.25">
      <c r="A9" s="7" t="s">
        <v>14</v>
      </c>
      <c r="B9" s="7" t="s">
        <v>343</v>
      </c>
      <c r="C9" s="8">
        <v>25300</v>
      </c>
      <c r="D9" s="7" t="s">
        <v>28</v>
      </c>
      <c r="E9" s="7" t="s">
        <v>344</v>
      </c>
      <c r="F9" s="7" t="s">
        <v>345</v>
      </c>
      <c r="G9" s="7" t="s">
        <v>43</v>
      </c>
      <c r="H9" s="7" t="s">
        <v>689</v>
      </c>
      <c r="I9" s="7" t="s">
        <v>712</v>
      </c>
      <c r="J9" s="7" t="s">
        <v>712</v>
      </c>
      <c r="K9" s="8">
        <v>6271392</v>
      </c>
      <c r="L9" s="8">
        <v>300534</v>
      </c>
      <c r="M9" s="8">
        <v>19</v>
      </c>
      <c r="N9" s="8">
        <v>1</v>
      </c>
      <c r="O9" s="8">
        <v>0.45</v>
      </c>
      <c r="P9" s="8"/>
    </row>
    <row r="10" spans="1:16" hidden="1" x14ac:dyDescent="0.25">
      <c r="A10" s="7" t="s">
        <v>19</v>
      </c>
      <c r="B10" s="7" t="s">
        <v>20</v>
      </c>
      <c r="C10" s="8">
        <v>25301</v>
      </c>
      <c r="D10" s="7" t="s">
        <v>21</v>
      </c>
      <c r="E10" s="7" t="s">
        <v>22</v>
      </c>
      <c r="F10" s="7" t="s">
        <v>22</v>
      </c>
      <c r="G10" s="7" t="s">
        <v>23</v>
      </c>
      <c r="H10" s="7" t="s">
        <v>24</v>
      </c>
      <c r="I10" s="7">
        <v>5345</v>
      </c>
      <c r="J10" s="7">
        <v>5345</v>
      </c>
      <c r="K10" s="8">
        <v>6379975</v>
      </c>
      <c r="L10" s="8">
        <v>293038</v>
      </c>
      <c r="M10" s="8">
        <v>19</v>
      </c>
      <c r="N10" s="8">
        <v>1</v>
      </c>
      <c r="O10" s="8">
        <v>0.1</v>
      </c>
      <c r="P10" s="8"/>
    </row>
    <row r="11" spans="1:16" hidden="1" x14ac:dyDescent="0.25">
      <c r="A11" s="7" t="s">
        <v>19</v>
      </c>
      <c r="B11" s="7" t="s">
        <v>20</v>
      </c>
      <c r="C11" s="8">
        <v>25302</v>
      </c>
      <c r="D11" s="7" t="s">
        <v>21</v>
      </c>
      <c r="E11" s="7" t="s">
        <v>22</v>
      </c>
      <c r="F11" s="7" t="s">
        <v>22</v>
      </c>
      <c r="G11" s="7" t="s">
        <v>23</v>
      </c>
      <c r="H11" s="7" t="s">
        <v>24</v>
      </c>
      <c r="I11" s="7" t="s">
        <v>25</v>
      </c>
      <c r="J11" s="7" t="s">
        <v>25</v>
      </c>
      <c r="K11" s="8">
        <v>6379975</v>
      </c>
      <c r="L11" s="8">
        <v>293038</v>
      </c>
      <c r="M11" s="8">
        <v>19</v>
      </c>
      <c r="N11" s="8">
        <v>1</v>
      </c>
      <c r="O11" s="8">
        <v>0.1</v>
      </c>
      <c r="P11" s="8"/>
    </row>
    <row r="12" spans="1:16" hidden="1" x14ac:dyDescent="0.25">
      <c r="A12" s="7" t="s">
        <v>19</v>
      </c>
      <c r="B12" s="7" t="s">
        <v>20</v>
      </c>
      <c r="C12" s="8">
        <v>25303</v>
      </c>
      <c r="D12" s="7" t="s">
        <v>21</v>
      </c>
      <c r="E12" s="7" t="s">
        <v>22</v>
      </c>
      <c r="F12" s="7" t="s">
        <v>22</v>
      </c>
      <c r="G12" s="7" t="s">
        <v>23</v>
      </c>
      <c r="H12" s="7" t="s">
        <v>24</v>
      </c>
      <c r="I12" s="7" t="s">
        <v>26</v>
      </c>
      <c r="J12" s="7" t="s">
        <v>26</v>
      </c>
      <c r="K12" s="8">
        <v>6379975</v>
      </c>
      <c r="L12" s="8">
        <v>293038</v>
      </c>
      <c r="M12" s="8">
        <v>19</v>
      </c>
      <c r="N12" s="8">
        <v>1</v>
      </c>
      <c r="O12" s="8">
        <v>0.1</v>
      </c>
      <c r="P12" s="8"/>
    </row>
    <row r="13" spans="1:16" hidden="1" x14ac:dyDescent="0.25">
      <c r="A13" s="7" t="s">
        <v>37</v>
      </c>
      <c r="B13" s="7" t="s">
        <v>92</v>
      </c>
      <c r="C13" s="8">
        <v>25363</v>
      </c>
      <c r="D13" s="7" t="s">
        <v>34</v>
      </c>
      <c r="E13" s="7" t="s">
        <v>93</v>
      </c>
      <c r="F13" s="7" t="s">
        <v>94</v>
      </c>
      <c r="G13" s="7" t="s">
        <v>43</v>
      </c>
      <c r="H13" s="7" t="s">
        <v>48</v>
      </c>
      <c r="I13" s="7" t="s">
        <v>712</v>
      </c>
      <c r="J13" s="7" t="s">
        <v>691</v>
      </c>
      <c r="K13" s="8">
        <v>5950931</v>
      </c>
      <c r="L13" s="8">
        <v>245384</v>
      </c>
      <c r="M13" s="8">
        <v>19</v>
      </c>
      <c r="N13" s="8">
        <v>1</v>
      </c>
      <c r="O13" s="8">
        <v>20</v>
      </c>
      <c r="P13" s="8"/>
    </row>
    <row r="14" spans="1:16" hidden="1" x14ac:dyDescent="0.25">
      <c r="A14" s="7" t="s">
        <v>37</v>
      </c>
      <c r="B14" s="7" t="s">
        <v>92</v>
      </c>
      <c r="C14" s="8">
        <v>25364</v>
      </c>
      <c r="D14" s="7" t="s">
        <v>34</v>
      </c>
      <c r="E14" s="7" t="s">
        <v>93</v>
      </c>
      <c r="F14" s="7" t="s">
        <v>94</v>
      </c>
      <c r="G14" s="7" t="s">
        <v>43</v>
      </c>
      <c r="H14" s="7" t="s">
        <v>48</v>
      </c>
      <c r="I14" s="7" t="s">
        <v>712</v>
      </c>
      <c r="J14" s="7" t="s">
        <v>691</v>
      </c>
      <c r="K14" s="8">
        <v>5950098</v>
      </c>
      <c r="L14" s="8">
        <v>245710</v>
      </c>
      <c r="M14" s="8">
        <v>19</v>
      </c>
      <c r="N14" s="8">
        <v>2</v>
      </c>
      <c r="O14" s="8">
        <v>20</v>
      </c>
      <c r="P14" s="8"/>
    </row>
    <row r="15" spans="1:16" hidden="1" x14ac:dyDescent="0.25">
      <c r="A15" s="7" t="s">
        <v>37</v>
      </c>
      <c r="B15" s="7" t="s">
        <v>92</v>
      </c>
      <c r="C15" s="8">
        <v>25381</v>
      </c>
      <c r="D15" s="7" t="s">
        <v>34</v>
      </c>
      <c r="E15" s="7" t="s">
        <v>95</v>
      </c>
      <c r="F15" s="7" t="s">
        <v>96</v>
      </c>
      <c r="G15" s="7" t="s">
        <v>43</v>
      </c>
      <c r="H15" s="7" t="s">
        <v>48</v>
      </c>
      <c r="I15" s="7" t="s">
        <v>712</v>
      </c>
      <c r="J15" s="7" t="s">
        <v>712</v>
      </c>
      <c r="K15" s="8">
        <v>5922469</v>
      </c>
      <c r="L15" s="8">
        <v>752386</v>
      </c>
      <c r="M15" s="8">
        <v>18</v>
      </c>
      <c r="N15" s="8">
        <v>1</v>
      </c>
      <c r="O15" s="8">
        <v>40</v>
      </c>
      <c r="P15" s="8"/>
    </row>
    <row r="16" spans="1:16" hidden="1" x14ac:dyDescent="0.25">
      <c r="A16" s="7" t="s">
        <v>37</v>
      </c>
      <c r="B16" s="7" t="s">
        <v>563</v>
      </c>
      <c r="C16" s="8">
        <v>25382</v>
      </c>
      <c r="D16" s="7" t="s">
        <v>34</v>
      </c>
      <c r="E16" s="7" t="s">
        <v>35</v>
      </c>
      <c r="F16" s="7" t="s">
        <v>35</v>
      </c>
      <c r="G16" s="7" t="s">
        <v>43</v>
      </c>
      <c r="H16" s="7" t="s">
        <v>48</v>
      </c>
      <c r="I16" s="7" t="s">
        <v>97</v>
      </c>
      <c r="J16" s="7" t="s">
        <v>98</v>
      </c>
      <c r="K16" s="8">
        <v>5854738</v>
      </c>
      <c r="L16" s="8">
        <v>744711</v>
      </c>
      <c r="M16" s="8">
        <v>18</v>
      </c>
      <c r="N16" s="8">
        <v>1</v>
      </c>
      <c r="O16" s="8">
        <v>16</v>
      </c>
      <c r="P16" s="8"/>
    </row>
    <row r="17" spans="1:16" hidden="1" x14ac:dyDescent="0.25">
      <c r="A17" s="7" t="s">
        <v>37</v>
      </c>
      <c r="B17" s="7" t="s">
        <v>563</v>
      </c>
      <c r="C17" s="8">
        <v>25383</v>
      </c>
      <c r="D17" s="7" t="s">
        <v>34</v>
      </c>
      <c r="E17" s="7" t="s">
        <v>35</v>
      </c>
      <c r="F17" s="7" t="s">
        <v>35</v>
      </c>
      <c r="G17" s="7" t="s">
        <v>43</v>
      </c>
      <c r="H17" s="7" t="s">
        <v>48</v>
      </c>
      <c r="I17" s="7" t="s">
        <v>97</v>
      </c>
      <c r="J17" s="7" t="s">
        <v>98</v>
      </c>
      <c r="K17" s="8">
        <v>5853983</v>
      </c>
      <c r="L17" s="8">
        <v>741306</v>
      </c>
      <c r="M17" s="8">
        <v>18</v>
      </c>
      <c r="N17" s="8">
        <v>1</v>
      </c>
      <c r="O17" s="8">
        <v>60</v>
      </c>
      <c r="P17" s="8"/>
    </row>
    <row r="18" spans="1:16" hidden="1" x14ac:dyDescent="0.25">
      <c r="A18" s="7" t="s">
        <v>37</v>
      </c>
      <c r="B18" s="7" t="s">
        <v>92</v>
      </c>
      <c r="C18" s="8">
        <v>25426</v>
      </c>
      <c r="D18" s="7" t="s">
        <v>34</v>
      </c>
      <c r="E18" s="7" t="s">
        <v>93</v>
      </c>
      <c r="F18" s="7" t="s">
        <v>94</v>
      </c>
      <c r="G18" s="7" t="s">
        <v>43</v>
      </c>
      <c r="H18" s="7" t="s">
        <v>48</v>
      </c>
      <c r="I18" s="7" t="s">
        <v>712</v>
      </c>
      <c r="J18" s="7" t="s">
        <v>691</v>
      </c>
      <c r="K18" s="8">
        <v>5954704</v>
      </c>
      <c r="L18" s="8">
        <v>248072</v>
      </c>
      <c r="M18" s="8">
        <v>19</v>
      </c>
      <c r="N18" s="8">
        <v>1</v>
      </c>
      <c r="O18" s="8">
        <v>15</v>
      </c>
      <c r="P18" s="8"/>
    </row>
    <row r="19" spans="1:16" hidden="1" x14ac:dyDescent="0.25">
      <c r="A19" s="7" t="s">
        <v>14</v>
      </c>
      <c r="B19" s="7" t="s">
        <v>415</v>
      </c>
      <c r="C19" s="8">
        <v>25436</v>
      </c>
      <c r="D19" s="7" t="s">
        <v>28</v>
      </c>
      <c r="E19" s="7" t="s">
        <v>56</v>
      </c>
      <c r="F19" s="7" t="s">
        <v>162</v>
      </c>
      <c r="G19" s="7" t="s">
        <v>65</v>
      </c>
      <c r="H19" s="7" t="s">
        <v>689</v>
      </c>
      <c r="I19" s="7" t="s">
        <v>712</v>
      </c>
      <c r="J19" s="7" t="s">
        <v>712</v>
      </c>
      <c r="K19" s="8">
        <v>6258851</v>
      </c>
      <c r="L19" s="8">
        <v>332557</v>
      </c>
      <c r="M19" s="8">
        <v>19</v>
      </c>
      <c r="N19" s="8">
        <v>1</v>
      </c>
      <c r="O19" s="8">
        <v>0.02</v>
      </c>
      <c r="P19" s="8"/>
    </row>
    <row r="20" spans="1:16" hidden="1" x14ac:dyDescent="0.25">
      <c r="A20" s="7" t="s">
        <v>37</v>
      </c>
      <c r="B20" s="7" t="s">
        <v>415</v>
      </c>
      <c r="C20" s="8">
        <v>25443</v>
      </c>
      <c r="D20" s="7" t="s">
        <v>34</v>
      </c>
      <c r="E20" s="7" t="s">
        <v>35</v>
      </c>
      <c r="F20" s="7" t="s">
        <v>416</v>
      </c>
      <c r="G20" s="7" t="s">
        <v>43</v>
      </c>
      <c r="H20" s="7" t="s">
        <v>48</v>
      </c>
      <c r="I20" s="7" t="s">
        <v>712</v>
      </c>
      <c r="J20" s="7" t="s">
        <v>691</v>
      </c>
      <c r="K20" s="8">
        <v>5847292</v>
      </c>
      <c r="L20" s="8">
        <v>739408</v>
      </c>
      <c r="M20" s="8">
        <v>18</v>
      </c>
      <c r="N20" s="8">
        <v>1</v>
      </c>
      <c r="O20" s="8">
        <v>22</v>
      </c>
      <c r="P20" s="8"/>
    </row>
    <row r="21" spans="1:16" hidden="1" x14ac:dyDescent="0.25">
      <c r="A21" s="7" t="s">
        <v>19</v>
      </c>
      <c r="B21" s="7" t="s">
        <v>270</v>
      </c>
      <c r="C21" s="8">
        <v>25445</v>
      </c>
      <c r="D21" s="7" t="s">
        <v>52</v>
      </c>
      <c r="E21" s="7" t="s">
        <v>60</v>
      </c>
      <c r="F21" s="7" t="s">
        <v>60</v>
      </c>
      <c r="G21" s="7" t="s">
        <v>18</v>
      </c>
      <c r="H21" s="7" t="s">
        <v>48</v>
      </c>
      <c r="I21" s="7" t="s">
        <v>712</v>
      </c>
      <c r="J21" s="7" t="s">
        <v>691</v>
      </c>
      <c r="K21" s="8">
        <v>6151519</v>
      </c>
      <c r="L21" s="8">
        <v>313451</v>
      </c>
      <c r="M21" s="8">
        <v>19</v>
      </c>
      <c r="N21" s="8">
        <v>1</v>
      </c>
      <c r="O21" s="8">
        <v>16</v>
      </c>
      <c r="P21" s="8"/>
    </row>
    <row r="22" spans="1:16" hidden="1" x14ac:dyDescent="0.25">
      <c r="A22" s="7" t="s">
        <v>37</v>
      </c>
      <c r="B22" s="7" t="s">
        <v>415</v>
      </c>
      <c r="C22" s="8">
        <v>25449</v>
      </c>
      <c r="D22" s="7" t="s">
        <v>119</v>
      </c>
      <c r="E22" s="7" t="s">
        <v>216</v>
      </c>
      <c r="F22" s="7" t="s">
        <v>216</v>
      </c>
      <c r="G22" s="7" t="s">
        <v>43</v>
      </c>
      <c r="H22" s="7" t="s">
        <v>48</v>
      </c>
      <c r="I22" s="7" t="s">
        <v>712</v>
      </c>
      <c r="J22" s="7" t="s">
        <v>691</v>
      </c>
      <c r="K22" s="8">
        <v>5713052</v>
      </c>
      <c r="L22" s="8">
        <v>678299</v>
      </c>
      <c r="M22" s="8">
        <v>18</v>
      </c>
      <c r="N22" s="8">
        <v>3</v>
      </c>
      <c r="O22" s="8">
        <v>28</v>
      </c>
      <c r="P22" s="8"/>
    </row>
    <row r="23" spans="1:16" hidden="1" x14ac:dyDescent="0.25">
      <c r="A23" s="7" t="s">
        <v>37</v>
      </c>
      <c r="B23" s="7" t="s">
        <v>415</v>
      </c>
      <c r="C23" s="8">
        <v>25450</v>
      </c>
      <c r="D23" s="7" t="s">
        <v>34</v>
      </c>
      <c r="E23" s="7" t="s">
        <v>35</v>
      </c>
      <c r="F23" s="7" t="s">
        <v>100</v>
      </c>
      <c r="G23" s="7" t="s">
        <v>43</v>
      </c>
      <c r="H23" s="7" t="s">
        <v>48</v>
      </c>
      <c r="I23" s="7" t="s">
        <v>712</v>
      </c>
      <c r="J23" s="7" t="s">
        <v>691</v>
      </c>
      <c r="K23" s="8">
        <v>5848666</v>
      </c>
      <c r="L23" s="8">
        <v>740286</v>
      </c>
      <c r="M23" s="8">
        <v>18</v>
      </c>
      <c r="N23" s="8">
        <v>1</v>
      </c>
      <c r="O23" s="8">
        <v>17</v>
      </c>
      <c r="P23" s="8"/>
    </row>
    <row r="24" spans="1:16" hidden="1" x14ac:dyDescent="0.25">
      <c r="A24" s="7" t="s">
        <v>37</v>
      </c>
      <c r="B24" s="7" t="s">
        <v>415</v>
      </c>
      <c r="C24" s="8">
        <v>25451</v>
      </c>
      <c r="D24" s="7" t="s">
        <v>34</v>
      </c>
      <c r="E24" s="7" t="s">
        <v>35</v>
      </c>
      <c r="F24" s="7" t="s">
        <v>36</v>
      </c>
      <c r="G24" s="7" t="s">
        <v>43</v>
      </c>
      <c r="H24" s="7" t="s">
        <v>48</v>
      </c>
      <c r="I24" s="7" t="s">
        <v>712</v>
      </c>
      <c r="J24" s="7" t="s">
        <v>691</v>
      </c>
      <c r="K24" s="8">
        <v>5849310</v>
      </c>
      <c r="L24" s="8">
        <v>720448</v>
      </c>
      <c r="M24" s="8">
        <v>18</v>
      </c>
      <c r="N24" s="8">
        <v>1</v>
      </c>
      <c r="O24" s="8">
        <v>30</v>
      </c>
      <c r="P24" s="8"/>
    </row>
    <row r="25" spans="1:16" hidden="1" x14ac:dyDescent="0.25">
      <c r="A25" s="7" t="s">
        <v>37</v>
      </c>
      <c r="B25" s="7" t="s">
        <v>415</v>
      </c>
      <c r="C25" s="8">
        <v>25452</v>
      </c>
      <c r="D25" s="7" t="s">
        <v>119</v>
      </c>
      <c r="E25" s="7" t="s">
        <v>196</v>
      </c>
      <c r="F25" s="7" t="s">
        <v>417</v>
      </c>
      <c r="G25" s="7" t="s">
        <v>43</v>
      </c>
      <c r="H25" s="7" t="s">
        <v>48</v>
      </c>
      <c r="I25" s="7" t="s">
        <v>712</v>
      </c>
      <c r="J25" s="7" t="s">
        <v>691</v>
      </c>
      <c r="K25" s="8">
        <v>5695041</v>
      </c>
      <c r="L25" s="8">
        <v>719272</v>
      </c>
      <c r="M25" s="8">
        <v>18</v>
      </c>
      <c r="N25" s="8">
        <v>1</v>
      </c>
      <c r="O25" s="8">
        <v>25</v>
      </c>
      <c r="P25" s="8"/>
    </row>
    <row r="26" spans="1:16" hidden="1" x14ac:dyDescent="0.25">
      <c r="A26" s="7" t="s">
        <v>19</v>
      </c>
      <c r="B26" s="7" t="s">
        <v>270</v>
      </c>
      <c r="C26" s="8">
        <v>25453</v>
      </c>
      <c r="D26" s="7" t="s">
        <v>52</v>
      </c>
      <c r="E26" s="7" t="s">
        <v>53</v>
      </c>
      <c r="F26" s="7" t="s">
        <v>53</v>
      </c>
      <c r="G26" s="7" t="s">
        <v>18</v>
      </c>
      <c r="H26" s="7" t="s">
        <v>48</v>
      </c>
      <c r="I26" s="7" t="s">
        <v>712</v>
      </c>
      <c r="J26" s="7" t="s">
        <v>712</v>
      </c>
      <c r="K26" s="8">
        <v>6190047</v>
      </c>
      <c r="L26" s="8">
        <v>279288</v>
      </c>
      <c r="M26" s="8">
        <v>19</v>
      </c>
      <c r="N26" s="8">
        <v>1</v>
      </c>
      <c r="O26" s="8">
        <v>22.6</v>
      </c>
      <c r="P26" s="8"/>
    </row>
    <row r="27" spans="1:16" hidden="1" x14ac:dyDescent="0.25">
      <c r="A27" s="7" t="s">
        <v>37</v>
      </c>
      <c r="B27" s="7" t="s">
        <v>181</v>
      </c>
      <c r="C27" s="8">
        <v>25454</v>
      </c>
      <c r="D27" s="7" t="s">
        <v>34</v>
      </c>
      <c r="E27" s="7" t="s">
        <v>35</v>
      </c>
      <c r="F27" s="7" t="s">
        <v>182</v>
      </c>
      <c r="G27" s="7" t="s">
        <v>43</v>
      </c>
      <c r="H27" s="7" t="s">
        <v>48</v>
      </c>
      <c r="I27" s="7" t="s">
        <v>183</v>
      </c>
      <c r="J27" s="7" t="s">
        <v>691</v>
      </c>
      <c r="K27" s="8">
        <v>5845953</v>
      </c>
      <c r="L27" s="8">
        <v>716884</v>
      </c>
      <c r="M27" s="8">
        <v>18</v>
      </c>
      <c r="N27" s="8">
        <v>1</v>
      </c>
      <c r="O27" s="8">
        <v>24.2</v>
      </c>
      <c r="P27" s="8"/>
    </row>
    <row r="28" spans="1:16" hidden="1" x14ac:dyDescent="0.25">
      <c r="A28" s="7" t="s">
        <v>19</v>
      </c>
      <c r="B28" s="7" t="s">
        <v>270</v>
      </c>
      <c r="C28" s="8">
        <v>25470</v>
      </c>
      <c r="D28" s="7" t="s">
        <v>52</v>
      </c>
      <c r="E28" s="7" t="s">
        <v>53</v>
      </c>
      <c r="F28" s="7" t="s">
        <v>53</v>
      </c>
      <c r="G28" s="7" t="s">
        <v>18</v>
      </c>
      <c r="H28" s="7" t="s">
        <v>48</v>
      </c>
      <c r="I28" s="7" t="s">
        <v>712</v>
      </c>
      <c r="J28" s="7" t="s">
        <v>691</v>
      </c>
      <c r="K28" s="8">
        <v>6151519</v>
      </c>
      <c r="L28" s="8">
        <v>313451</v>
      </c>
      <c r="M28" s="8">
        <v>19</v>
      </c>
      <c r="N28" s="8">
        <v>1</v>
      </c>
      <c r="O28" s="8">
        <v>6.7</v>
      </c>
      <c r="P28" s="8"/>
    </row>
    <row r="29" spans="1:16" hidden="1" x14ac:dyDescent="0.25">
      <c r="A29" s="7" t="s">
        <v>37</v>
      </c>
      <c r="B29" s="7" t="s">
        <v>92</v>
      </c>
      <c r="C29" s="8">
        <v>25480</v>
      </c>
      <c r="D29" s="7" t="s">
        <v>34</v>
      </c>
      <c r="E29" s="7" t="s">
        <v>95</v>
      </c>
      <c r="F29" s="7" t="s">
        <v>99</v>
      </c>
      <c r="G29" s="7" t="s">
        <v>43</v>
      </c>
      <c r="H29" s="7" t="s">
        <v>48</v>
      </c>
      <c r="I29" s="7" t="s">
        <v>712</v>
      </c>
      <c r="J29" s="7" t="s">
        <v>712</v>
      </c>
      <c r="K29" s="8">
        <v>5919649</v>
      </c>
      <c r="L29" s="8">
        <v>738761</v>
      </c>
      <c r="M29" s="8">
        <v>18</v>
      </c>
      <c r="N29" s="8">
        <v>1</v>
      </c>
      <c r="O29" s="8">
        <v>15</v>
      </c>
      <c r="P29" s="8"/>
    </row>
    <row r="30" spans="1:16" hidden="1" x14ac:dyDescent="0.25">
      <c r="A30" s="7" t="s">
        <v>37</v>
      </c>
      <c r="B30" s="7" t="s">
        <v>92</v>
      </c>
      <c r="C30" s="8">
        <v>25481</v>
      </c>
      <c r="D30" s="7" t="s">
        <v>34</v>
      </c>
      <c r="E30" s="7" t="s">
        <v>95</v>
      </c>
      <c r="F30" s="7" t="s">
        <v>100</v>
      </c>
      <c r="G30" s="7" t="s">
        <v>43</v>
      </c>
      <c r="H30" s="7" t="s">
        <v>48</v>
      </c>
      <c r="I30" s="7" t="s">
        <v>712</v>
      </c>
      <c r="J30" s="7" t="s">
        <v>712</v>
      </c>
      <c r="K30" s="8">
        <v>5916242</v>
      </c>
      <c r="L30" s="8">
        <v>741922</v>
      </c>
      <c r="M30" s="8">
        <v>18</v>
      </c>
      <c r="N30" s="8">
        <v>2</v>
      </c>
      <c r="O30" s="8">
        <v>35</v>
      </c>
      <c r="P30" s="8"/>
    </row>
    <row r="31" spans="1:16" hidden="1" x14ac:dyDescent="0.25">
      <c r="A31" s="7" t="s">
        <v>37</v>
      </c>
      <c r="B31" s="7" t="s">
        <v>92</v>
      </c>
      <c r="C31" s="8">
        <v>25482</v>
      </c>
      <c r="D31" s="7" t="s">
        <v>34</v>
      </c>
      <c r="E31" s="7" t="s">
        <v>101</v>
      </c>
      <c r="F31" s="7" t="s">
        <v>102</v>
      </c>
      <c r="G31" s="7" t="s">
        <v>43</v>
      </c>
      <c r="H31" s="7" t="s">
        <v>48</v>
      </c>
      <c r="I31" s="7" t="s">
        <v>712</v>
      </c>
      <c r="J31" s="7" t="s">
        <v>712</v>
      </c>
      <c r="K31" s="8">
        <v>5913756</v>
      </c>
      <c r="L31" s="8">
        <v>764705</v>
      </c>
      <c r="M31" s="8">
        <v>18</v>
      </c>
      <c r="N31" s="8">
        <v>1</v>
      </c>
      <c r="O31" s="8">
        <v>27</v>
      </c>
      <c r="P31" s="8"/>
    </row>
    <row r="32" spans="1:16" hidden="1" x14ac:dyDescent="0.25">
      <c r="A32" s="7" t="s">
        <v>19</v>
      </c>
      <c r="B32" s="7" t="s">
        <v>270</v>
      </c>
      <c r="C32" s="8">
        <v>25485</v>
      </c>
      <c r="D32" s="7" t="s">
        <v>16</v>
      </c>
      <c r="E32" s="7" t="s">
        <v>46</v>
      </c>
      <c r="F32" s="7" t="s">
        <v>444</v>
      </c>
      <c r="G32" s="7" t="s">
        <v>18</v>
      </c>
      <c r="H32" s="7" t="s">
        <v>48</v>
      </c>
      <c r="I32" s="7" t="s">
        <v>712</v>
      </c>
      <c r="J32" s="7" t="s">
        <v>712</v>
      </c>
      <c r="K32" s="8">
        <v>6117661</v>
      </c>
      <c r="L32" s="8">
        <v>293681</v>
      </c>
      <c r="M32" s="8">
        <v>19</v>
      </c>
      <c r="N32" s="8">
        <v>2</v>
      </c>
      <c r="O32" s="8">
        <v>6</v>
      </c>
      <c r="P32" s="8"/>
    </row>
    <row r="33" spans="1:16" hidden="1" x14ac:dyDescent="0.25">
      <c r="A33" s="7" t="s">
        <v>19</v>
      </c>
      <c r="B33" s="7" t="s">
        <v>270</v>
      </c>
      <c r="C33" s="8">
        <v>25492</v>
      </c>
      <c r="D33" s="7" t="s">
        <v>52</v>
      </c>
      <c r="E33" s="7" t="s">
        <v>375</v>
      </c>
      <c r="F33" s="7" t="s">
        <v>376</v>
      </c>
      <c r="G33" s="7" t="s">
        <v>18</v>
      </c>
      <c r="H33" s="7" t="s">
        <v>48</v>
      </c>
      <c r="I33" s="7" t="s">
        <v>712</v>
      </c>
      <c r="J33" s="7" t="s">
        <v>712</v>
      </c>
      <c r="K33" s="8">
        <v>6154383</v>
      </c>
      <c r="L33" s="8">
        <v>300452</v>
      </c>
      <c r="M33" s="8">
        <v>19</v>
      </c>
      <c r="N33" s="8">
        <v>3</v>
      </c>
      <c r="O33" s="8">
        <v>15.5</v>
      </c>
      <c r="P33" s="8"/>
    </row>
    <row r="34" spans="1:16" hidden="1" x14ac:dyDescent="0.25">
      <c r="A34" s="7" t="s">
        <v>19</v>
      </c>
      <c r="B34" s="7" t="s">
        <v>270</v>
      </c>
      <c r="C34" s="8">
        <v>25493</v>
      </c>
      <c r="D34" s="7" t="s">
        <v>16</v>
      </c>
      <c r="E34" s="7" t="s">
        <v>46</v>
      </c>
      <c r="F34" s="7" t="s">
        <v>444</v>
      </c>
      <c r="G34" s="7" t="s">
        <v>18</v>
      </c>
      <c r="H34" s="7" t="s">
        <v>48</v>
      </c>
      <c r="I34" s="7" t="s">
        <v>712</v>
      </c>
      <c r="J34" s="7" t="s">
        <v>712</v>
      </c>
      <c r="K34" s="8">
        <v>6116970</v>
      </c>
      <c r="L34" s="8">
        <v>294072</v>
      </c>
      <c r="M34" s="8">
        <v>19</v>
      </c>
      <c r="N34" s="8">
        <v>2</v>
      </c>
      <c r="O34" s="8">
        <v>24</v>
      </c>
      <c r="P34" s="8"/>
    </row>
    <row r="35" spans="1:16" hidden="1" x14ac:dyDescent="0.25">
      <c r="A35" s="7" t="s">
        <v>37</v>
      </c>
      <c r="B35" s="7" t="s">
        <v>270</v>
      </c>
      <c r="C35" s="8">
        <v>25494</v>
      </c>
      <c r="D35" s="7" t="s">
        <v>16</v>
      </c>
      <c r="E35" s="7" t="s">
        <v>46</v>
      </c>
      <c r="F35" s="7" t="s">
        <v>46</v>
      </c>
      <c r="G35" s="7" t="s">
        <v>18</v>
      </c>
      <c r="H35" s="7" t="s">
        <v>48</v>
      </c>
      <c r="I35" s="7" t="s">
        <v>712</v>
      </c>
      <c r="J35" s="7" t="s">
        <v>691</v>
      </c>
      <c r="K35" s="8">
        <v>6111874</v>
      </c>
      <c r="L35" s="8">
        <v>293082</v>
      </c>
      <c r="M35" s="8">
        <v>19</v>
      </c>
      <c r="N35" s="8">
        <v>3</v>
      </c>
      <c r="O35" s="8">
        <v>18</v>
      </c>
      <c r="P35" s="8"/>
    </row>
    <row r="36" spans="1:16" hidden="1" x14ac:dyDescent="0.25">
      <c r="A36" s="7" t="s">
        <v>37</v>
      </c>
      <c r="B36" s="7" t="s">
        <v>270</v>
      </c>
      <c r="C36" s="8">
        <v>25495</v>
      </c>
      <c r="D36" s="7" t="s">
        <v>16</v>
      </c>
      <c r="E36" s="7" t="s">
        <v>46</v>
      </c>
      <c r="F36" s="7" t="s">
        <v>46</v>
      </c>
      <c r="G36" s="7" t="s">
        <v>18</v>
      </c>
      <c r="H36" s="7" t="s">
        <v>48</v>
      </c>
      <c r="I36" s="7" t="s">
        <v>712</v>
      </c>
      <c r="J36" s="7" t="s">
        <v>691</v>
      </c>
      <c r="K36" s="8">
        <v>6111942</v>
      </c>
      <c r="L36" s="8">
        <v>293482</v>
      </c>
      <c r="M36" s="8">
        <v>19</v>
      </c>
      <c r="N36" s="8">
        <v>2</v>
      </c>
      <c r="O36" s="8">
        <v>15</v>
      </c>
      <c r="P36" s="8"/>
    </row>
    <row r="37" spans="1:16" hidden="1" x14ac:dyDescent="0.25">
      <c r="A37" s="7" t="s">
        <v>14</v>
      </c>
      <c r="B37" s="7" t="s">
        <v>415</v>
      </c>
      <c r="C37" s="8">
        <v>25499</v>
      </c>
      <c r="D37" s="7" t="s">
        <v>28</v>
      </c>
      <c r="E37" s="7" t="s">
        <v>56</v>
      </c>
      <c r="F37" s="7" t="s">
        <v>162</v>
      </c>
      <c r="G37" s="7" t="s">
        <v>18</v>
      </c>
      <c r="H37" s="7" t="s">
        <v>689</v>
      </c>
      <c r="I37" s="7" t="s">
        <v>712</v>
      </c>
      <c r="J37" s="7" t="s">
        <v>712</v>
      </c>
      <c r="K37" s="8">
        <v>6258851</v>
      </c>
      <c r="L37" s="8">
        <v>332566</v>
      </c>
      <c r="M37" s="8">
        <v>19</v>
      </c>
      <c r="N37" s="8">
        <v>1</v>
      </c>
      <c r="O37" s="8">
        <v>0.31</v>
      </c>
      <c r="P37" s="8"/>
    </row>
    <row r="38" spans="1:16" hidden="1" x14ac:dyDescent="0.25">
      <c r="A38" s="7" t="s">
        <v>37</v>
      </c>
      <c r="B38" s="7" t="s">
        <v>181</v>
      </c>
      <c r="C38" s="8">
        <v>25500</v>
      </c>
      <c r="D38" s="7" t="s">
        <v>119</v>
      </c>
      <c r="E38" s="7" t="s">
        <v>175</v>
      </c>
      <c r="F38" s="7" t="s">
        <v>184</v>
      </c>
      <c r="G38" s="7" t="s">
        <v>43</v>
      </c>
      <c r="H38" s="7" t="s">
        <v>48</v>
      </c>
      <c r="I38" s="7" t="s">
        <v>91</v>
      </c>
      <c r="J38" s="7" t="s">
        <v>691</v>
      </c>
      <c r="K38" s="8">
        <v>5710433</v>
      </c>
      <c r="L38" s="8">
        <v>735967</v>
      </c>
      <c r="M38" s="8">
        <v>18</v>
      </c>
      <c r="N38" s="8">
        <v>1</v>
      </c>
      <c r="O38" s="8">
        <v>99</v>
      </c>
      <c r="P38" s="8"/>
    </row>
    <row r="39" spans="1:16" hidden="1" x14ac:dyDescent="0.25">
      <c r="A39" s="7" t="s">
        <v>37</v>
      </c>
      <c r="B39" s="7" t="s">
        <v>181</v>
      </c>
      <c r="C39" s="8">
        <v>25501</v>
      </c>
      <c r="D39" s="7" t="s">
        <v>185</v>
      </c>
      <c r="E39" s="7" t="s">
        <v>186</v>
      </c>
      <c r="F39" s="7" t="s">
        <v>187</v>
      </c>
      <c r="G39" s="7" t="s">
        <v>43</v>
      </c>
      <c r="H39" s="7" t="s">
        <v>48</v>
      </c>
      <c r="I39" s="7" t="s">
        <v>183</v>
      </c>
      <c r="J39" s="7" t="s">
        <v>691</v>
      </c>
      <c r="K39" s="8">
        <v>5566164</v>
      </c>
      <c r="L39" s="8">
        <v>709744</v>
      </c>
      <c r="M39" s="8">
        <v>18</v>
      </c>
      <c r="N39" s="8">
        <v>1</v>
      </c>
      <c r="O39" s="8">
        <v>41</v>
      </c>
      <c r="P39" s="8"/>
    </row>
    <row r="40" spans="1:16" hidden="1" x14ac:dyDescent="0.25">
      <c r="A40" s="7" t="s">
        <v>19</v>
      </c>
      <c r="B40" s="7" t="s">
        <v>415</v>
      </c>
      <c r="C40" s="8">
        <v>25508</v>
      </c>
      <c r="D40" s="7" t="s">
        <v>52</v>
      </c>
      <c r="E40" s="7" t="s">
        <v>145</v>
      </c>
      <c r="F40" s="7" t="s">
        <v>145</v>
      </c>
      <c r="G40" s="7" t="s">
        <v>18</v>
      </c>
      <c r="H40" s="7" t="s">
        <v>48</v>
      </c>
      <c r="I40" s="7" t="s">
        <v>712</v>
      </c>
      <c r="J40" s="7" t="s">
        <v>712</v>
      </c>
      <c r="K40" s="8">
        <v>6164108</v>
      </c>
      <c r="L40" s="8">
        <v>326395</v>
      </c>
      <c r="M40" s="8">
        <v>19</v>
      </c>
      <c r="N40" s="8">
        <v>1</v>
      </c>
      <c r="O40" s="8">
        <v>5.97</v>
      </c>
      <c r="P40" s="8"/>
    </row>
    <row r="41" spans="1:16" hidden="1" x14ac:dyDescent="0.25">
      <c r="A41" s="7" t="s">
        <v>37</v>
      </c>
      <c r="B41" s="7" t="s">
        <v>563</v>
      </c>
      <c r="C41" s="8">
        <v>25510</v>
      </c>
      <c r="D41" s="7" t="s">
        <v>119</v>
      </c>
      <c r="E41" s="7" t="s">
        <v>175</v>
      </c>
      <c r="F41" s="7" t="s">
        <v>564</v>
      </c>
      <c r="G41" s="7" t="s">
        <v>43</v>
      </c>
      <c r="H41" s="7" t="s">
        <v>48</v>
      </c>
      <c r="I41" s="7" t="s">
        <v>97</v>
      </c>
      <c r="J41" s="7" t="s">
        <v>98</v>
      </c>
      <c r="K41" s="8">
        <v>5719453</v>
      </c>
      <c r="L41" s="8">
        <v>734599</v>
      </c>
      <c r="M41" s="8">
        <v>18</v>
      </c>
      <c r="N41" s="8">
        <v>1</v>
      </c>
      <c r="O41" s="8">
        <v>41</v>
      </c>
      <c r="P41" s="8"/>
    </row>
    <row r="42" spans="1:16" hidden="1" x14ac:dyDescent="0.25">
      <c r="A42" s="7" t="s">
        <v>37</v>
      </c>
      <c r="B42" s="7" t="s">
        <v>415</v>
      </c>
      <c r="C42" s="8">
        <v>25512</v>
      </c>
      <c r="D42" s="7" t="s">
        <v>16</v>
      </c>
      <c r="E42" s="7" t="s">
        <v>264</v>
      </c>
      <c r="F42" s="7" t="s">
        <v>418</v>
      </c>
      <c r="G42" s="7" t="s">
        <v>18</v>
      </c>
      <c r="H42" s="7" t="s">
        <v>48</v>
      </c>
      <c r="I42" s="7" t="s">
        <v>712</v>
      </c>
      <c r="J42" s="7" t="s">
        <v>691</v>
      </c>
      <c r="K42" s="8">
        <v>6120347</v>
      </c>
      <c r="L42" s="8">
        <v>291058</v>
      </c>
      <c r="M42" s="8">
        <v>19</v>
      </c>
      <c r="N42" s="8">
        <v>1</v>
      </c>
      <c r="O42" s="8">
        <v>3.5</v>
      </c>
      <c r="P42" s="8"/>
    </row>
    <row r="43" spans="1:16" hidden="1" x14ac:dyDescent="0.25">
      <c r="A43" s="7" t="s">
        <v>37</v>
      </c>
      <c r="B43" s="7" t="s">
        <v>415</v>
      </c>
      <c r="C43" s="8">
        <v>25513</v>
      </c>
      <c r="D43" s="7" t="s">
        <v>52</v>
      </c>
      <c r="E43" s="7" t="s">
        <v>53</v>
      </c>
      <c r="F43" s="7" t="s">
        <v>53</v>
      </c>
      <c r="G43" s="7" t="s">
        <v>18</v>
      </c>
      <c r="H43" s="7" t="s">
        <v>48</v>
      </c>
      <c r="I43" s="7" t="s">
        <v>712</v>
      </c>
      <c r="J43" s="7" t="s">
        <v>691</v>
      </c>
      <c r="K43" s="8">
        <v>6157169</v>
      </c>
      <c r="L43" s="8">
        <v>318966</v>
      </c>
      <c r="M43" s="8">
        <v>19</v>
      </c>
      <c r="N43" s="8">
        <v>1</v>
      </c>
      <c r="O43" s="8">
        <v>13</v>
      </c>
      <c r="P43" s="8"/>
    </row>
    <row r="44" spans="1:16" hidden="1" x14ac:dyDescent="0.25">
      <c r="A44" s="7" t="s">
        <v>19</v>
      </c>
      <c r="B44" s="7" t="s">
        <v>415</v>
      </c>
      <c r="C44" s="8">
        <v>25514</v>
      </c>
      <c r="D44" s="7" t="s">
        <v>52</v>
      </c>
      <c r="E44" s="7" t="s">
        <v>53</v>
      </c>
      <c r="F44" s="7" t="s">
        <v>419</v>
      </c>
      <c r="G44" s="7" t="s">
        <v>18</v>
      </c>
      <c r="H44" s="7" t="s">
        <v>48</v>
      </c>
      <c r="I44" s="7" t="s">
        <v>712</v>
      </c>
      <c r="J44" s="7" t="s">
        <v>712</v>
      </c>
      <c r="K44" s="8">
        <v>6153297</v>
      </c>
      <c r="L44" s="8">
        <v>313865</v>
      </c>
      <c r="M44" s="8">
        <v>19</v>
      </c>
      <c r="N44" s="8">
        <v>1</v>
      </c>
      <c r="O44" s="8">
        <v>9</v>
      </c>
      <c r="P44" s="8"/>
    </row>
    <row r="45" spans="1:16" hidden="1" x14ac:dyDescent="0.25">
      <c r="A45" s="7" t="s">
        <v>19</v>
      </c>
      <c r="B45" s="7" t="s">
        <v>415</v>
      </c>
      <c r="C45" s="8">
        <v>25515</v>
      </c>
      <c r="D45" s="7" t="s">
        <v>52</v>
      </c>
      <c r="E45" s="7" t="s">
        <v>53</v>
      </c>
      <c r="F45" s="7" t="s">
        <v>53</v>
      </c>
      <c r="G45" s="7" t="s">
        <v>18</v>
      </c>
      <c r="H45" s="7" t="s">
        <v>48</v>
      </c>
      <c r="I45" s="7" t="s">
        <v>712</v>
      </c>
      <c r="J45" s="7" t="s">
        <v>691</v>
      </c>
      <c r="K45" s="8">
        <v>6152275</v>
      </c>
      <c r="L45" s="8">
        <v>314011</v>
      </c>
      <c r="M45" s="8">
        <v>19</v>
      </c>
      <c r="N45" s="8">
        <v>1</v>
      </c>
      <c r="O45" s="8">
        <v>12.72</v>
      </c>
      <c r="P45" s="8"/>
    </row>
    <row r="46" spans="1:16" hidden="1" x14ac:dyDescent="0.25">
      <c r="A46" s="7" t="s">
        <v>19</v>
      </c>
      <c r="B46" s="7" t="s">
        <v>415</v>
      </c>
      <c r="C46" s="8">
        <v>25517</v>
      </c>
      <c r="D46" s="7" t="s">
        <v>52</v>
      </c>
      <c r="E46" s="7" t="s">
        <v>53</v>
      </c>
      <c r="F46" s="7" t="s">
        <v>419</v>
      </c>
      <c r="G46" s="7" t="s">
        <v>18</v>
      </c>
      <c r="H46" s="7" t="s">
        <v>48</v>
      </c>
      <c r="I46" s="7" t="s">
        <v>712</v>
      </c>
      <c r="J46" s="7" t="s">
        <v>691</v>
      </c>
      <c r="K46" s="8">
        <v>6153367</v>
      </c>
      <c r="L46" s="8">
        <v>313457</v>
      </c>
      <c r="M46" s="8">
        <v>19</v>
      </c>
      <c r="N46" s="8">
        <v>1</v>
      </c>
      <c r="O46" s="8">
        <v>13</v>
      </c>
      <c r="P46" s="8"/>
    </row>
    <row r="47" spans="1:16" hidden="1" x14ac:dyDescent="0.25">
      <c r="A47" s="7" t="s">
        <v>37</v>
      </c>
      <c r="B47" s="7" t="s">
        <v>415</v>
      </c>
      <c r="C47" s="8">
        <v>25520</v>
      </c>
      <c r="D47" s="7" t="s">
        <v>52</v>
      </c>
      <c r="E47" s="7" t="s">
        <v>53</v>
      </c>
      <c r="F47" s="7" t="s">
        <v>420</v>
      </c>
      <c r="G47" s="7" t="s">
        <v>18</v>
      </c>
      <c r="H47" s="7" t="s">
        <v>48</v>
      </c>
      <c r="I47" s="7" t="s">
        <v>712</v>
      </c>
      <c r="J47" s="7" t="s">
        <v>712</v>
      </c>
      <c r="K47" s="8">
        <v>6156808</v>
      </c>
      <c r="L47" s="8">
        <v>319661</v>
      </c>
      <c r="M47" s="8">
        <v>19</v>
      </c>
      <c r="N47" s="8">
        <v>1</v>
      </c>
      <c r="O47" s="8">
        <v>6.06</v>
      </c>
      <c r="P47" s="8"/>
    </row>
    <row r="48" spans="1:16" hidden="1" x14ac:dyDescent="0.25">
      <c r="A48" s="7" t="s">
        <v>37</v>
      </c>
      <c r="B48" s="7" t="s">
        <v>415</v>
      </c>
      <c r="C48" s="8">
        <v>25521</v>
      </c>
      <c r="D48" s="7" t="s">
        <v>16</v>
      </c>
      <c r="E48" s="7" t="s">
        <v>264</v>
      </c>
      <c r="F48" s="7" t="s">
        <v>264</v>
      </c>
      <c r="G48" s="7" t="s">
        <v>18</v>
      </c>
      <c r="H48" s="7" t="s">
        <v>48</v>
      </c>
      <c r="I48" s="7" t="s">
        <v>712</v>
      </c>
      <c r="J48" s="7" t="s">
        <v>712</v>
      </c>
      <c r="K48" s="8">
        <v>6119874</v>
      </c>
      <c r="L48" s="8">
        <v>292104</v>
      </c>
      <c r="M48" s="8">
        <v>19</v>
      </c>
      <c r="N48" s="8">
        <v>1</v>
      </c>
      <c r="O48" s="8">
        <v>4.87</v>
      </c>
      <c r="P48" s="8"/>
    </row>
    <row r="49" spans="1:16" hidden="1" x14ac:dyDescent="0.25">
      <c r="A49" s="7" t="s">
        <v>37</v>
      </c>
      <c r="B49" s="7" t="s">
        <v>415</v>
      </c>
      <c r="C49" s="8">
        <v>25522</v>
      </c>
      <c r="D49" s="7" t="s">
        <v>16</v>
      </c>
      <c r="E49" s="7" t="s">
        <v>264</v>
      </c>
      <c r="F49" s="7" t="s">
        <v>418</v>
      </c>
      <c r="G49" s="7" t="s">
        <v>18</v>
      </c>
      <c r="H49" s="7" t="s">
        <v>48</v>
      </c>
      <c r="I49" s="7" t="s">
        <v>712</v>
      </c>
      <c r="J49" s="7" t="s">
        <v>712</v>
      </c>
      <c r="K49" s="8">
        <v>6119854</v>
      </c>
      <c r="L49" s="8">
        <v>291820</v>
      </c>
      <c r="M49" s="8">
        <v>19</v>
      </c>
      <c r="N49" s="8">
        <v>1</v>
      </c>
      <c r="O49" s="8">
        <v>11</v>
      </c>
      <c r="P49" s="8"/>
    </row>
    <row r="50" spans="1:16" hidden="1" x14ac:dyDescent="0.25">
      <c r="A50" s="7" t="s">
        <v>14</v>
      </c>
      <c r="B50" s="7" t="s">
        <v>270</v>
      </c>
      <c r="C50" s="8">
        <v>25524</v>
      </c>
      <c r="D50" s="7" t="s">
        <v>52</v>
      </c>
      <c r="E50" s="7" t="s">
        <v>139</v>
      </c>
      <c r="F50" s="7" t="s">
        <v>139</v>
      </c>
      <c r="G50" s="7" t="s">
        <v>18</v>
      </c>
      <c r="H50" s="7" t="s">
        <v>689</v>
      </c>
      <c r="I50" s="7" t="s">
        <v>712</v>
      </c>
      <c r="J50" s="7" t="s">
        <v>712</v>
      </c>
      <c r="K50" s="8">
        <v>6224997</v>
      </c>
      <c r="L50" s="8">
        <v>339090</v>
      </c>
      <c r="M50" s="8">
        <v>19</v>
      </c>
      <c r="N50" s="8">
        <v>1</v>
      </c>
      <c r="O50" s="8">
        <v>0.2</v>
      </c>
      <c r="P50" s="8"/>
    </row>
    <row r="51" spans="1:16" hidden="1" x14ac:dyDescent="0.25">
      <c r="A51" s="7" t="s">
        <v>37</v>
      </c>
      <c r="B51" s="7" t="s">
        <v>563</v>
      </c>
      <c r="C51" s="8">
        <v>25525</v>
      </c>
      <c r="D51" s="7" t="s">
        <v>119</v>
      </c>
      <c r="E51" s="7" t="s">
        <v>197</v>
      </c>
      <c r="F51" s="7" t="s">
        <v>565</v>
      </c>
      <c r="G51" s="7" t="s">
        <v>43</v>
      </c>
      <c r="H51" s="7" t="s">
        <v>48</v>
      </c>
      <c r="I51" s="7" t="s">
        <v>97</v>
      </c>
      <c r="J51" s="7" t="s">
        <v>98</v>
      </c>
      <c r="K51" s="8">
        <v>5691129</v>
      </c>
      <c r="L51" s="8">
        <v>708701</v>
      </c>
      <c r="M51" s="8">
        <v>18</v>
      </c>
      <c r="N51" s="8">
        <v>1</v>
      </c>
      <c r="O51" s="8">
        <v>26</v>
      </c>
      <c r="P51" s="8"/>
    </row>
    <row r="52" spans="1:16" hidden="1" x14ac:dyDescent="0.25">
      <c r="A52" s="7" t="s">
        <v>37</v>
      </c>
      <c r="B52" s="7" t="s">
        <v>563</v>
      </c>
      <c r="C52" s="8">
        <v>25526</v>
      </c>
      <c r="D52" s="7" t="s">
        <v>119</v>
      </c>
      <c r="E52" s="7" t="s">
        <v>175</v>
      </c>
      <c r="F52" s="7" t="s">
        <v>184</v>
      </c>
      <c r="G52" s="7" t="s">
        <v>43</v>
      </c>
      <c r="H52" s="7" t="s">
        <v>48</v>
      </c>
      <c r="I52" s="7" t="s">
        <v>97</v>
      </c>
      <c r="J52" s="7" t="s">
        <v>98</v>
      </c>
      <c r="K52" s="8">
        <v>5714386</v>
      </c>
      <c r="L52" s="8">
        <v>730231</v>
      </c>
      <c r="M52" s="8">
        <v>18</v>
      </c>
      <c r="N52" s="8">
        <v>1</v>
      </c>
      <c r="O52" s="8">
        <v>26</v>
      </c>
      <c r="P52" s="8"/>
    </row>
    <row r="53" spans="1:16" hidden="1" x14ac:dyDescent="0.25">
      <c r="A53" s="7" t="s">
        <v>37</v>
      </c>
      <c r="B53" s="7" t="s">
        <v>563</v>
      </c>
      <c r="C53" s="8">
        <v>25527</v>
      </c>
      <c r="D53" s="7" t="s">
        <v>119</v>
      </c>
      <c r="E53" s="7" t="s">
        <v>175</v>
      </c>
      <c r="F53" s="7" t="s">
        <v>184</v>
      </c>
      <c r="G53" s="7" t="s">
        <v>43</v>
      </c>
      <c r="H53" s="7" t="s">
        <v>48</v>
      </c>
      <c r="I53" s="7" t="s">
        <v>97</v>
      </c>
      <c r="J53" s="7" t="s">
        <v>98</v>
      </c>
      <c r="K53" s="8">
        <v>5712880</v>
      </c>
      <c r="L53" s="8">
        <v>729625</v>
      </c>
      <c r="M53" s="8">
        <v>18</v>
      </c>
      <c r="N53" s="8">
        <v>1</v>
      </c>
      <c r="O53" s="8">
        <v>26</v>
      </c>
      <c r="P53" s="8"/>
    </row>
    <row r="54" spans="1:16" hidden="1" x14ac:dyDescent="0.25">
      <c r="A54" s="7" t="s">
        <v>19</v>
      </c>
      <c r="B54" s="7" t="s">
        <v>415</v>
      </c>
      <c r="C54" s="8">
        <v>25530</v>
      </c>
      <c r="D54" s="7" t="s">
        <v>52</v>
      </c>
      <c r="E54" s="7" t="s">
        <v>53</v>
      </c>
      <c r="F54" s="7" t="s">
        <v>53</v>
      </c>
      <c r="G54" s="7" t="s">
        <v>18</v>
      </c>
      <c r="H54" s="7" t="s">
        <v>48</v>
      </c>
      <c r="I54" s="7" t="s">
        <v>712</v>
      </c>
      <c r="J54" s="7" t="s">
        <v>691</v>
      </c>
      <c r="K54" s="8">
        <v>6152143</v>
      </c>
      <c r="L54" s="8">
        <v>314199</v>
      </c>
      <c r="M54" s="8">
        <v>19</v>
      </c>
      <c r="N54" s="8">
        <v>1</v>
      </c>
      <c r="O54" s="8">
        <v>7.37</v>
      </c>
      <c r="P54" s="8"/>
    </row>
    <row r="55" spans="1:16" hidden="1" x14ac:dyDescent="0.25">
      <c r="A55" s="7" t="s">
        <v>37</v>
      </c>
      <c r="B55" s="7" t="s">
        <v>415</v>
      </c>
      <c r="C55" s="8">
        <v>25531</v>
      </c>
      <c r="D55" s="7" t="s">
        <v>16</v>
      </c>
      <c r="E55" s="7" t="s">
        <v>264</v>
      </c>
      <c r="F55" s="7" t="s">
        <v>264</v>
      </c>
      <c r="G55" s="7" t="s">
        <v>18</v>
      </c>
      <c r="H55" s="7" t="s">
        <v>48</v>
      </c>
      <c r="I55" s="7" t="s">
        <v>712</v>
      </c>
      <c r="J55" s="7" t="s">
        <v>691</v>
      </c>
      <c r="K55" s="8">
        <v>6121103</v>
      </c>
      <c r="L55" s="8">
        <v>293063</v>
      </c>
      <c r="M55" s="8">
        <v>19</v>
      </c>
      <c r="N55" s="8">
        <v>2</v>
      </c>
      <c r="O55" s="8">
        <v>19.309999999999999</v>
      </c>
      <c r="P55" s="8"/>
    </row>
    <row r="56" spans="1:16" hidden="1" x14ac:dyDescent="0.25">
      <c r="A56" s="7" t="s">
        <v>37</v>
      </c>
      <c r="B56" s="7" t="s">
        <v>415</v>
      </c>
      <c r="C56" s="8">
        <v>25533</v>
      </c>
      <c r="D56" s="7" t="s">
        <v>16</v>
      </c>
      <c r="E56" s="7" t="s">
        <v>264</v>
      </c>
      <c r="F56" s="7" t="s">
        <v>264</v>
      </c>
      <c r="G56" s="7" t="s">
        <v>18</v>
      </c>
      <c r="H56" s="7" t="s">
        <v>48</v>
      </c>
      <c r="I56" s="7" t="s">
        <v>712</v>
      </c>
      <c r="J56" s="7" t="s">
        <v>712</v>
      </c>
      <c r="K56" s="8">
        <v>6121806</v>
      </c>
      <c r="L56" s="8">
        <v>291796</v>
      </c>
      <c r="M56" s="8">
        <v>19</v>
      </c>
      <c r="N56" s="8">
        <v>1</v>
      </c>
      <c r="O56" s="8">
        <v>8.6999999999999993</v>
      </c>
      <c r="P56" s="8"/>
    </row>
    <row r="57" spans="1:16" hidden="1" x14ac:dyDescent="0.25">
      <c r="A57" s="7" t="s">
        <v>37</v>
      </c>
      <c r="B57" s="7" t="s">
        <v>415</v>
      </c>
      <c r="C57" s="8">
        <v>25535</v>
      </c>
      <c r="D57" s="7" t="s">
        <v>16</v>
      </c>
      <c r="E57" s="7" t="s">
        <v>264</v>
      </c>
      <c r="F57" s="7" t="s">
        <v>264</v>
      </c>
      <c r="G57" s="7" t="s">
        <v>18</v>
      </c>
      <c r="H57" s="7" t="s">
        <v>48</v>
      </c>
      <c r="I57" s="7" t="s">
        <v>712</v>
      </c>
      <c r="J57" s="7" t="s">
        <v>691</v>
      </c>
      <c r="K57" s="8">
        <v>6119650</v>
      </c>
      <c r="L57" s="8">
        <v>290745</v>
      </c>
      <c r="M57" s="8">
        <v>19</v>
      </c>
      <c r="N57" s="8">
        <v>1</v>
      </c>
      <c r="O57" s="8">
        <v>7.68</v>
      </c>
      <c r="P57" s="8"/>
    </row>
    <row r="58" spans="1:16" hidden="1" x14ac:dyDescent="0.25">
      <c r="A58" s="7" t="s">
        <v>37</v>
      </c>
      <c r="B58" s="7" t="s">
        <v>415</v>
      </c>
      <c r="C58" s="8">
        <v>25539</v>
      </c>
      <c r="D58" s="7" t="s">
        <v>52</v>
      </c>
      <c r="E58" s="7" t="s">
        <v>81</v>
      </c>
      <c r="F58" s="7" t="s">
        <v>81</v>
      </c>
      <c r="G58" s="7" t="s">
        <v>18</v>
      </c>
      <c r="H58" s="7" t="s">
        <v>48</v>
      </c>
      <c r="I58" s="7" t="s">
        <v>712</v>
      </c>
      <c r="J58" s="7" t="s">
        <v>691</v>
      </c>
      <c r="K58" s="8">
        <v>6230930</v>
      </c>
      <c r="L58" s="8">
        <v>344272</v>
      </c>
      <c r="M58" s="8">
        <v>19</v>
      </c>
      <c r="N58" s="8">
        <v>1</v>
      </c>
      <c r="O58" s="8">
        <v>6</v>
      </c>
      <c r="P58" s="8"/>
    </row>
    <row r="59" spans="1:16" hidden="1" x14ac:dyDescent="0.25">
      <c r="A59" s="7" t="s">
        <v>37</v>
      </c>
      <c r="B59" s="7" t="s">
        <v>270</v>
      </c>
      <c r="C59" s="8">
        <v>25541</v>
      </c>
      <c r="D59" s="7" t="s">
        <v>52</v>
      </c>
      <c r="E59" s="7" t="s">
        <v>145</v>
      </c>
      <c r="F59" s="7" t="s">
        <v>248</v>
      </c>
      <c r="G59" s="7" t="s">
        <v>18</v>
      </c>
      <c r="H59" s="7" t="s">
        <v>48</v>
      </c>
      <c r="I59" s="7" t="s">
        <v>712</v>
      </c>
      <c r="J59" s="7" t="s">
        <v>712</v>
      </c>
      <c r="K59" s="8">
        <v>6166943</v>
      </c>
      <c r="L59" s="8">
        <v>326976</v>
      </c>
      <c r="M59" s="8">
        <v>19</v>
      </c>
      <c r="N59" s="8">
        <v>7</v>
      </c>
      <c r="O59" s="8">
        <v>42</v>
      </c>
      <c r="P59" s="8"/>
    </row>
    <row r="60" spans="1:16" hidden="1" x14ac:dyDescent="0.25">
      <c r="A60" s="7" t="s">
        <v>37</v>
      </c>
      <c r="B60" s="7" t="s">
        <v>92</v>
      </c>
      <c r="C60" s="8">
        <v>25542</v>
      </c>
      <c r="D60" s="7" t="s">
        <v>34</v>
      </c>
      <c r="E60" s="7" t="s">
        <v>103</v>
      </c>
      <c r="F60" s="7" t="s">
        <v>104</v>
      </c>
      <c r="G60" s="7" t="s">
        <v>43</v>
      </c>
      <c r="H60" s="7" t="s">
        <v>48</v>
      </c>
      <c r="I60" s="7" t="s">
        <v>712</v>
      </c>
      <c r="J60" s="7" t="s">
        <v>712</v>
      </c>
      <c r="K60" s="8">
        <v>5910156</v>
      </c>
      <c r="L60" s="8">
        <v>742696</v>
      </c>
      <c r="M60" s="8">
        <v>18</v>
      </c>
      <c r="N60" s="8">
        <v>2</v>
      </c>
      <c r="O60" s="8">
        <v>25</v>
      </c>
      <c r="P60" s="8"/>
    </row>
    <row r="61" spans="1:16" hidden="1" x14ac:dyDescent="0.25">
      <c r="A61" s="7" t="s">
        <v>19</v>
      </c>
      <c r="B61" s="7" t="s">
        <v>415</v>
      </c>
      <c r="C61" s="8">
        <v>25545</v>
      </c>
      <c r="D61" s="7" t="s">
        <v>52</v>
      </c>
      <c r="E61" s="7" t="s">
        <v>53</v>
      </c>
      <c r="F61" s="7" t="s">
        <v>419</v>
      </c>
      <c r="G61" s="7" t="s">
        <v>18</v>
      </c>
      <c r="H61" s="7" t="s">
        <v>48</v>
      </c>
      <c r="I61" s="7" t="s">
        <v>712</v>
      </c>
      <c r="J61" s="7" t="s">
        <v>712</v>
      </c>
      <c r="K61" s="8">
        <v>6160293</v>
      </c>
      <c r="L61" s="8">
        <v>319421</v>
      </c>
      <c r="M61" s="8">
        <v>19</v>
      </c>
      <c r="N61" s="8">
        <v>1</v>
      </c>
      <c r="O61" s="8">
        <v>2.6</v>
      </c>
      <c r="P61" s="8"/>
    </row>
    <row r="62" spans="1:16" hidden="1" x14ac:dyDescent="0.25">
      <c r="A62" s="7" t="s">
        <v>19</v>
      </c>
      <c r="B62" s="7" t="s">
        <v>415</v>
      </c>
      <c r="C62" s="8">
        <v>25546</v>
      </c>
      <c r="D62" s="7" t="s">
        <v>52</v>
      </c>
      <c r="E62" s="7" t="s">
        <v>53</v>
      </c>
      <c r="F62" s="7" t="s">
        <v>419</v>
      </c>
      <c r="G62" s="7" t="s">
        <v>18</v>
      </c>
      <c r="H62" s="7" t="s">
        <v>48</v>
      </c>
      <c r="I62" s="7" t="s">
        <v>712</v>
      </c>
      <c r="J62" s="7" t="s">
        <v>712</v>
      </c>
      <c r="K62" s="8">
        <v>6160293</v>
      </c>
      <c r="L62" s="8">
        <v>319421</v>
      </c>
      <c r="M62" s="8">
        <v>19</v>
      </c>
      <c r="N62" s="8">
        <v>1</v>
      </c>
      <c r="O62" s="8">
        <v>7.74</v>
      </c>
      <c r="P62" s="8"/>
    </row>
    <row r="63" spans="1:16" hidden="1" x14ac:dyDescent="0.25">
      <c r="A63" s="7" t="s">
        <v>37</v>
      </c>
      <c r="B63" s="7" t="s">
        <v>181</v>
      </c>
      <c r="C63" s="8">
        <v>25553</v>
      </c>
      <c r="D63" s="7" t="s">
        <v>34</v>
      </c>
      <c r="E63" s="7" t="s">
        <v>113</v>
      </c>
      <c r="F63" s="7" t="s">
        <v>188</v>
      </c>
      <c r="G63" s="7" t="s">
        <v>43</v>
      </c>
      <c r="H63" s="7" t="s">
        <v>48</v>
      </c>
      <c r="I63" s="7" t="s">
        <v>691</v>
      </c>
      <c r="J63" s="7" t="s">
        <v>183</v>
      </c>
      <c r="K63" s="8">
        <v>5861226</v>
      </c>
      <c r="L63" s="8">
        <v>761380</v>
      </c>
      <c r="M63" s="8">
        <v>18</v>
      </c>
      <c r="N63" s="8">
        <v>1</v>
      </c>
      <c r="O63" s="8">
        <v>30</v>
      </c>
      <c r="P63" s="8"/>
    </row>
    <row r="64" spans="1:16" hidden="1" x14ac:dyDescent="0.25">
      <c r="A64" s="7" t="s">
        <v>37</v>
      </c>
      <c r="B64" s="7" t="s">
        <v>181</v>
      </c>
      <c r="C64" s="8">
        <v>25554</v>
      </c>
      <c r="D64" s="7" t="s">
        <v>34</v>
      </c>
      <c r="E64" s="7" t="s">
        <v>35</v>
      </c>
      <c r="F64" s="7" t="s">
        <v>189</v>
      </c>
      <c r="G64" s="7" t="s">
        <v>43</v>
      </c>
      <c r="H64" s="7" t="s">
        <v>48</v>
      </c>
      <c r="I64" s="7" t="s">
        <v>691</v>
      </c>
      <c r="J64" s="7" t="s">
        <v>183</v>
      </c>
      <c r="K64" s="8">
        <v>5864683</v>
      </c>
      <c r="L64" s="8">
        <v>747288</v>
      </c>
      <c r="M64" s="8">
        <v>18</v>
      </c>
      <c r="N64" s="8">
        <v>1</v>
      </c>
      <c r="O64" s="8">
        <v>55</v>
      </c>
      <c r="P64" s="8"/>
    </row>
    <row r="65" spans="1:16" hidden="1" x14ac:dyDescent="0.25">
      <c r="A65" s="7" t="s">
        <v>37</v>
      </c>
      <c r="B65" s="7" t="s">
        <v>181</v>
      </c>
      <c r="C65" s="8">
        <v>25555</v>
      </c>
      <c r="D65" s="7" t="s">
        <v>34</v>
      </c>
      <c r="E65" s="7" t="s">
        <v>35</v>
      </c>
      <c r="F65" s="7" t="s">
        <v>69</v>
      </c>
      <c r="G65" s="7" t="s">
        <v>43</v>
      </c>
      <c r="H65" s="7" t="s">
        <v>48</v>
      </c>
      <c r="I65" s="7" t="s">
        <v>691</v>
      </c>
      <c r="J65" s="7" t="s">
        <v>183</v>
      </c>
      <c r="K65" s="8">
        <v>5844368</v>
      </c>
      <c r="L65" s="8">
        <v>730857</v>
      </c>
      <c r="M65" s="8">
        <v>18</v>
      </c>
      <c r="N65" s="8">
        <v>1</v>
      </c>
      <c r="O65" s="8">
        <v>17</v>
      </c>
      <c r="P65" s="8"/>
    </row>
    <row r="66" spans="1:16" hidden="1" x14ac:dyDescent="0.25">
      <c r="A66" s="7" t="s">
        <v>37</v>
      </c>
      <c r="B66" s="7" t="s">
        <v>181</v>
      </c>
      <c r="C66" s="8">
        <v>25556</v>
      </c>
      <c r="D66" s="7" t="s">
        <v>34</v>
      </c>
      <c r="E66" s="7" t="s">
        <v>190</v>
      </c>
      <c r="F66" s="7" t="s">
        <v>191</v>
      </c>
      <c r="G66" s="7" t="s">
        <v>43</v>
      </c>
      <c r="H66" s="7" t="s">
        <v>48</v>
      </c>
      <c r="I66" s="7" t="s">
        <v>183</v>
      </c>
      <c r="J66" s="7" t="s">
        <v>691</v>
      </c>
      <c r="K66" s="8">
        <v>5830070</v>
      </c>
      <c r="L66" s="8">
        <v>709700</v>
      </c>
      <c r="M66" s="8">
        <v>18</v>
      </c>
      <c r="N66" s="8">
        <v>2</v>
      </c>
      <c r="O66" s="8">
        <v>32</v>
      </c>
      <c r="P66" s="8"/>
    </row>
    <row r="67" spans="1:16" hidden="1" x14ac:dyDescent="0.25">
      <c r="A67" s="7" t="s">
        <v>37</v>
      </c>
      <c r="B67" s="7" t="s">
        <v>181</v>
      </c>
      <c r="C67" s="8">
        <v>25557</v>
      </c>
      <c r="D67" s="7" t="s">
        <v>34</v>
      </c>
      <c r="E67" s="7" t="s">
        <v>192</v>
      </c>
      <c r="F67" s="7" t="s">
        <v>193</v>
      </c>
      <c r="G67" s="7" t="s">
        <v>43</v>
      </c>
      <c r="H67" s="7" t="s">
        <v>48</v>
      </c>
      <c r="I67" s="7" t="s">
        <v>183</v>
      </c>
      <c r="J67" s="7" t="s">
        <v>691</v>
      </c>
      <c r="K67" s="8">
        <v>5825636</v>
      </c>
      <c r="L67" s="8">
        <v>741215</v>
      </c>
      <c r="M67" s="8">
        <v>18</v>
      </c>
      <c r="N67" s="8">
        <v>2</v>
      </c>
      <c r="O67" s="8">
        <v>35.1</v>
      </c>
      <c r="P67" s="8"/>
    </row>
    <row r="68" spans="1:16" hidden="1" x14ac:dyDescent="0.25">
      <c r="A68" s="7" t="s">
        <v>37</v>
      </c>
      <c r="B68" s="7" t="s">
        <v>181</v>
      </c>
      <c r="C68" s="8">
        <v>25558</v>
      </c>
      <c r="D68" s="7" t="s">
        <v>34</v>
      </c>
      <c r="E68" s="7" t="s">
        <v>113</v>
      </c>
      <c r="F68" s="7" t="s">
        <v>113</v>
      </c>
      <c r="G68" s="7" t="s">
        <v>43</v>
      </c>
      <c r="H68" s="7" t="s">
        <v>48</v>
      </c>
      <c r="I68" s="7" t="s">
        <v>691</v>
      </c>
      <c r="J68" s="7" t="s">
        <v>183</v>
      </c>
      <c r="K68" s="8">
        <v>5848161</v>
      </c>
      <c r="L68" s="8">
        <v>757417</v>
      </c>
      <c r="M68" s="8">
        <v>18</v>
      </c>
      <c r="N68" s="8">
        <v>2</v>
      </c>
      <c r="O68" s="8">
        <v>70</v>
      </c>
      <c r="P68" s="8"/>
    </row>
    <row r="69" spans="1:16" hidden="1" x14ac:dyDescent="0.25">
      <c r="A69" s="7" t="s">
        <v>37</v>
      </c>
      <c r="B69" s="7" t="s">
        <v>92</v>
      </c>
      <c r="C69" s="8">
        <v>25559</v>
      </c>
      <c r="D69" s="7" t="s">
        <v>34</v>
      </c>
      <c r="E69" s="7" t="s">
        <v>93</v>
      </c>
      <c r="F69" s="7" t="s">
        <v>105</v>
      </c>
      <c r="G69" s="7" t="s">
        <v>43</v>
      </c>
      <c r="H69" s="7" t="s">
        <v>48</v>
      </c>
      <c r="I69" s="7" t="s">
        <v>712</v>
      </c>
      <c r="J69" s="7" t="s">
        <v>712</v>
      </c>
      <c r="K69" s="8">
        <v>5936605</v>
      </c>
      <c r="L69" s="8">
        <v>243079</v>
      </c>
      <c r="M69" s="8">
        <v>19</v>
      </c>
      <c r="N69" s="8">
        <v>3</v>
      </c>
      <c r="O69" s="8">
        <v>23</v>
      </c>
      <c r="P69" s="8"/>
    </row>
    <row r="70" spans="1:16" hidden="1" x14ac:dyDescent="0.25">
      <c r="A70" s="7" t="s">
        <v>37</v>
      </c>
      <c r="B70" s="7" t="s">
        <v>181</v>
      </c>
      <c r="C70" s="8">
        <v>25560</v>
      </c>
      <c r="D70" s="7" t="s">
        <v>34</v>
      </c>
      <c r="E70" s="7" t="s">
        <v>35</v>
      </c>
      <c r="F70" s="7" t="s">
        <v>194</v>
      </c>
      <c r="G70" s="7" t="s">
        <v>43</v>
      </c>
      <c r="H70" s="7" t="s">
        <v>48</v>
      </c>
      <c r="I70" s="7" t="s">
        <v>691</v>
      </c>
      <c r="J70" s="7" t="s">
        <v>183</v>
      </c>
      <c r="K70" s="8">
        <v>5840603</v>
      </c>
      <c r="L70" s="8">
        <v>742412</v>
      </c>
      <c r="M70" s="8">
        <v>18</v>
      </c>
      <c r="N70" s="8">
        <v>2</v>
      </c>
      <c r="O70" s="8">
        <v>29</v>
      </c>
      <c r="P70" s="8"/>
    </row>
    <row r="71" spans="1:16" hidden="1" x14ac:dyDescent="0.25">
      <c r="A71" s="7" t="s">
        <v>37</v>
      </c>
      <c r="B71" s="7" t="s">
        <v>181</v>
      </c>
      <c r="C71" s="8">
        <v>25561</v>
      </c>
      <c r="D71" s="7" t="s">
        <v>34</v>
      </c>
      <c r="E71" s="7" t="s">
        <v>35</v>
      </c>
      <c r="F71" s="7" t="s">
        <v>195</v>
      </c>
      <c r="G71" s="7" t="s">
        <v>43</v>
      </c>
      <c r="H71" s="7" t="s">
        <v>48</v>
      </c>
      <c r="I71" s="7" t="s">
        <v>691</v>
      </c>
      <c r="J71" s="7" t="s">
        <v>183</v>
      </c>
      <c r="K71" s="8">
        <v>5840459</v>
      </c>
      <c r="L71" s="8">
        <v>744102</v>
      </c>
      <c r="M71" s="8">
        <v>18</v>
      </c>
      <c r="N71" s="8">
        <v>1</v>
      </c>
      <c r="O71" s="8">
        <v>15</v>
      </c>
      <c r="P71" s="8"/>
    </row>
    <row r="72" spans="1:16" hidden="1" x14ac:dyDescent="0.25">
      <c r="A72" s="7" t="s">
        <v>37</v>
      </c>
      <c r="B72" s="7" t="s">
        <v>415</v>
      </c>
      <c r="C72" s="8">
        <v>25562</v>
      </c>
      <c r="D72" s="7" t="s">
        <v>16</v>
      </c>
      <c r="E72" s="7" t="s">
        <v>264</v>
      </c>
      <c r="F72" s="7" t="s">
        <v>264</v>
      </c>
      <c r="G72" s="7" t="s">
        <v>18</v>
      </c>
      <c r="H72" s="7" t="s">
        <v>48</v>
      </c>
      <c r="I72" s="7" t="s">
        <v>712</v>
      </c>
      <c r="J72" s="7" t="s">
        <v>712</v>
      </c>
      <c r="K72" s="8">
        <v>6121510</v>
      </c>
      <c r="L72" s="8">
        <v>292735</v>
      </c>
      <c r="M72" s="8">
        <v>19</v>
      </c>
      <c r="N72" s="8">
        <v>2</v>
      </c>
      <c r="O72" s="8">
        <v>14.93</v>
      </c>
      <c r="P72" s="8"/>
    </row>
    <row r="73" spans="1:16" hidden="1" x14ac:dyDescent="0.25">
      <c r="A73" s="7" t="s">
        <v>37</v>
      </c>
      <c r="B73" s="7" t="s">
        <v>181</v>
      </c>
      <c r="C73" s="8">
        <v>25563</v>
      </c>
      <c r="D73" s="7" t="s">
        <v>34</v>
      </c>
      <c r="E73" s="7" t="s">
        <v>35</v>
      </c>
      <c r="F73" s="7" t="s">
        <v>100</v>
      </c>
      <c r="G73" s="7" t="s">
        <v>43</v>
      </c>
      <c r="H73" s="7" t="s">
        <v>48</v>
      </c>
      <c r="I73" s="7" t="s">
        <v>691</v>
      </c>
      <c r="J73" s="7" t="s">
        <v>183</v>
      </c>
      <c r="K73" s="8">
        <v>5859482</v>
      </c>
      <c r="L73" s="8">
        <v>730099</v>
      </c>
      <c r="M73" s="8">
        <v>18</v>
      </c>
      <c r="N73" s="8">
        <v>1</v>
      </c>
      <c r="O73" s="8">
        <v>13</v>
      </c>
      <c r="P73" s="8"/>
    </row>
    <row r="74" spans="1:16" hidden="1" x14ac:dyDescent="0.25">
      <c r="A74" s="7" t="s">
        <v>37</v>
      </c>
      <c r="B74" s="7" t="s">
        <v>415</v>
      </c>
      <c r="C74" s="8">
        <v>25564</v>
      </c>
      <c r="D74" s="7" t="s">
        <v>16</v>
      </c>
      <c r="E74" s="7" t="s">
        <v>46</v>
      </c>
      <c r="F74" s="7" t="s">
        <v>46</v>
      </c>
      <c r="G74" s="7" t="s">
        <v>18</v>
      </c>
      <c r="H74" s="7" t="s">
        <v>48</v>
      </c>
      <c r="I74" s="7" t="s">
        <v>712</v>
      </c>
      <c r="J74" s="7" t="s">
        <v>712</v>
      </c>
      <c r="K74" s="8">
        <v>6111202</v>
      </c>
      <c r="L74" s="8">
        <v>288760</v>
      </c>
      <c r="M74" s="8">
        <v>19</v>
      </c>
      <c r="N74" s="8">
        <v>1</v>
      </c>
      <c r="O74" s="8">
        <v>3.5</v>
      </c>
      <c r="P74" s="8"/>
    </row>
    <row r="75" spans="1:16" hidden="1" x14ac:dyDescent="0.25">
      <c r="A75" s="7" t="s">
        <v>37</v>
      </c>
      <c r="B75" s="7" t="s">
        <v>415</v>
      </c>
      <c r="C75" s="8">
        <v>25565</v>
      </c>
      <c r="D75" s="7" t="s">
        <v>16</v>
      </c>
      <c r="E75" s="7" t="s">
        <v>264</v>
      </c>
      <c r="F75" s="7" t="s">
        <v>264</v>
      </c>
      <c r="G75" s="7" t="s">
        <v>18</v>
      </c>
      <c r="H75" s="7" t="s">
        <v>48</v>
      </c>
      <c r="I75" s="7" t="s">
        <v>712</v>
      </c>
      <c r="J75" s="7" t="s">
        <v>691</v>
      </c>
      <c r="K75" s="8">
        <v>6120898</v>
      </c>
      <c r="L75" s="8">
        <v>292224</v>
      </c>
      <c r="M75" s="8">
        <v>19</v>
      </c>
      <c r="N75" s="8">
        <v>1</v>
      </c>
      <c r="O75" s="8">
        <v>8.07</v>
      </c>
      <c r="P75" s="8"/>
    </row>
    <row r="76" spans="1:16" hidden="1" x14ac:dyDescent="0.25">
      <c r="A76" s="7" t="s">
        <v>37</v>
      </c>
      <c r="B76" s="7" t="s">
        <v>415</v>
      </c>
      <c r="C76" s="8">
        <v>25566</v>
      </c>
      <c r="D76" s="7" t="s">
        <v>52</v>
      </c>
      <c r="E76" s="7" t="s">
        <v>53</v>
      </c>
      <c r="F76" s="7" t="s">
        <v>421</v>
      </c>
      <c r="G76" s="7" t="s">
        <v>18</v>
      </c>
      <c r="H76" s="7" t="s">
        <v>48</v>
      </c>
      <c r="I76" s="7" t="s">
        <v>712</v>
      </c>
      <c r="J76" s="7" t="s">
        <v>712</v>
      </c>
      <c r="K76" s="8">
        <v>6154290</v>
      </c>
      <c r="L76" s="8">
        <v>320321</v>
      </c>
      <c r="M76" s="8">
        <v>19</v>
      </c>
      <c r="N76" s="8">
        <v>1</v>
      </c>
      <c r="O76" s="8">
        <v>6.85</v>
      </c>
      <c r="P76" s="8"/>
    </row>
    <row r="77" spans="1:16" hidden="1" x14ac:dyDescent="0.25">
      <c r="A77" s="7" t="s">
        <v>37</v>
      </c>
      <c r="B77" s="7" t="s">
        <v>415</v>
      </c>
      <c r="C77" s="8">
        <v>25567</v>
      </c>
      <c r="D77" s="7" t="s">
        <v>52</v>
      </c>
      <c r="E77" s="7" t="s">
        <v>53</v>
      </c>
      <c r="F77" s="7" t="s">
        <v>421</v>
      </c>
      <c r="G77" s="7" t="s">
        <v>18</v>
      </c>
      <c r="H77" s="7" t="s">
        <v>48</v>
      </c>
      <c r="I77" s="7" t="s">
        <v>712</v>
      </c>
      <c r="J77" s="7" t="s">
        <v>712</v>
      </c>
      <c r="K77" s="8">
        <v>6154475</v>
      </c>
      <c r="L77" s="8">
        <v>320035</v>
      </c>
      <c r="M77" s="8">
        <v>19</v>
      </c>
      <c r="N77" s="8">
        <v>1</v>
      </c>
      <c r="O77" s="8">
        <v>3.4</v>
      </c>
      <c r="P77" s="8"/>
    </row>
    <row r="78" spans="1:16" hidden="1" x14ac:dyDescent="0.25">
      <c r="A78" s="7" t="s">
        <v>37</v>
      </c>
      <c r="B78" s="7" t="s">
        <v>415</v>
      </c>
      <c r="C78" s="8">
        <v>25569</v>
      </c>
      <c r="D78" s="7" t="s">
        <v>52</v>
      </c>
      <c r="E78" s="7" t="s">
        <v>53</v>
      </c>
      <c r="F78" s="7" t="s">
        <v>421</v>
      </c>
      <c r="G78" s="7" t="s">
        <v>18</v>
      </c>
      <c r="H78" s="7" t="s">
        <v>48</v>
      </c>
      <c r="I78" s="7" t="s">
        <v>712</v>
      </c>
      <c r="J78" s="7" t="s">
        <v>712</v>
      </c>
      <c r="K78" s="8">
        <v>6153686</v>
      </c>
      <c r="L78" s="8">
        <v>320249</v>
      </c>
      <c r="M78" s="8">
        <v>19</v>
      </c>
      <c r="N78" s="8">
        <v>1</v>
      </c>
      <c r="O78" s="8">
        <v>12</v>
      </c>
      <c r="P78" s="8"/>
    </row>
    <row r="79" spans="1:16" hidden="1" x14ac:dyDescent="0.25">
      <c r="A79" s="7" t="s">
        <v>37</v>
      </c>
      <c r="B79" s="7" t="s">
        <v>415</v>
      </c>
      <c r="C79" s="8">
        <v>25570</v>
      </c>
      <c r="D79" s="7" t="s">
        <v>52</v>
      </c>
      <c r="E79" s="7" t="s">
        <v>53</v>
      </c>
      <c r="F79" s="7" t="s">
        <v>421</v>
      </c>
      <c r="G79" s="7" t="s">
        <v>18</v>
      </c>
      <c r="H79" s="7" t="s">
        <v>48</v>
      </c>
      <c r="I79" s="7" t="s">
        <v>712</v>
      </c>
      <c r="J79" s="7" t="s">
        <v>712</v>
      </c>
      <c r="K79" s="8">
        <v>6153985</v>
      </c>
      <c r="L79" s="8">
        <v>320153</v>
      </c>
      <c r="M79" s="8">
        <v>19</v>
      </c>
      <c r="N79" s="8">
        <v>1</v>
      </c>
      <c r="O79" s="8">
        <v>12.17</v>
      </c>
      <c r="P79" s="8"/>
    </row>
    <row r="80" spans="1:16" hidden="1" x14ac:dyDescent="0.25">
      <c r="A80" s="7" t="s">
        <v>37</v>
      </c>
      <c r="B80" s="7" t="s">
        <v>415</v>
      </c>
      <c r="C80" s="8">
        <v>25572</v>
      </c>
      <c r="D80" s="7" t="s">
        <v>52</v>
      </c>
      <c r="E80" s="7" t="s">
        <v>53</v>
      </c>
      <c r="F80" s="7" t="s">
        <v>421</v>
      </c>
      <c r="G80" s="7" t="s">
        <v>18</v>
      </c>
      <c r="H80" s="7" t="s">
        <v>48</v>
      </c>
      <c r="I80" s="7" t="s">
        <v>712</v>
      </c>
      <c r="J80" s="7" t="s">
        <v>712</v>
      </c>
      <c r="K80" s="8">
        <v>6154205</v>
      </c>
      <c r="L80" s="8">
        <v>320576</v>
      </c>
      <c r="M80" s="8">
        <v>19</v>
      </c>
      <c r="N80" s="8">
        <v>1</v>
      </c>
      <c r="O80" s="8">
        <v>3.19</v>
      </c>
      <c r="P80" s="8"/>
    </row>
    <row r="81" spans="1:16" hidden="1" x14ac:dyDescent="0.25">
      <c r="A81" s="7" t="s">
        <v>14</v>
      </c>
      <c r="B81" s="7" t="s">
        <v>270</v>
      </c>
      <c r="C81" s="8">
        <v>25574</v>
      </c>
      <c r="D81" s="7" t="s">
        <v>52</v>
      </c>
      <c r="E81" s="7" t="s">
        <v>141</v>
      </c>
      <c r="F81" s="7" t="s">
        <v>579</v>
      </c>
      <c r="G81" s="7" t="s">
        <v>43</v>
      </c>
      <c r="H81" s="7" t="s">
        <v>689</v>
      </c>
      <c r="I81" s="7" t="s">
        <v>712</v>
      </c>
      <c r="J81" s="7" t="s">
        <v>712</v>
      </c>
      <c r="K81" s="8">
        <v>6216328</v>
      </c>
      <c r="L81" s="8">
        <v>335590</v>
      </c>
      <c r="M81" s="8">
        <v>19</v>
      </c>
      <c r="N81" s="8">
        <v>1</v>
      </c>
      <c r="O81" s="8">
        <v>0.3</v>
      </c>
      <c r="P81" s="8"/>
    </row>
    <row r="82" spans="1:16" hidden="1" x14ac:dyDescent="0.25">
      <c r="A82" s="7" t="s">
        <v>37</v>
      </c>
      <c r="B82" s="7" t="s">
        <v>563</v>
      </c>
      <c r="C82" s="8">
        <v>25575</v>
      </c>
      <c r="D82" s="7" t="s">
        <v>119</v>
      </c>
      <c r="E82" s="7" t="s">
        <v>123</v>
      </c>
      <c r="F82" s="7" t="s">
        <v>566</v>
      </c>
      <c r="G82" s="7" t="s">
        <v>43</v>
      </c>
      <c r="H82" s="7" t="s">
        <v>48</v>
      </c>
      <c r="I82" s="7" t="s">
        <v>97</v>
      </c>
      <c r="J82" s="7" t="s">
        <v>98</v>
      </c>
      <c r="K82" s="8">
        <v>5819408</v>
      </c>
      <c r="L82" s="8">
        <v>715539</v>
      </c>
      <c r="M82" s="8">
        <v>18</v>
      </c>
      <c r="N82" s="8">
        <v>1</v>
      </c>
      <c r="O82" s="8">
        <v>26</v>
      </c>
      <c r="P82" s="8"/>
    </row>
    <row r="83" spans="1:16" hidden="1" x14ac:dyDescent="0.25">
      <c r="A83" s="7" t="s">
        <v>19</v>
      </c>
      <c r="B83" s="7" t="s">
        <v>270</v>
      </c>
      <c r="C83" s="8">
        <v>25576</v>
      </c>
      <c r="D83" s="7" t="s">
        <v>16</v>
      </c>
      <c r="E83" s="7" t="s">
        <v>17</v>
      </c>
      <c r="F83" s="7" t="s">
        <v>380</v>
      </c>
      <c r="G83" s="7" t="s">
        <v>18</v>
      </c>
      <c r="H83" s="7" t="s">
        <v>48</v>
      </c>
      <c r="I83" s="7" t="s">
        <v>712</v>
      </c>
      <c r="J83" s="7" t="s">
        <v>712</v>
      </c>
      <c r="K83" s="8">
        <v>6058783</v>
      </c>
      <c r="L83" s="8">
        <v>287178</v>
      </c>
      <c r="M83" s="8">
        <v>19</v>
      </c>
      <c r="N83" s="8">
        <v>4</v>
      </c>
      <c r="O83" s="8">
        <v>12.5</v>
      </c>
      <c r="P83" s="8"/>
    </row>
    <row r="84" spans="1:16" hidden="1" x14ac:dyDescent="0.25">
      <c r="A84" s="7" t="s">
        <v>37</v>
      </c>
      <c r="B84" s="7" t="s">
        <v>563</v>
      </c>
      <c r="C84" s="8">
        <v>25577</v>
      </c>
      <c r="D84" s="7" t="s">
        <v>119</v>
      </c>
      <c r="E84" s="7" t="s">
        <v>123</v>
      </c>
      <c r="F84" s="7" t="s">
        <v>566</v>
      </c>
      <c r="G84" s="7" t="s">
        <v>43</v>
      </c>
      <c r="H84" s="7" t="s">
        <v>48</v>
      </c>
      <c r="I84" s="7" t="s">
        <v>97</v>
      </c>
      <c r="J84" s="7" t="s">
        <v>98</v>
      </c>
      <c r="K84" s="8">
        <v>5822501</v>
      </c>
      <c r="L84" s="8">
        <v>715207</v>
      </c>
      <c r="M84" s="8">
        <v>18</v>
      </c>
      <c r="N84" s="8">
        <v>1</v>
      </c>
      <c r="O84" s="8">
        <v>30</v>
      </c>
      <c r="P84" s="8"/>
    </row>
    <row r="85" spans="1:16" hidden="1" x14ac:dyDescent="0.25">
      <c r="A85" s="7" t="s">
        <v>14</v>
      </c>
      <c r="B85" s="7" t="s">
        <v>415</v>
      </c>
      <c r="C85" s="8">
        <v>25581</v>
      </c>
      <c r="D85" s="7" t="s">
        <v>322</v>
      </c>
      <c r="E85" s="7" t="s">
        <v>323</v>
      </c>
      <c r="F85" s="7" t="s">
        <v>422</v>
      </c>
      <c r="G85" s="7" t="s">
        <v>18</v>
      </c>
      <c r="H85" s="7" t="s">
        <v>689</v>
      </c>
      <c r="I85" s="7" t="s">
        <v>712</v>
      </c>
      <c r="J85" s="7" t="s">
        <v>712</v>
      </c>
      <c r="K85" s="8">
        <v>7949704</v>
      </c>
      <c r="L85" s="8">
        <v>378065</v>
      </c>
      <c r="M85" s="8">
        <v>19</v>
      </c>
      <c r="N85" s="8">
        <v>1</v>
      </c>
      <c r="O85" s="8">
        <v>0.01</v>
      </c>
      <c r="P85" s="8"/>
    </row>
    <row r="86" spans="1:16" hidden="1" x14ac:dyDescent="0.25">
      <c r="A86" s="7" t="s">
        <v>14</v>
      </c>
      <c r="B86" s="7" t="s">
        <v>415</v>
      </c>
      <c r="C86" s="8">
        <v>25583</v>
      </c>
      <c r="D86" s="7" t="s">
        <v>322</v>
      </c>
      <c r="E86" s="7" t="s">
        <v>323</v>
      </c>
      <c r="F86" s="7" t="s">
        <v>422</v>
      </c>
      <c r="G86" s="7" t="s">
        <v>18</v>
      </c>
      <c r="H86" s="7" t="s">
        <v>689</v>
      </c>
      <c r="I86" s="7" t="s">
        <v>712</v>
      </c>
      <c r="J86" s="7" t="s">
        <v>712</v>
      </c>
      <c r="K86" s="8">
        <v>7952511</v>
      </c>
      <c r="L86" s="8">
        <v>371281</v>
      </c>
      <c r="M86" s="8">
        <v>19</v>
      </c>
      <c r="N86" s="8">
        <v>1</v>
      </c>
      <c r="O86" s="8">
        <v>0.01</v>
      </c>
      <c r="P86" s="8"/>
    </row>
    <row r="87" spans="1:16" hidden="1" x14ac:dyDescent="0.25">
      <c r="A87" s="7" t="s">
        <v>37</v>
      </c>
      <c r="B87" s="7" t="s">
        <v>563</v>
      </c>
      <c r="C87" s="8">
        <v>25584</v>
      </c>
      <c r="D87" s="7" t="s">
        <v>34</v>
      </c>
      <c r="E87" s="7" t="s">
        <v>192</v>
      </c>
      <c r="F87" s="7" t="s">
        <v>567</v>
      </c>
      <c r="G87" s="7" t="s">
        <v>43</v>
      </c>
      <c r="H87" s="7" t="s">
        <v>48</v>
      </c>
      <c r="I87" s="7" t="s">
        <v>97</v>
      </c>
      <c r="J87" s="7" t="s">
        <v>98</v>
      </c>
      <c r="K87" s="8">
        <v>5830322</v>
      </c>
      <c r="L87" s="8">
        <v>739530</v>
      </c>
      <c r="M87" s="8">
        <v>18</v>
      </c>
      <c r="N87" s="8">
        <v>1</v>
      </c>
      <c r="O87" s="8">
        <v>34</v>
      </c>
      <c r="P87" s="8"/>
    </row>
    <row r="88" spans="1:16" hidden="1" x14ac:dyDescent="0.25">
      <c r="A88" s="7" t="s">
        <v>37</v>
      </c>
      <c r="B88" s="7" t="s">
        <v>563</v>
      </c>
      <c r="C88" s="8">
        <v>25585</v>
      </c>
      <c r="D88" s="7" t="s">
        <v>34</v>
      </c>
      <c r="E88" s="7" t="s">
        <v>35</v>
      </c>
      <c r="F88" s="7" t="s">
        <v>35</v>
      </c>
      <c r="G88" s="7" t="s">
        <v>43</v>
      </c>
      <c r="H88" s="7" t="s">
        <v>48</v>
      </c>
      <c r="I88" s="7" t="s">
        <v>97</v>
      </c>
      <c r="J88" s="7" t="s">
        <v>98</v>
      </c>
      <c r="K88" s="8">
        <v>5854332</v>
      </c>
      <c r="L88" s="8">
        <v>742568</v>
      </c>
      <c r="M88" s="8">
        <v>18</v>
      </c>
      <c r="N88" s="8">
        <v>1</v>
      </c>
      <c r="O88" s="8">
        <v>20</v>
      </c>
      <c r="P88" s="8"/>
    </row>
    <row r="89" spans="1:16" hidden="1" x14ac:dyDescent="0.25">
      <c r="A89" s="7" t="s">
        <v>37</v>
      </c>
      <c r="B89" s="7" t="s">
        <v>92</v>
      </c>
      <c r="C89" s="8">
        <v>25586</v>
      </c>
      <c r="D89" s="7" t="s">
        <v>34</v>
      </c>
      <c r="E89" s="7" t="s">
        <v>106</v>
      </c>
      <c r="F89" s="7" t="s">
        <v>94</v>
      </c>
      <c r="G89" s="7" t="s">
        <v>43</v>
      </c>
      <c r="H89" s="7" t="s">
        <v>48</v>
      </c>
      <c r="I89" s="7" t="s">
        <v>712</v>
      </c>
      <c r="J89" s="7" t="s">
        <v>712</v>
      </c>
      <c r="K89" s="8">
        <v>5953395</v>
      </c>
      <c r="L89" s="8">
        <v>767829</v>
      </c>
      <c r="M89" s="8">
        <v>18</v>
      </c>
      <c r="N89" s="8">
        <v>2</v>
      </c>
      <c r="O89" s="8">
        <v>30</v>
      </c>
      <c r="P89" s="8"/>
    </row>
    <row r="90" spans="1:16" hidden="1" x14ac:dyDescent="0.25">
      <c r="A90" s="7" t="s">
        <v>19</v>
      </c>
      <c r="B90" s="7" t="s">
        <v>270</v>
      </c>
      <c r="C90" s="8">
        <v>25589</v>
      </c>
      <c r="D90" s="7" t="s">
        <v>52</v>
      </c>
      <c r="E90" s="7" t="s">
        <v>375</v>
      </c>
      <c r="F90" s="7" t="s">
        <v>580</v>
      </c>
      <c r="G90" s="7" t="s">
        <v>18</v>
      </c>
      <c r="H90" s="7" t="s">
        <v>48</v>
      </c>
      <c r="I90" s="7" t="s">
        <v>712</v>
      </c>
      <c r="J90" s="7" t="s">
        <v>712</v>
      </c>
      <c r="K90" s="8">
        <v>6153742</v>
      </c>
      <c r="L90" s="8">
        <v>300400</v>
      </c>
      <c r="M90" s="8">
        <v>19</v>
      </c>
      <c r="N90" s="8">
        <v>5</v>
      </c>
      <c r="O90" s="8">
        <v>40.81</v>
      </c>
      <c r="P90" s="8"/>
    </row>
    <row r="91" spans="1:16" hidden="1" x14ac:dyDescent="0.25">
      <c r="A91" s="7" t="s">
        <v>19</v>
      </c>
      <c r="B91" s="7" t="s">
        <v>270</v>
      </c>
      <c r="C91" s="8">
        <v>25590</v>
      </c>
      <c r="D91" s="7" t="s">
        <v>52</v>
      </c>
      <c r="E91" s="7" t="s">
        <v>273</v>
      </c>
      <c r="F91" s="7" t="s">
        <v>581</v>
      </c>
      <c r="G91" s="7" t="s">
        <v>18</v>
      </c>
      <c r="H91" s="7" t="s">
        <v>48</v>
      </c>
      <c r="I91" s="7" t="s">
        <v>712</v>
      </c>
      <c r="J91" s="7" t="s">
        <v>691</v>
      </c>
      <c r="K91" s="8">
        <v>6203390</v>
      </c>
      <c r="L91" s="8">
        <v>332233</v>
      </c>
      <c r="M91" s="8">
        <v>19</v>
      </c>
      <c r="N91" s="8">
        <v>1</v>
      </c>
      <c r="O91" s="8">
        <v>8</v>
      </c>
      <c r="P91" s="8"/>
    </row>
    <row r="92" spans="1:16" hidden="1" x14ac:dyDescent="0.25">
      <c r="A92" s="7" t="s">
        <v>14</v>
      </c>
      <c r="B92" s="7" t="s">
        <v>270</v>
      </c>
      <c r="C92" s="8">
        <v>25591</v>
      </c>
      <c r="D92" s="7" t="s">
        <v>52</v>
      </c>
      <c r="E92" s="7" t="s">
        <v>273</v>
      </c>
      <c r="F92" s="7" t="s">
        <v>582</v>
      </c>
      <c r="G92" s="7" t="s">
        <v>18</v>
      </c>
      <c r="H92" s="7" t="s">
        <v>689</v>
      </c>
      <c r="I92" s="7" t="s">
        <v>712</v>
      </c>
      <c r="J92" s="7" t="s">
        <v>712</v>
      </c>
      <c r="K92" s="8">
        <v>6163762</v>
      </c>
      <c r="L92" s="8">
        <v>293252</v>
      </c>
      <c r="M92" s="8">
        <v>19</v>
      </c>
      <c r="N92" s="8">
        <v>1</v>
      </c>
      <c r="O92" s="8">
        <v>1.69</v>
      </c>
      <c r="P92" s="8"/>
    </row>
    <row r="93" spans="1:16" hidden="1" x14ac:dyDescent="0.25">
      <c r="A93" s="7" t="s">
        <v>14</v>
      </c>
      <c r="B93" s="7" t="s">
        <v>343</v>
      </c>
      <c r="C93" s="8">
        <v>25592</v>
      </c>
      <c r="D93" s="7" t="s">
        <v>119</v>
      </c>
      <c r="E93" s="7" t="s">
        <v>179</v>
      </c>
      <c r="F93" s="7" t="s">
        <v>346</v>
      </c>
      <c r="G93" s="7" t="s">
        <v>43</v>
      </c>
      <c r="H93" s="7" t="s">
        <v>689</v>
      </c>
      <c r="I93" s="7" t="s">
        <v>712</v>
      </c>
      <c r="J93" s="7" t="s">
        <v>712</v>
      </c>
      <c r="K93" s="8">
        <v>5721463</v>
      </c>
      <c r="L93" s="8">
        <v>721848</v>
      </c>
      <c r="M93" s="8">
        <v>18</v>
      </c>
      <c r="N93" s="8">
        <v>1</v>
      </c>
      <c r="O93" s="8">
        <v>9.5</v>
      </c>
      <c r="P93" s="8"/>
    </row>
    <row r="94" spans="1:16" hidden="1" x14ac:dyDescent="0.25">
      <c r="A94" s="7" t="s">
        <v>19</v>
      </c>
      <c r="B94" s="7" t="s">
        <v>270</v>
      </c>
      <c r="C94" s="8">
        <v>25594</v>
      </c>
      <c r="D94" s="7" t="s">
        <v>16</v>
      </c>
      <c r="E94" s="7" t="s">
        <v>337</v>
      </c>
      <c r="F94" s="7" t="s">
        <v>583</v>
      </c>
      <c r="G94" s="7" t="s">
        <v>18</v>
      </c>
      <c r="H94" s="7" t="s">
        <v>48</v>
      </c>
      <c r="I94" s="7" t="s">
        <v>712</v>
      </c>
      <c r="J94" s="7" t="s">
        <v>691</v>
      </c>
      <c r="K94" s="8">
        <v>6130067</v>
      </c>
      <c r="L94" s="8">
        <v>311292</v>
      </c>
      <c r="M94" s="8">
        <v>19</v>
      </c>
      <c r="N94" s="8">
        <v>1</v>
      </c>
      <c r="O94" s="8">
        <v>14</v>
      </c>
      <c r="P94" s="8"/>
    </row>
    <row r="95" spans="1:16" hidden="1" x14ac:dyDescent="0.25">
      <c r="A95" s="7" t="s">
        <v>19</v>
      </c>
      <c r="B95" s="7" t="s">
        <v>415</v>
      </c>
      <c r="C95" s="8">
        <v>25595</v>
      </c>
      <c r="D95" s="7" t="s">
        <v>16</v>
      </c>
      <c r="E95" s="7" t="s">
        <v>268</v>
      </c>
      <c r="F95" s="7" t="s">
        <v>423</v>
      </c>
      <c r="G95" s="7" t="s">
        <v>18</v>
      </c>
      <c r="H95" s="7" t="s">
        <v>48</v>
      </c>
      <c r="I95" s="7" t="s">
        <v>712</v>
      </c>
      <c r="J95" s="7" t="s">
        <v>712</v>
      </c>
      <c r="K95" s="8">
        <v>6136852</v>
      </c>
      <c r="L95" s="8">
        <v>301764</v>
      </c>
      <c r="M95" s="8">
        <v>19</v>
      </c>
      <c r="N95" s="8">
        <v>1</v>
      </c>
      <c r="O95" s="8">
        <v>6.18</v>
      </c>
      <c r="P95" s="8"/>
    </row>
    <row r="96" spans="1:16" hidden="1" x14ac:dyDescent="0.25">
      <c r="A96" s="7" t="s">
        <v>19</v>
      </c>
      <c r="B96" s="7" t="s">
        <v>415</v>
      </c>
      <c r="C96" s="8">
        <v>25598</v>
      </c>
      <c r="D96" s="7" t="s">
        <v>28</v>
      </c>
      <c r="E96" s="7" t="s">
        <v>159</v>
      </c>
      <c r="F96" s="7" t="s">
        <v>424</v>
      </c>
      <c r="G96" s="7" t="s">
        <v>18</v>
      </c>
      <c r="H96" s="7" t="s">
        <v>48</v>
      </c>
      <c r="I96" s="7" t="s">
        <v>712</v>
      </c>
      <c r="J96" s="7" t="s">
        <v>712</v>
      </c>
      <c r="K96" s="8">
        <v>6276745</v>
      </c>
      <c r="L96" s="8">
        <v>334197</v>
      </c>
      <c r="M96" s="8">
        <v>19</v>
      </c>
      <c r="N96" s="8">
        <v>1</v>
      </c>
      <c r="O96" s="8">
        <v>9</v>
      </c>
      <c r="P96" s="8"/>
    </row>
    <row r="97" spans="1:16" hidden="1" x14ac:dyDescent="0.25">
      <c r="A97" s="7" t="s">
        <v>19</v>
      </c>
      <c r="B97" s="7" t="s">
        <v>270</v>
      </c>
      <c r="C97" s="8">
        <v>25599</v>
      </c>
      <c r="D97" s="7" t="s">
        <v>16</v>
      </c>
      <c r="E97" s="7" t="s">
        <v>46</v>
      </c>
      <c r="F97" s="7" t="s">
        <v>444</v>
      </c>
      <c r="G97" s="7" t="s">
        <v>18</v>
      </c>
      <c r="H97" s="7" t="s">
        <v>48</v>
      </c>
      <c r="I97" s="7" t="s">
        <v>712</v>
      </c>
      <c r="J97" s="7" t="s">
        <v>712</v>
      </c>
      <c r="K97" s="8">
        <v>6119335</v>
      </c>
      <c r="L97" s="8">
        <v>294360</v>
      </c>
      <c r="M97" s="8">
        <v>19</v>
      </c>
      <c r="N97" s="8">
        <v>4</v>
      </c>
      <c r="O97" s="8">
        <v>20</v>
      </c>
      <c r="P97" s="8"/>
    </row>
    <row r="98" spans="1:16" hidden="1" x14ac:dyDescent="0.25">
      <c r="A98" s="7" t="s">
        <v>37</v>
      </c>
      <c r="B98" s="7" t="s">
        <v>415</v>
      </c>
      <c r="C98" s="8">
        <v>25601</v>
      </c>
      <c r="D98" s="7" t="s">
        <v>119</v>
      </c>
      <c r="E98" s="7" t="s">
        <v>196</v>
      </c>
      <c r="F98" s="7" t="s">
        <v>425</v>
      </c>
      <c r="G98" s="7" t="s">
        <v>43</v>
      </c>
      <c r="H98" s="7" t="s">
        <v>48</v>
      </c>
      <c r="I98" s="7" t="s">
        <v>712</v>
      </c>
      <c r="J98" s="7" t="s">
        <v>691</v>
      </c>
      <c r="K98" s="8">
        <v>5699299</v>
      </c>
      <c r="L98" s="8">
        <v>726805</v>
      </c>
      <c r="M98" s="8">
        <v>18</v>
      </c>
      <c r="N98" s="8">
        <v>1</v>
      </c>
      <c r="O98" s="8">
        <v>15</v>
      </c>
      <c r="P98" s="8"/>
    </row>
    <row r="99" spans="1:16" hidden="1" x14ac:dyDescent="0.25">
      <c r="A99" s="7" t="s">
        <v>37</v>
      </c>
      <c r="B99" s="7" t="s">
        <v>415</v>
      </c>
      <c r="C99" s="8">
        <v>25603</v>
      </c>
      <c r="D99" s="7" t="s">
        <v>119</v>
      </c>
      <c r="E99" s="7" t="s">
        <v>196</v>
      </c>
      <c r="F99" s="7" t="s">
        <v>426</v>
      </c>
      <c r="G99" s="7" t="s">
        <v>43</v>
      </c>
      <c r="H99" s="7" t="s">
        <v>48</v>
      </c>
      <c r="I99" s="7" t="s">
        <v>712</v>
      </c>
      <c r="J99" s="7" t="s">
        <v>691</v>
      </c>
      <c r="K99" s="8">
        <v>5695469</v>
      </c>
      <c r="L99" s="8">
        <v>728200</v>
      </c>
      <c r="M99" s="8">
        <v>18</v>
      </c>
      <c r="N99" s="8">
        <v>2</v>
      </c>
      <c r="O99" s="8">
        <v>25</v>
      </c>
      <c r="P99" s="8"/>
    </row>
    <row r="100" spans="1:16" hidden="1" x14ac:dyDescent="0.25">
      <c r="A100" s="7" t="s">
        <v>14</v>
      </c>
      <c r="B100" s="7" t="s">
        <v>243</v>
      </c>
      <c r="C100" s="8">
        <v>25604</v>
      </c>
      <c r="D100" s="7" t="s">
        <v>119</v>
      </c>
      <c r="E100" s="7" t="s">
        <v>175</v>
      </c>
      <c r="F100" s="7" t="s">
        <v>184</v>
      </c>
      <c r="G100" s="7" t="s">
        <v>244</v>
      </c>
      <c r="H100" s="7" t="s">
        <v>689</v>
      </c>
      <c r="I100" s="7" t="s">
        <v>690</v>
      </c>
      <c r="J100" s="7" t="s">
        <v>690</v>
      </c>
      <c r="K100" s="8">
        <v>5714112</v>
      </c>
      <c r="L100" s="8">
        <v>724445</v>
      </c>
      <c r="M100" s="8">
        <v>18</v>
      </c>
      <c r="N100" s="8">
        <v>1</v>
      </c>
      <c r="O100" s="8">
        <v>0.05</v>
      </c>
      <c r="P100" s="8"/>
    </row>
    <row r="101" spans="1:16" hidden="1" x14ac:dyDescent="0.25">
      <c r="A101" s="7" t="s">
        <v>37</v>
      </c>
      <c r="B101" s="7" t="s">
        <v>415</v>
      </c>
      <c r="C101" s="8">
        <v>25605</v>
      </c>
      <c r="D101" s="7" t="s">
        <v>34</v>
      </c>
      <c r="E101" s="7" t="s">
        <v>35</v>
      </c>
      <c r="F101" s="7" t="s">
        <v>35</v>
      </c>
      <c r="G101" s="7" t="s">
        <v>43</v>
      </c>
      <c r="H101" s="7" t="s">
        <v>48</v>
      </c>
      <c r="I101" s="7" t="s">
        <v>712</v>
      </c>
      <c r="J101" s="7" t="s">
        <v>691</v>
      </c>
      <c r="K101" s="8">
        <v>5852053</v>
      </c>
      <c r="L101" s="8">
        <v>722842</v>
      </c>
      <c r="M101" s="8">
        <v>18</v>
      </c>
      <c r="N101" s="8">
        <v>2</v>
      </c>
      <c r="O101" s="8">
        <v>36</v>
      </c>
      <c r="P101" s="8"/>
    </row>
    <row r="102" spans="1:16" hidden="1" x14ac:dyDescent="0.25">
      <c r="A102" s="7" t="s">
        <v>37</v>
      </c>
      <c r="B102" s="7" t="s">
        <v>563</v>
      </c>
      <c r="C102" s="8">
        <v>25606</v>
      </c>
      <c r="D102" s="7" t="s">
        <v>119</v>
      </c>
      <c r="E102" s="7" t="s">
        <v>225</v>
      </c>
      <c r="F102" s="7" t="s">
        <v>225</v>
      </c>
      <c r="G102" s="7" t="s">
        <v>43</v>
      </c>
      <c r="H102" s="7" t="s">
        <v>48</v>
      </c>
      <c r="I102" s="7" t="s">
        <v>97</v>
      </c>
      <c r="J102" s="7" t="s">
        <v>98</v>
      </c>
      <c r="K102" s="8">
        <v>5754900</v>
      </c>
      <c r="L102" s="8">
        <v>730240</v>
      </c>
      <c r="M102" s="8">
        <v>18</v>
      </c>
      <c r="N102" s="8">
        <v>1</v>
      </c>
      <c r="O102" s="8">
        <v>35</v>
      </c>
      <c r="P102" s="8"/>
    </row>
    <row r="103" spans="1:16" hidden="1" x14ac:dyDescent="0.25">
      <c r="A103" s="7" t="s">
        <v>14</v>
      </c>
      <c r="B103" s="7" t="s">
        <v>270</v>
      </c>
      <c r="C103" s="8">
        <v>25607</v>
      </c>
      <c r="D103" s="7" t="s">
        <v>52</v>
      </c>
      <c r="E103" s="7" t="s">
        <v>273</v>
      </c>
      <c r="F103" s="7" t="s">
        <v>581</v>
      </c>
      <c r="G103" s="7" t="s">
        <v>18</v>
      </c>
      <c r="H103" s="7" t="s">
        <v>689</v>
      </c>
      <c r="I103" s="7" t="s">
        <v>712</v>
      </c>
      <c r="J103" s="7" t="s">
        <v>712</v>
      </c>
      <c r="K103" s="8">
        <v>6157826</v>
      </c>
      <c r="L103" s="8">
        <v>298124</v>
      </c>
      <c r="M103" s="8">
        <v>19</v>
      </c>
      <c r="N103" s="8">
        <v>1</v>
      </c>
      <c r="O103" s="8">
        <v>1.77</v>
      </c>
      <c r="P103" s="8"/>
    </row>
    <row r="104" spans="1:16" hidden="1" x14ac:dyDescent="0.25">
      <c r="A104" s="7" t="s">
        <v>37</v>
      </c>
      <c r="B104" s="7" t="s">
        <v>415</v>
      </c>
      <c r="C104" s="8">
        <v>25608</v>
      </c>
      <c r="D104" s="7" t="s">
        <v>119</v>
      </c>
      <c r="E104" s="7" t="s">
        <v>196</v>
      </c>
      <c r="F104" s="7" t="s">
        <v>425</v>
      </c>
      <c r="G104" s="7" t="s">
        <v>43</v>
      </c>
      <c r="H104" s="7" t="s">
        <v>48</v>
      </c>
      <c r="I104" s="7" t="s">
        <v>712</v>
      </c>
      <c r="J104" s="7" t="s">
        <v>691</v>
      </c>
      <c r="K104" s="8">
        <v>5697904</v>
      </c>
      <c r="L104" s="8">
        <v>728117</v>
      </c>
      <c r="M104" s="8">
        <v>18</v>
      </c>
      <c r="N104" s="8">
        <v>2</v>
      </c>
      <c r="O104" s="8">
        <v>44</v>
      </c>
      <c r="P104" s="8"/>
    </row>
    <row r="105" spans="1:16" hidden="1" x14ac:dyDescent="0.25">
      <c r="A105" s="7" t="s">
        <v>37</v>
      </c>
      <c r="B105" s="7" t="s">
        <v>415</v>
      </c>
      <c r="C105" s="8">
        <v>25609</v>
      </c>
      <c r="D105" s="7" t="s">
        <v>34</v>
      </c>
      <c r="E105" s="7" t="s">
        <v>35</v>
      </c>
      <c r="F105" s="7" t="s">
        <v>36</v>
      </c>
      <c r="G105" s="7" t="s">
        <v>43</v>
      </c>
      <c r="H105" s="7" t="s">
        <v>48</v>
      </c>
      <c r="I105" s="7" t="s">
        <v>712</v>
      </c>
      <c r="J105" s="7" t="s">
        <v>691</v>
      </c>
      <c r="K105" s="8">
        <v>5853341</v>
      </c>
      <c r="L105" s="8">
        <v>719754</v>
      </c>
      <c r="M105" s="8">
        <v>18</v>
      </c>
      <c r="N105" s="8">
        <v>3</v>
      </c>
      <c r="O105" s="8">
        <v>49</v>
      </c>
      <c r="P105" s="8"/>
    </row>
    <row r="106" spans="1:16" hidden="1" x14ac:dyDescent="0.25">
      <c r="A106" s="7" t="s">
        <v>19</v>
      </c>
      <c r="B106" s="7" t="s">
        <v>415</v>
      </c>
      <c r="C106" s="8">
        <v>25611</v>
      </c>
      <c r="D106" s="7" t="s">
        <v>52</v>
      </c>
      <c r="E106" s="7" t="s">
        <v>53</v>
      </c>
      <c r="F106" s="7" t="s">
        <v>53</v>
      </c>
      <c r="G106" s="7" t="s">
        <v>18</v>
      </c>
      <c r="H106" s="7" t="s">
        <v>48</v>
      </c>
      <c r="I106" s="7" t="s">
        <v>712</v>
      </c>
      <c r="J106" s="7" t="s">
        <v>712</v>
      </c>
      <c r="K106" s="8">
        <v>6151039</v>
      </c>
      <c r="L106" s="8">
        <v>313592</v>
      </c>
      <c r="M106" s="8">
        <v>19</v>
      </c>
      <c r="N106" s="8">
        <v>1</v>
      </c>
      <c r="O106" s="8">
        <v>4.5999999999999996</v>
      </c>
      <c r="P106" s="8"/>
    </row>
    <row r="107" spans="1:16" hidden="1" x14ac:dyDescent="0.25">
      <c r="A107" s="7" t="s">
        <v>37</v>
      </c>
      <c r="B107" s="7" t="s">
        <v>270</v>
      </c>
      <c r="C107" s="8">
        <v>25612</v>
      </c>
      <c r="D107" s="7" t="s">
        <v>21</v>
      </c>
      <c r="E107" s="7" t="s">
        <v>584</v>
      </c>
      <c r="F107" s="7" t="s">
        <v>585</v>
      </c>
      <c r="G107" s="7" t="s">
        <v>18</v>
      </c>
      <c r="H107" s="7" t="s">
        <v>24</v>
      </c>
      <c r="I107" s="7" t="s">
        <v>712</v>
      </c>
      <c r="J107" s="7" t="s">
        <v>712</v>
      </c>
      <c r="K107" s="8">
        <v>6371837</v>
      </c>
      <c r="L107" s="8">
        <v>322197</v>
      </c>
      <c r="M107" s="8">
        <v>19</v>
      </c>
      <c r="N107" s="8">
        <v>1</v>
      </c>
      <c r="O107" s="8">
        <v>1.2</v>
      </c>
      <c r="P107" s="8"/>
    </row>
    <row r="108" spans="1:16" hidden="1" x14ac:dyDescent="0.25">
      <c r="A108" s="7" t="s">
        <v>19</v>
      </c>
      <c r="B108" s="7" t="s">
        <v>415</v>
      </c>
      <c r="C108" s="8">
        <v>25613</v>
      </c>
      <c r="D108" s="7" t="s">
        <v>52</v>
      </c>
      <c r="E108" s="7" t="s">
        <v>53</v>
      </c>
      <c r="F108" s="7" t="s">
        <v>53</v>
      </c>
      <c r="G108" s="7" t="s">
        <v>18</v>
      </c>
      <c r="H108" s="7" t="s">
        <v>48</v>
      </c>
      <c r="I108" s="7" t="s">
        <v>712</v>
      </c>
      <c r="J108" s="7" t="s">
        <v>712</v>
      </c>
      <c r="K108" s="8">
        <v>6151055</v>
      </c>
      <c r="L108" s="8">
        <v>313569</v>
      </c>
      <c r="M108" s="8">
        <v>19</v>
      </c>
      <c r="N108" s="8">
        <v>1</v>
      </c>
      <c r="O108" s="8">
        <v>2.5</v>
      </c>
      <c r="P108" s="8"/>
    </row>
    <row r="109" spans="1:16" hidden="1" x14ac:dyDescent="0.25">
      <c r="A109" s="7" t="s">
        <v>19</v>
      </c>
      <c r="B109" s="7" t="s">
        <v>415</v>
      </c>
      <c r="C109" s="8">
        <v>25614</v>
      </c>
      <c r="D109" s="7" t="s">
        <v>52</v>
      </c>
      <c r="E109" s="7" t="s">
        <v>141</v>
      </c>
      <c r="F109" s="7" t="s">
        <v>141</v>
      </c>
      <c r="G109" s="7" t="s">
        <v>18</v>
      </c>
      <c r="H109" s="7" t="s">
        <v>48</v>
      </c>
      <c r="I109" s="7" t="s">
        <v>712</v>
      </c>
      <c r="J109" s="7" t="s">
        <v>712</v>
      </c>
      <c r="K109" s="8">
        <v>6218130</v>
      </c>
      <c r="L109" s="8">
        <v>345156</v>
      </c>
      <c r="M109" s="8">
        <v>19</v>
      </c>
      <c r="N109" s="8">
        <v>1</v>
      </c>
      <c r="O109" s="8">
        <v>13.23</v>
      </c>
      <c r="P109" s="8"/>
    </row>
    <row r="110" spans="1:16" hidden="1" x14ac:dyDescent="0.25">
      <c r="A110" s="7" t="s">
        <v>19</v>
      </c>
      <c r="B110" s="7" t="s">
        <v>415</v>
      </c>
      <c r="C110" s="8">
        <v>25619</v>
      </c>
      <c r="D110" s="7" t="s">
        <v>52</v>
      </c>
      <c r="E110" s="7" t="s">
        <v>81</v>
      </c>
      <c r="F110" s="7" t="s">
        <v>427</v>
      </c>
      <c r="G110" s="7" t="s">
        <v>18</v>
      </c>
      <c r="H110" s="7" t="s">
        <v>48</v>
      </c>
      <c r="I110" s="7" t="s">
        <v>712</v>
      </c>
      <c r="J110" s="7" t="s">
        <v>712</v>
      </c>
      <c r="K110" s="8">
        <v>6236209</v>
      </c>
      <c r="L110" s="8">
        <v>347183</v>
      </c>
      <c r="M110" s="8">
        <v>19</v>
      </c>
      <c r="N110" s="8">
        <v>1</v>
      </c>
      <c r="O110" s="8">
        <v>8.06</v>
      </c>
      <c r="P110" s="8"/>
    </row>
    <row r="111" spans="1:16" hidden="1" x14ac:dyDescent="0.25">
      <c r="A111" s="7" t="s">
        <v>19</v>
      </c>
      <c r="B111" s="7" t="s">
        <v>415</v>
      </c>
      <c r="C111" s="8">
        <v>25620</v>
      </c>
      <c r="D111" s="7" t="s">
        <v>28</v>
      </c>
      <c r="E111" s="7" t="s">
        <v>344</v>
      </c>
      <c r="F111" s="7" t="s">
        <v>344</v>
      </c>
      <c r="G111" s="7" t="s">
        <v>18</v>
      </c>
      <c r="H111" s="7" t="s">
        <v>48</v>
      </c>
      <c r="I111" s="7" t="s">
        <v>712</v>
      </c>
      <c r="J111" s="7" t="s">
        <v>712</v>
      </c>
      <c r="K111" s="8">
        <v>6272006</v>
      </c>
      <c r="L111" s="8">
        <v>298660</v>
      </c>
      <c r="M111" s="8">
        <v>19</v>
      </c>
      <c r="N111" s="8">
        <v>1</v>
      </c>
      <c r="O111" s="8">
        <v>0.4</v>
      </c>
      <c r="P111" s="8"/>
    </row>
    <row r="112" spans="1:16" hidden="1" x14ac:dyDescent="0.25">
      <c r="A112" s="7" t="s">
        <v>37</v>
      </c>
      <c r="B112" s="7" t="s">
        <v>415</v>
      </c>
      <c r="C112" s="8">
        <v>25621</v>
      </c>
      <c r="D112" s="7" t="s">
        <v>119</v>
      </c>
      <c r="E112" s="7" t="s">
        <v>196</v>
      </c>
      <c r="F112" s="7" t="s">
        <v>426</v>
      </c>
      <c r="G112" s="7" t="s">
        <v>43</v>
      </c>
      <c r="H112" s="7" t="s">
        <v>48</v>
      </c>
      <c r="I112" s="7" t="s">
        <v>712</v>
      </c>
      <c r="J112" s="7" t="s">
        <v>691</v>
      </c>
      <c r="K112" s="8">
        <v>5692730</v>
      </c>
      <c r="L112" s="8">
        <v>726325</v>
      </c>
      <c r="M112" s="8">
        <v>18</v>
      </c>
      <c r="N112" s="8">
        <v>1</v>
      </c>
      <c r="O112" s="8">
        <v>16</v>
      </c>
      <c r="P112" s="8"/>
    </row>
    <row r="113" spans="1:16" hidden="1" x14ac:dyDescent="0.25">
      <c r="A113" s="7" t="s">
        <v>19</v>
      </c>
      <c r="B113" s="7" t="s">
        <v>415</v>
      </c>
      <c r="C113" s="8">
        <v>25622</v>
      </c>
      <c r="D113" s="7" t="s">
        <v>28</v>
      </c>
      <c r="E113" s="7" t="s">
        <v>32</v>
      </c>
      <c r="F113" s="7" t="s">
        <v>147</v>
      </c>
      <c r="G113" s="7" t="s">
        <v>18</v>
      </c>
      <c r="H113" s="7" t="s">
        <v>48</v>
      </c>
      <c r="I113" s="7" t="s">
        <v>712</v>
      </c>
      <c r="J113" s="7" t="s">
        <v>691</v>
      </c>
      <c r="K113" s="8">
        <v>6270317</v>
      </c>
      <c r="L113" s="8">
        <v>336743</v>
      </c>
      <c r="M113" s="8">
        <v>19</v>
      </c>
      <c r="N113" s="8">
        <v>1</v>
      </c>
      <c r="O113" s="8">
        <v>0.41</v>
      </c>
      <c r="P113" s="8"/>
    </row>
    <row r="114" spans="1:16" hidden="1" x14ac:dyDescent="0.25">
      <c r="A114" s="7" t="s">
        <v>37</v>
      </c>
      <c r="B114" s="7" t="s">
        <v>415</v>
      </c>
      <c r="C114" s="8">
        <v>25623</v>
      </c>
      <c r="D114" s="7" t="s">
        <v>34</v>
      </c>
      <c r="E114" s="7" t="s">
        <v>71</v>
      </c>
      <c r="F114" s="7" t="s">
        <v>71</v>
      </c>
      <c r="G114" s="7" t="s">
        <v>43</v>
      </c>
      <c r="H114" s="7" t="s">
        <v>48</v>
      </c>
      <c r="I114" s="7" t="s">
        <v>712</v>
      </c>
      <c r="J114" s="7" t="s">
        <v>691</v>
      </c>
      <c r="K114" s="8">
        <v>5830064</v>
      </c>
      <c r="L114" s="8">
        <v>751499</v>
      </c>
      <c r="M114" s="8">
        <v>18</v>
      </c>
      <c r="N114" s="8">
        <v>1</v>
      </c>
      <c r="O114" s="8">
        <v>25</v>
      </c>
      <c r="P114" s="8"/>
    </row>
    <row r="115" spans="1:16" hidden="1" x14ac:dyDescent="0.25">
      <c r="A115" s="7" t="s">
        <v>19</v>
      </c>
      <c r="B115" s="7" t="s">
        <v>270</v>
      </c>
      <c r="C115" s="8">
        <v>25625</v>
      </c>
      <c r="D115" s="7" t="s">
        <v>52</v>
      </c>
      <c r="E115" s="7" t="s">
        <v>82</v>
      </c>
      <c r="F115" s="7" t="s">
        <v>437</v>
      </c>
      <c r="G115" s="7" t="s">
        <v>18</v>
      </c>
      <c r="H115" s="7" t="s">
        <v>48</v>
      </c>
      <c r="I115" s="7" t="s">
        <v>712</v>
      </c>
      <c r="J115" s="7" t="s">
        <v>712</v>
      </c>
      <c r="K115" s="8">
        <v>6167512</v>
      </c>
      <c r="L115" s="8">
        <v>289307</v>
      </c>
      <c r="M115" s="8">
        <v>19</v>
      </c>
      <c r="N115" s="8">
        <v>4</v>
      </c>
      <c r="O115" s="8">
        <v>20</v>
      </c>
      <c r="P115" s="8"/>
    </row>
    <row r="116" spans="1:16" hidden="1" x14ac:dyDescent="0.25">
      <c r="A116" s="7" t="s">
        <v>14</v>
      </c>
      <c r="B116" s="7" t="s">
        <v>556</v>
      </c>
      <c r="C116" s="8">
        <v>25626</v>
      </c>
      <c r="D116" s="7" t="s">
        <v>119</v>
      </c>
      <c r="E116" s="7" t="s">
        <v>406</v>
      </c>
      <c r="F116" s="7" t="s">
        <v>406</v>
      </c>
      <c r="G116" s="7" t="s">
        <v>43</v>
      </c>
      <c r="H116" s="7" t="s">
        <v>689</v>
      </c>
      <c r="I116" s="7" t="s">
        <v>712</v>
      </c>
      <c r="J116" s="7" t="s">
        <v>712</v>
      </c>
      <c r="K116" s="8">
        <v>5672582</v>
      </c>
      <c r="L116" s="8">
        <v>699460</v>
      </c>
      <c r="M116" s="8">
        <v>18</v>
      </c>
      <c r="N116" s="8">
        <v>1</v>
      </c>
      <c r="O116" s="8">
        <v>4</v>
      </c>
      <c r="P116" s="8"/>
    </row>
    <row r="117" spans="1:16" hidden="1" x14ac:dyDescent="0.25">
      <c r="A117" s="7" t="s">
        <v>19</v>
      </c>
      <c r="B117" s="7" t="s">
        <v>415</v>
      </c>
      <c r="C117" s="8">
        <v>25627</v>
      </c>
      <c r="D117" s="7" t="s">
        <v>28</v>
      </c>
      <c r="E117" s="7" t="s">
        <v>32</v>
      </c>
      <c r="F117" s="7" t="s">
        <v>147</v>
      </c>
      <c r="G117" s="7" t="s">
        <v>18</v>
      </c>
      <c r="H117" s="7" t="s">
        <v>48</v>
      </c>
      <c r="I117" s="7" t="s">
        <v>712</v>
      </c>
      <c r="J117" s="7" t="s">
        <v>691</v>
      </c>
      <c r="K117" s="8">
        <v>6270317</v>
      </c>
      <c r="L117" s="8">
        <v>336743</v>
      </c>
      <c r="M117" s="8">
        <v>19</v>
      </c>
      <c r="N117" s="8">
        <v>1</v>
      </c>
      <c r="O117" s="8">
        <v>0.4</v>
      </c>
      <c r="P117" s="8"/>
    </row>
    <row r="118" spans="1:16" hidden="1" x14ac:dyDescent="0.25">
      <c r="A118" s="7" t="s">
        <v>19</v>
      </c>
      <c r="B118" s="7" t="s">
        <v>415</v>
      </c>
      <c r="C118" s="8">
        <v>25628</v>
      </c>
      <c r="D118" s="7" t="s">
        <v>52</v>
      </c>
      <c r="E118" s="7" t="s">
        <v>81</v>
      </c>
      <c r="F118" s="7" t="s">
        <v>81</v>
      </c>
      <c r="G118" s="7" t="s">
        <v>18</v>
      </c>
      <c r="H118" s="7" t="s">
        <v>48</v>
      </c>
      <c r="I118" s="7" t="s">
        <v>712</v>
      </c>
      <c r="J118" s="7" t="s">
        <v>712</v>
      </c>
      <c r="K118" s="8">
        <v>6223971</v>
      </c>
      <c r="L118" s="8">
        <v>349307</v>
      </c>
      <c r="M118" s="8">
        <v>19</v>
      </c>
      <c r="N118" s="8">
        <v>1</v>
      </c>
      <c r="O118" s="8">
        <v>4.3499999999999996</v>
      </c>
      <c r="P118" s="8"/>
    </row>
    <row r="119" spans="1:16" hidden="1" x14ac:dyDescent="0.25">
      <c r="A119" s="7" t="s">
        <v>19</v>
      </c>
      <c r="B119" s="7" t="s">
        <v>415</v>
      </c>
      <c r="C119" s="8">
        <v>25629</v>
      </c>
      <c r="D119" s="7" t="s">
        <v>28</v>
      </c>
      <c r="E119" s="7" t="s">
        <v>166</v>
      </c>
      <c r="F119" s="7" t="s">
        <v>363</v>
      </c>
      <c r="G119" s="7" t="s">
        <v>18</v>
      </c>
      <c r="H119" s="7" t="s">
        <v>48</v>
      </c>
      <c r="I119" s="7" t="s">
        <v>712</v>
      </c>
      <c r="J119" s="7" t="s">
        <v>712</v>
      </c>
      <c r="K119" s="8">
        <v>6261748</v>
      </c>
      <c r="L119" s="8">
        <v>326953</v>
      </c>
      <c r="M119" s="8">
        <v>19</v>
      </c>
      <c r="N119" s="8">
        <v>1</v>
      </c>
      <c r="O119" s="8">
        <v>0.4</v>
      </c>
      <c r="P119" s="8"/>
    </row>
    <row r="120" spans="1:16" hidden="1" x14ac:dyDescent="0.25">
      <c r="A120" s="7" t="s">
        <v>19</v>
      </c>
      <c r="B120" s="7" t="s">
        <v>415</v>
      </c>
      <c r="C120" s="8">
        <v>25630</v>
      </c>
      <c r="D120" s="7" t="s">
        <v>52</v>
      </c>
      <c r="E120" s="7" t="s">
        <v>81</v>
      </c>
      <c r="F120" s="7" t="s">
        <v>81</v>
      </c>
      <c r="G120" s="7" t="s">
        <v>18</v>
      </c>
      <c r="H120" s="7" t="s">
        <v>48</v>
      </c>
      <c r="I120" s="7" t="s">
        <v>712</v>
      </c>
      <c r="J120" s="7" t="s">
        <v>712</v>
      </c>
      <c r="K120" s="8">
        <v>6223813</v>
      </c>
      <c r="L120" s="8">
        <v>349044</v>
      </c>
      <c r="M120" s="8">
        <v>19</v>
      </c>
      <c r="N120" s="8">
        <v>1</v>
      </c>
      <c r="O120" s="8">
        <v>6.57</v>
      </c>
      <c r="P120" s="8"/>
    </row>
    <row r="121" spans="1:16" hidden="1" x14ac:dyDescent="0.25">
      <c r="A121" s="7" t="s">
        <v>14</v>
      </c>
      <c r="B121" s="7" t="s">
        <v>415</v>
      </c>
      <c r="C121" s="8">
        <v>25631</v>
      </c>
      <c r="D121" s="7" t="s">
        <v>52</v>
      </c>
      <c r="E121" s="7" t="s">
        <v>249</v>
      </c>
      <c r="F121" s="7" t="s">
        <v>374</v>
      </c>
      <c r="G121" s="7" t="s">
        <v>18</v>
      </c>
      <c r="H121" s="7" t="s">
        <v>689</v>
      </c>
      <c r="I121" s="7" t="s">
        <v>712</v>
      </c>
      <c r="J121" s="7" t="s">
        <v>712</v>
      </c>
      <c r="K121" s="8">
        <v>6183171</v>
      </c>
      <c r="L121" s="8">
        <v>318909</v>
      </c>
      <c r="M121" s="8">
        <v>19</v>
      </c>
      <c r="N121" s="8">
        <v>1</v>
      </c>
      <c r="O121" s="8">
        <v>0.64</v>
      </c>
      <c r="P121" s="8"/>
    </row>
    <row r="122" spans="1:16" hidden="1" x14ac:dyDescent="0.25">
      <c r="A122" s="7" t="s">
        <v>37</v>
      </c>
      <c r="B122" s="7" t="s">
        <v>563</v>
      </c>
      <c r="C122" s="8">
        <v>25635</v>
      </c>
      <c r="D122" s="7" t="s">
        <v>119</v>
      </c>
      <c r="E122" s="7" t="s">
        <v>175</v>
      </c>
      <c r="F122" s="7" t="s">
        <v>564</v>
      </c>
      <c r="G122" s="7" t="s">
        <v>43</v>
      </c>
      <c r="H122" s="7" t="s">
        <v>48</v>
      </c>
      <c r="I122" s="7" t="s">
        <v>97</v>
      </c>
      <c r="J122" s="7" t="s">
        <v>98</v>
      </c>
      <c r="K122" s="8">
        <v>5719369</v>
      </c>
      <c r="L122" s="8">
        <v>734987</v>
      </c>
      <c r="M122" s="8">
        <v>18</v>
      </c>
      <c r="N122" s="8">
        <v>1</v>
      </c>
      <c r="O122" s="8">
        <v>10.5</v>
      </c>
      <c r="P122" s="8"/>
    </row>
    <row r="123" spans="1:16" hidden="1" x14ac:dyDescent="0.25">
      <c r="A123" s="7" t="s">
        <v>37</v>
      </c>
      <c r="B123" s="7" t="s">
        <v>563</v>
      </c>
      <c r="C123" s="8">
        <v>25636</v>
      </c>
      <c r="D123" s="7" t="s">
        <v>119</v>
      </c>
      <c r="E123" s="7" t="s">
        <v>175</v>
      </c>
      <c r="F123" s="7" t="s">
        <v>184</v>
      </c>
      <c r="G123" s="7" t="s">
        <v>43</v>
      </c>
      <c r="H123" s="7" t="s">
        <v>48</v>
      </c>
      <c r="I123" s="7" t="s">
        <v>97</v>
      </c>
      <c r="J123" s="7" t="s">
        <v>98</v>
      </c>
      <c r="K123" s="8">
        <v>5717950</v>
      </c>
      <c r="L123" s="8">
        <v>732000</v>
      </c>
      <c r="M123" s="8">
        <v>18</v>
      </c>
      <c r="N123" s="8">
        <v>1</v>
      </c>
      <c r="O123" s="8">
        <v>26</v>
      </c>
      <c r="P123" s="8"/>
    </row>
    <row r="124" spans="1:16" hidden="1" x14ac:dyDescent="0.25">
      <c r="A124" s="7" t="s">
        <v>37</v>
      </c>
      <c r="B124" s="7" t="s">
        <v>563</v>
      </c>
      <c r="C124" s="8">
        <v>25637</v>
      </c>
      <c r="D124" s="7" t="s">
        <v>119</v>
      </c>
      <c r="E124" s="7" t="s">
        <v>225</v>
      </c>
      <c r="F124" s="7" t="s">
        <v>568</v>
      </c>
      <c r="G124" s="7" t="s">
        <v>43</v>
      </c>
      <c r="H124" s="7" t="s">
        <v>48</v>
      </c>
      <c r="I124" s="7" t="s">
        <v>97</v>
      </c>
      <c r="J124" s="7" t="s">
        <v>98</v>
      </c>
      <c r="K124" s="8">
        <v>5708567</v>
      </c>
      <c r="L124" s="8">
        <v>684689</v>
      </c>
      <c r="M124" s="8">
        <v>18</v>
      </c>
      <c r="N124" s="8">
        <v>1</v>
      </c>
      <c r="O124" s="8">
        <v>27</v>
      </c>
      <c r="P124" s="8"/>
    </row>
    <row r="125" spans="1:16" hidden="1" x14ac:dyDescent="0.25">
      <c r="A125" s="7" t="s">
        <v>37</v>
      </c>
      <c r="B125" s="7" t="s">
        <v>92</v>
      </c>
      <c r="C125" s="8">
        <v>25640</v>
      </c>
      <c r="D125" s="7" t="s">
        <v>34</v>
      </c>
      <c r="E125" s="7" t="s">
        <v>93</v>
      </c>
      <c r="F125" s="7" t="s">
        <v>105</v>
      </c>
      <c r="G125" s="7" t="s">
        <v>43</v>
      </c>
      <c r="H125" s="7" t="s">
        <v>48</v>
      </c>
      <c r="I125" s="7" t="s">
        <v>712</v>
      </c>
      <c r="J125" s="7" t="s">
        <v>712</v>
      </c>
      <c r="K125" s="8">
        <v>5938803</v>
      </c>
      <c r="L125" s="8">
        <v>238106</v>
      </c>
      <c r="M125" s="8">
        <v>19</v>
      </c>
      <c r="N125" s="8">
        <v>1</v>
      </c>
      <c r="O125" s="8">
        <v>10</v>
      </c>
      <c r="P125" s="8"/>
    </row>
    <row r="126" spans="1:16" hidden="1" x14ac:dyDescent="0.25">
      <c r="A126" s="7" t="s">
        <v>37</v>
      </c>
      <c r="B126" s="7" t="s">
        <v>92</v>
      </c>
      <c r="C126" s="8">
        <v>25642</v>
      </c>
      <c r="D126" s="7" t="s">
        <v>34</v>
      </c>
      <c r="E126" s="7" t="s">
        <v>106</v>
      </c>
      <c r="F126" s="7" t="s">
        <v>107</v>
      </c>
      <c r="G126" s="7" t="s">
        <v>43</v>
      </c>
      <c r="H126" s="7" t="s">
        <v>48</v>
      </c>
      <c r="I126" s="7" t="s">
        <v>712</v>
      </c>
      <c r="J126" s="7" t="s">
        <v>712</v>
      </c>
      <c r="K126" s="8">
        <v>5945113</v>
      </c>
      <c r="L126" s="8">
        <v>764134</v>
      </c>
      <c r="M126" s="8">
        <v>18</v>
      </c>
      <c r="N126" s="8">
        <v>2</v>
      </c>
      <c r="O126" s="8">
        <v>16</v>
      </c>
      <c r="P126" s="8"/>
    </row>
    <row r="127" spans="1:16" hidden="1" x14ac:dyDescent="0.25">
      <c r="A127" s="7" t="s">
        <v>37</v>
      </c>
      <c r="B127" s="7" t="s">
        <v>92</v>
      </c>
      <c r="C127" s="8">
        <v>25643</v>
      </c>
      <c r="D127" s="7" t="s">
        <v>34</v>
      </c>
      <c r="E127" s="7" t="s">
        <v>95</v>
      </c>
      <c r="F127" s="7" t="s">
        <v>100</v>
      </c>
      <c r="G127" s="7" t="s">
        <v>43</v>
      </c>
      <c r="H127" s="7" t="s">
        <v>48</v>
      </c>
      <c r="I127" s="7" t="s">
        <v>712</v>
      </c>
      <c r="J127" s="7" t="s">
        <v>712</v>
      </c>
      <c r="K127" s="8">
        <v>5916967</v>
      </c>
      <c r="L127" s="8">
        <v>741406</v>
      </c>
      <c r="M127" s="8">
        <v>18</v>
      </c>
      <c r="N127" s="8">
        <v>1</v>
      </c>
      <c r="O127" s="8">
        <v>40</v>
      </c>
      <c r="P127" s="8"/>
    </row>
    <row r="128" spans="1:16" hidden="1" x14ac:dyDescent="0.25">
      <c r="A128" s="7" t="s">
        <v>37</v>
      </c>
      <c r="B128" s="7" t="s">
        <v>92</v>
      </c>
      <c r="C128" s="8">
        <v>25644</v>
      </c>
      <c r="D128" s="7" t="s">
        <v>34</v>
      </c>
      <c r="E128" s="7" t="s">
        <v>93</v>
      </c>
      <c r="F128" s="7" t="s">
        <v>94</v>
      </c>
      <c r="G128" s="7" t="s">
        <v>43</v>
      </c>
      <c r="H128" s="7" t="s">
        <v>48</v>
      </c>
      <c r="I128" s="7" t="s">
        <v>712</v>
      </c>
      <c r="J128" s="7" t="s">
        <v>691</v>
      </c>
      <c r="K128" s="8">
        <v>5953452</v>
      </c>
      <c r="L128" s="8">
        <v>246147</v>
      </c>
      <c r="M128" s="8">
        <v>19</v>
      </c>
      <c r="N128" s="8">
        <v>1</v>
      </c>
      <c r="O128" s="8">
        <v>25</v>
      </c>
      <c r="P128" s="8"/>
    </row>
    <row r="129" spans="1:16" hidden="1" x14ac:dyDescent="0.25">
      <c r="A129" s="7" t="s">
        <v>19</v>
      </c>
      <c r="B129" s="7" t="s">
        <v>415</v>
      </c>
      <c r="C129" s="8">
        <v>25645</v>
      </c>
      <c r="D129" s="7" t="s">
        <v>28</v>
      </c>
      <c r="E129" s="7" t="s">
        <v>166</v>
      </c>
      <c r="F129" s="7" t="s">
        <v>363</v>
      </c>
      <c r="G129" s="7" t="s">
        <v>18</v>
      </c>
      <c r="H129" s="7" t="s">
        <v>48</v>
      </c>
      <c r="I129" s="7" t="s">
        <v>712</v>
      </c>
      <c r="J129" s="7" t="s">
        <v>712</v>
      </c>
      <c r="K129" s="8">
        <v>6261748</v>
      </c>
      <c r="L129" s="8">
        <v>326953</v>
      </c>
      <c r="M129" s="8">
        <v>19</v>
      </c>
      <c r="N129" s="8">
        <v>1</v>
      </c>
      <c r="O129" s="8">
        <v>0.4</v>
      </c>
      <c r="P129" s="8"/>
    </row>
    <row r="130" spans="1:16" hidden="1" x14ac:dyDescent="0.25">
      <c r="A130" s="7" t="s">
        <v>19</v>
      </c>
      <c r="B130" s="7" t="s">
        <v>415</v>
      </c>
      <c r="C130" s="8">
        <v>25647</v>
      </c>
      <c r="D130" s="7" t="s">
        <v>28</v>
      </c>
      <c r="E130" s="7" t="s">
        <v>32</v>
      </c>
      <c r="F130" s="7" t="s">
        <v>147</v>
      </c>
      <c r="G130" s="7" t="s">
        <v>18</v>
      </c>
      <c r="H130" s="7" t="s">
        <v>48</v>
      </c>
      <c r="I130" s="7" t="s">
        <v>712</v>
      </c>
      <c r="J130" s="7" t="s">
        <v>691</v>
      </c>
      <c r="K130" s="8">
        <v>6268625</v>
      </c>
      <c r="L130" s="8">
        <v>334432</v>
      </c>
      <c r="M130" s="8">
        <v>19</v>
      </c>
      <c r="N130" s="8">
        <v>1</v>
      </c>
      <c r="O130" s="8">
        <v>0.4</v>
      </c>
      <c r="P130" s="8"/>
    </row>
    <row r="131" spans="1:16" hidden="1" x14ac:dyDescent="0.25">
      <c r="A131" s="7" t="s">
        <v>19</v>
      </c>
      <c r="B131" s="7" t="s">
        <v>415</v>
      </c>
      <c r="C131" s="8">
        <v>25649</v>
      </c>
      <c r="D131" s="7" t="s">
        <v>28</v>
      </c>
      <c r="E131" s="7" t="s">
        <v>32</v>
      </c>
      <c r="F131" s="7" t="s">
        <v>33</v>
      </c>
      <c r="G131" s="7" t="s">
        <v>18</v>
      </c>
      <c r="H131" s="7" t="s">
        <v>48</v>
      </c>
      <c r="I131" s="7" t="s">
        <v>712</v>
      </c>
      <c r="J131" s="7" t="s">
        <v>691</v>
      </c>
      <c r="K131" s="8">
        <v>6275788</v>
      </c>
      <c r="L131" s="8">
        <v>340385</v>
      </c>
      <c r="M131" s="8">
        <v>19</v>
      </c>
      <c r="N131" s="8">
        <v>1</v>
      </c>
      <c r="O131" s="8">
        <v>0.45</v>
      </c>
      <c r="P131" s="8"/>
    </row>
    <row r="132" spans="1:16" hidden="1" x14ac:dyDescent="0.25">
      <c r="A132" s="7" t="s">
        <v>19</v>
      </c>
      <c r="B132" s="7" t="s">
        <v>415</v>
      </c>
      <c r="C132" s="8">
        <v>25650</v>
      </c>
      <c r="D132" s="7" t="s">
        <v>28</v>
      </c>
      <c r="E132" s="7" t="s">
        <v>428</v>
      </c>
      <c r="F132" s="7" t="s">
        <v>428</v>
      </c>
      <c r="G132" s="7" t="s">
        <v>18</v>
      </c>
      <c r="H132" s="7" t="s">
        <v>48</v>
      </c>
      <c r="I132" s="7" t="s">
        <v>712</v>
      </c>
      <c r="J132" s="7" t="s">
        <v>691</v>
      </c>
      <c r="K132" s="8">
        <v>6285127</v>
      </c>
      <c r="L132" s="8">
        <v>342788</v>
      </c>
      <c r="M132" s="8">
        <v>19</v>
      </c>
      <c r="N132" s="8">
        <v>1</v>
      </c>
      <c r="O132" s="8">
        <v>0.35</v>
      </c>
      <c r="P132" s="8"/>
    </row>
    <row r="133" spans="1:16" hidden="1" x14ac:dyDescent="0.25">
      <c r="A133" s="7" t="s">
        <v>37</v>
      </c>
      <c r="B133" s="7" t="s">
        <v>92</v>
      </c>
      <c r="C133" s="8">
        <v>25661</v>
      </c>
      <c r="D133" s="7" t="s">
        <v>34</v>
      </c>
      <c r="E133" s="7" t="s">
        <v>96</v>
      </c>
      <c r="F133" s="7" t="s">
        <v>108</v>
      </c>
      <c r="G133" s="7" t="s">
        <v>43</v>
      </c>
      <c r="H133" s="7" t="s">
        <v>109</v>
      </c>
      <c r="I133" s="7" t="s">
        <v>712</v>
      </c>
      <c r="J133" s="7" t="s">
        <v>712</v>
      </c>
      <c r="K133" s="8">
        <v>5921577</v>
      </c>
      <c r="L133" s="8">
        <v>761740</v>
      </c>
      <c r="M133" s="8">
        <v>18</v>
      </c>
      <c r="N133" s="8">
        <v>1</v>
      </c>
      <c r="O133" s="8">
        <v>1</v>
      </c>
      <c r="P133" s="8"/>
    </row>
    <row r="134" spans="1:16" hidden="1" x14ac:dyDescent="0.25">
      <c r="A134" s="7" t="s">
        <v>19</v>
      </c>
      <c r="B134" s="7" t="s">
        <v>415</v>
      </c>
      <c r="C134" s="8">
        <v>25664</v>
      </c>
      <c r="D134" s="7" t="s">
        <v>28</v>
      </c>
      <c r="E134" s="7" t="s">
        <v>142</v>
      </c>
      <c r="F134" s="7" t="s">
        <v>142</v>
      </c>
      <c r="G134" s="7" t="s">
        <v>18</v>
      </c>
      <c r="H134" s="7" t="s">
        <v>48</v>
      </c>
      <c r="I134" s="7" t="s">
        <v>712</v>
      </c>
      <c r="J134" s="7" t="s">
        <v>712</v>
      </c>
      <c r="K134" s="8">
        <v>6277809</v>
      </c>
      <c r="L134" s="8">
        <v>334027</v>
      </c>
      <c r="M134" s="8">
        <v>19</v>
      </c>
      <c r="N134" s="8">
        <v>1</v>
      </c>
      <c r="O134" s="8">
        <v>0.4</v>
      </c>
      <c r="P134" s="8"/>
    </row>
    <row r="135" spans="1:16" hidden="1" x14ac:dyDescent="0.25">
      <c r="A135" s="7" t="s">
        <v>37</v>
      </c>
      <c r="B135" s="7" t="s">
        <v>415</v>
      </c>
      <c r="C135" s="8">
        <v>25667</v>
      </c>
      <c r="D135" s="7" t="s">
        <v>28</v>
      </c>
      <c r="E135" s="7" t="s">
        <v>429</v>
      </c>
      <c r="F135" s="7" t="s">
        <v>430</v>
      </c>
      <c r="G135" s="7" t="s">
        <v>18</v>
      </c>
      <c r="H135" s="7" t="s">
        <v>24</v>
      </c>
      <c r="I135" s="7" t="s">
        <v>712</v>
      </c>
      <c r="J135" s="7" t="s">
        <v>712</v>
      </c>
      <c r="K135" s="8">
        <v>6326340</v>
      </c>
      <c r="L135" s="8">
        <v>324351</v>
      </c>
      <c r="M135" s="8">
        <v>19</v>
      </c>
      <c r="N135" s="8">
        <v>1</v>
      </c>
      <c r="O135" s="8">
        <v>2.4</v>
      </c>
      <c r="P135" s="8"/>
    </row>
    <row r="136" spans="1:16" hidden="1" x14ac:dyDescent="0.25">
      <c r="A136" s="7" t="s">
        <v>37</v>
      </c>
      <c r="B136" s="7" t="s">
        <v>415</v>
      </c>
      <c r="C136" s="8">
        <v>25669</v>
      </c>
      <c r="D136" s="7" t="s">
        <v>28</v>
      </c>
      <c r="E136" s="7" t="s">
        <v>29</v>
      </c>
      <c r="F136" s="7" t="s">
        <v>431</v>
      </c>
      <c r="G136" s="7" t="s">
        <v>18</v>
      </c>
      <c r="H136" s="7" t="s">
        <v>24</v>
      </c>
      <c r="I136" s="7" t="s">
        <v>712</v>
      </c>
      <c r="J136" s="7" t="s">
        <v>712</v>
      </c>
      <c r="K136" s="8">
        <v>6255686</v>
      </c>
      <c r="L136" s="8">
        <v>346514</v>
      </c>
      <c r="M136" s="8">
        <v>19</v>
      </c>
      <c r="N136" s="8">
        <v>1</v>
      </c>
      <c r="O136" s="8">
        <v>1.64</v>
      </c>
      <c r="P136" s="8"/>
    </row>
    <row r="137" spans="1:16" hidden="1" x14ac:dyDescent="0.25">
      <c r="A137" s="7" t="s">
        <v>14</v>
      </c>
      <c r="B137" s="7" t="s">
        <v>415</v>
      </c>
      <c r="C137" s="8">
        <v>25671</v>
      </c>
      <c r="D137" s="7" t="s">
        <v>28</v>
      </c>
      <c r="E137" s="7" t="s">
        <v>29</v>
      </c>
      <c r="F137" s="7" t="s">
        <v>432</v>
      </c>
      <c r="G137" s="7" t="s">
        <v>18</v>
      </c>
      <c r="H137" s="7" t="s">
        <v>689</v>
      </c>
      <c r="I137" s="7" t="s">
        <v>712</v>
      </c>
      <c r="J137" s="7" t="s">
        <v>712</v>
      </c>
      <c r="K137" s="8">
        <v>6253749</v>
      </c>
      <c r="L137" s="8">
        <v>334580</v>
      </c>
      <c r="M137" s="8">
        <v>19</v>
      </c>
      <c r="N137" s="8">
        <v>1</v>
      </c>
      <c r="O137" s="8">
        <v>6</v>
      </c>
      <c r="P137" s="8"/>
    </row>
    <row r="138" spans="1:16" hidden="1" x14ac:dyDescent="0.25">
      <c r="A138" s="7" t="s">
        <v>19</v>
      </c>
      <c r="B138" s="7" t="s">
        <v>415</v>
      </c>
      <c r="C138" s="8">
        <v>25675</v>
      </c>
      <c r="D138" s="7" t="s">
        <v>28</v>
      </c>
      <c r="E138" s="7" t="s">
        <v>344</v>
      </c>
      <c r="F138" s="7" t="s">
        <v>344</v>
      </c>
      <c r="G138" s="7" t="s">
        <v>18</v>
      </c>
      <c r="H138" s="7" t="s">
        <v>48</v>
      </c>
      <c r="I138" s="7" t="s">
        <v>712</v>
      </c>
      <c r="J138" s="7" t="s">
        <v>712</v>
      </c>
      <c r="K138" s="8">
        <v>6272006</v>
      </c>
      <c r="L138" s="8">
        <v>298660</v>
      </c>
      <c r="M138" s="8">
        <v>19</v>
      </c>
      <c r="N138" s="8">
        <v>1</v>
      </c>
      <c r="O138" s="8">
        <v>0.4</v>
      </c>
      <c r="P138" s="8"/>
    </row>
    <row r="139" spans="1:16" hidden="1" x14ac:dyDescent="0.25">
      <c r="A139" s="7" t="s">
        <v>19</v>
      </c>
      <c r="B139" s="7" t="s">
        <v>415</v>
      </c>
      <c r="C139" s="8">
        <v>25676</v>
      </c>
      <c r="D139" s="7" t="s">
        <v>28</v>
      </c>
      <c r="E139" s="7" t="s">
        <v>142</v>
      </c>
      <c r="F139" s="7" t="s">
        <v>433</v>
      </c>
      <c r="G139" s="7" t="s">
        <v>18</v>
      </c>
      <c r="H139" s="7" t="s">
        <v>48</v>
      </c>
      <c r="I139" s="7" t="s">
        <v>712</v>
      </c>
      <c r="J139" s="7" t="s">
        <v>691</v>
      </c>
      <c r="K139" s="8">
        <v>6282619</v>
      </c>
      <c r="L139" s="8">
        <v>333030</v>
      </c>
      <c r="M139" s="8">
        <v>19</v>
      </c>
      <c r="N139" s="8">
        <v>1</v>
      </c>
      <c r="O139" s="8">
        <v>0.4</v>
      </c>
      <c r="P139" s="8"/>
    </row>
    <row r="140" spans="1:16" hidden="1" x14ac:dyDescent="0.25">
      <c r="A140" s="7" t="s">
        <v>19</v>
      </c>
      <c r="B140" s="7" t="s">
        <v>415</v>
      </c>
      <c r="C140" s="8">
        <v>25677</v>
      </c>
      <c r="D140" s="7" t="s">
        <v>28</v>
      </c>
      <c r="E140" s="7" t="s">
        <v>32</v>
      </c>
      <c r="F140" s="7" t="s">
        <v>147</v>
      </c>
      <c r="G140" s="7" t="s">
        <v>18</v>
      </c>
      <c r="H140" s="7" t="s">
        <v>48</v>
      </c>
      <c r="I140" s="7" t="s">
        <v>712</v>
      </c>
      <c r="J140" s="7" t="s">
        <v>712</v>
      </c>
      <c r="K140" s="8">
        <v>6270785</v>
      </c>
      <c r="L140" s="8">
        <v>335701</v>
      </c>
      <c r="M140" s="8">
        <v>19</v>
      </c>
      <c r="N140" s="8">
        <v>1</v>
      </c>
      <c r="O140" s="8">
        <v>0.4</v>
      </c>
      <c r="P140" s="8"/>
    </row>
    <row r="141" spans="1:16" hidden="1" x14ac:dyDescent="0.25">
      <c r="A141" s="7" t="s">
        <v>37</v>
      </c>
      <c r="B141" s="7" t="s">
        <v>415</v>
      </c>
      <c r="C141" s="8">
        <v>25678</v>
      </c>
      <c r="D141" s="7" t="s">
        <v>28</v>
      </c>
      <c r="E141" s="7" t="s">
        <v>29</v>
      </c>
      <c r="F141" s="7" t="s">
        <v>29</v>
      </c>
      <c r="G141" s="7" t="s">
        <v>18</v>
      </c>
      <c r="H141" s="7" t="s">
        <v>24</v>
      </c>
      <c r="I141" s="7" t="s">
        <v>712</v>
      </c>
      <c r="J141" s="7" t="s">
        <v>712</v>
      </c>
      <c r="K141" s="8">
        <v>6257385</v>
      </c>
      <c r="L141" s="8">
        <v>343629</v>
      </c>
      <c r="M141" s="8">
        <v>19</v>
      </c>
      <c r="N141" s="8">
        <v>1</v>
      </c>
      <c r="O141" s="8">
        <v>0.2</v>
      </c>
      <c r="P141" s="8"/>
    </row>
    <row r="142" spans="1:16" hidden="1" x14ac:dyDescent="0.25">
      <c r="A142" s="7" t="s">
        <v>19</v>
      </c>
      <c r="B142" s="7" t="s">
        <v>415</v>
      </c>
      <c r="C142" s="8">
        <v>25679</v>
      </c>
      <c r="D142" s="7" t="s">
        <v>28</v>
      </c>
      <c r="E142" s="7" t="s">
        <v>32</v>
      </c>
      <c r="F142" s="7" t="s">
        <v>147</v>
      </c>
      <c r="G142" s="7" t="s">
        <v>18</v>
      </c>
      <c r="H142" s="7" t="s">
        <v>48</v>
      </c>
      <c r="I142" s="7" t="s">
        <v>712</v>
      </c>
      <c r="J142" s="7" t="s">
        <v>691</v>
      </c>
      <c r="K142" s="8">
        <v>6268625</v>
      </c>
      <c r="L142" s="8">
        <v>334432</v>
      </c>
      <c r="M142" s="8">
        <v>19</v>
      </c>
      <c r="N142" s="8">
        <v>1</v>
      </c>
      <c r="O142" s="8">
        <v>0.4</v>
      </c>
      <c r="P142" s="8"/>
    </row>
    <row r="143" spans="1:16" hidden="1" x14ac:dyDescent="0.25">
      <c r="A143" s="7" t="s">
        <v>37</v>
      </c>
      <c r="B143" s="7" t="s">
        <v>415</v>
      </c>
      <c r="C143" s="8">
        <v>25681</v>
      </c>
      <c r="D143" s="7" t="s">
        <v>28</v>
      </c>
      <c r="E143" s="7" t="s">
        <v>29</v>
      </c>
      <c r="F143" s="7" t="s">
        <v>29</v>
      </c>
      <c r="G143" s="7" t="s">
        <v>18</v>
      </c>
      <c r="H143" s="7" t="s">
        <v>24</v>
      </c>
      <c r="I143" s="7" t="s">
        <v>712</v>
      </c>
      <c r="J143" s="7" t="s">
        <v>712</v>
      </c>
      <c r="K143" s="8">
        <v>6257882</v>
      </c>
      <c r="L143" s="8">
        <v>343813</v>
      </c>
      <c r="M143" s="8">
        <v>19</v>
      </c>
      <c r="N143" s="8">
        <v>1</v>
      </c>
      <c r="O143" s="8">
        <v>0.2</v>
      </c>
      <c r="P143" s="8"/>
    </row>
    <row r="144" spans="1:16" hidden="1" x14ac:dyDescent="0.25">
      <c r="A144" s="7" t="s">
        <v>19</v>
      </c>
      <c r="B144" s="7" t="s">
        <v>415</v>
      </c>
      <c r="C144" s="8">
        <v>25682</v>
      </c>
      <c r="D144" s="7" t="s">
        <v>28</v>
      </c>
      <c r="E144" s="7" t="s">
        <v>142</v>
      </c>
      <c r="F144" s="7" t="s">
        <v>142</v>
      </c>
      <c r="G144" s="7" t="s">
        <v>18</v>
      </c>
      <c r="H144" s="7" t="s">
        <v>48</v>
      </c>
      <c r="I144" s="7" t="s">
        <v>712</v>
      </c>
      <c r="J144" s="7" t="s">
        <v>691</v>
      </c>
      <c r="K144" s="8">
        <v>6278899</v>
      </c>
      <c r="L144" s="8">
        <v>339671</v>
      </c>
      <c r="M144" s="8">
        <v>19</v>
      </c>
      <c r="N144" s="8">
        <v>1</v>
      </c>
      <c r="O144" s="8">
        <v>0.3</v>
      </c>
      <c r="P144" s="8"/>
    </row>
    <row r="145" spans="1:16" hidden="1" x14ac:dyDescent="0.25">
      <c r="A145" s="7" t="s">
        <v>14</v>
      </c>
      <c r="B145" s="7" t="s">
        <v>415</v>
      </c>
      <c r="C145" s="8">
        <v>25683</v>
      </c>
      <c r="D145" s="7" t="s">
        <v>28</v>
      </c>
      <c r="E145" s="7" t="s">
        <v>29</v>
      </c>
      <c r="F145" s="7" t="s">
        <v>57</v>
      </c>
      <c r="G145" s="7" t="s">
        <v>43</v>
      </c>
      <c r="H145" s="7" t="s">
        <v>689</v>
      </c>
      <c r="I145" s="7" t="s">
        <v>712</v>
      </c>
      <c r="J145" s="7" t="s">
        <v>712</v>
      </c>
      <c r="K145" s="8">
        <v>6263614</v>
      </c>
      <c r="L145" s="8">
        <v>344058</v>
      </c>
      <c r="M145" s="8">
        <v>19</v>
      </c>
      <c r="N145" s="8">
        <v>1</v>
      </c>
      <c r="O145" s="8">
        <v>11</v>
      </c>
      <c r="P145" s="8"/>
    </row>
    <row r="146" spans="1:16" hidden="1" x14ac:dyDescent="0.25">
      <c r="A146" s="7" t="s">
        <v>19</v>
      </c>
      <c r="B146" s="7" t="s">
        <v>415</v>
      </c>
      <c r="C146" s="8">
        <v>25685</v>
      </c>
      <c r="D146" s="7" t="s">
        <v>28</v>
      </c>
      <c r="E146" s="7" t="s">
        <v>56</v>
      </c>
      <c r="F146" s="7" t="s">
        <v>350</v>
      </c>
      <c r="G146" s="7" t="s">
        <v>18</v>
      </c>
      <c r="H146" s="7" t="s">
        <v>48</v>
      </c>
      <c r="I146" s="7" t="s">
        <v>712</v>
      </c>
      <c r="J146" s="7" t="s">
        <v>712</v>
      </c>
      <c r="K146" s="8">
        <v>6261851</v>
      </c>
      <c r="L146" s="8">
        <v>341235</v>
      </c>
      <c r="M146" s="8">
        <v>19</v>
      </c>
      <c r="N146" s="8">
        <v>1</v>
      </c>
      <c r="O146" s="8">
        <v>0.4</v>
      </c>
      <c r="P146" s="8"/>
    </row>
    <row r="147" spans="1:16" hidden="1" x14ac:dyDescent="0.25">
      <c r="A147" s="7" t="s">
        <v>37</v>
      </c>
      <c r="B147" s="7" t="s">
        <v>270</v>
      </c>
      <c r="C147" s="8">
        <v>25702</v>
      </c>
      <c r="D147" s="7" t="s">
        <v>21</v>
      </c>
      <c r="E147" s="7" t="s">
        <v>280</v>
      </c>
      <c r="F147" s="7" t="s">
        <v>586</v>
      </c>
      <c r="G147" s="7" t="s">
        <v>18</v>
      </c>
      <c r="H147" s="7" t="s">
        <v>24</v>
      </c>
      <c r="I147" s="7" t="s">
        <v>712</v>
      </c>
      <c r="J147" s="7" t="s">
        <v>712</v>
      </c>
      <c r="K147" s="8">
        <v>6364580</v>
      </c>
      <c r="L147" s="8">
        <v>314263</v>
      </c>
      <c r="M147" s="8">
        <v>19</v>
      </c>
      <c r="N147" s="8">
        <v>1</v>
      </c>
      <c r="O147" s="8">
        <v>1.6</v>
      </c>
      <c r="P147" s="8"/>
    </row>
    <row r="148" spans="1:16" hidden="1" x14ac:dyDescent="0.25">
      <c r="A148" s="7" t="s">
        <v>37</v>
      </c>
      <c r="B148" s="7" t="s">
        <v>270</v>
      </c>
      <c r="C148" s="8">
        <v>25705</v>
      </c>
      <c r="D148" s="7" t="s">
        <v>52</v>
      </c>
      <c r="E148" s="7" t="s">
        <v>153</v>
      </c>
      <c r="F148" s="7" t="s">
        <v>587</v>
      </c>
      <c r="G148" s="7" t="s">
        <v>18</v>
      </c>
      <c r="H148" s="7" t="s">
        <v>48</v>
      </c>
      <c r="I148" s="7" t="s">
        <v>712</v>
      </c>
      <c r="J148" s="7" t="s">
        <v>712</v>
      </c>
      <c r="K148" s="8">
        <v>6201199</v>
      </c>
      <c r="L148" s="8">
        <v>336373</v>
      </c>
      <c r="M148" s="8">
        <v>19</v>
      </c>
      <c r="N148" s="8">
        <v>1</v>
      </c>
      <c r="O148" s="8">
        <v>4.5</v>
      </c>
      <c r="P148" s="8"/>
    </row>
    <row r="149" spans="1:16" hidden="1" x14ac:dyDescent="0.25">
      <c r="A149" s="7" t="s">
        <v>37</v>
      </c>
      <c r="B149" s="7" t="s">
        <v>181</v>
      </c>
      <c r="C149" s="8">
        <v>25706</v>
      </c>
      <c r="D149" s="7" t="s">
        <v>119</v>
      </c>
      <c r="E149" s="7" t="s">
        <v>196</v>
      </c>
      <c r="F149" s="7" t="s">
        <v>178</v>
      </c>
      <c r="G149" s="7" t="s">
        <v>43</v>
      </c>
      <c r="H149" s="7" t="s">
        <v>48</v>
      </c>
      <c r="I149" s="7" t="s">
        <v>91</v>
      </c>
      <c r="J149" s="7" t="s">
        <v>691</v>
      </c>
      <c r="K149" s="8">
        <v>5706306</v>
      </c>
      <c r="L149" s="8">
        <v>724555</v>
      </c>
      <c r="M149" s="8">
        <v>18</v>
      </c>
      <c r="N149" s="8">
        <v>1</v>
      </c>
      <c r="O149" s="8">
        <v>39</v>
      </c>
      <c r="P149" s="8"/>
    </row>
    <row r="150" spans="1:16" hidden="1" x14ac:dyDescent="0.25">
      <c r="A150" s="7" t="s">
        <v>19</v>
      </c>
      <c r="B150" s="7" t="s">
        <v>270</v>
      </c>
      <c r="C150" s="8">
        <v>25707</v>
      </c>
      <c r="D150" s="7" t="s">
        <v>52</v>
      </c>
      <c r="E150" s="7" t="s">
        <v>139</v>
      </c>
      <c r="F150" s="7" t="s">
        <v>139</v>
      </c>
      <c r="G150" s="7" t="s">
        <v>18</v>
      </c>
      <c r="H150" s="7" t="s">
        <v>48</v>
      </c>
      <c r="I150" s="7" t="s">
        <v>712</v>
      </c>
      <c r="J150" s="7" t="s">
        <v>712</v>
      </c>
      <c r="K150" s="8">
        <v>6226152</v>
      </c>
      <c r="L150" s="8">
        <v>337511</v>
      </c>
      <c r="M150" s="8">
        <v>19</v>
      </c>
      <c r="N150" s="8">
        <v>1</v>
      </c>
      <c r="O150" s="8">
        <v>5</v>
      </c>
      <c r="P150" s="8"/>
    </row>
    <row r="151" spans="1:16" hidden="1" x14ac:dyDescent="0.25">
      <c r="A151" s="7" t="s">
        <v>37</v>
      </c>
      <c r="B151" s="7" t="s">
        <v>181</v>
      </c>
      <c r="C151" s="8">
        <v>25708</v>
      </c>
      <c r="D151" s="7" t="s">
        <v>119</v>
      </c>
      <c r="E151" s="7" t="s">
        <v>197</v>
      </c>
      <c r="F151" s="7" t="s">
        <v>197</v>
      </c>
      <c r="G151" s="7" t="s">
        <v>43</v>
      </c>
      <c r="H151" s="7" t="s">
        <v>48</v>
      </c>
      <c r="I151" s="7" t="s">
        <v>91</v>
      </c>
      <c r="J151" s="7" t="s">
        <v>91</v>
      </c>
      <c r="K151" s="8">
        <v>5681672</v>
      </c>
      <c r="L151" s="8">
        <v>689890</v>
      </c>
      <c r="M151" s="8">
        <v>18</v>
      </c>
      <c r="N151" s="8">
        <v>3</v>
      </c>
      <c r="O151" s="8">
        <v>44</v>
      </c>
      <c r="P151" s="8"/>
    </row>
    <row r="152" spans="1:16" hidden="1" x14ac:dyDescent="0.25">
      <c r="A152" s="7" t="s">
        <v>19</v>
      </c>
      <c r="B152" s="7" t="s">
        <v>270</v>
      </c>
      <c r="C152" s="8">
        <v>25709</v>
      </c>
      <c r="D152" s="7" t="s">
        <v>16</v>
      </c>
      <c r="E152" s="7" t="s">
        <v>137</v>
      </c>
      <c r="F152" s="7" t="s">
        <v>137</v>
      </c>
      <c r="G152" s="7" t="s">
        <v>18</v>
      </c>
      <c r="H152" s="7" t="s">
        <v>48</v>
      </c>
      <c r="I152" s="7" t="s">
        <v>712</v>
      </c>
      <c r="J152" s="7" t="s">
        <v>712</v>
      </c>
      <c r="K152" s="8">
        <v>6087153</v>
      </c>
      <c r="L152" s="8">
        <v>250066</v>
      </c>
      <c r="M152" s="8">
        <v>19</v>
      </c>
      <c r="N152" s="8">
        <v>4</v>
      </c>
      <c r="O152" s="8">
        <v>22</v>
      </c>
      <c r="P152" s="8"/>
    </row>
    <row r="153" spans="1:16" hidden="1" x14ac:dyDescent="0.25">
      <c r="A153" s="7" t="s">
        <v>19</v>
      </c>
      <c r="B153" s="7" t="s">
        <v>270</v>
      </c>
      <c r="C153" s="8">
        <v>25710</v>
      </c>
      <c r="D153" s="7" t="s">
        <v>16</v>
      </c>
      <c r="E153" s="7" t="s">
        <v>137</v>
      </c>
      <c r="F153" s="7" t="s">
        <v>137</v>
      </c>
      <c r="G153" s="7" t="s">
        <v>18</v>
      </c>
      <c r="H153" s="7" t="s">
        <v>48</v>
      </c>
      <c r="I153" s="7" t="s">
        <v>712</v>
      </c>
      <c r="J153" s="7" t="s">
        <v>712</v>
      </c>
      <c r="K153" s="8">
        <v>6087545</v>
      </c>
      <c r="L153" s="8">
        <v>251540</v>
      </c>
      <c r="M153" s="8">
        <v>19</v>
      </c>
      <c r="N153" s="8">
        <v>4</v>
      </c>
      <c r="O153" s="8">
        <v>33</v>
      </c>
      <c r="P153" s="8"/>
    </row>
    <row r="154" spans="1:16" hidden="1" x14ac:dyDescent="0.25">
      <c r="A154" s="7" t="s">
        <v>37</v>
      </c>
      <c r="B154" s="7" t="s">
        <v>563</v>
      </c>
      <c r="C154" s="8">
        <v>25711</v>
      </c>
      <c r="D154" s="7" t="s">
        <v>185</v>
      </c>
      <c r="E154" s="7" t="s">
        <v>569</v>
      </c>
      <c r="F154" s="7" t="s">
        <v>569</v>
      </c>
      <c r="G154" s="7" t="s">
        <v>43</v>
      </c>
      <c r="H154" s="7" t="s">
        <v>48</v>
      </c>
      <c r="I154" s="7" t="s">
        <v>97</v>
      </c>
      <c r="J154" s="7" t="s">
        <v>98</v>
      </c>
      <c r="K154" s="8">
        <v>5629900</v>
      </c>
      <c r="L154" s="8">
        <v>688108</v>
      </c>
      <c r="M154" s="8">
        <v>18</v>
      </c>
      <c r="N154" s="8">
        <v>1</v>
      </c>
      <c r="O154" s="8">
        <v>30.5</v>
      </c>
      <c r="P154" s="8"/>
    </row>
    <row r="155" spans="1:16" hidden="1" x14ac:dyDescent="0.25">
      <c r="A155" s="7" t="s">
        <v>19</v>
      </c>
      <c r="B155" s="7" t="s">
        <v>270</v>
      </c>
      <c r="C155" s="8">
        <v>25712</v>
      </c>
      <c r="D155" s="7" t="s">
        <v>16</v>
      </c>
      <c r="E155" s="7" t="s">
        <v>337</v>
      </c>
      <c r="F155" s="7" t="s">
        <v>588</v>
      </c>
      <c r="G155" s="7" t="s">
        <v>18</v>
      </c>
      <c r="H155" s="7" t="s">
        <v>48</v>
      </c>
      <c r="I155" s="7" t="s">
        <v>712</v>
      </c>
      <c r="J155" s="7" t="s">
        <v>712</v>
      </c>
      <c r="K155" s="8">
        <v>6123031</v>
      </c>
      <c r="L155" s="8">
        <v>311332</v>
      </c>
      <c r="M155" s="8">
        <v>19</v>
      </c>
      <c r="N155" s="8">
        <v>1</v>
      </c>
      <c r="O155" s="8">
        <v>11</v>
      </c>
      <c r="P155" s="8"/>
    </row>
    <row r="156" spans="1:16" hidden="1" x14ac:dyDescent="0.25">
      <c r="A156" s="7" t="s">
        <v>37</v>
      </c>
      <c r="B156" s="7" t="s">
        <v>415</v>
      </c>
      <c r="C156" s="8">
        <v>25713</v>
      </c>
      <c r="D156" s="7" t="s">
        <v>28</v>
      </c>
      <c r="E156" s="7" t="s">
        <v>364</v>
      </c>
      <c r="F156" s="7" t="s">
        <v>434</v>
      </c>
      <c r="G156" s="7" t="s">
        <v>18</v>
      </c>
      <c r="H156" s="7" t="s">
        <v>24</v>
      </c>
      <c r="I156" s="7" t="s">
        <v>712</v>
      </c>
      <c r="J156" s="7" t="s">
        <v>712</v>
      </c>
      <c r="K156" s="8">
        <v>6292091</v>
      </c>
      <c r="L156" s="8">
        <v>330904</v>
      </c>
      <c r="M156" s="8">
        <v>19</v>
      </c>
      <c r="N156" s="8">
        <v>1</v>
      </c>
      <c r="O156" s="8">
        <v>0.3</v>
      </c>
      <c r="P156" s="8"/>
    </row>
    <row r="157" spans="1:16" hidden="1" x14ac:dyDescent="0.25">
      <c r="A157" s="7" t="s">
        <v>37</v>
      </c>
      <c r="B157" s="7" t="s">
        <v>415</v>
      </c>
      <c r="C157" s="8">
        <v>25714</v>
      </c>
      <c r="D157" s="7" t="s">
        <v>28</v>
      </c>
      <c r="E157" s="7" t="s">
        <v>387</v>
      </c>
      <c r="F157" s="7" t="s">
        <v>435</v>
      </c>
      <c r="G157" s="7" t="s">
        <v>18</v>
      </c>
      <c r="H157" s="7" t="s">
        <v>24</v>
      </c>
      <c r="I157" s="7" t="s">
        <v>712</v>
      </c>
      <c r="J157" s="7" t="s">
        <v>712</v>
      </c>
      <c r="K157" s="8">
        <v>6302878</v>
      </c>
      <c r="L157" s="8">
        <v>326612</v>
      </c>
      <c r="M157" s="8">
        <v>19</v>
      </c>
      <c r="N157" s="8">
        <v>1</v>
      </c>
      <c r="O157" s="8">
        <v>0.12</v>
      </c>
      <c r="P157" s="8"/>
    </row>
    <row r="158" spans="1:16" hidden="1" x14ac:dyDescent="0.25">
      <c r="A158" s="7" t="s">
        <v>19</v>
      </c>
      <c r="B158" s="7" t="s">
        <v>415</v>
      </c>
      <c r="C158" s="8">
        <v>25715</v>
      </c>
      <c r="D158" s="7" t="s">
        <v>28</v>
      </c>
      <c r="E158" s="7" t="s">
        <v>56</v>
      </c>
      <c r="F158" s="7" t="s">
        <v>350</v>
      </c>
      <c r="G158" s="7" t="s">
        <v>18</v>
      </c>
      <c r="H158" s="7" t="s">
        <v>48</v>
      </c>
      <c r="I158" s="7" t="s">
        <v>712</v>
      </c>
      <c r="J158" s="7" t="s">
        <v>712</v>
      </c>
      <c r="K158" s="8">
        <v>6261133</v>
      </c>
      <c r="L158" s="8">
        <v>341192</v>
      </c>
      <c r="M158" s="8">
        <v>19</v>
      </c>
      <c r="N158" s="8">
        <v>1</v>
      </c>
      <c r="O158" s="8">
        <v>0.4</v>
      </c>
      <c r="P158" s="8"/>
    </row>
    <row r="159" spans="1:16" hidden="1" x14ac:dyDescent="0.25">
      <c r="A159" s="7" t="s">
        <v>37</v>
      </c>
      <c r="B159" s="7" t="s">
        <v>415</v>
      </c>
      <c r="C159" s="8">
        <v>25716</v>
      </c>
      <c r="D159" s="7" t="s">
        <v>52</v>
      </c>
      <c r="E159" s="7" t="s">
        <v>82</v>
      </c>
      <c r="F159" s="7" t="s">
        <v>82</v>
      </c>
      <c r="G159" s="7" t="s">
        <v>18</v>
      </c>
      <c r="H159" s="7" t="s">
        <v>48</v>
      </c>
      <c r="I159" s="7" t="s">
        <v>712</v>
      </c>
      <c r="J159" s="7" t="s">
        <v>712</v>
      </c>
      <c r="K159" s="8">
        <v>6165766</v>
      </c>
      <c r="L159" s="8">
        <v>291537</v>
      </c>
      <c r="M159" s="8">
        <v>19</v>
      </c>
      <c r="N159" s="8">
        <v>5</v>
      </c>
      <c r="O159" s="8">
        <v>46.9</v>
      </c>
      <c r="P159" s="8"/>
    </row>
    <row r="160" spans="1:16" hidden="1" x14ac:dyDescent="0.25">
      <c r="A160" s="7" t="s">
        <v>19</v>
      </c>
      <c r="B160" s="7" t="s">
        <v>415</v>
      </c>
      <c r="C160" s="8">
        <v>25717</v>
      </c>
      <c r="D160" s="7" t="s">
        <v>28</v>
      </c>
      <c r="E160" s="7" t="s">
        <v>32</v>
      </c>
      <c r="F160" s="7" t="s">
        <v>291</v>
      </c>
      <c r="G160" s="7" t="s">
        <v>18</v>
      </c>
      <c r="H160" s="7" t="s">
        <v>48</v>
      </c>
      <c r="I160" s="7" t="s">
        <v>712</v>
      </c>
      <c r="J160" s="7" t="s">
        <v>691</v>
      </c>
      <c r="K160" s="8">
        <v>6278141</v>
      </c>
      <c r="L160" s="8">
        <v>339296</v>
      </c>
      <c r="M160" s="8">
        <v>19</v>
      </c>
      <c r="N160" s="8">
        <v>1</v>
      </c>
      <c r="O160" s="8">
        <v>0.4</v>
      </c>
      <c r="P160" s="8"/>
    </row>
    <row r="161" spans="1:16" hidden="1" x14ac:dyDescent="0.25">
      <c r="A161" s="7" t="s">
        <v>37</v>
      </c>
      <c r="B161" s="7" t="s">
        <v>415</v>
      </c>
      <c r="C161" s="8">
        <v>25718</v>
      </c>
      <c r="D161" s="7" t="s">
        <v>52</v>
      </c>
      <c r="E161" s="7" t="s">
        <v>273</v>
      </c>
      <c r="F161" s="7" t="s">
        <v>436</v>
      </c>
      <c r="G161" s="7" t="s">
        <v>18</v>
      </c>
      <c r="H161" s="7" t="s">
        <v>48</v>
      </c>
      <c r="I161" s="7" t="s">
        <v>712</v>
      </c>
      <c r="J161" s="7" t="s">
        <v>712</v>
      </c>
      <c r="K161" s="8">
        <v>6165435</v>
      </c>
      <c r="L161" s="8">
        <v>288371</v>
      </c>
      <c r="M161" s="8">
        <v>19</v>
      </c>
      <c r="N161" s="8">
        <v>1</v>
      </c>
      <c r="O161" s="8">
        <v>17.3</v>
      </c>
      <c r="P161" s="8"/>
    </row>
    <row r="162" spans="1:16" hidden="1" x14ac:dyDescent="0.25">
      <c r="A162" s="7" t="s">
        <v>37</v>
      </c>
      <c r="B162" s="7" t="s">
        <v>415</v>
      </c>
      <c r="C162" s="8">
        <v>25720</v>
      </c>
      <c r="D162" s="7" t="s">
        <v>28</v>
      </c>
      <c r="E162" s="7" t="s">
        <v>84</v>
      </c>
      <c r="F162" s="7" t="s">
        <v>84</v>
      </c>
      <c r="G162" s="7" t="s">
        <v>18</v>
      </c>
      <c r="H162" s="7" t="s">
        <v>48</v>
      </c>
      <c r="I162" s="7" t="s">
        <v>712</v>
      </c>
      <c r="J162" s="7" t="s">
        <v>712</v>
      </c>
      <c r="K162" s="8">
        <v>6282166</v>
      </c>
      <c r="L162" s="8">
        <v>325524</v>
      </c>
      <c r="M162" s="8">
        <v>19</v>
      </c>
      <c r="N162" s="8">
        <v>1</v>
      </c>
      <c r="O162" s="8">
        <v>4.05</v>
      </c>
      <c r="P162" s="8"/>
    </row>
    <row r="163" spans="1:16" hidden="1" x14ac:dyDescent="0.25">
      <c r="A163" s="7" t="s">
        <v>19</v>
      </c>
      <c r="B163" s="7" t="s">
        <v>270</v>
      </c>
      <c r="C163" s="8">
        <v>25722</v>
      </c>
      <c r="D163" s="7" t="s">
        <v>16</v>
      </c>
      <c r="E163" s="7" t="s">
        <v>46</v>
      </c>
      <c r="F163" s="7" t="s">
        <v>46</v>
      </c>
      <c r="G163" s="7" t="s">
        <v>18</v>
      </c>
      <c r="H163" s="7" t="s">
        <v>48</v>
      </c>
      <c r="I163" s="7" t="s">
        <v>712</v>
      </c>
      <c r="J163" s="7" t="s">
        <v>712</v>
      </c>
      <c r="K163" s="8">
        <v>6126163</v>
      </c>
      <c r="L163" s="8">
        <v>299118</v>
      </c>
      <c r="M163" s="8">
        <v>19</v>
      </c>
      <c r="N163" s="8">
        <v>2</v>
      </c>
      <c r="O163" s="8">
        <v>26</v>
      </c>
      <c r="P163" s="8"/>
    </row>
    <row r="164" spans="1:16" hidden="1" x14ac:dyDescent="0.25">
      <c r="A164" s="7" t="s">
        <v>14</v>
      </c>
      <c r="B164" s="7" t="s">
        <v>343</v>
      </c>
      <c r="C164" s="8">
        <v>25724</v>
      </c>
      <c r="D164" s="7" t="s">
        <v>52</v>
      </c>
      <c r="E164" s="7" t="s">
        <v>151</v>
      </c>
      <c r="F164" s="7" t="s">
        <v>151</v>
      </c>
      <c r="G164" s="7" t="s">
        <v>18</v>
      </c>
      <c r="H164" s="7" t="s">
        <v>689</v>
      </c>
      <c r="I164" s="7" t="s">
        <v>712</v>
      </c>
      <c r="J164" s="7" t="s">
        <v>712</v>
      </c>
      <c r="K164" s="8">
        <v>6189701</v>
      </c>
      <c r="L164" s="8">
        <v>327311</v>
      </c>
      <c r="M164" s="8">
        <v>19</v>
      </c>
      <c r="N164" s="8">
        <v>1</v>
      </c>
      <c r="O164" s="8">
        <v>2</v>
      </c>
      <c r="P164" s="8"/>
    </row>
    <row r="165" spans="1:16" hidden="1" x14ac:dyDescent="0.25">
      <c r="A165" s="7" t="s">
        <v>19</v>
      </c>
      <c r="B165" s="7" t="s">
        <v>415</v>
      </c>
      <c r="C165" s="8">
        <v>25726</v>
      </c>
      <c r="D165" s="7" t="s">
        <v>28</v>
      </c>
      <c r="E165" s="7" t="s">
        <v>142</v>
      </c>
      <c r="F165" s="7" t="s">
        <v>142</v>
      </c>
      <c r="G165" s="7" t="s">
        <v>18</v>
      </c>
      <c r="H165" s="7" t="s">
        <v>48</v>
      </c>
      <c r="I165" s="7" t="s">
        <v>712</v>
      </c>
      <c r="J165" s="7" t="s">
        <v>712</v>
      </c>
      <c r="K165" s="8">
        <v>6274892</v>
      </c>
      <c r="L165" s="8">
        <v>339366</v>
      </c>
      <c r="M165" s="8">
        <v>19</v>
      </c>
      <c r="N165" s="8">
        <v>3</v>
      </c>
      <c r="O165" s="8">
        <v>14.22</v>
      </c>
      <c r="P165" s="8"/>
    </row>
    <row r="166" spans="1:16" hidden="1" x14ac:dyDescent="0.25">
      <c r="A166" s="7" t="s">
        <v>37</v>
      </c>
      <c r="B166" s="7" t="s">
        <v>415</v>
      </c>
      <c r="C166" s="8">
        <v>25727</v>
      </c>
      <c r="D166" s="7" t="s">
        <v>52</v>
      </c>
      <c r="E166" s="7" t="s">
        <v>82</v>
      </c>
      <c r="F166" s="7" t="s">
        <v>437</v>
      </c>
      <c r="G166" s="7" t="s">
        <v>18</v>
      </c>
      <c r="H166" s="7" t="s">
        <v>48</v>
      </c>
      <c r="I166" s="7" t="s">
        <v>712</v>
      </c>
      <c r="J166" s="7" t="s">
        <v>712</v>
      </c>
      <c r="K166" s="8">
        <v>6166087</v>
      </c>
      <c r="L166" s="8">
        <v>290433</v>
      </c>
      <c r="M166" s="8">
        <v>19</v>
      </c>
      <c r="N166" s="8">
        <v>1</v>
      </c>
      <c r="O166" s="8">
        <v>6.92</v>
      </c>
      <c r="P166" s="8"/>
    </row>
    <row r="167" spans="1:16" hidden="1" x14ac:dyDescent="0.25">
      <c r="A167" s="7" t="s">
        <v>37</v>
      </c>
      <c r="B167" s="7" t="s">
        <v>415</v>
      </c>
      <c r="C167" s="8">
        <v>25728</v>
      </c>
      <c r="D167" s="7" t="s">
        <v>16</v>
      </c>
      <c r="E167" s="7" t="s">
        <v>264</v>
      </c>
      <c r="F167" s="7" t="s">
        <v>358</v>
      </c>
      <c r="G167" s="7" t="s">
        <v>18</v>
      </c>
      <c r="H167" s="7" t="s">
        <v>48</v>
      </c>
      <c r="I167" s="7" t="s">
        <v>712</v>
      </c>
      <c r="J167" s="7" t="s">
        <v>712</v>
      </c>
      <c r="K167" s="8">
        <v>6114393</v>
      </c>
      <c r="L167" s="8">
        <v>274475</v>
      </c>
      <c r="M167" s="8">
        <v>19</v>
      </c>
      <c r="N167" s="8">
        <v>1</v>
      </c>
      <c r="O167" s="8">
        <v>17</v>
      </c>
      <c r="P167" s="8"/>
    </row>
    <row r="168" spans="1:16" hidden="1" x14ac:dyDescent="0.25">
      <c r="A168" s="7" t="s">
        <v>37</v>
      </c>
      <c r="B168" s="7" t="s">
        <v>415</v>
      </c>
      <c r="C168" s="8">
        <v>25731</v>
      </c>
      <c r="D168" s="7" t="s">
        <v>52</v>
      </c>
      <c r="E168" s="7" t="s">
        <v>53</v>
      </c>
      <c r="F168" s="7" t="s">
        <v>53</v>
      </c>
      <c r="G168" s="7" t="s">
        <v>18</v>
      </c>
      <c r="H168" s="7" t="s">
        <v>48</v>
      </c>
      <c r="I168" s="7" t="s">
        <v>712</v>
      </c>
      <c r="J168" s="7" t="s">
        <v>712</v>
      </c>
      <c r="K168" s="8">
        <v>6156680</v>
      </c>
      <c r="L168" s="8">
        <v>320260</v>
      </c>
      <c r="M168" s="8">
        <v>19</v>
      </c>
      <c r="N168" s="8">
        <v>1</v>
      </c>
      <c r="O168" s="8">
        <v>16</v>
      </c>
      <c r="P168" s="8"/>
    </row>
    <row r="169" spans="1:16" hidden="1" x14ac:dyDescent="0.25">
      <c r="A169" s="7" t="s">
        <v>19</v>
      </c>
      <c r="B169" s="7" t="s">
        <v>270</v>
      </c>
      <c r="C169" s="8">
        <v>25732</v>
      </c>
      <c r="D169" s="7" t="s">
        <v>52</v>
      </c>
      <c r="E169" s="7" t="s">
        <v>82</v>
      </c>
      <c r="F169" s="7" t="s">
        <v>437</v>
      </c>
      <c r="G169" s="7" t="s">
        <v>18</v>
      </c>
      <c r="H169" s="7" t="s">
        <v>48</v>
      </c>
      <c r="I169" s="7" t="s">
        <v>712</v>
      </c>
      <c r="J169" s="7" t="s">
        <v>691</v>
      </c>
      <c r="K169" s="8">
        <v>6166556</v>
      </c>
      <c r="L169" s="8">
        <v>289714</v>
      </c>
      <c r="M169" s="8">
        <v>19</v>
      </c>
      <c r="N169" s="8">
        <v>1</v>
      </c>
      <c r="O169" s="8">
        <v>45</v>
      </c>
      <c r="P169" s="8"/>
    </row>
    <row r="170" spans="1:16" hidden="1" x14ac:dyDescent="0.25">
      <c r="A170" s="7" t="s">
        <v>37</v>
      </c>
      <c r="B170" s="7" t="s">
        <v>415</v>
      </c>
      <c r="C170" s="8">
        <v>25733</v>
      </c>
      <c r="D170" s="7" t="s">
        <v>52</v>
      </c>
      <c r="E170" s="7" t="s">
        <v>141</v>
      </c>
      <c r="F170" s="7" t="s">
        <v>141</v>
      </c>
      <c r="G170" s="7" t="s">
        <v>18</v>
      </c>
      <c r="H170" s="7" t="s">
        <v>48</v>
      </c>
      <c r="I170" s="7" t="s">
        <v>712</v>
      </c>
      <c r="J170" s="7" t="s">
        <v>712</v>
      </c>
      <c r="K170" s="8">
        <v>6153732</v>
      </c>
      <c r="L170" s="8">
        <v>320812</v>
      </c>
      <c r="M170" s="8">
        <v>19</v>
      </c>
      <c r="N170" s="8">
        <v>1</v>
      </c>
      <c r="O170" s="8">
        <v>27</v>
      </c>
      <c r="P170" s="8"/>
    </row>
    <row r="171" spans="1:16" hidden="1" x14ac:dyDescent="0.25">
      <c r="A171" s="7" t="s">
        <v>19</v>
      </c>
      <c r="B171" s="7" t="s">
        <v>415</v>
      </c>
      <c r="C171" s="8">
        <v>25735</v>
      </c>
      <c r="D171" s="7" t="s">
        <v>16</v>
      </c>
      <c r="E171" s="7" t="s">
        <v>264</v>
      </c>
      <c r="F171" s="7" t="s">
        <v>358</v>
      </c>
      <c r="G171" s="7" t="s">
        <v>18</v>
      </c>
      <c r="H171" s="7" t="s">
        <v>48</v>
      </c>
      <c r="I171" s="7" t="s">
        <v>712</v>
      </c>
      <c r="J171" s="7" t="s">
        <v>691</v>
      </c>
      <c r="K171" s="8">
        <v>6114443</v>
      </c>
      <c r="L171" s="8">
        <v>275205</v>
      </c>
      <c r="M171" s="8">
        <v>19</v>
      </c>
      <c r="N171" s="8">
        <v>1</v>
      </c>
      <c r="O171" s="8">
        <v>23</v>
      </c>
      <c r="P171" s="8"/>
    </row>
    <row r="172" spans="1:16" hidden="1" x14ac:dyDescent="0.25">
      <c r="A172" s="7" t="s">
        <v>37</v>
      </c>
      <c r="B172" s="7" t="s">
        <v>415</v>
      </c>
      <c r="C172" s="8">
        <v>25736</v>
      </c>
      <c r="D172" s="7" t="s">
        <v>16</v>
      </c>
      <c r="E172" s="7" t="s">
        <v>264</v>
      </c>
      <c r="F172" s="7" t="s">
        <v>358</v>
      </c>
      <c r="G172" s="7" t="s">
        <v>18</v>
      </c>
      <c r="H172" s="7" t="s">
        <v>48</v>
      </c>
      <c r="I172" s="7" t="s">
        <v>712</v>
      </c>
      <c r="J172" s="7" t="s">
        <v>712</v>
      </c>
      <c r="K172" s="8">
        <v>6115091</v>
      </c>
      <c r="L172" s="8">
        <v>275008</v>
      </c>
      <c r="M172" s="8">
        <v>19</v>
      </c>
      <c r="N172" s="8">
        <v>1</v>
      </c>
      <c r="O172" s="8">
        <v>17.739999999999998</v>
      </c>
      <c r="P172" s="8"/>
    </row>
    <row r="173" spans="1:16" hidden="1" x14ac:dyDescent="0.25">
      <c r="A173" s="7" t="s">
        <v>37</v>
      </c>
      <c r="B173" s="7" t="s">
        <v>254</v>
      </c>
      <c r="C173" s="8">
        <v>25737</v>
      </c>
      <c r="D173" s="7" t="s">
        <v>16</v>
      </c>
      <c r="E173" s="7" t="s">
        <v>50</v>
      </c>
      <c r="F173" s="7" t="s">
        <v>255</v>
      </c>
      <c r="G173" s="7" t="s">
        <v>18</v>
      </c>
      <c r="H173" s="7" t="s">
        <v>48</v>
      </c>
      <c r="I173" s="7" t="s">
        <v>712</v>
      </c>
      <c r="J173" s="7" t="s">
        <v>712</v>
      </c>
      <c r="K173" s="8">
        <v>6082587</v>
      </c>
      <c r="L173" s="8">
        <v>265737</v>
      </c>
      <c r="M173" s="8">
        <v>19</v>
      </c>
      <c r="N173" s="8">
        <v>1</v>
      </c>
      <c r="O173" s="8">
        <v>6</v>
      </c>
      <c r="P173" s="8"/>
    </row>
    <row r="174" spans="1:16" hidden="1" x14ac:dyDescent="0.25">
      <c r="A174" s="7" t="s">
        <v>37</v>
      </c>
      <c r="B174" s="7" t="s">
        <v>254</v>
      </c>
      <c r="C174" s="8">
        <v>25738</v>
      </c>
      <c r="D174" s="7" t="s">
        <v>16</v>
      </c>
      <c r="E174" s="7" t="s">
        <v>46</v>
      </c>
      <c r="F174" s="7" t="s">
        <v>46</v>
      </c>
      <c r="G174" s="7" t="s">
        <v>18</v>
      </c>
      <c r="H174" s="7" t="s">
        <v>48</v>
      </c>
      <c r="I174" s="7" t="s">
        <v>712</v>
      </c>
      <c r="J174" s="7" t="s">
        <v>691</v>
      </c>
      <c r="K174" s="8">
        <v>6114347</v>
      </c>
      <c r="L174" s="8">
        <v>292108</v>
      </c>
      <c r="M174" s="8">
        <v>19</v>
      </c>
      <c r="N174" s="8">
        <v>1</v>
      </c>
      <c r="O174" s="8">
        <v>14</v>
      </c>
      <c r="P174" s="8"/>
    </row>
    <row r="175" spans="1:16" hidden="1" x14ac:dyDescent="0.25">
      <c r="A175" s="7" t="s">
        <v>37</v>
      </c>
      <c r="B175" s="7" t="s">
        <v>254</v>
      </c>
      <c r="C175" s="8">
        <v>25740</v>
      </c>
      <c r="D175" s="7" t="s">
        <v>16</v>
      </c>
      <c r="E175" s="7" t="s">
        <v>50</v>
      </c>
      <c r="F175" s="7" t="s">
        <v>256</v>
      </c>
      <c r="G175" s="7" t="s">
        <v>18</v>
      </c>
      <c r="H175" s="7" t="s">
        <v>48</v>
      </c>
      <c r="I175" s="7" t="s">
        <v>712</v>
      </c>
      <c r="J175" s="7" t="s">
        <v>712</v>
      </c>
      <c r="K175" s="8">
        <v>6078484</v>
      </c>
      <c r="L175" s="8">
        <v>267095</v>
      </c>
      <c r="M175" s="8">
        <v>19</v>
      </c>
      <c r="N175" s="8">
        <v>1</v>
      </c>
      <c r="O175" s="8">
        <v>10</v>
      </c>
      <c r="P175" s="8"/>
    </row>
    <row r="176" spans="1:16" hidden="1" x14ac:dyDescent="0.25">
      <c r="A176" s="7" t="s">
        <v>37</v>
      </c>
      <c r="B176" s="7" t="s">
        <v>254</v>
      </c>
      <c r="C176" s="8">
        <v>25741</v>
      </c>
      <c r="D176" s="7" t="s">
        <v>16</v>
      </c>
      <c r="E176" s="7" t="s">
        <v>46</v>
      </c>
      <c r="F176" s="7" t="s">
        <v>46</v>
      </c>
      <c r="G176" s="7" t="s">
        <v>18</v>
      </c>
      <c r="H176" s="7" t="s">
        <v>48</v>
      </c>
      <c r="I176" s="7" t="s">
        <v>712</v>
      </c>
      <c r="J176" s="7" t="s">
        <v>712</v>
      </c>
      <c r="K176" s="8">
        <v>6114477</v>
      </c>
      <c r="L176" s="8">
        <v>291503</v>
      </c>
      <c r="M176" s="8">
        <v>19</v>
      </c>
      <c r="N176" s="8">
        <v>1</v>
      </c>
      <c r="O176" s="8">
        <v>11</v>
      </c>
      <c r="P176" s="8"/>
    </row>
    <row r="177" spans="1:16" hidden="1" x14ac:dyDescent="0.25">
      <c r="A177" s="7" t="s">
        <v>37</v>
      </c>
      <c r="B177" s="7" t="s">
        <v>415</v>
      </c>
      <c r="C177" s="8">
        <v>25742</v>
      </c>
      <c r="D177" s="7" t="s">
        <v>28</v>
      </c>
      <c r="E177" s="7" t="s">
        <v>364</v>
      </c>
      <c r="F177" s="7" t="s">
        <v>438</v>
      </c>
      <c r="G177" s="7" t="s">
        <v>18</v>
      </c>
      <c r="H177" s="7" t="s">
        <v>24</v>
      </c>
      <c r="I177" s="7" t="s">
        <v>712</v>
      </c>
      <c r="J177" s="7" t="s">
        <v>712</v>
      </c>
      <c r="K177" s="8">
        <v>6295462</v>
      </c>
      <c r="L177" s="8">
        <v>336147</v>
      </c>
      <c r="M177" s="8">
        <v>19</v>
      </c>
      <c r="N177" s="8">
        <v>1</v>
      </c>
      <c r="O177" s="8">
        <v>0.3</v>
      </c>
      <c r="P177" s="8"/>
    </row>
    <row r="178" spans="1:16" hidden="1" x14ac:dyDescent="0.25">
      <c r="A178" s="7" t="s">
        <v>19</v>
      </c>
      <c r="B178" s="7" t="s">
        <v>270</v>
      </c>
      <c r="C178" s="8">
        <v>25743</v>
      </c>
      <c r="D178" s="7" t="s">
        <v>52</v>
      </c>
      <c r="E178" s="7" t="s">
        <v>139</v>
      </c>
      <c r="F178" s="7" t="s">
        <v>270</v>
      </c>
      <c r="G178" s="7" t="s">
        <v>18</v>
      </c>
      <c r="H178" s="7" t="s">
        <v>48</v>
      </c>
      <c r="I178" s="7" t="s">
        <v>712</v>
      </c>
      <c r="J178" s="7" t="s">
        <v>712</v>
      </c>
      <c r="K178" s="8">
        <v>6225525</v>
      </c>
      <c r="L178" s="8">
        <v>337647</v>
      </c>
      <c r="M178" s="8">
        <v>19</v>
      </c>
      <c r="N178" s="8">
        <v>2</v>
      </c>
      <c r="O178" s="8">
        <v>12.58</v>
      </c>
      <c r="P178" s="8"/>
    </row>
    <row r="179" spans="1:16" hidden="1" x14ac:dyDescent="0.25">
      <c r="A179" s="7" t="s">
        <v>37</v>
      </c>
      <c r="B179" s="7" t="s">
        <v>415</v>
      </c>
      <c r="C179" s="8">
        <v>25744</v>
      </c>
      <c r="D179" s="7" t="s">
        <v>28</v>
      </c>
      <c r="E179" s="7" t="s">
        <v>56</v>
      </c>
      <c r="F179" s="7" t="s">
        <v>439</v>
      </c>
      <c r="G179" s="7" t="s">
        <v>18</v>
      </c>
      <c r="H179" s="7" t="s">
        <v>24</v>
      </c>
      <c r="I179" s="7" t="s">
        <v>712</v>
      </c>
      <c r="J179" s="7" t="s">
        <v>712</v>
      </c>
      <c r="K179" s="8">
        <v>6262234</v>
      </c>
      <c r="L179" s="8">
        <v>335489</v>
      </c>
      <c r="M179" s="8">
        <v>19</v>
      </c>
      <c r="N179" s="8">
        <v>1</v>
      </c>
      <c r="O179" s="8">
        <v>0.4</v>
      </c>
      <c r="P179" s="8"/>
    </row>
    <row r="180" spans="1:16" hidden="1" x14ac:dyDescent="0.25">
      <c r="A180" s="7" t="s">
        <v>19</v>
      </c>
      <c r="B180" s="7" t="s">
        <v>415</v>
      </c>
      <c r="C180" s="8">
        <v>25745</v>
      </c>
      <c r="D180" s="7" t="s">
        <v>28</v>
      </c>
      <c r="E180" s="7" t="s">
        <v>32</v>
      </c>
      <c r="F180" s="7" t="s">
        <v>147</v>
      </c>
      <c r="G180" s="7" t="s">
        <v>18</v>
      </c>
      <c r="H180" s="7" t="s">
        <v>48</v>
      </c>
      <c r="I180" s="7" t="s">
        <v>712</v>
      </c>
      <c r="J180" s="7" t="s">
        <v>691</v>
      </c>
      <c r="K180" s="8">
        <v>6270317</v>
      </c>
      <c r="L180" s="8">
        <v>336743</v>
      </c>
      <c r="M180" s="8">
        <v>19</v>
      </c>
      <c r="N180" s="8">
        <v>1</v>
      </c>
      <c r="O180" s="8">
        <v>0.43</v>
      </c>
      <c r="P180" s="8"/>
    </row>
    <row r="181" spans="1:16" hidden="1" x14ac:dyDescent="0.25">
      <c r="A181" s="7" t="s">
        <v>19</v>
      </c>
      <c r="B181" s="7" t="s">
        <v>270</v>
      </c>
      <c r="C181" s="8">
        <v>25746</v>
      </c>
      <c r="D181" s="7" t="s">
        <v>16</v>
      </c>
      <c r="E181" s="7" t="s">
        <v>337</v>
      </c>
      <c r="F181" s="7" t="s">
        <v>589</v>
      </c>
      <c r="G181" s="7" t="s">
        <v>18</v>
      </c>
      <c r="H181" s="7" t="s">
        <v>48</v>
      </c>
      <c r="I181" s="7" t="s">
        <v>712</v>
      </c>
      <c r="J181" s="7" t="s">
        <v>712</v>
      </c>
      <c r="K181" s="8">
        <v>6130176</v>
      </c>
      <c r="L181" s="8">
        <v>310767</v>
      </c>
      <c r="M181" s="8">
        <v>19</v>
      </c>
      <c r="N181" s="8">
        <v>1</v>
      </c>
      <c r="O181" s="8">
        <v>9</v>
      </c>
      <c r="P181" s="8"/>
    </row>
    <row r="182" spans="1:16" hidden="1" x14ac:dyDescent="0.25">
      <c r="A182" s="7" t="s">
        <v>19</v>
      </c>
      <c r="B182" s="7" t="s">
        <v>415</v>
      </c>
      <c r="C182" s="8">
        <v>25747</v>
      </c>
      <c r="D182" s="7" t="s">
        <v>28</v>
      </c>
      <c r="E182" s="7" t="s">
        <v>29</v>
      </c>
      <c r="F182" s="7" t="s">
        <v>29</v>
      </c>
      <c r="G182" s="7" t="s">
        <v>18</v>
      </c>
      <c r="H182" s="7" t="s">
        <v>48</v>
      </c>
      <c r="I182" s="7" t="s">
        <v>712</v>
      </c>
      <c r="J182" s="7" t="s">
        <v>712</v>
      </c>
      <c r="K182" s="8">
        <v>6259674</v>
      </c>
      <c r="L182" s="8">
        <v>342111</v>
      </c>
      <c r="M182" s="8">
        <v>19</v>
      </c>
      <c r="N182" s="8">
        <v>1</v>
      </c>
      <c r="O182" s="8">
        <v>0.4</v>
      </c>
      <c r="P182" s="8"/>
    </row>
    <row r="183" spans="1:16" hidden="1" x14ac:dyDescent="0.25">
      <c r="A183" s="7" t="s">
        <v>19</v>
      </c>
      <c r="B183" s="7" t="s">
        <v>415</v>
      </c>
      <c r="C183" s="8">
        <v>25749</v>
      </c>
      <c r="D183" s="7" t="s">
        <v>28</v>
      </c>
      <c r="E183" s="7" t="s">
        <v>32</v>
      </c>
      <c r="F183" s="7" t="s">
        <v>440</v>
      </c>
      <c r="G183" s="7" t="s">
        <v>18</v>
      </c>
      <c r="H183" s="7" t="s">
        <v>48</v>
      </c>
      <c r="I183" s="7" t="s">
        <v>712</v>
      </c>
      <c r="J183" s="7" t="s">
        <v>691</v>
      </c>
      <c r="K183" s="8">
        <v>6277411</v>
      </c>
      <c r="L183" s="8">
        <v>339281</v>
      </c>
      <c r="M183" s="8">
        <v>19</v>
      </c>
      <c r="N183" s="8">
        <v>1</v>
      </c>
      <c r="O183" s="8">
        <v>0.4</v>
      </c>
      <c r="P183" s="8"/>
    </row>
    <row r="184" spans="1:16" hidden="1" x14ac:dyDescent="0.25">
      <c r="A184" s="7" t="s">
        <v>19</v>
      </c>
      <c r="B184" s="7" t="s">
        <v>415</v>
      </c>
      <c r="C184" s="8">
        <v>25750</v>
      </c>
      <c r="D184" s="7" t="s">
        <v>28</v>
      </c>
      <c r="E184" s="7" t="s">
        <v>142</v>
      </c>
      <c r="F184" s="7" t="s">
        <v>142</v>
      </c>
      <c r="G184" s="7" t="s">
        <v>18</v>
      </c>
      <c r="H184" s="7" t="s">
        <v>48</v>
      </c>
      <c r="I184" s="7" t="s">
        <v>712</v>
      </c>
      <c r="J184" s="7" t="s">
        <v>691</v>
      </c>
      <c r="K184" s="8">
        <v>6278846</v>
      </c>
      <c r="L184" s="8">
        <v>339389</v>
      </c>
      <c r="M184" s="8">
        <v>19</v>
      </c>
      <c r="N184" s="8">
        <v>1</v>
      </c>
      <c r="O184" s="8">
        <v>0.28000000000000003</v>
      </c>
      <c r="P184" s="8"/>
    </row>
    <row r="185" spans="1:16" hidden="1" x14ac:dyDescent="0.25">
      <c r="A185" s="7" t="s">
        <v>37</v>
      </c>
      <c r="B185" s="7" t="s">
        <v>270</v>
      </c>
      <c r="C185" s="8">
        <v>25751</v>
      </c>
      <c r="D185" s="7" t="s">
        <v>52</v>
      </c>
      <c r="E185" s="7" t="s">
        <v>153</v>
      </c>
      <c r="F185" s="7" t="s">
        <v>153</v>
      </c>
      <c r="G185" s="7" t="s">
        <v>18</v>
      </c>
      <c r="H185" s="7" t="s">
        <v>48</v>
      </c>
      <c r="I185" s="7" t="s">
        <v>712</v>
      </c>
      <c r="J185" s="7" t="s">
        <v>691</v>
      </c>
      <c r="K185" s="8">
        <v>6202751</v>
      </c>
      <c r="L185" s="8">
        <v>335646</v>
      </c>
      <c r="M185" s="8">
        <v>19</v>
      </c>
      <c r="N185" s="8">
        <v>1</v>
      </c>
      <c r="O185" s="8">
        <v>3.5</v>
      </c>
      <c r="P185" s="8"/>
    </row>
    <row r="186" spans="1:16" hidden="1" x14ac:dyDescent="0.25">
      <c r="A186" s="7" t="s">
        <v>19</v>
      </c>
      <c r="B186" s="7" t="s">
        <v>415</v>
      </c>
      <c r="C186" s="8">
        <v>25752</v>
      </c>
      <c r="D186" s="7" t="s">
        <v>28</v>
      </c>
      <c r="E186" s="7" t="s">
        <v>29</v>
      </c>
      <c r="F186" s="7" t="s">
        <v>29</v>
      </c>
      <c r="G186" s="7" t="s">
        <v>18</v>
      </c>
      <c r="H186" s="7" t="s">
        <v>48</v>
      </c>
      <c r="I186" s="7" t="s">
        <v>712</v>
      </c>
      <c r="J186" s="7" t="s">
        <v>712</v>
      </c>
      <c r="K186" s="8">
        <v>6259530</v>
      </c>
      <c r="L186" s="8">
        <v>341959</v>
      </c>
      <c r="M186" s="8">
        <v>19</v>
      </c>
      <c r="N186" s="8">
        <v>1</v>
      </c>
      <c r="O186" s="8">
        <v>0.4</v>
      </c>
      <c r="P186" s="8"/>
    </row>
    <row r="187" spans="1:16" hidden="1" x14ac:dyDescent="0.25">
      <c r="A187" s="7" t="s">
        <v>37</v>
      </c>
      <c r="B187" s="7" t="s">
        <v>270</v>
      </c>
      <c r="C187" s="8">
        <v>25753</v>
      </c>
      <c r="D187" s="7" t="s">
        <v>16</v>
      </c>
      <c r="E187" s="7" t="s">
        <v>50</v>
      </c>
      <c r="F187" s="7" t="s">
        <v>590</v>
      </c>
      <c r="G187" s="7" t="s">
        <v>18</v>
      </c>
      <c r="H187" s="7" t="s">
        <v>48</v>
      </c>
      <c r="I187" s="7" t="s">
        <v>712</v>
      </c>
      <c r="J187" s="7" t="s">
        <v>691</v>
      </c>
      <c r="K187" s="8">
        <v>6068210</v>
      </c>
      <c r="L187" s="8">
        <v>268111</v>
      </c>
      <c r="M187" s="8">
        <v>19</v>
      </c>
      <c r="N187" s="8">
        <v>4</v>
      </c>
      <c r="O187" s="8">
        <v>10.8</v>
      </c>
      <c r="P187" s="8"/>
    </row>
    <row r="188" spans="1:16" hidden="1" x14ac:dyDescent="0.25">
      <c r="A188" s="7" t="s">
        <v>19</v>
      </c>
      <c r="B188" s="7" t="s">
        <v>270</v>
      </c>
      <c r="C188" s="8">
        <v>25754</v>
      </c>
      <c r="D188" s="7" t="s">
        <v>52</v>
      </c>
      <c r="E188" s="7" t="s">
        <v>53</v>
      </c>
      <c r="F188" s="7" t="s">
        <v>53</v>
      </c>
      <c r="G188" s="7" t="s">
        <v>18</v>
      </c>
      <c r="H188" s="7" t="s">
        <v>48</v>
      </c>
      <c r="I188" s="7" t="s">
        <v>712</v>
      </c>
      <c r="J188" s="7" t="s">
        <v>712</v>
      </c>
      <c r="K188" s="8">
        <v>6152042</v>
      </c>
      <c r="L188" s="8">
        <v>319443</v>
      </c>
      <c r="M188" s="8">
        <v>19</v>
      </c>
      <c r="N188" s="8">
        <v>1</v>
      </c>
      <c r="O188" s="8">
        <v>5</v>
      </c>
      <c r="P188" s="8"/>
    </row>
    <row r="189" spans="1:16" hidden="1" x14ac:dyDescent="0.25">
      <c r="A189" s="7" t="s">
        <v>19</v>
      </c>
      <c r="B189" s="7" t="s">
        <v>415</v>
      </c>
      <c r="C189" s="8">
        <v>25755</v>
      </c>
      <c r="D189" s="7" t="s">
        <v>28</v>
      </c>
      <c r="E189" s="7" t="s">
        <v>428</v>
      </c>
      <c r="F189" s="7" t="s">
        <v>428</v>
      </c>
      <c r="G189" s="7" t="s">
        <v>18</v>
      </c>
      <c r="H189" s="7" t="s">
        <v>48</v>
      </c>
      <c r="I189" s="7" t="s">
        <v>712</v>
      </c>
      <c r="J189" s="7" t="s">
        <v>691</v>
      </c>
      <c r="K189" s="8">
        <v>6285409</v>
      </c>
      <c r="L189" s="8">
        <v>342884</v>
      </c>
      <c r="M189" s="8">
        <v>19</v>
      </c>
      <c r="N189" s="8">
        <v>1</v>
      </c>
      <c r="O189" s="8">
        <v>0.3</v>
      </c>
      <c r="P189" s="8"/>
    </row>
    <row r="190" spans="1:16" hidden="1" x14ac:dyDescent="0.25">
      <c r="A190" s="7" t="s">
        <v>19</v>
      </c>
      <c r="B190" s="7" t="s">
        <v>270</v>
      </c>
      <c r="C190" s="8">
        <v>25757</v>
      </c>
      <c r="D190" s="7" t="s">
        <v>16</v>
      </c>
      <c r="E190" s="7" t="s">
        <v>155</v>
      </c>
      <c r="F190" s="7" t="s">
        <v>337</v>
      </c>
      <c r="G190" s="7" t="s">
        <v>18</v>
      </c>
      <c r="H190" s="7" t="s">
        <v>48</v>
      </c>
      <c r="I190" s="7" t="s">
        <v>712</v>
      </c>
      <c r="J190" s="7" t="s">
        <v>712</v>
      </c>
      <c r="K190" s="8">
        <v>6130067</v>
      </c>
      <c r="L190" s="8">
        <v>311292</v>
      </c>
      <c r="M190" s="8">
        <v>19</v>
      </c>
      <c r="N190" s="8">
        <v>1</v>
      </c>
      <c r="O190" s="8">
        <v>19</v>
      </c>
      <c r="P190" s="8"/>
    </row>
    <row r="191" spans="1:16" hidden="1" x14ac:dyDescent="0.25">
      <c r="A191" s="7" t="s">
        <v>19</v>
      </c>
      <c r="B191" s="7" t="s">
        <v>415</v>
      </c>
      <c r="C191" s="8">
        <v>25759</v>
      </c>
      <c r="D191" s="7" t="s">
        <v>28</v>
      </c>
      <c r="E191" s="7" t="s">
        <v>364</v>
      </c>
      <c r="F191" s="7" t="s">
        <v>441</v>
      </c>
      <c r="G191" s="7" t="s">
        <v>18</v>
      </c>
      <c r="H191" s="7" t="s">
        <v>48</v>
      </c>
      <c r="I191" s="7" t="s">
        <v>712</v>
      </c>
      <c r="J191" s="7" t="s">
        <v>712</v>
      </c>
      <c r="K191" s="8">
        <v>6289780</v>
      </c>
      <c r="L191" s="8">
        <v>331056</v>
      </c>
      <c r="M191" s="8">
        <v>19</v>
      </c>
      <c r="N191" s="8">
        <v>1</v>
      </c>
      <c r="O191" s="8">
        <v>0.4</v>
      </c>
      <c r="P191" s="8"/>
    </row>
    <row r="192" spans="1:16" hidden="1" x14ac:dyDescent="0.25">
      <c r="A192" s="7" t="s">
        <v>37</v>
      </c>
      <c r="B192" s="7" t="s">
        <v>270</v>
      </c>
      <c r="C192" s="8">
        <v>25762</v>
      </c>
      <c r="D192" s="7" t="s">
        <v>52</v>
      </c>
      <c r="E192" s="7" t="s">
        <v>153</v>
      </c>
      <c r="F192" s="7" t="s">
        <v>153</v>
      </c>
      <c r="G192" s="7" t="s">
        <v>18</v>
      </c>
      <c r="H192" s="7" t="s">
        <v>48</v>
      </c>
      <c r="I192" s="7" t="s">
        <v>712</v>
      </c>
      <c r="J192" s="7" t="s">
        <v>691</v>
      </c>
      <c r="K192" s="8">
        <v>6203169</v>
      </c>
      <c r="L192" s="8">
        <v>335889</v>
      </c>
      <c r="M192" s="8">
        <v>19</v>
      </c>
      <c r="N192" s="8">
        <v>1</v>
      </c>
      <c r="O192" s="8">
        <v>12</v>
      </c>
      <c r="P192" s="8"/>
    </row>
    <row r="193" spans="1:16" hidden="1" x14ac:dyDescent="0.25">
      <c r="A193" s="7" t="s">
        <v>14</v>
      </c>
      <c r="B193" s="7" t="s">
        <v>343</v>
      </c>
      <c r="C193" s="8">
        <v>25765</v>
      </c>
      <c r="D193" s="7" t="s">
        <v>16</v>
      </c>
      <c r="E193" s="7" t="s">
        <v>17</v>
      </c>
      <c r="F193" s="7" t="s">
        <v>17</v>
      </c>
      <c r="G193" s="7" t="s">
        <v>18</v>
      </c>
      <c r="H193" s="7" t="s">
        <v>689</v>
      </c>
      <c r="I193" s="7" t="s">
        <v>712</v>
      </c>
      <c r="J193" s="7" t="s">
        <v>712</v>
      </c>
      <c r="K193" s="8">
        <v>6065698</v>
      </c>
      <c r="L193" s="8">
        <v>276209</v>
      </c>
      <c r="M193" s="8">
        <v>19</v>
      </c>
      <c r="N193" s="8">
        <v>1</v>
      </c>
      <c r="O193" s="8">
        <v>3</v>
      </c>
      <c r="P193" s="8"/>
    </row>
    <row r="194" spans="1:16" hidden="1" x14ac:dyDescent="0.25">
      <c r="A194" s="7" t="s">
        <v>37</v>
      </c>
      <c r="B194" s="7" t="s">
        <v>254</v>
      </c>
      <c r="C194" s="8">
        <v>25766</v>
      </c>
      <c r="D194" s="7" t="s">
        <v>16</v>
      </c>
      <c r="E194" s="7" t="s">
        <v>50</v>
      </c>
      <c r="F194" s="7" t="s">
        <v>257</v>
      </c>
      <c r="G194" s="7" t="s">
        <v>18</v>
      </c>
      <c r="H194" s="7" t="s">
        <v>48</v>
      </c>
      <c r="I194" s="7" t="s">
        <v>712</v>
      </c>
      <c r="J194" s="7" t="s">
        <v>712</v>
      </c>
      <c r="K194" s="8">
        <v>6076154</v>
      </c>
      <c r="L194" s="8">
        <v>265119</v>
      </c>
      <c r="M194" s="8">
        <v>19</v>
      </c>
      <c r="N194" s="8">
        <v>1</v>
      </c>
      <c r="O194" s="8">
        <v>11</v>
      </c>
      <c r="P194" s="8"/>
    </row>
    <row r="195" spans="1:16" hidden="1" x14ac:dyDescent="0.25">
      <c r="A195" s="7" t="s">
        <v>19</v>
      </c>
      <c r="B195" s="7" t="s">
        <v>270</v>
      </c>
      <c r="C195" s="8">
        <v>25768</v>
      </c>
      <c r="D195" s="7" t="s">
        <v>52</v>
      </c>
      <c r="E195" s="7" t="s">
        <v>139</v>
      </c>
      <c r="F195" s="7" t="s">
        <v>270</v>
      </c>
      <c r="G195" s="7" t="s">
        <v>18</v>
      </c>
      <c r="H195" s="7" t="s">
        <v>48</v>
      </c>
      <c r="I195" s="7" t="s">
        <v>712</v>
      </c>
      <c r="J195" s="7" t="s">
        <v>712</v>
      </c>
      <c r="K195" s="8">
        <v>6225432</v>
      </c>
      <c r="L195" s="8">
        <v>336705</v>
      </c>
      <c r="M195" s="8">
        <v>19</v>
      </c>
      <c r="N195" s="8">
        <v>1</v>
      </c>
      <c r="O195" s="8">
        <v>19.8</v>
      </c>
      <c r="P195" s="8"/>
    </row>
    <row r="196" spans="1:16" hidden="1" x14ac:dyDescent="0.25">
      <c r="A196" s="7" t="s">
        <v>37</v>
      </c>
      <c r="B196" s="7" t="s">
        <v>343</v>
      </c>
      <c r="C196" s="8">
        <v>25769</v>
      </c>
      <c r="D196" s="7" t="s">
        <v>16</v>
      </c>
      <c r="E196" s="7" t="s">
        <v>50</v>
      </c>
      <c r="F196" s="7" t="s">
        <v>347</v>
      </c>
      <c r="G196" s="7" t="s">
        <v>18</v>
      </c>
      <c r="H196" s="7" t="s">
        <v>48</v>
      </c>
      <c r="I196" s="7" t="s">
        <v>712</v>
      </c>
      <c r="J196" s="7" t="s">
        <v>712</v>
      </c>
      <c r="K196" s="8">
        <v>6083531</v>
      </c>
      <c r="L196" s="8">
        <v>265673</v>
      </c>
      <c r="M196" s="8">
        <v>19</v>
      </c>
      <c r="N196" s="8">
        <v>3</v>
      </c>
      <c r="O196" s="8">
        <v>30</v>
      </c>
      <c r="P196" s="8"/>
    </row>
    <row r="197" spans="1:16" hidden="1" x14ac:dyDescent="0.25">
      <c r="A197" s="7" t="s">
        <v>19</v>
      </c>
      <c r="B197" s="7" t="s">
        <v>415</v>
      </c>
      <c r="C197" s="8">
        <v>25770</v>
      </c>
      <c r="D197" s="7" t="s">
        <v>28</v>
      </c>
      <c r="E197" s="7" t="s">
        <v>56</v>
      </c>
      <c r="F197" s="7" t="s">
        <v>350</v>
      </c>
      <c r="G197" s="7" t="s">
        <v>18</v>
      </c>
      <c r="H197" s="7" t="s">
        <v>48</v>
      </c>
      <c r="I197" s="7" t="s">
        <v>712</v>
      </c>
      <c r="J197" s="7" t="s">
        <v>712</v>
      </c>
      <c r="K197" s="8">
        <v>6261325</v>
      </c>
      <c r="L197" s="8">
        <v>341152</v>
      </c>
      <c r="M197" s="8">
        <v>19</v>
      </c>
      <c r="N197" s="8">
        <v>1</v>
      </c>
      <c r="O197" s="8">
        <v>0.4</v>
      </c>
      <c r="P197" s="8"/>
    </row>
    <row r="198" spans="1:16" hidden="1" x14ac:dyDescent="0.25">
      <c r="A198" s="7" t="s">
        <v>19</v>
      </c>
      <c r="B198" s="7" t="s">
        <v>415</v>
      </c>
      <c r="C198" s="8">
        <v>25771</v>
      </c>
      <c r="D198" s="7" t="s">
        <v>28</v>
      </c>
      <c r="E198" s="7" t="s">
        <v>32</v>
      </c>
      <c r="F198" s="7" t="s">
        <v>442</v>
      </c>
      <c r="G198" s="7" t="s">
        <v>18</v>
      </c>
      <c r="H198" s="7" t="s">
        <v>48</v>
      </c>
      <c r="I198" s="7" t="s">
        <v>712</v>
      </c>
      <c r="J198" s="7" t="s">
        <v>712</v>
      </c>
      <c r="K198" s="8">
        <v>6278227</v>
      </c>
      <c r="L198" s="8">
        <v>339601</v>
      </c>
      <c r="M198" s="8">
        <v>19</v>
      </c>
      <c r="N198" s="8">
        <v>1</v>
      </c>
      <c r="O198" s="8">
        <v>0.39</v>
      </c>
      <c r="P198" s="8"/>
    </row>
    <row r="199" spans="1:16" hidden="1" x14ac:dyDescent="0.25">
      <c r="A199" s="7" t="s">
        <v>19</v>
      </c>
      <c r="B199" s="7" t="s">
        <v>415</v>
      </c>
      <c r="C199" s="8">
        <v>25772</v>
      </c>
      <c r="D199" s="7" t="s">
        <v>28</v>
      </c>
      <c r="E199" s="7" t="s">
        <v>32</v>
      </c>
      <c r="F199" s="7" t="s">
        <v>442</v>
      </c>
      <c r="G199" s="7" t="s">
        <v>18</v>
      </c>
      <c r="H199" s="7" t="s">
        <v>48</v>
      </c>
      <c r="I199" s="7" t="s">
        <v>712</v>
      </c>
      <c r="J199" s="7" t="s">
        <v>712</v>
      </c>
      <c r="K199" s="8">
        <v>6278227</v>
      </c>
      <c r="L199" s="8">
        <v>339601</v>
      </c>
      <c r="M199" s="8">
        <v>19</v>
      </c>
      <c r="N199" s="8">
        <v>1</v>
      </c>
      <c r="O199" s="8">
        <v>0.39</v>
      </c>
      <c r="P199" s="8"/>
    </row>
    <row r="200" spans="1:16" hidden="1" x14ac:dyDescent="0.25">
      <c r="A200" s="7" t="s">
        <v>19</v>
      </c>
      <c r="B200" s="7" t="s">
        <v>415</v>
      </c>
      <c r="C200" s="8">
        <v>25773</v>
      </c>
      <c r="D200" s="7" t="s">
        <v>28</v>
      </c>
      <c r="E200" s="7" t="s">
        <v>32</v>
      </c>
      <c r="F200" s="7" t="s">
        <v>442</v>
      </c>
      <c r="G200" s="7" t="s">
        <v>18</v>
      </c>
      <c r="H200" s="7" t="s">
        <v>48</v>
      </c>
      <c r="I200" s="7" t="s">
        <v>712</v>
      </c>
      <c r="J200" s="7" t="s">
        <v>712</v>
      </c>
      <c r="K200" s="8">
        <v>6278227</v>
      </c>
      <c r="L200" s="8">
        <v>339601</v>
      </c>
      <c r="M200" s="8">
        <v>19</v>
      </c>
      <c r="N200" s="8">
        <v>1</v>
      </c>
      <c r="O200" s="8">
        <v>0.39</v>
      </c>
      <c r="P200" s="8"/>
    </row>
    <row r="201" spans="1:16" hidden="1" x14ac:dyDescent="0.25">
      <c r="A201" s="7" t="s">
        <v>37</v>
      </c>
      <c r="B201" s="7" t="s">
        <v>343</v>
      </c>
      <c r="C201" s="8">
        <v>25774</v>
      </c>
      <c r="D201" s="7" t="s">
        <v>16</v>
      </c>
      <c r="E201" s="7" t="s">
        <v>17</v>
      </c>
      <c r="F201" s="7" t="s">
        <v>121</v>
      </c>
      <c r="G201" s="7" t="s">
        <v>18</v>
      </c>
      <c r="H201" s="7" t="s">
        <v>48</v>
      </c>
      <c r="I201" s="7" t="s">
        <v>712</v>
      </c>
      <c r="J201" s="7" t="s">
        <v>712</v>
      </c>
      <c r="K201" s="8">
        <v>6069855</v>
      </c>
      <c r="L201" s="8">
        <v>273733</v>
      </c>
      <c r="M201" s="8">
        <v>19</v>
      </c>
      <c r="N201" s="8">
        <v>1</v>
      </c>
      <c r="O201" s="8">
        <v>7.8</v>
      </c>
      <c r="P201" s="8"/>
    </row>
    <row r="202" spans="1:16" hidden="1" x14ac:dyDescent="0.25">
      <c r="A202" s="7" t="s">
        <v>37</v>
      </c>
      <c r="B202" s="7" t="s">
        <v>343</v>
      </c>
      <c r="C202" s="8">
        <v>25775</v>
      </c>
      <c r="D202" s="7" t="s">
        <v>16</v>
      </c>
      <c r="E202" s="7" t="s">
        <v>50</v>
      </c>
      <c r="F202" s="7" t="s">
        <v>298</v>
      </c>
      <c r="G202" s="7" t="s">
        <v>18</v>
      </c>
      <c r="H202" s="7" t="s">
        <v>48</v>
      </c>
      <c r="I202" s="7" t="s">
        <v>712</v>
      </c>
      <c r="J202" s="7" t="s">
        <v>712</v>
      </c>
      <c r="K202" s="8">
        <v>6075177</v>
      </c>
      <c r="L202" s="8">
        <v>265411</v>
      </c>
      <c r="M202" s="8">
        <v>19</v>
      </c>
      <c r="N202" s="8">
        <v>1</v>
      </c>
      <c r="O202" s="8">
        <v>7</v>
      </c>
      <c r="P202" s="8"/>
    </row>
    <row r="203" spans="1:16" hidden="1" x14ac:dyDescent="0.25">
      <c r="A203" s="7" t="s">
        <v>37</v>
      </c>
      <c r="B203" s="7" t="s">
        <v>254</v>
      </c>
      <c r="C203" s="8">
        <v>25776</v>
      </c>
      <c r="D203" s="7" t="s">
        <v>16</v>
      </c>
      <c r="E203" s="7" t="s">
        <v>17</v>
      </c>
      <c r="F203" s="7" t="s">
        <v>258</v>
      </c>
      <c r="G203" s="7" t="s">
        <v>18</v>
      </c>
      <c r="H203" s="7" t="s">
        <v>48</v>
      </c>
      <c r="I203" s="7" t="s">
        <v>712</v>
      </c>
      <c r="J203" s="7" t="s">
        <v>712</v>
      </c>
      <c r="K203" s="8">
        <v>6060409</v>
      </c>
      <c r="L203" s="8">
        <v>274760</v>
      </c>
      <c r="M203" s="8">
        <v>19</v>
      </c>
      <c r="N203" s="8">
        <v>2</v>
      </c>
      <c r="O203" s="8">
        <v>20</v>
      </c>
      <c r="P203" s="8"/>
    </row>
    <row r="204" spans="1:16" hidden="1" x14ac:dyDescent="0.25">
      <c r="A204" s="7" t="s">
        <v>37</v>
      </c>
      <c r="B204" s="7" t="s">
        <v>254</v>
      </c>
      <c r="C204" s="8">
        <v>25777</v>
      </c>
      <c r="D204" s="7" t="s">
        <v>16</v>
      </c>
      <c r="E204" s="7" t="s">
        <v>17</v>
      </c>
      <c r="F204" s="7" t="s">
        <v>258</v>
      </c>
      <c r="G204" s="7" t="s">
        <v>18</v>
      </c>
      <c r="H204" s="7" t="s">
        <v>48</v>
      </c>
      <c r="I204" s="7" t="s">
        <v>712</v>
      </c>
      <c r="J204" s="7" t="s">
        <v>712</v>
      </c>
      <c r="K204" s="8">
        <v>6061370</v>
      </c>
      <c r="L204" s="8">
        <v>273585</v>
      </c>
      <c r="M204" s="8">
        <v>19</v>
      </c>
      <c r="N204" s="8">
        <v>2</v>
      </c>
      <c r="O204" s="8">
        <v>13</v>
      </c>
      <c r="P204" s="8"/>
    </row>
    <row r="205" spans="1:16" hidden="1" x14ac:dyDescent="0.25">
      <c r="A205" s="7" t="s">
        <v>37</v>
      </c>
      <c r="B205" s="7" t="s">
        <v>254</v>
      </c>
      <c r="C205" s="8">
        <v>25778</v>
      </c>
      <c r="D205" s="7" t="s">
        <v>16</v>
      </c>
      <c r="E205" s="7" t="s">
        <v>17</v>
      </c>
      <c r="F205" s="7" t="s">
        <v>75</v>
      </c>
      <c r="G205" s="7" t="s">
        <v>18</v>
      </c>
      <c r="H205" s="7" t="s">
        <v>48</v>
      </c>
      <c r="I205" s="7" t="s">
        <v>712</v>
      </c>
      <c r="J205" s="7" t="s">
        <v>712</v>
      </c>
      <c r="K205" s="8">
        <v>6062003</v>
      </c>
      <c r="L205" s="8">
        <v>273765</v>
      </c>
      <c r="M205" s="8">
        <v>19</v>
      </c>
      <c r="N205" s="8">
        <v>13</v>
      </c>
      <c r="O205" s="8">
        <v>102</v>
      </c>
      <c r="P205" s="8"/>
    </row>
    <row r="206" spans="1:16" hidden="1" x14ac:dyDescent="0.25">
      <c r="A206" s="7" t="s">
        <v>37</v>
      </c>
      <c r="B206" s="7" t="s">
        <v>343</v>
      </c>
      <c r="C206" s="8">
        <v>25779</v>
      </c>
      <c r="D206" s="7" t="s">
        <v>16</v>
      </c>
      <c r="E206" s="7" t="s">
        <v>17</v>
      </c>
      <c r="F206" s="7" t="s">
        <v>348</v>
      </c>
      <c r="G206" s="7" t="s">
        <v>18</v>
      </c>
      <c r="H206" s="7" t="s">
        <v>48</v>
      </c>
      <c r="I206" s="7" t="s">
        <v>712</v>
      </c>
      <c r="J206" s="7" t="s">
        <v>712</v>
      </c>
      <c r="K206" s="8">
        <v>6063617</v>
      </c>
      <c r="L206" s="8">
        <v>269487</v>
      </c>
      <c r="M206" s="8">
        <v>19</v>
      </c>
      <c r="N206" s="8">
        <v>5</v>
      </c>
      <c r="O206" s="8">
        <v>40</v>
      </c>
      <c r="P206" s="8"/>
    </row>
    <row r="207" spans="1:16" hidden="1" x14ac:dyDescent="0.25">
      <c r="A207" s="7" t="s">
        <v>37</v>
      </c>
      <c r="B207" s="7" t="s">
        <v>343</v>
      </c>
      <c r="C207" s="8">
        <v>25780</v>
      </c>
      <c r="D207" s="7" t="s">
        <v>16</v>
      </c>
      <c r="E207" s="7" t="s">
        <v>127</v>
      </c>
      <c r="F207" s="7" t="s">
        <v>128</v>
      </c>
      <c r="G207" s="7" t="s">
        <v>18</v>
      </c>
      <c r="H207" s="7" t="s">
        <v>48</v>
      </c>
      <c r="I207" s="7" t="s">
        <v>712</v>
      </c>
      <c r="J207" s="7" t="s">
        <v>691</v>
      </c>
      <c r="K207" s="8">
        <v>6069089</v>
      </c>
      <c r="L207" s="8">
        <v>274691</v>
      </c>
      <c r="M207" s="8">
        <v>19</v>
      </c>
      <c r="N207" s="8">
        <v>1</v>
      </c>
      <c r="O207" s="8">
        <v>10</v>
      </c>
      <c r="P207" s="8"/>
    </row>
    <row r="208" spans="1:16" hidden="1" x14ac:dyDescent="0.25">
      <c r="A208" s="7" t="s">
        <v>37</v>
      </c>
      <c r="B208" s="7" t="s">
        <v>343</v>
      </c>
      <c r="C208" s="8">
        <v>25781</v>
      </c>
      <c r="D208" s="7" t="s">
        <v>16</v>
      </c>
      <c r="E208" s="7" t="s">
        <v>50</v>
      </c>
      <c r="F208" s="7" t="s">
        <v>349</v>
      </c>
      <c r="G208" s="7" t="s">
        <v>18</v>
      </c>
      <c r="H208" s="7" t="s">
        <v>48</v>
      </c>
      <c r="I208" s="7" t="s">
        <v>712</v>
      </c>
      <c r="J208" s="7" t="s">
        <v>691</v>
      </c>
      <c r="K208" s="8">
        <v>6071348</v>
      </c>
      <c r="L208" s="8">
        <v>263054</v>
      </c>
      <c r="M208" s="8">
        <v>19</v>
      </c>
      <c r="N208" s="8">
        <v>1</v>
      </c>
      <c r="O208" s="8">
        <v>12</v>
      </c>
      <c r="P208" s="8"/>
    </row>
    <row r="209" spans="1:16" hidden="1" x14ac:dyDescent="0.25">
      <c r="A209" s="7" t="s">
        <v>37</v>
      </c>
      <c r="B209" s="7" t="s">
        <v>343</v>
      </c>
      <c r="C209" s="8">
        <v>25782</v>
      </c>
      <c r="D209" s="7" t="s">
        <v>28</v>
      </c>
      <c r="E209" s="7" t="s">
        <v>32</v>
      </c>
      <c r="F209" s="7" t="s">
        <v>147</v>
      </c>
      <c r="G209" s="7" t="s">
        <v>18</v>
      </c>
      <c r="H209" s="7" t="s">
        <v>48</v>
      </c>
      <c r="I209" s="7" t="s">
        <v>712</v>
      </c>
      <c r="J209" s="7" t="s">
        <v>691</v>
      </c>
      <c r="K209" s="8">
        <v>6272418</v>
      </c>
      <c r="L209" s="8">
        <v>334926</v>
      </c>
      <c r="M209" s="8">
        <v>19</v>
      </c>
      <c r="N209" s="8">
        <v>1</v>
      </c>
      <c r="O209" s="8">
        <v>21.5</v>
      </c>
      <c r="P209" s="8"/>
    </row>
    <row r="210" spans="1:16" hidden="1" x14ac:dyDescent="0.25">
      <c r="A210" s="7" t="s">
        <v>37</v>
      </c>
      <c r="B210" s="7" t="s">
        <v>343</v>
      </c>
      <c r="C210" s="8">
        <v>25783</v>
      </c>
      <c r="D210" s="7" t="s">
        <v>28</v>
      </c>
      <c r="E210" s="7" t="s">
        <v>344</v>
      </c>
      <c r="F210" s="7" t="s">
        <v>345</v>
      </c>
      <c r="G210" s="7" t="s">
        <v>18</v>
      </c>
      <c r="H210" s="7" t="s">
        <v>48</v>
      </c>
      <c r="I210" s="7" t="s">
        <v>712</v>
      </c>
      <c r="J210" s="7" t="s">
        <v>712</v>
      </c>
      <c r="K210" s="8">
        <v>6275034</v>
      </c>
      <c r="L210" s="8">
        <v>298975</v>
      </c>
      <c r="M210" s="8">
        <v>19</v>
      </c>
      <c r="N210" s="8">
        <v>1</v>
      </c>
      <c r="O210" s="8">
        <v>10</v>
      </c>
      <c r="P210" s="8"/>
    </row>
    <row r="211" spans="1:16" hidden="1" x14ac:dyDescent="0.25">
      <c r="A211" s="7" t="s">
        <v>37</v>
      </c>
      <c r="B211" s="7" t="s">
        <v>343</v>
      </c>
      <c r="C211" s="8">
        <v>25784</v>
      </c>
      <c r="D211" s="7" t="s">
        <v>28</v>
      </c>
      <c r="E211" s="7" t="s">
        <v>344</v>
      </c>
      <c r="F211" s="7" t="s">
        <v>345</v>
      </c>
      <c r="G211" s="7" t="s">
        <v>18</v>
      </c>
      <c r="H211" s="7" t="s">
        <v>24</v>
      </c>
      <c r="I211" s="7" t="s">
        <v>712</v>
      </c>
      <c r="J211" s="7" t="s">
        <v>712</v>
      </c>
      <c r="K211" s="8">
        <v>6275556</v>
      </c>
      <c r="L211" s="8">
        <v>299258</v>
      </c>
      <c r="M211" s="8">
        <v>19</v>
      </c>
      <c r="N211" s="8">
        <v>1</v>
      </c>
      <c r="O211" s="8">
        <v>10</v>
      </c>
      <c r="P211" s="8"/>
    </row>
    <row r="212" spans="1:16" hidden="1" x14ac:dyDescent="0.25">
      <c r="A212" s="7" t="s">
        <v>37</v>
      </c>
      <c r="B212" s="7" t="s">
        <v>343</v>
      </c>
      <c r="C212" s="8">
        <v>25785</v>
      </c>
      <c r="D212" s="7" t="s">
        <v>28</v>
      </c>
      <c r="E212" s="7" t="s">
        <v>146</v>
      </c>
      <c r="F212" s="7" t="s">
        <v>146</v>
      </c>
      <c r="G212" s="7" t="s">
        <v>18</v>
      </c>
      <c r="H212" s="7" t="s">
        <v>48</v>
      </c>
      <c r="I212" s="7" t="s">
        <v>712</v>
      </c>
      <c r="J212" s="7" t="s">
        <v>691</v>
      </c>
      <c r="K212" s="8">
        <v>6268929</v>
      </c>
      <c r="L212" s="8">
        <v>321286</v>
      </c>
      <c r="M212" s="8">
        <v>19</v>
      </c>
      <c r="N212" s="8">
        <v>1</v>
      </c>
      <c r="O212" s="8">
        <v>16</v>
      </c>
      <c r="P212" s="8"/>
    </row>
    <row r="213" spans="1:16" hidden="1" x14ac:dyDescent="0.25">
      <c r="A213" s="7" t="s">
        <v>37</v>
      </c>
      <c r="B213" s="7" t="s">
        <v>343</v>
      </c>
      <c r="C213" s="8">
        <v>25786</v>
      </c>
      <c r="D213" s="7" t="s">
        <v>28</v>
      </c>
      <c r="E213" s="7" t="s">
        <v>56</v>
      </c>
      <c r="F213" s="7" t="s">
        <v>350</v>
      </c>
      <c r="G213" s="7" t="s">
        <v>18</v>
      </c>
      <c r="H213" s="7" t="s">
        <v>48</v>
      </c>
      <c r="I213" s="7" t="s">
        <v>712</v>
      </c>
      <c r="J213" s="7" t="s">
        <v>691</v>
      </c>
      <c r="K213" s="8">
        <v>6262242</v>
      </c>
      <c r="L213" s="8">
        <v>343689</v>
      </c>
      <c r="M213" s="8">
        <v>19</v>
      </c>
      <c r="N213" s="8">
        <v>1</v>
      </c>
      <c r="O213" s="8">
        <v>4.5999999999999996</v>
      </c>
      <c r="P213" s="8"/>
    </row>
    <row r="214" spans="1:16" hidden="1" x14ac:dyDescent="0.25">
      <c r="A214" s="7" t="s">
        <v>37</v>
      </c>
      <c r="B214" s="7" t="s">
        <v>343</v>
      </c>
      <c r="C214" s="8">
        <v>25787</v>
      </c>
      <c r="D214" s="7" t="s">
        <v>28</v>
      </c>
      <c r="E214" s="7" t="s">
        <v>29</v>
      </c>
      <c r="F214" s="7" t="s">
        <v>351</v>
      </c>
      <c r="G214" s="7" t="s">
        <v>18</v>
      </c>
      <c r="H214" s="7" t="s">
        <v>48</v>
      </c>
      <c r="I214" s="7" t="s">
        <v>712</v>
      </c>
      <c r="J214" s="7" t="s">
        <v>691</v>
      </c>
      <c r="K214" s="8">
        <v>6254410</v>
      </c>
      <c r="L214" s="8">
        <v>334811</v>
      </c>
      <c r="M214" s="8">
        <v>19</v>
      </c>
      <c r="N214" s="8">
        <v>1</v>
      </c>
      <c r="O214" s="8">
        <v>7</v>
      </c>
      <c r="P214" s="8"/>
    </row>
    <row r="215" spans="1:16" hidden="1" x14ac:dyDescent="0.25">
      <c r="A215" s="7" t="s">
        <v>14</v>
      </c>
      <c r="B215" s="7" t="s">
        <v>563</v>
      </c>
      <c r="C215" s="8">
        <v>25789</v>
      </c>
      <c r="D215" s="7" t="s">
        <v>119</v>
      </c>
      <c r="E215" s="7" t="s">
        <v>175</v>
      </c>
      <c r="F215" s="7" t="s">
        <v>176</v>
      </c>
      <c r="G215" s="7" t="s">
        <v>43</v>
      </c>
      <c r="H215" s="7" t="s">
        <v>689</v>
      </c>
      <c r="I215" s="7" t="s">
        <v>690</v>
      </c>
      <c r="J215" s="7" t="s">
        <v>690</v>
      </c>
      <c r="K215" s="8">
        <v>5716564</v>
      </c>
      <c r="L215" s="8">
        <v>727028</v>
      </c>
      <c r="M215" s="8">
        <v>18</v>
      </c>
      <c r="N215" s="8">
        <v>1</v>
      </c>
      <c r="O215" s="8">
        <v>0.65</v>
      </c>
      <c r="P215" s="8"/>
    </row>
    <row r="216" spans="1:16" hidden="1" x14ac:dyDescent="0.25">
      <c r="A216" s="7" t="s">
        <v>37</v>
      </c>
      <c r="B216" s="7" t="s">
        <v>563</v>
      </c>
      <c r="C216" s="8">
        <v>25790</v>
      </c>
      <c r="D216" s="7" t="s">
        <v>119</v>
      </c>
      <c r="E216" s="7" t="s">
        <v>197</v>
      </c>
      <c r="F216" s="7" t="s">
        <v>565</v>
      </c>
      <c r="G216" s="7" t="s">
        <v>43</v>
      </c>
      <c r="H216" s="7" t="s">
        <v>48</v>
      </c>
      <c r="I216" s="7" t="s">
        <v>97</v>
      </c>
      <c r="J216" s="7" t="s">
        <v>98</v>
      </c>
      <c r="K216" s="8">
        <v>5694231</v>
      </c>
      <c r="L216" s="8">
        <v>695936</v>
      </c>
      <c r="M216" s="8">
        <v>18</v>
      </c>
      <c r="N216" s="8">
        <v>1</v>
      </c>
      <c r="O216" s="8">
        <v>43.5</v>
      </c>
      <c r="P216" s="8"/>
    </row>
    <row r="217" spans="1:16" hidden="1" x14ac:dyDescent="0.25">
      <c r="A217" s="7" t="s">
        <v>19</v>
      </c>
      <c r="B217" s="7" t="s">
        <v>415</v>
      </c>
      <c r="C217" s="8">
        <v>25791</v>
      </c>
      <c r="D217" s="7" t="s">
        <v>28</v>
      </c>
      <c r="E217" s="7" t="s">
        <v>32</v>
      </c>
      <c r="F217" s="7" t="s">
        <v>147</v>
      </c>
      <c r="G217" s="7" t="s">
        <v>18</v>
      </c>
      <c r="H217" s="7" t="s">
        <v>48</v>
      </c>
      <c r="I217" s="7" t="s">
        <v>712</v>
      </c>
      <c r="J217" s="7" t="s">
        <v>712</v>
      </c>
      <c r="K217" s="8">
        <v>6271841</v>
      </c>
      <c r="L217" s="8">
        <v>337554</v>
      </c>
      <c r="M217" s="8">
        <v>19</v>
      </c>
      <c r="N217" s="8">
        <v>1</v>
      </c>
      <c r="O217" s="8">
        <v>0.39</v>
      </c>
      <c r="P217" s="8"/>
    </row>
    <row r="218" spans="1:16" hidden="1" x14ac:dyDescent="0.25">
      <c r="A218" s="7" t="s">
        <v>19</v>
      </c>
      <c r="B218" s="7" t="s">
        <v>415</v>
      </c>
      <c r="C218" s="8">
        <v>25792</v>
      </c>
      <c r="D218" s="7" t="s">
        <v>28</v>
      </c>
      <c r="E218" s="7" t="s">
        <v>32</v>
      </c>
      <c r="F218" s="7" t="s">
        <v>147</v>
      </c>
      <c r="G218" s="7" t="s">
        <v>18</v>
      </c>
      <c r="H218" s="7" t="s">
        <v>48</v>
      </c>
      <c r="I218" s="7" t="s">
        <v>712</v>
      </c>
      <c r="J218" s="7" t="s">
        <v>712</v>
      </c>
      <c r="K218" s="8">
        <v>6271841</v>
      </c>
      <c r="L218" s="8">
        <v>337554</v>
      </c>
      <c r="M218" s="8">
        <v>19</v>
      </c>
      <c r="N218" s="8">
        <v>1</v>
      </c>
      <c r="O218" s="8">
        <v>0.39</v>
      </c>
      <c r="P218" s="8"/>
    </row>
    <row r="219" spans="1:16" hidden="1" x14ac:dyDescent="0.25">
      <c r="A219" s="7" t="s">
        <v>19</v>
      </c>
      <c r="B219" s="7" t="s">
        <v>415</v>
      </c>
      <c r="C219" s="8">
        <v>25793</v>
      </c>
      <c r="D219" s="7" t="s">
        <v>28</v>
      </c>
      <c r="E219" s="7" t="s">
        <v>29</v>
      </c>
      <c r="F219" s="7" t="s">
        <v>29</v>
      </c>
      <c r="G219" s="7" t="s">
        <v>18</v>
      </c>
      <c r="H219" s="7" t="s">
        <v>48</v>
      </c>
      <c r="I219" s="7" t="s">
        <v>712</v>
      </c>
      <c r="J219" s="7" t="s">
        <v>691</v>
      </c>
      <c r="K219" s="8">
        <v>6257646</v>
      </c>
      <c r="L219" s="8">
        <v>343621</v>
      </c>
      <c r="M219" s="8">
        <v>19</v>
      </c>
      <c r="N219" s="8">
        <v>1</v>
      </c>
      <c r="O219" s="8">
        <v>0.4</v>
      </c>
      <c r="P219" s="8"/>
    </row>
    <row r="220" spans="1:16" hidden="1" x14ac:dyDescent="0.25">
      <c r="A220" s="7" t="s">
        <v>19</v>
      </c>
      <c r="B220" s="7" t="s">
        <v>415</v>
      </c>
      <c r="C220" s="8">
        <v>25794</v>
      </c>
      <c r="D220" s="7" t="s">
        <v>28</v>
      </c>
      <c r="E220" s="7" t="s">
        <v>32</v>
      </c>
      <c r="F220" s="7" t="s">
        <v>33</v>
      </c>
      <c r="G220" s="7" t="s">
        <v>18</v>
      </c>
      <c r="H220" s="7" t="s">
        <v>48</v>
      </c>
      <c r="I220" s="7" t="s">
        <v>712</v>
      </c>
      <c r="J220" s="7" t="s">
        <v>691</v>
      </c>
      <c r="K220" s="8">
        <v>6275789</v>
      </c>
      <c r="L220" s="8">
        <v>340631</v>
      </c>
      <c r="M220" s="8">
        <v>19</v>
      </c>
      <c r="N220" s="8">
        <v>1</v>
      </c>
      <c r="O220" s="8">
        <v>0.4</v>
      </c>
      <c r="P220" s="8"/>
    </row>
    <row r="221" spans="1:16" hidden="1" x14ac:dyDescent="0.25">
      <c r="A221" s="7" t="s">
        <v>19</v>
      </c>
      <c r="B221" s="7" t="s">
        <v>415</v>
      </c>
      <c r="C221" s="8">
        <v>25795</v>
      </c>
      <c r="D221" s="7" t="s">
        <v>28</v>
      </c>
      <c r="E221" s="7" t="s">
        <v>32</v>
      </c>
      <c r="F221" s="7" t="s">
        <v>33</v>
      </c>
      <c r="G221" s="7" t="s">
        <v>18</v>
      </c>
      <c r="H221" s="7" t="s">
        <v>48</v>
      </c>
      <c r="I221" s="7" t="s">
        <v>712</v>
      </c>
      <c r="J221" s="7" t="s">
        <v>691</v>
      </c>
      <c r="K221" s="8">
        <v>6275789</v>
      </c>
      <c r="L221" s="8">
        <v>340631</v>
      </c>
      <c r="M221" s="8">
        <v>19</v>
      </c>
      <c r="N221" s="8">
        <v>1</v>
      </c>
      <c r="O221" s="8">
        <v>0.4</v>
      </c>
      <c r="P221" s="8"/>
    </row>
    <row r="222" spans="1:16" hidden="1" x14ac:dyDescent="0.25">
      <c r="A222" s="7" t="s">
        <v>19</v>
      </c>
      <c r="B222" s="7" t="s">
        <v>415</v>
      </c>
      <c r="C222" s="8">
        <v>25797</v>
      </c>
      <c r="D222" s="7" t="s">
        <v>28</v>
      </c>
      <c r="E222" s="7" t="s">
        <v>32</v>
      </c>
      <c r="F222" s="7" t="s">
        <v>147</v>
      </c>
      <c r="G222" s="7" t="s">
        <v>18</v>
      </c>
      <c r="H222" s="7" t="s">
        <v>48</v>
      </c>
      <c r="I222" s="7" t="s">
        <v>712</v>
      </c>
      <c r="J222" s="7" t="s">
        <v>712</v>
      </c>
      <c r="K222" s="8">
        <v>6273399</v>
      </c>
      <c r="L222" s="8">
        <v>339936</v>
      </c>
      <c r="M222" s="8">
        <v>19</v>
      </c>
      <c r="N222" s="8">
        <v>1</v>
      </c>
      <c r="O222" s="8">
        <v>0.4</v>
      </c>
      <c r="P222" s="8"/>
    </row>
    <row r="223" spans="1:16" hidden="1" x14ac:dyDescent="0.25">
      <c r="A223" s="7" t="s">
        <v>19</v>
      </c>
      <c r="B223" s="7" t="s">
        <v>415</v>
      </c>
      <c r="C223" s="8">
        <v>25798</v>
      </c>
      <c r="D223" s="7" t="s">
        <v>28</v>
      </c>
      <c r="E223" s="7" t="s">
        <v>32</v>
      </c>
      <c r="F223" s="7" t="s">
        <v>147</v>
      </c>
      <c r="G223" s="7" t="s">
        <v>18</v>
      </c>
      <c r="H223" s="7" t="s">
        <v>48</v>
      </c>
      <c r="I223" s="7" t="s">
        <v>712</v>
      </c>
      <c r="J223" s="7" t="s">
        <v>712</v>
      </c>
      <c r="K223" s="8">
        <v>6274134</v>
      </c>
      <c r="L223" s="8">
        <v>339529</v>
      </c>
      <c r="M223" s="8">
        <v>19</v>
      </c>
      <c r="N223" s="8">
        <v>1</v>
      </c>
      <c r="O223" s="8">
        <v>0.4</v>
      </c>
      <c r="P223" s="8"/>
    </row>
    <row r="224" spans="1:16" hidden="1" x14ac:dyDescent="0.25">
      <c r="A224" s="7" t="s">
        <v>19</v>
      </c>
      <c r="B224" s="7" t="s">
        <v>415</v>
      </c>
      <c r="C224" s="8">
        <v>25799</v>
      </c>
      <c r="D224" s="7" t="s">
        <v>28</v>
      </c>
      <c r="E224" s="7" t="s">
        <v>32</v>
      </c>
      <c r="F224" s="7" t="s">
        <v>443</v>
      </c>
      <c r="G224" s="7" t="s">
        <v>18</v>
      </c>
      <c r="H224" s="7" t="s">
        <v>48</v>
      </c>
      <c r="I224" s="7" t="s">
        <v>712</v>
      </c>
      <c r="J224" s="7" t="s">
        <v>691</v>
      </c>
      <c r="K224" s="8">
        <v>6274488</v>
      </c>
      <c r="L224" s="8">
        <v>341387</v>
      </c>
      <c r="M224" s="8">
        <v>19</v>
      </c>
      <c r="N224" s="8">
        <v>1</v>
      </c>
      <c r="O224" s="8">
        <v>0.4</v>
      </c>
      <c r="P224" s="8"/>
    </row>
    <row r="225" spans="1:16" hidden="1" x14ac:dyDescent="0.25">
      <c r="A225" s="7" t="s">
        <v>37</v>
      </c>
      <c r="B225" s="7" t="s">
        <v>415</v>
      </c>
      <c r="C225" s="8">
        <v>25801</v>
      </c>
      <c r="D225" s="7" t="s">
        <v>16</v>
      </c>
      <c r="E225" s="7" t="s">
        <v>46</v>
      </c>
      <c r="F225" s="7" t="s">
        <v>46</v>
      </c>
      <c r="G225" s="7" t="s">
        <v>18</v>
      </c>
      <c r="H225" s="7" t="s">
        <v>48</v>
      </c>
      <c r="I225" s="7" t="s">
        <v>712</v>
      </c>
      <c r="J225" s="7" t="s">
        <v>712</v>
      </c>
      <c r="K225" s="8">
        <v>6116364</v>
      </c>
      <c r="L225" s="8">
        <v>289634</v>
      </c>
      <c r="M225" s="8">
        <v>19</v>
      </c>
      <c r="N225" s="8">
        <v>1</v>
      </c>
      <c r="O225" s="8">
        <v>8</v>
      </c>
      <c r="P225" s="8"/>
    </row>
    <row r="226" spans="1:16" hidden="1" x14ac:dyDescent="0.25">
      <c r="A226" s="7" t="s">
        <v>37</v>
      </c>
      <c r="B226" s="7" t="s">
        <v>415</v>
      </c>
      <c r="C226" s="8">
        <v>25802</v>
      </c>
      <c r="D226" s="7" t="s">
        <v>16</v>
      </c>
      <c r="E226" s="7" t="s">
        <v>264</v>
      </c>
      <c r="F226" s="7" t="s">
        <v>264</v>
      </c>
      <c r="G226" s="7" t="s">
        <v>18</v>
      </c>
      <c r="H226" s="7" t="s">
        <v>48</v>
      </c>
      <c r="I226" s="7" t="s">
        <v>712</v>
      </c>
      <c r="J226" s="7" t="s">
        <v>712</v>
      </c>
      <c r="K226" s="8">
        <v>6121801</v>
      </c>
      <c r="L226" s="8">
        <v>291831</v>
      </c>
      <c r="M226" s="8">
        <v>19</v>
      </c>
      <c r="N226" s="8">
        <v>1</v>
      </c>
      <c r="O226" s="8">
        <v>22</v>
      </c>
      <c r="P226" s="8"/>
    </row>
    <row r="227" spans="1:16" hidden="1" x14ac:dyDescent="0.25">
      <c r="A227" s="7" t="s">
        <v>37</v>
      </c>
      <c r="B227" s="7" t="s">
        <v>415</v>
      </c>
      <c r="C227" s="8">
        <v>25803</v>
      </c>
      <c r="D227" s="7" t="s">
        <v>52</v>
      </c>
      <c r="E227" s="7" t="s">
        <v>53</v>
      </c>
      <c r="F227" s="7" t="s">
        <v>53</v>
      </c>
      <c r="G227" s="7" t="s">
        <v>18</v>
      </c>
      <c r="H227" s="7" t="s">
        <v>48</v>
      </c>
      <c r="I227" s="7" t="s">
        <v>712</v>
      </c>
      <c r="J227" s="7" t="s">
        <v>712</v>
      </c>
      <c r="K227" s="8">
        <v>6152758</v>
      </c>
      <c r="L227" s="8">
        <v>313988</v>
      </c>
      <c r="M227" s="8">
        <v>19</v>
      </c>
      <c r="N227" s="8">
        <v>1</v>
      </c>
      <c r="O227" s="8">
        <v>27</v>
      </c>
      <c r="P227" s="8"/>
    </row>
    <row r="228" spans="1:16" hidden="1" x14ac:dyDescent="0.25">
      <c r="A228" s="7" t="s">
        <v>19</v>
      </c>
      <c r="B228" s="7" t="s">
        <v>415</v>
      </c>
      <c r="C228" s="8">
        <v>25805</v>
      </c>
      <c r="D228" s="7" t="s">
        <v>52</v>
      </c>
      <c r="E228" s="7" t="s">
        <v>145</v>
      </c>
      <c r="F228" s="7" t="s">
        <v>145</v>
      </c>
      <c r="G228" s="7" t="s">
        <v>18</v>
      </c>
      <c r="H228" s="7" t="s">
        <v>48</v>
      </c>
      <c r="I228" s="7" t="s">
        <v>712</v>
      </c>
      <c r="J228" s="7" t="s">
        <v>712</v>
      </c>
      <c r="K228" s="8">
        <v>6165930</v>
      </c>
      <c r="L228" s="8">
        <v>322636</v>
      </c>
      <c r="M228" s="8">
        <v>19</v>
      </c>
      <c r="N228" s="8">
        <v>1</v>
      </c>
      <c r="O228" s="8">
        <v>11.5</v>
      </c>
      <c r="P228" s="8"/>
    </row>
    <row r="229" spans="1:16" hidden="1" x14ac:dyDescent="0.25">
      <c r="A229" s="7" t="s">
        <v>19</v>
      </c>
      <c r="B229" s="7" t="s">
        <v>415</v>
      </c>
      <c r="C229" s="8">
        <v>25806</v>
      </c>
      <c r="D229" s="7" t="s">
        <v>16</v>
      </c>
      <c r="E229" s="7" t="s">
        <v>46</v>
      </c>
      <c r="F229" s="7" t="s">
        <v>46</v>
      </c>
      <c r="G229" s="7" t="s">
        <v>18</v>
      </c>
      <c r="H229" s="7" t="s">
        <v>48</v>
      </c>
      <c r="I229" s="7" t="s">
        <v>712</v>
      </c>
      <c r="J229" s="7" t="s">
        <v>712</v>
      </c>
      <c r="K229" s="8">
        <v>6116364</v>
      </c>
      <c r="L229" s="8">
        <v>289634</v>
      </c>
      <c r="M229" s="8">
        <v>19</v>
      </c>
      <c r="N229" s="8">
        <v>1</v>
      </c>
      <c r="O229" s="8">
        <v>3.3</v>
      </c>
      <c r="P229" s="8"/>
    </row>
    <row r="230" spans="1:16" hidden="1" x14ac:dyDescent="0.25">
      <c r="A230" s="7" t="s">
        <v>37</v>
      </c>
      <c r="B230" s="7" t="s">
        <v>415</v>
      </c>
      <c r="C230" s="8">
        <v>25807</v>
      </c>
      <c r="D230" s="7" t="s">
        <v>16</v>
      </c>
      <c r="E230" s="7" t="s">
        <v>46</v>
      </c>
      <c r="F230" s="7" t="s">
        <v>46</v>
      </c>
      <c r="G230" s="7" t="s">
        <v>18</v>
      </c>
      <c r="H230" s="7" t="s">
        <v>48</v>
      </c>
      <c r="I230" s="7" t="s">
        <v>712</v>
      </c>
      <c r="J230" s="7" t="s">
        <v>691</v>
      </c>
      <c r="K230" s="8">
        <v>6111078</v>
      </c>
      <c r="L230" s="8">
        <v>289303</v>
      </c>
      <c r="M230" s="8">
        <v>19</v>
      </c>
      <c r="N230" s="8">
        <v>1</v>
      </c>
      <c r="O230" s="8">
        <v>9.1</v>
      </c>
      <c r="P230" s="8"/>
    </row>
    <row r="231" spans="1:16" hidden="1" x14ac:dyDescent="0.25">
      <c r="A231" s="7" t="s">
        <v>37</v>
      </c>
      <c r="B231" s="7" t="s">
        <v>415</v>
      </c>
      <c r="C231" s="8">
        <v>25808</v>
      </c>
      <c r="D231" s="7" t="s">
        <v>16</v>
      </c>
      <c r="E231" s="7" t="s">
        <v>264</v>
      </c>
      <c r="F231" s="7" t="s">
        <v>264</v>
      </c>
      <c r="G231" s="7" t="s">
        <v>18</v>
      </c>
      <c r="H231" s="7" t="s">
        <v>48</v>
      </c>
      <c r="I231" s="7" t="s">
        <v>712</v>
      </c>
      <c r="J231" s="7" t="s">
        <v>691</v>
      </c>
      <c r="K231" s="8">
        <v>6123694</v>
      </c>
      <c r="L231" s="8">
        <v>285403</v>
      </c>
      <c r="M231" s="8">
        <v>19</v>
      </c>
      <c r="N231" s="8">
        <v>1</v>
      </c>
      <c r="O231" s="8">
        <v>10</v>
      </c>
      <c r="P231" s="8"/>
    </row>
    <row r="232" spans="1:16" hidden="1" x14ac:dyDescent="0.25">
      <c r="A232" s="7" t="s">
        <v>37</v>
      </c>
      <c r="B232" s="7" t="s">
        <v>415</v>
      </c>
      <c r="C232" s="8">
        <v>25809</v>
      </c>
      <c r="D232" s="7" t="s">
        <v>16</v>
      </c>
      <c r="E232" s="7" t="s">
        <v>46</v>
      </c>
      <c r="F232" s="7" t="s">
        <v>444</v>
      </c>
      <c r="G232" s="7" t="s">
        <v>18</v>
      </c>
      <c r="H232" s="7" t="s">
        <v>48</v>
      </c>
      <c r="I232" s="7" t="s">
        <v>712</v>
      </c>
      <c r="J232" s="7" t="s">
        <v>691</v>
      </c>
      <c r="K232" s="8">
        <v>6118083</v>
      </c>
      <c r="L232" s="8">
        <v>291080</v>
      </c>
      <c r="M232" s="8">
        <v>19</v>
      </c>
      <c r="N232" s="8">
        <v>1</v>
      </c>
      <c r="O232" s="8">
        <v>3.05</v>
      </c>
      <c r="P232" s="8"/>
    </row>
    <row r="233" spans="1:16" hidden="1" x14ac:dyDescent="0.25">
      <c r="A233" s="7" t="s">
        <v>37</v>
      </c>
      <c r="B233" s="7" t="s">
        <v>415</v>
      </c>
      <c r="C233" s="8">
        <v>25810</v>
      </c>
      <c r="D233" s="7" t="s">
        <v>16</v>
      </c>
      <c r="E233" s="7" t="s">
        <v>46</v>
      </c>
      <c r="F233" s="7" t="s">
        <v>46</v>
      </c>
      <c r="G233" s="7" t="s">
        <v>18</v>
      </c>
      <c r="H233" s="7" t="s">
        <v>48</v>
      </c>
      <c r="I233" s="7" t="s">
        <v>712</v>
      </c>
      <c r="J233" s="7" t="s">
        <v>691</v>
      </c>
      <c r="K233" s="8">
        <v>6111426</v>
      </c>
      <c r="L233" s="8">
        <v>289328</v>
      </c>
      <c r="M233" s="8">
        <v>19</v>
      </c>
      <c r="N233" s="8">
        <v>1</v>
      </c>
      <c r="O233" s="8">
        <v>11.9</v>
      </c>
      <c r="P233" s="8"/>
    </row>
    <row r="234" spans="1:16" hidden="1" x14ac:dyDescent="0.25">
      <c r="A234" s="7" t="s">
        <v>19</v>
      </c>
      <c r="B234" s="7" t="s">
        <v>415</v>
      </c>
      <c r="C234" s="8">
        <v>25811</v>
      </c>
      <c r="D234" s="7" t="s">
        <v>16</v>
      </c>
      <c r="E234" s="7" t="s">
        <v>264</v>
      </c>
      <c r="F234" s="7" t="s">
        <v>445</v>
      </c>
      <c r="G234" s="7" t="s">
        <v>18</v>
      </c>
      <c r="H234" s="7" t="s">
        <v>48</v>
      </c>
      <c r="I234" s="7" t="s">
        <v>712</v>
      </c>
      <c r="J234" s="7" t="s">
        <v>712</v>
      </c>
      <c r="K234" s="8">
        <v>6123722</v>
      </c>
      <c r="L234" s="8">
        <v>284106</v>
      </c>
      <c r="M234" s="8">
        <v>19</v>
      </c>
      <c r="N234" s="8">
        <v>1</v>
      </c>
      <c r="O234" s="8">
        <v>10.5</v>
      </c>
      <c r="P234" s="8"/>
    </row>
    <row r="235" spans="1:16" hidden="1" x14ac:dyDescent="0.25">
      <c r="A235" s="7" t="s">
        <v>14</v>
      </c>
      <c r="B235" s="7" t="s">
        <v>415</v>
      </c>
      <c r="C235" s="8">
        <v>25812</v>
      </c>
      <c r="D235" s="7" t="s">
        <v>119</v>
      </c>
      <c r="E235" s="7" t="s">
        <v>123</v>
      </c>
      <c r="F235" s="7" t="s">
        <v>123</v>
      </c>
      <c r="G235" s="7" t="s">
        <v>18</v>
      </c>
      <c r="H235" s="7" t="s">
        <v>689</v>
      </c>
      <c r="I235" s="7" t="s">
        <v>712</v>
      </c>
      <c r="J235" s="7" t="s">
        <v>712</v>
      </c>
      <c r="K235" s="8">
        <v>5823006</v>
      </c>
      <c r="L235" s="8">
        <v>711531</v>
      </c>
      <c r="M235" s="8">
        <v>18</v>
      </c>
      <c r="N235" s="8">
        <v>1</v>
      </c>
      <c r="O235" s="8">
        <v>1</v>
      </c>
      <c r="P235" s="8"/>
    </row>
    <row r="236" spans="1:16" hidden="1" x14ac:dyDescent="0.25">
      <c r="A236" s="7" t="s">
        <v>37</v>
      </c>
      <c r="B236" s="7" t="s">
        <v>415</v>
      </c>
      <c r="C236" s="8">
        <v>25813</v>
      </c>
      <c r="D236" s="7" t="s">
        <v>28</v>
      </c>
      <c r="E236" s="7" t="s">
        <v>446</v>
      </c>
      <c r="F236" s="7" t="s">
        <v>446</v>
      </c>
      <c r="G236" s="7" t="s">
        <v>18</v>
      </c>
      <c r="H236" s="7" t="s">
        <v>48</v>
      </c>
      <c r="I236" s="7" t="s">
        <v>712</v>
      </c>
      <c r="J236" s="7" t="s">
        <v>712</v>
      </c>
      <c r="K236" s="8">
        <v>6284829</v>
      </c>
      <c r="L236" s="8">
        <v>328428</v>
      </c>
      <c r="M236" s="8">
        <v>19</v>
      </c>
      <c r="N236" s="8">
        <v>1</v>
      </c>
      <c r="O236" s="8">
        <v>5.2</v>
      </c>
      <c r="P236" s="8"/>
    </row>
    <row r="237" spans="1:16" hidden="1" x14ac:dyDescent="0.25">
      <c r="A237" s="7" t="s">
        <v>37</v>
      </c>
      <c r="B237" s="7" t="s">
        <v>415</v>
      </c>
      <c r="C237" s="8">
        <v>25814</v>
      </c>
      <c r="D237" s="7" t="s">
        <v>52</v>
      </c>
      <c r="E237" s="7" t="s">
        <v>53</v>
      </c>
      <c r="F237" s="7" t="s">
        <v>53</v>
      </c>
      <c r="G237" s="7" t="s">
        <v>18</v>
      </c>
      <c r="H237" s="7" t="s">
        <v>48</v>
      </c>
      <c r="I237" s="7" t="s">
        <v>712</v>
      </c>
      <c r="J237" s="7" t="s">
        <v>691</v>
      </c>
      <c r="K237" s="8">
        <v>6153974</v>
      </c>
      <c r="L237" s="8">
        <v>314847</v>
      </c>
      <c r="M237" s="8">
        <v>19</v>
      </c>
      <c r="N237" s="8">
        <v>1</v>
      </c>
      <c r="O237" s="8">
        <v>15</v>
      </c>
      <c r="P237" s="8"/>
    </row>
    <row r="238" spans="1:16" hidden="1" x14ac:dyDescent="0.25">
      <c r="A238" s="7" t="s">
        <v>37</v>
      </c>
      <c r="B238" s="7" t="s">
        <v>254</v>
      </c>
      <c r="C238" s="8">
        <v>25817</v>
      </c>
      <c r="D238" s="7" t="s">
        <v>16</v>
      </c>
      <c r="E238" s="7" t="s">
        <v>17</v>
      </c>
      <c r="F238" s="7" t="s">
        <v>259</v>
      </c>
      <c r="G238" s="7" t="s">
        <v>18</v>
      </c>
      <c r="H238" s="7" t="s">
        <v>48</v>
      </c>
      <c r="I238" s="7" t="s">
        <v>712</v>
      </c>
      <c r="J238" s="7" t="s">
        <v>712</v>
      </c>
      <c r="K238" s="8">
        <v>6061963</v>
      </c>
      <c r="L238" s="8">
        <v>281052</v>
      </c>
      <c r="M238" s="8">
        <v>19</v>
      </c>
      <c r="N238" s="8">
        <v>5</v>
      </c>
      <c r="O238" s="8">
        <v>30</v>
      </c>
      <c r="P238" s="8"/>
    </row>
    <row r="239" spans="1:16" hidden="1" x14ac:dyDescent="0.25">
      <c r="A239" s="7" t="s">
        <v>19</v>
      </c>
      <c r="B239" s="7" t="s">
        <v>254</v>
      </c>
      <c r="C239" s="8">
        <v>25818</v>
      </c>
      <c r="D239" s="7" t="s">
        <v>16</v>
      </c>
      <c r="E239" s="7" t="s">
        <v>17</v>
      </c>
      <c r="F239" s="7" t="s">
        <v>260</v>
      </c>
      <c r="G239" s="7" t="s">
        <v>18</v>
      </c>
      <c r="H239" s="7" t="s">
        <v>48</v>
      </c>
      <c r="I239" s="7" t="s">
        <v>712</v>
      </c>
      <c r="J239" s="7" t="s">
        <v>712</v>
      </c>
      <c r="K239" s="8">
        <v>6057637</v>
      </c>
      <c r="L239" s="8">
        <v>284001</v>
      </c>
      <c r="M239" s="8">
        <v>19</v>
      </c>
      <c r="N239" s="8">
        <v>1</v>
      </c>
      <c r="O239" s="8">
        <v>12.7</v>
      </c>
      <c r="P239" s="8"/>
    </row>
    <row r="240" spans="1:16" hidden="1" x14ac:dyDescent="0.25">
      <c r="A240" s="7" t="s">
        <v>37</v>
      </c>
      <c r="B240" s="7" t="s">
        <v>254</v>
      </c>
      <c r="C240" s="8">
        <v>25822</v>
      </c>
      <c r="D240" s="7" t="s">
        <v>16</v>
      </c>
      <c r="E240" s="7" t="s">
        <v>127</v>
      </c>
      <c r="F240" s="7" t="s">
        <v>261</v>
      </c>
      <c r="G240" s="7" t="s">
        <v>18</v>
      </c>
      <c r="H240" s="7" t="s">
        <v>48</v>
      </c>
      <c r="I240" s="7" t="s">
        <v>712</v>
      </c>
      <c r="J240" s="7" t="s">
        <v>691</v>
      </c>
      <c r="K240" s="8">
        <v>6042790</v>
      </c>
      <c r="L240" s="8">
        <v>282031</v>
      </c>
      <c r="M240" s="8">
        <v>19</v>
      </c>
      <c r="N240" s="8">
        <v>3</v>
      </c>
      <c r="O240" s="8">
        <v>17</v>
      </c>
      <c r="P240" s="8"/>
    </row>
    <row r="241" spans="1:16" hidden="1" x14ac:dyDescent="0.25">
      <c r="A241" s="7" t="s">
        <v>37</v>
      </c>
      <c r="B241" s="7" t="s">
        <v>343</v>
      </c>
      <c r="C241" s="8">
        <v>25834</v>
      </c>
      <c r="D241" s="7" t="s">
        <v>28</v>
      </c>
      <c r="E241" s="7" t="s">
        <v>29</v>
      </c>
      <c r="F241" s="7" t="s">
        <v>352</v>
      </c>
      <c r="G241" s="7" t="s">
        <v>18</v>
      </c>
      <c r="H241" s="7" t="s">
        <v>24</v>
      </c>
      <c r="I241" s="7" t="s">
        <v>712</v>
      </c>
      <c r="J241" s="7" t="s">
        <v>712</v>
      </c>
      <c r="K241" s="8">
        <v>6246051</v>
      </c>
      <c r="L241" s="8">
        <v>337865</v>
      </c>
      <c r="M241" s="8">
        <v>19</v>
      </c>
      <c r="N241" s="8">
        <v>1</v>
      </c>
      <c r="O241" s="8">
        <v>0.4</v>
      </c>
      <c r="P241" s="8"/>
    </row>
    <row r="242" spans="1:16" hidden="1" x14ac:dyDescent="0.25">
      <c r="A242" s="7" t="s">
        <v>37</v>
      </c>
      <c r="B242" s="7" t="s">
        <v>343</v>
      </c>
      <c r="C242" s="8">
        <v>25835</v>
      </c>
      <c r="D242" s="7" t="s">
        <v>28</v>
      </c>
      <c r="E242" s="7" t="s">
        <v>29</v>
      </c>
      <c r="F242" s="7" t="s">
        <v>352</v>
      </c>
      <c r="G242" s="7" t="s">
        <v>18</v>
      </c>
      <c r="H242" s="7" t="s">
        <v>24</v>
      </c>
      <c r="I242" s="7" t="s">
        <v>712</v>
      </c>
      <c r="J242" s="7" t="s">
        <v>712</v>
      </c>
      <c r="K242" s="8">
        <v>6248606</v>
      </c>
      <c r="L242" s="8">
        <v>338033</v>
      </c>
      <c r="M242" s="8">
        <v>19</v>
      </c>
      <c r="N242" s="8">
        <v>1</v>
      </c>
      <c r="O242" s="8">
        <v>0.4</v>
      </c>
      <c r="P242" s="8"/>
    </row>
    <row r="243" spans="1:16" hidden="1" x14ac:dyDescent="0.25">
      <c r="A243" s="7" t="s">
        <v>37</v>
      </c>
      <c r="B243" s="7" t="s">
        <v>415</v>
      </c>
      <c r="C243" s="8">
        <v>25836</v>
      </c>
      <c r="D243" s="7" t="s">
        <v>28</v>
      </c>
      <c r="E243" s="7" t="s">
        <v>447</v>
      </c>
      <c r="F243" s="7" t="s">
        <v>390</v>
      </c>
      <c r="G243" s="7" t="s">
        <v>18</v>
      </c>
      <c r="H243" s="7" t="s">
        <v>24</v>
      </c>
      <c r="I243" s="7" t="s">
        <v>712</v>
      </c>
      <c r="J243" s="7" t="s">
        <v>712</v>
      </c>
      <c r="K243" s="8">
        <v>6301829</v>
      </c>
      <c r="L243" s="8">
        <v>336292</v>
      </c>
      <c r="M243" s="8">
        <v>19</v>
      </c>
      <c r="N243" s="8">
        <v>1</v>
      </c>
      <c r="O243" s="8">
        <v>0.05</v>
      </c>
      <c r="P243" s="8"/>
    </row>
    <row r="244" spans="1:16" hidden="1" x14ac:dyDescent="0.25">
      <c r="A244" s="7" t="s">
        <v>37</v>
      </c>
      <c r="B244" s="7" t="s">
        <v>563</v>
      </c>
      <c r="C244" s="8">
        <v>25837</v>
      </c>
      <c r="D244" s="7" t="s">
        <v>34</v>
      </c>
      <c r="E244" s="7" t="s">
        <v>190</v>
      </c>
      <c r="F244" s="7" t="s">
        <v>190</v>
      </c>
      <c r="G244" s="7" t="s">
        <v>43</v>
      </c>
      <c r="H244" s="7" t="s">
        <v>48</v>
      </c>
      <c r="I244" s="7" t="s">
        <v>97</v>
      </c>
      <c r="J244" s="7" t="s">
        <v>98</v>
      </c>
      <c r="K244" s="8">
        <v>5833758</v>
      </c>
      <c r="L244" s="8">
        <v>717355</v>
      </c>
      <c r="M244" s="8">
        <v>18</v>
      </c>
      <c r="N244" s="8">
        <v>1</v>
      </c>
      <c r="O244" s="8">
        <v>22</v>
      </c>
      <c r="P244" s="8"/>
    </row>
    <row r="245" spans="1:16" hidden="1" x14ac:dyDescent="0.25">
      <c r="A245" s="7" t="s">
        <v>37</v>
      </c>
      <c r="B245" s="7" t="s">
        <v>563</v>
      </c>
      <c r="C245" s="8">
        <v>25838</v>
      </c>
      <c r="D245" s="7" t="s">
        <v>119</v>
      </c>
      <c r="E245" s="7" t="s">
        <v>123</v>
      </c>
      <c r="F245" s="7" t="s">
        <v>123</v>
      </c>
      <c r="G245" s="7" t="s">
        <v>43</v>
      </c>
      <c r="H245" s="7" t="s">
        <v>48</v>
      </c>
      <c r="I245" s="7" t="s">
        <v>97</v>
      </c>
      <c r="J245" s="7" t="s">
        <v>98</v>
      </c>
      <c r="K245" s="8">
        <v>5817657</v>
      </c>
      <c r="L245" s="8">
        <v>713945</v>
      </c>
      <c r="M245" s="8">
        <v>18</v>
      </c>
      <c r="N245" s="8">
        <v>1</v>
      </c>
      <c r="O245" s="8">
        <v>15</v>
      </c>
      <c r="P245" s="8"/>
    </row>
    <row r="246" spans="1:16" hidden="1" x14ac:dyDescent="0.25">
      <c r="A246" s="7" t="s">
        <v>37</v>
      </c>
      <c r="B246" s="7" t="s">
        <v>343</v>
      </c>
      <c r="C246" s="8">
        <v>25839</v>
      </c>
      <c r="D246" s="7" t="s">
        <v>28</v>
      </c>
      <c r="E246" s="7" t="s">
        <v>29</v>
      </c>
      <c r="F246" s="7" t="s">
        <v>29</v>
      </c>
      <c r="G246" s="7" t="s">
        <v>18</v>
      </c>
      <c r="H246" s="7" t="s">
        <v>24</v>
      </c>
      <c r="I246" s="7" t="s">
        <v>712</v>
      </c>
      <c r="J246" s="7" t="s">
        <v>712</v>
      </c>
      <c r="K246" s="8">
        <v>6261581</v>
      </c>
      <c r="L246" s="8">
        <v>339534</v>
      </c>
      <c r="M246" s="8">
        <v>19</v>
      </c>
      <c r="N246" s="8">
        <v>1</v>
      </c>
      <c r="O246" s="8">
        <v>3</v>
      </c>
      <c r="P246" s="8"/>
    </row>
    <row r="247" spans="1:16" hidden="1" x14ac:dyDescent="0.25">
      <c r="A247" s="7" t="s">
        <v>19</v>
      </c>
      <c r="B247" s="7" t="s">
        <v>415</v>
      </c>
      <c r="C247" s="8">
        <v>25840</v>
      </c>
      <c r="D247" s="7" t="s">
        <v>28</v>
      </c>
      <c r="E247" s="7" t="s">
        <v>344</v>
      </c>
      <c r="F247" s="7" t="s">
        <v>448</v>
      </c>
      <c r="G247" s="7" t="s">
        <v>18</v>
      </c>
      <c r="H247" s="7" t="s">
        <v>48</v>
      </c>
      <c r="I247" s="7" t="s">
        <v>712</v>
      </c>
      <c r="J247" s="7" t="s">
        <v>712</v>
      </c>
      <c r="K247" s="8">
        <v>6278115</v>
      </c>
      <c r="L247" s="8">
        <v>291152</v>
      </c>
      <c r="M247" s="8">
        <v>19</v>
      </c>
      <c r="N247" s="8">
        <v>1</v>
      </c>
      <c r="O247" s="8">
        <v>2.4900000000000002</v>
      </c>
      <c r="P247" s="8"/>
    </row>
    <row r="248" spans="1:16" hidden="1" x14ac:dyDescent="0.25">
      <c r="A248" s="7" t="s">
        <v>37</v>
      </c>
      <c r="B248" s="7" t="s">
        <v>563</v>
      </c>
      <c r="C248" s="8">
        <v>25841</v>
      </c>
      <c r="D248" s="7" t="s">
        <v>34</v>
      </c>
      <c r="E248" s="7" t="s">
        <v>192</v>
      </c>
      <c r="F248" s="7" t="s">
        <v>567</v>
      </c>
      <c r="G248" s="7" t="s">
        <v>43</v>
      </c>
      <c r="H248" s="7" t="s">
        <v>48</v>
      </c>
      <c r="I248" s="7" t="s">
        <v>97</v>
      </c>
      <c r="J248" s="7" t="s">
        <v>98</v>
      </c>
      <c r="K248" s="8">
        <v>5832184</v>
      </c>
      <c r="L248" s="8">
        <v>735716</v>
      </c>
      <c r="M248" s="8">
        <v>18</v>
      </c>
      <c r="N248" s="8">
        <v>1</v>
      </c>
      <c r="O248" s="8">
        <v>51</v>
      </c>
      <c r="P248" s="8"/>
    </row>
    <row r="249" spans="1:16" hidden="1" x14ac:dyDescent="0.25">
      <c r="A249" s="7" t="s">
        <v>19</v>
      </c>
      <c r="B249" s="7" t="s">
        <v>415</v>
      </c>
      <c r="C249" s="8">
        <v>25842</v>
      </c>
      <c r="D249" s="7" t="s">
        <v>28</v>
      </c>
      <c r="E249" s="7" t="s">
        <v>56</v>
      </c>
      <c r="F249" s="7" t="s">
        <v>57</v>
      </c>
      <c r="G249" s="7" t="s">
        <v>18</v>
      </c>
      <c r="H249" s="7" t="s">
        <v>48</v>
      </c>
      <c r="I249" s="7" t="s">
        <v>712</v>
      </c>
      <c r="J249" s="7" t="s">
        <v>712</v>
      </c>
      <c r="K249" s="8">
        <v>6305555</v>
      </c>
      <c r="L249" s="8">
        <v>331790</v>
      </c>
      <c r="M249" s="8">
        <v>19</v>
      </c>
      <c r="N249" s="8">
        <v>1</v>
      </c>
      <c r="O249" s="8">
        <v>0.4</v>
      </c>
      <c r="P249" s="8"/>
    </row>
    <row r="250" spans="1:16" hidden="1" x14ac:dyDescent="0.25">
      <c r="A250" s="7" t="s">
        <v>19</v>
      </c>
      <c r="B250" s="7" t="s">
        <v>415</v>
      </c>
      <c r="C250" s="8">
        <v>25843</v>
      </c>
      <c r="D250" s="7" t="s">
        <v>28</v>
      </c>
      <c r="E250" s="7" t="s">
        <v>32</v>
      </c>
      <c r="F250" s="7" t="s">
        <v>443</v>
      </c>
      <c r="G250" s="7" t="s">
        <v>18</v>
      </c>
      <c r="H250" s="7" t="s">
        <v>48</v>
      </c>
      <c r="I250" s="7" t="s">
        <v>712</v>
      </c>
      <c r="J250" s="7" t="s">
        <v>691</v>
      </c>
      <c r="K250" s="8">
        <v>6274488</v>
      </c>
      <c r="L250" s="8">
        <v>341387</v>
      </c>
      <c r="M250" s="8">
        <v>19</v>
      </c>
      <c r="N250" s="8">
        <v>1</v>
      </c>
      <c r="O250" s="8">
        <v>0.4</v>
      </c>
      <c r="P250" s="8"/>
    </row>
    <row r="251" spans="1:16" hidden="1" x14ac:dyDescent="0.25">
      <c r="A251" s="7" t="s">
        <v>37</v>
      </c>
      <c r="B251" s="7" t="s">
        <v>343</v>
      </c>
      <c r="C251" s="8">
        <v>25844</v>
      </c>
      <c r="D251" s="7" t="s">
        <v>28</v>
      </c>
      <c r="E251" s="7" t="s">
        <v>29</v>
      </c>
      <c r="F251" s="7" t="s">
        <v>352</v>
      </c>
      <c r="G251" s="7" t="s">
        <v>18</v>
      </c>
      <c r="H251" s="7" t="s">
        <v>24</v>
      </c>
      <c r="I251" s="7" t="s">
        <v>712</v>
      </c>
      <c r="J251" s="7" t="s">
        <v>712</v>
      </c>
      <c r="K251" s="8">
        <v>6248344</v>
      </c>
      <c r="L251" s="8">
        <v>338133</v>
      </c>
      <c r="M251" s="8">
        <v>19</v>
      </c>
      <c r="N251" s="8">
        <v>1</v>
      </c>
      <c r="O251" s="8">
        <v>0.4</v>
      </c>
      <c r="P251" s="8"/>
    </row>
    <row r="252" spans="1:16" hidden="1" x14ac:dyDescent="0.25">
      <c r="A252" s="7" t="s">
        <v>37</v>
      </c>
      <c r="B252" s="7" t="s">
        <v>415</v>
      </c>
      <c r="C252" s="8">
        <v>25845</v>
      </c>
      <c r="D252" s="7" t="s">
        <v>28</v>
      </c>
      <c r="E252" s="7" t="s">
        <v>56</v>
      </c>
      <c r="F252" s="7" t="s">
        <v>162</v>
      </c>
      <c r="G252" s="7" t="s">
        <v>18</v>
      </c>
      <c r="H252" s="7" t="s">
        <v>24</v>
      </c>
      <c r="I252" s="7" t="s">
        <v>712</v>
      </c>
      <c r="J252" s="7" t="s">
        <v>712</v>
      </c>
      <c r="K252" s="8">
        <v>6257065</v>
      </c>
      <c r="L252" s="8">
        <v>333686</v>
      </c>
      <c r="M252" s="8">
        <v>19</v>
      </c>
      <c r="N252" s="8">
        <v>1</v>
      </c>
      <c r="O252" s="8">
        <v>0.25</v>
      </c>
      <c r="P252" s="8"/>
    </row>
    <row r="253" spans="1:16" hidden="1" x14ac:dyDescent="0.25">
      <c r="A253" s="7" t="s">
        <v>37</v>
      </c>
      <c r="B253" s="7" t="s">
        <v>343</v>
      </c>
      <c r="C253" s="8">
        <v>25846</v>
      </c>
      <c r="D253" s="7" t="s">
        <v>28</v>
      </c>
      <c r="E253" s="7" t="s">
        <v>29</v>
      </c>
      <c r="F253" s="7" t="s">
        <v>352</v>
      </c>
      <c r="G253" s="7" t="s">
        <v>18</v>
      </c>
      <c r="H253" s="7" t="s">
        <v>24</v>
      </c>
      <c r="I253" s="7" t="s">
        <v>712</v>
      </c>
      <c r="J253" s="7" t="s">
        <v>712</v>
      </c>
      <c r="K253" s="8">
        <v>6246540</v>
      </c>
      <c r="L253" s="8">
        <v>338416</v>
      </c>
      <c r="M253" s="8">
        <v>19</v>
      </c>
      <c r="N253" s="8">
        <v>1</v>
      </c>
      <c r="O253" s="8">
        <v>0.4</v>
      </c>
      <c r="P253" s="8"/>
    </row>
    <row r="254" spans="1:16" hidden="1" x14ac:dyDescent="0.25">
      <c r="A254" s="7" t="s">
        <v>37</v>
      </c>
      <c r="B254" s="7" t="s">
        <v>343</v>
      </c>
      <c r="C254" s="8">
        <v>25847</v>
      </c>
      <c r="D254" s="7" t="s">
        <v>28</v>
      </c>
      <c r="E254" s="7" t="s">
        <v>29</v>
      </c>
      <c r="F254" s="7" t="s">
        <v>352</v>
      </c>
      <c r="G254" s="7" t="s">
        <v>18</v>
      </c>
      <c r="H254" s="7" t="s">
        <v>24</v>
      </c>
      <c r="I254" s="7" t="s">
        <v>712</v>
      </c>
      <c r="J254" s="7" t="s">
        <v>712</v>
      </c>
      <c r="K254" s="8">
        <v>6246751</v>
      </c>
      <c r="L254" s="8">
        <v>338549</v>
      </c>
      <c r="M254" s="8">
        <v>19</v>
      </c>
      <c r="N254" s="8">
        <v>1</v>
      </c>
      <c r="O254" s="8">
        <v>0.4</v>
      </c>
      <c r="P254" s="8"/>
    </row>
    <row r="255" spans="1:16" hidden="1" x14ac:dyDescent="0.25">
      <c r="A255" s="7" t="s">
        <v>37</v>
      </c>
      <c r="B255" s="7" t="s">
        <v>343</v>
      </c>
      <c r="C255" s="8">
        <v>25848</v>
      </c>
      <c r="D255" s="7" t="s">
        <v>28</v>
      </c>
      <c r="E255" s="7" t="s">
        <v>29</v>
      </c>
      <c r="F255" s="7" t="s">
        <v>29</v>
      </c>
      <c r="G255" s="7" t="s">
        <v>18</v>
      </c>
      <c r="H255" s="7" t="s">
        <v>24</v>
      </c>
      <c r="I255" s="7" t="s">
        <v>712</v>
      </c>
      <c r="J255" s="7" t="s">
        <v>712</v>
      </c>
      <c r="K255" s="8">
        <v>6257800</v>
      </c>
      <c r="L255" s="8">
        <v>340051</v>
      </c>
      <c r="M255" s="8">
        <v>19</v>
      </c>
      <c r="N255" s="8">
        <v>1</v>
      </c>
      <c r="O255" s="8">
        <v>0.4</v>
      </c>
      <c r="P255" s="8"/>
    </row>
    <row r="256" spans="1:16" hidden="1" x14ac:dyDescent="0.25">
      <c r="A256" s="7" t="s">
        <v>37</v>
      </c>
      <c r="B256" s="7" t="s">
        <v>343</v>
      </c>
      <c r="C256" s="8">
        <v>25849</v>
      </c>
      <c r="D256" s="7" t="s">
        <v>28</v>
      </c>
      <c r="E256" s="7" t="s">
        <v>29</v>
      </c>
      <c r="F256" s="7" t="s">
        <v>30</v>
      </c>
      <c r="G256" s="7" t="s">
        <v>18</v>
      </c>
      <c r="H256" s="7" t="s">
        <v>24</v>
      </c>
      <c r="I256" s="7" t="s">
        <v>712</v>
      </c>
      <c r="J256" s="7" t="s">
        <v>712</v>
      </c>
      <c r="K256" s="8">
        <v>6258713</v>
      </c>
      <c r="L256" s="8">
        <v>348177</v>
      </c>
      <c r="M256" s="8">
        <v>19</v>
      </c>
      <c r="N256" s="8">
        <v>2</v>
      </c>
      <c r="O256" s="8">
        <v>0.4</v>
      </c>
      <c r="P256" s="8"/>
    </row>
    <row r="257" spans="1:16" hidden="1" x14ac:dyDescent="0.25">
      <c r="A257" s="7" t="s">
        <v>19</v>
      </c>
      <c r="B257" s="7" t="s">
        <v>415</v>
      </c>
      <c r="C257" s="8">
        <v>25850</v>
      </c>
      <c r="D257" s="7" t="s">
        <v>28</v>
      </c>
      <c r="E257" s="7" t="s">
        <v>56</v>
      </c>
      <c r="F257" s="7" t="s">
        <v>56</v>
      </c>
      <c r="G257" s="7" t="s">
        <v>18</v>
      </c>
      <c r="H257" s="7" t="s">
        <v>48</v>
      </c>
      <c r="I257" s="7" t="s">
        <v>712</v>
      </c>
      <c r="J257" s="7" t="s">
        <v>712</v>
      </c>
      <c r="K257" s="8">
        <v>6266542</v>
      </c>
      <c r="L257" s="8">
        <v>341097</v>
      </c>
      <c r="M257" s="8">
        <v>19</v>
      </c>
      <c r="N257" s="8">
        <v>1</v>
      </c>
      <c r="O257" s="8">
        <v>0.39</v>
      </c>
      <c r="P257" s="8"/>
    </row>
    <row r="258" spans="1:16" hidden="1" x14ac:dyDescent="0.25">
      <c r="A258" s="7" t="s">
        <v>14</v>
      </c>
      <c r="B258" s="7" t="s">
        <v>415</v>
      </c>
      <c r="C258" s="8">
        <v>25851</v>
      </c>
      <c r="D258" s="7" t="s">
        <v>119</v>
      </c>
      <c r="E258" s="7" t="s">
        <v>196</v>
      </c>
      <c r="F258" s="7" t="s">
        <v>449</v>
      </c>
      <c r="G258" s="7" t="s">
        <v>43</v>
      </c>
      <c r="H258" s="7" t="s">
        <v>689</v>
      </c>
      <c r="I258" s="7" t="s">
        <v>712</v>
      </c>
      <c r="J258" s="7" t="s">
        <v>712</v>
      </c>
      <c r="K258" s="8">
        <v>5700697</v>
      </c>
      <c r="L258" s="8">
        <v>722647</v>
      </c>
      <c r="M258" s="8">
        <v>18</v>
      </c>
      <c r="N258" s="8">
        <v>1</v>
      </c>
      <c r="O258" s="8">
        <v>7</v>
      </c>
      <c r="P258" s="8"/>
    </row>
    <row r="259" spans="1:16" hidden="1" x14ac:dyDescent="0.25">
      <c r="A259" s="7" t="s">
        <v>37</v>
      </c>
      <c r="B259" s="7" t="s">
        <v>343</v>
      </c>
      <c r="C259" s="8">
        <v>25852</v>
      </c>
      <c r="D259" s="7" t="s">
        <v>28</v>
      </c>
      <c r="E259" s="7" t="s">
        <v>29</v>
      </c>
      <c r="F259" s="7" t="s">
        <v>29</v>
      </c>
      <c r="G259" s="7" t="s">
        <v>18</v>
      </c>
      <c r="H259" s="7" t="s">
        <v>24</v>
      </c>
      <c r="I259" s="7" t="s">
        <v>712</v>
      </c>
      <c r="J259" s="7" t="s">
        <v>712</v>
      </c>
      <c r="K259" s="8">
        <v>6255328</v>
      </c>
      <c r="L259" s="8">
        <v>342261</v>
      </c>
      <c r="M259" s="8">
        <v>19</v>
      </c>
      <c r="N259" s="8">
        <v>1</v>
      </c>
      <c r="O259" s="8">
        <v>9</v>
      </c>
      <c r="P259" s="8"/>
    </row>
    <row r="260" spans="1:16" hidden="1" x14ac:dyDescent="0.25">
      <c r="A260" s="7" t="s">
        <v>19</v>
      </c>
      <c r="B260" s="7" t="s">
        <v>415</v>
      </c>
      <c r="C260" s="8">
        <v>25853</v>
      </c>
      <c r="D260" s="7" t="s">
        <v>28</v>
      </c>
      <c r="E260" s="7" t="s">
        <v>29</v>
      </c>
      <c r="F260" s="7" t="s">
        <v>29</v>
      </c>
      <c r="G260" s="7" t="s">
        <v>18</v>
      </c>
      <c r="H260" s="7" t="s">
        <v>48</v>
      </c>
      <c r="I260" s="7" t="s">
        <v>712</v>
      </c>
      <c r="J260" s="7" t="s">
        <v>712</v>
      </c>
      <c r="K260" s="8">
        <v>6259852</v>
      </c>
      <c r="L260" s="8">
        <v>341994</v>
      </c>
      <c r="M260" s="8">
        <v>19</v>
      </c>
      <c r="N260" s="8">
        <v>1</v>
      </c>
      <c r="O260" s="8">
        <v>0.4</v>
      </c>
      <c r="P260" s="8"/>
    </row>
    <row r="261" spans="1:16" hidden="1" x14ac:dyDescent="0.25">
      <c r="A261" s="7" t="s">
        <v>14</v>
      </c>
      <c r="B261" s="7" t="s">
        <v>415</v>
      </c>
      <c r="C261" s="8">
        <v>25857</v>
      </c>
      <c r="D261" s="7" t="s">
        <v>322</v>
      </c>
      <c r="E261" s="7" t="s">
        <v>323</v>
      </c>
      <c r="F261" s="7" t="s">
        <v>422</v>
      </c>
      <c r="G261" s="7" t="s">
        <v>18</v>
      </c>
      <c r="H261" s="7" t="s">
        <v>689</v>
      </c>
      <c r="I261" s="7" t="s">
        <v>712</v>
      </c>
      <c r="J261" s="7" t="s">
        <v>712</v>
      </c>
      <c r="K261" s="8">
        <v>7949881</v>
      </c>
      <c r="L261" s="8">
        <v>378390</v>
      </c>
      <c r="M261" s="8">
        <v>19</v>
      </c>
      <c r="N261" s="8">
        <v>1</v>
      </c>
      <c r="O261" s="8">
        <v>0.5</v>
      </c>
      <c r="P261" s="8"/>
    </row>
    <row r="262" spans="1:16" hidden="1" x14ac:dyDescent="0.25">
      <c r="A262" s="7" t="s">
        <v>14</v>
      </c>
      <c r="B262" s="7" t="s">
        <v>415</v>
      </c>
      <c r="C262" s="8">
        <v>25858</v>
      </c>
      <c r="D262" s="7" t="s">
        <v>322</v>
      </c>
      <c r="E262" s="7" t="s">
        <v>323</v>
      </c>
      <c r="F262" s="7" t="s">
        <v>422</v>
      </c>
      <c r="G262" s="7" t="s">
        <v>18</v>
      </c>
      <c r="H262" s="7" t="s">
        <v>689</v>
      </c>
      <c r="I262" s="7" t="s">
        <v>712</v>
      </c>
      <c r="J262" s="7" t="s">
        <v>712</v>
      </c>
      <c r="K262" s="8">
        <v>7950130</v>
      </c>
      <c r="L262" s="8">
        <v>378411</v>
      </c>
      <c r="M262" s="8">
        <v>19</v>
      </c>
      <c r="N262" s="8">
        <v>1</v>
      </c>
      <c r="O262" s="8">
        <v>0.01</v>
      </c>
      <c r="P262" s="8"/>
    </row>
    <row r="263" spans="1:16" hidden="1" x14ac:dyDescent="0.25">
      <c r="A263" s="7" t="s">
        <v>19</v>
      </c>
      <c r="B263" s="7" t="s">
        <v>415</v>
      </c>
      <c r="C263" s="8">
        <v>25861</v>
      </c>
      <c r="D263" s="7" t="s">
        <v>28</v>
      </c>
      <c r="E263" s="7" t="s">
        <v>166</v>
      </c>
      <c r="F263" s="7" t="s">
        <v>363</v>
      </c>
      <c r="G263" s="7" t="s">
        <v>18</v>
      </c>
      <c r="H263" s="7" t="s">
        <v>48</v>
      </c>
      <c r="I263" s="7" t="s">
        <v>712</v>
      </c>
      <c r="J263" s="7" t="s">
        <v>712</v>
      </c>
      <c r="K263" s="8">
        <v>6261748</v>
      </c>
      <c r="L263" s="8">
        <v>326953</v>
      </c>
      <c r="M263" s="8">
        <v>19</v>
      </c>
      <c r="N263" s="8">
        <v>1</v>
      </c>
      <c r="O263" s="8">
        <v>0.4</v>
      </c>
      <c r="P263" s="8"/>
    </row>
    <row r="264" spans="1:16" hidden="1" x14ac:dyDescent="0.25">
      <c r="A264" s="7" t="s">
        <v>19</v>
      </c>
      <c r="B264" s="7" t="s">
        <v>415</v>
      </c>
      <c r="C264" s="8">
        <v>25862</v>
      </c>
      <c r="D264" s="7" t="s">
        <v>28</v>
      </c>
      <c r="E264" s="7" t="s">
        <v>32</v>
      </c>
      <c r="F264" s="7" t="s">
        <v>450</v>
      </c>
      <c r="G264" s="7" t="s">
        <v>18</v>
      </c>
      <c r="H264" s="7" t="s">
        <v>48</v>
      </c>
      <c r="I264" s="7" t="s">
        <v>712</v>
      </c>
      <c r="J264" s="7" t="s">
        <v>691</v>
      </c>
      <c r="K264" s="8">
        <v>6280050</v>
      </c>
      <c r="L264" s="8">
        <v>339873</v>
      </c>
      <c r="M264" s="8">
        <v>19</v>
      </c>
      <c r="N264" s="8">
        <v>1</v>
      </c>
      <c r="O264" s="8">
        <v>0.4</v>
      </c>
      <c r="P264" s="8"/>
    </row>
    <row r="265" spans="1:16" hidden="1" x14ac:dyDescent="0.25">
      <c r="A265" s="7" t="s">
        <v>19</v>
      </c>
      <c r="B265" s="7" t="s">
        <v>415</v>
      </c>
      <c r="C265" s="8">
        <v>25864</v>
      </c>
      <c r="D265" s="7" t="s">
        <v>28</v>
      </c>
      <c r="E265" s="7" t="s">
        <v>32</v>
      </c>
      <c r="F265" s="7" t="s">
        <v>450</v>
      </c>
      <c r="G265" s="7" t="s">
        <v>18</v>
      </c>
      <c r="H265" s="7" t="s">
        <v>48</v>
      </c>
      <c r="I265" s="7" t="s">
        <v>712</v>
      </c>
      <c r="J265" s="7" t="s">
        <v>691</v>
      </c>
      <c r="K265" s="8">
        <v>6280050</v>
      </c>
      <c r="L265" s="8">
        <v>339873</v>
      </c>
      <c r="M265" s="8">
        <v>19</v>
      </c>
      <c r="N265" s="8">
        <v>1</v>
      </c>
      <c r="O265" s="8">
        <v>0.4</v>
      </c>
      <c r="P265" s="8"/>
    </row>
    <row r="266" spans="1:16" hidden="1" x14ac:dyDescent="0.25">
      <c r="A266" s="7" t="s">
        <v>19</v>
      </c>
      <c r="B266" s="7" t="s">
        <v>415</v>
      </c>
      <c r="C266" s="8">
        <v>25865</v>
      </c>
      <c r="D266" s="7" t="s">
        <v>28</v>
      </c>
      <c r="E266" s="7" t="s">
        <v>32</v>
      </c>
      <c r="F266" s="7" t="s">
        <v>450</v>
      </c>
      <c r="G266" s="7" t="s">
        <v>18</v>
      </c>
      <c r="H266" s="7" t="s">
        <v>48</v>
      </c>
      <c r="I266" s="7" t="s">
        <v>712</v>
      </c>
      <c r="J266" s="7" t="s">
        <v>691</v>
      </c>
      <c r="K266" s="8">
        <v>6280050</v>
      </c>
      <c r="L266" s="8">
        <v>339873</v>
      </c>
      <c r="M266" s="8">
        <v>19</v>
      </c>
      <c r="N266" s="8">
        <v>1</v>
      </c>
      <c r="O266" s="8">
        <v>0.4</v>
      </c>
      <c r="P266" s="8"/>
    </row>
    <row r="267" spans="1:16" hidden="1" x14ac:dyDescent="0.25">
      <c r="A267" s="7" t="s">
        <v>19</v>
      </c>
      <c r="B267" s="7" t="s">
        <v>415</v>
      </c>
      <c r="C267" s="8">
        <v>25866</v>
      </c>
      <c r="D267" s="7" t="s">
        <v>28</v>
      </c>
      <c r="E267" s="7" t="s">
        <v>32</v>
      </c>
      <c r="F267" s="7" t="s">
        <v>450</v>
      </c>
      <c r="G267" s="7" t="s">
        <v>18</v>
      </c>
      <c r="H267" s="7" t="s">
        <v>48</v>
      </c>
      <c r="I267" s="7" t="s">
        <v>712</v>
      </c>
      <c r="J267" s="7" t="s">
        <v>691</v>
      </c>
      <c r="K267" s="8">
        <v>6280050</v>
      </c>
      <c r="L267" s="8">
        <v>339873</v>
      </c>
      <c r="M267" s="8">
        <v>19</v>
      </c>
      <c r="N267" s="8">
        <v>1</v>
      </c>
      <c r="O267" s="8">
        <v>0.4</v>
      </c>
      <c r="P267" s="8"/>
    </row>
    <row r="268" spans="1:16" hidden="1" x14ac:dyDescent="0.25">
      <c r="A268" s="7" t="s">
        <v>37</v>
      </c>
      <c r="B268" s="7" t="s">
        <v>254</v>
      </c>
      <c r="C268" s="8">
        <v>25867</v>
      </c>
      <c r="D268" s="7" t="s">
        <v>16</v>
      </c>
      <c r="E268" s="7" t="s">
        <v>173</v>
      </c>
      <c r="F268" s="7" t="s">
        <v>173</v>
      </c>
      <c r="G268" s="7" t="s">
        <v>18</v>
      </c>
      <c r="H268" s="7" t="s">
        <v>48</v>
      </c>
      <c r="I268" s="7" t="s">
        <v>712</v>
      </c>
      <c r="J268" s="7" t="s">
        <v>691</v>
      </c>
      <c r="K268" s="8">
        <v>6040255</v>
      </c>
      <c r="L268" s="8">
        <v>272113</v>
      </c>
      <c r="M268" s="8">
        <v>19</v>
      </c>
      <c r="N268" s="8">
        <v>6</v>
      </c>
      <c r="O268" s="8">
        <v>24</v>
      </c>
      <c r="P268" s="8"/>
    </row>
    <row r="269" spans="1:16" hidden="1" x14ac:dyDescent="0.25">
      <c r="A269" s="7" t="s">
        <v>19</v>
      </c>
      <c r="B269" s="7" t="s">
        <v>415</v>
      </c>
      <c r="C269" s="8">
        <v>25868</v>
      </c>
      <c r="D269" s="7" t="s">
        <v>28</v>
      </c>
      <c r="E269" s="7" t="s">
        <v>29</v>
      </c>
      <c r="F269" s="7" t="s">
        <v>451</v>
      </c>
      <c r="G269" s="7" t="s">
        <v>18</v>
      </c>
      <c r="H269" s="7" t="s">
        <v>48</v>
      </c>
      <c r="I269" s="7" t="s">
        <v>712</v>
      </c>
      <c r="J269" s="7" t="s">
        <v>712</v>
      </c>
      <c r="K269" s="8">
        <v>6259822</v>
      </c>
      <c r="L269" s="8">
        <v>342193</v>
      </c>
      <c r="M269" s="8">
        <v>19</v>
      </c>
      <c r="N269" s="8">
        <v>1</v>
      </c>
      <c r="O269" s="8">
        <v>0.39</v>
      </c>
      <c r="P269" s="8"/>
    </row>
    <row r="270" spans="1:16" hidden="1" x14ac:dyDescent="0.25">
      <c r="A270" s="7" t="s">
        <v>37</v>
      </c>
      <c r="B270" s="7" t="s">
        <v>254</v>
      </c>
      <c r="C270" s="8">
        <v>25869</v>
      </c>
      <c r="D270" s="7" t="s">
        <v>16</v>
      </c>
      <c r="E270" s="7" t="s">
        <v>127</v>
      </c>
      <c r="F270" s="7" t="s">
        <v>262</v>
      </c>
      <c r="G270" s="7" t="s">
        <v>18</v>
      </c>
      <c r="H270" s="7" t="s">
        <v>48</v>
      </c>
      <c r="I270" s="7" t="s">
        <v>712</v>
      </c>
      <c r="J270" s="7" t="s">
        <v>691</v>
      </c>
      <c r="K270" s="8">
        <v>6038311</v>
      </c>
      <c r="L270" s="8">
        <v>274883</v>
      </c>
      <c r="M270" s="8">
        <v>19</v>
      </c>
      <c r="N270" s="8">
        <v>3</v>
      </c>
      <c r="O270" s="8">
        <v>11</v>
      </c>
      <c r="P270" s="8"/>
    </row>
    <row r="271" spans="1:16" hidden="1" x14ac:dyDescent="0.25">
      <c r="A271" s="7" t="s">
        <v>37</v>
      </c>
      <c r="B271" s="7" t="s">
        <v>254</v>
      </c>
      <c r="C271" s="8">
        <v>25870</v>
      </c>
      <c r="D271" s="7" t="s">
        <v>16</v>
      </c>
      <c r="E271" s="7" t="s">
        <v>46</v>
      </c>
      <c r="F271" s="7" t="s">
        <v>46</v>
      </c>
      <c r="G271" s="7" t="s">
        <v>18</v>
      </c>
      <c r="H271" s="7" t="s">
        <v>48</v>
      </c>
      <c r="I271" s="7" t="s">
        <v>712</v>
      </c>
      <c r="J271" s="7" t="s">
        <v>712</v>
      </c>
      <c r="K271" s="8">
        <v>6111667</v>
      </c>
      <c r="L271" s="8">
        <v>290561</v>
      </c>
      <c r="M271" s="8">
        <v>19</v>
      </c>
      <c r="N271" s="8">
        <v>2</v>
      </c>
      <c r="O271" s="8">
        <v>12</v>
      </c>
      <c r="P271" s="8"/>
    </row>
    <row r="272" spans="1:16" hidden="1" x14ac:dyDescent="0.25">
      <c r="A272" s="7" t="s">
        <v>14</v>
      </c>
      <c r="B272" s="7" t="s">
        <v>415</v>
      </c>
      <c r="C272" s="8">
        <v>25871</v>
      </c>
      <c r="D272" s="7" t="s">
        <v>322</v>
      </c>
      <c r="E272" s="7" t="s">
        <v>323</v>
      </c>
      <c r="F272" s="7" t="s">
        <v>422</v>
      </c>
      <c r="G272" s="7" t="s">
        <v>18</v>
      </c>
      <c r="H272" s="7" t="s">
        <v>689</v>
      </c>
      <c r="I272" s="7" t="s">
        <v>712</v>
      </c>
      <c r="J272" s="7" t="s">
        <v>712</v>
      </c>
      <c r="K272" s="8">
        <v>7952511</v>
      </c>
      <c r="L272" s="8">
        <v>371281</v>
      </c>
      <c r="M272" s="8">
        <v>19</v>
      </c>
      <c r="N272" s="8">
        <v>1</v>
      </c>
      <c r="O272" s="8">
        <v>7.0000000000000007E-2</v>
      </c>
      <c r="P272" s="8"/>
    </row>
    <row r="273" spans="1:16" hidden="1" x14ac:dyDescent="0.25">
      <c r="A273" s="7" t="s">
        <v>14</v>
      </c>
      <c r="B273" s="7" t="s">
        <v>415</v>
      </c>
      <c r="C273" s="8">
        <v>25872</v>
      </c>
      <c r="D273" s="7" t="s">
        <v>322</v>
      </c>
      <c r="E273" s="7" t="s">
        <v>323</v>
      </c>
      <c r="F273" s="7" t="s">
        <v>422</v>
      </c>
      <c r="G273" s="7" t="s">
        <v>18</v>
      </c>
      <c r="H273" s="7" t="s">
        <v>689</v>
      </c>
      <c r="I273" s="7" t="s">
        <v>712</v>
      </c>
      <c r="J273" s="7" t="s">
        <v>712</v>
      </c>
      <c r="K273" s="8">
        <v>7949881</v>
      </c>
      <c r="L273" s="8">
        <v>378390</v>
      </c>
      <c r="M273" s="8">
        <v>19</v>
      </c>
      <c r="N273" s="8">
        <v>1</v>
      </c>
      <c r="O273" s="8">
        <v>0.16</v>
      </c>
      <c r="P273" s="8"/>
    </row>
    <row r="274" spans="1:16" hidden="1" x14ac:dyDescent="0.25">
      <c r="A274" s="7" t="s">
        <v>14</v>
      </c>
      <c r="B274" s="7" t="s">
        <v>415</v>
      </c>
      <c r="C274" s="8">
        <v>25873</v>
      </c>
      <c r="D274" s="7" t="s">
        <v>322</v>
      </c>
      <c r="E274" s="7" t="s">
        <v>323</v>
      </c>
      <c r="F274" s="7" t="s">
        <v>422</v>
      </c>
      <c r="G274" s="7" t="s">
        <v>18</v>
      </c>
      <c r="H274" s="7" t="s">
        <v>689</v>
      </c>
      <c r="I274" s="7" t="s">
        <v>712</v>
      </c>
      <c r="J274" s="7" t="s">
        <v>712</v>
      </c>
      <c r="K274" s="8">
        <v>7949881</v>
      </c>
      <c r="L274" s="8">
        <v>378390</v>
      </c>
      <c r="M274" s="8">
        <v>19</v>
      </c>
      <c r="N274" s="8">
        <v>1</v>
      </c>
      <c r="O274" s="8">
        <v>0.13</v>
      </c>
      <c r="P274" s="8"/>
    </row>
    <row r="275" spans="1:16" hidden="1" x14ac:dyDescent="0.25">
      <c r="A275" s="7" t="s">
        <v>37</v>
      </c>
      <c r="B275" s="7" t="s">
        <v>254</v>
      </c>
      <c r="C275" s="8">
        <v>25876</v>
      </c>
      <c r="D275" s="7" t="s">
        <v>16</v>
      </c>
      <c r="E275" s="7" t="s">
        <v>46</v>
      </c>
      <c r="F275" s="7" t="s">
        <v>263</v>
      </c>
      <c r="G275" s="7" t="s">
        <v>18</v>
      </c>
      <c r="H275" s="7" t="s">
        <v>48</v>
      </c>
      <c r="I275" s="7" t="s">
        <v>712</v>
      </c>
      <c r="J275" s="7" t="s">
        <v>712</v>
      </c>
      <c r="K275" s="8">
        <v>6116301</v>
      </c>
      <c r="L275" s="8">
        <v>291149</v>
      </c>
      <c r="M275" s="8">
        <v>19</v>
      </c>
      <c r="N275" s="8">
        <v>1</v>
      </c>
      <c r="O275" s="8">
        <v>36</v>
      </c>
      <c r="P275" s="8"/>
    </row>
    <row r="276" spans="1:16" hidden="1" x14ac:dyDescent="0.25">
      <c r="A276" s="7" t="s">
        <v>37</v>
      </c>
      <c r="B276" s="7" t="s">
        <v>343</v>
      </c>
      <c r="C276" s="8">
        <v>25877</v>
      </c>
      <c r="D276" s="7" t="s">
        <v>28</v>
      </c>
      <c r="E276" s="7" t="s">
        <v>32</v>
      </c>
      <c r="F276" s="7" t="s">
        <v>33</v>
      </c>
      <c r="G276" s="7" t="s">
        <v>18</v>
      </c>
      <c r="H276" s="7" t="s">
        <v>24</v>
      </c>
      <c r="I276" s="7" t="s">
        <v>712</v>
      </c>
      <c r="J276" s="7" t="s">
        <v>712</v>
      </c>
      <c r="K276" s="8">
        <v>6274935</v>
      </c>
      <c r="L276" s="8">
        <v>343662</v>
      </c>
      <c r="M276" s="8">
        <v>19</v>
      </c>
      <c r="N276" s="8">
        <v>1</v>
      </c>
      <c r="O276" s="8">
        <v>6</v>
      </c>
      <c r="P276" s="8"/>
    </row>
    <row r="277" spans="1:16" hidden="1" x14ac:dyDescent="0.25">
      <c r="A277" s="7" t="s">
        <v>37</v>
      </c>
      <c r="B277" s="7" t="s">
        <v>254</v>
      </c>
      <c r="C277" s="8">
        <v>25878</v>
      </c>
      <c r="D277" s="7" t="s">
        <v>16</v>
      </c>
      <c r="E277" s="7" t="s">
        <v>46</v>
      </c>
      <c r="F277" s="7" t="s">
        <v>263</v>
      </c>
      <c r="G277" s="7" t="s">
        <v>18</v>
      </c>
      <c r="H277" s="7" t="s">
        <v>48</v>
      </c>
      <c r="I277" s="7" t="s">
        <v>712</v>
      </c>
      <c r="J277" s="7" t="s">
        <v>712</v>
      </c>
      <c r="K277" s="8">
        <v>6116773</v>
      </c>
      <c r="L277" s="8">
        <v>291187</v>
      </c>
      <c r="M277" s="8">
        <v>19</v>
      </c>
      <c r="N277" s="8">
        <v>3</v>
      </c>
      <c r="O277" s="8">
        <v>34</v>
      </c>
      <c r="P277" s="8"/>
    </row>
    <row r="278" spans="1:16" hidden="1" x14ac:dyDescent="0.25">
      <c r="A278" s="7" t="s">
        <v>37</v>
      </c>
      <c r="B278" s="7" t="s">
        <v>343</v>
      </c>
      <c r="C278" s="8">
        <v>25880</v>
      </c>
      <c r="D278" s="7" t="s">
        <v>28</v>
      </c>
      <c r="E278" s="7" t="s">
        <v>29</v>
      </c>
      <c r="F278" s="7" t="s">
        <v>352</v>
      </c>
      <c r="G278" s="7" t="s">
        <v>18</v>
      </c>
      <c r="H278" s="7" t="s">
        <v>24</v>
      </c>
      <c r="I278" s="7" t="s">
        <v>712</v>
      </c>
      <c r="J278" s="7" t="s">
        <v>712</v>
      </c>
      <c r="K278" s="8">
        <v>6247152</v>
      </c>
      <c r="L278" s="8">
        <v>338900</v>
      </c>
      <c r="M278" s="8">
        <v>19</v>
      </c>
      <c r="N278" s="8">
        <v>1</v>
      </c>
      <c r="O278" s="8">
        <v>0.4</v>
      </c>
      <c r="P278" s="8"/>
    </row>
    <row r="279" spans="1:16" hidden="1" x14ac:dyDescent="0.25">
      <c r="A279" s="7" t="s">
        <v>37</v>
      </c>
      <c r="B279" s="7" t="s">
        <v>343</v>
      </c>
      <c r="C279" s="8">
        <v>25883</v>
      </c>
      <c r="D279" s="7" t="s">
        <v>28</v>
      </c>
      <c r="E279" s="7" t="s">
        <v>29</v>
      </c>
      <c r="F279" s="7" t="s">
        <v>29</v>
      </c>
      <c r="G279" s="7" t="s">
        <v>18</v>
      </c>
      <c r="H279" s="7" t="s">
        <v>24</v>
      </c>
      <c r="I279" s="7" t="s">
        <v>712</v>
      </c>
      <c r="J279" s="7" t="s">
        <v>712</v>
      </c>
      <c r="K279" s="8">
        <v>6259086</v>
      </c>
      <c r="L279" s="8">
        <v>341032</v>
      </c>
      <c r="M279" s="8">
        <v>19</v>
      </c>
      <c r="N279" s="8">
        <v>1</v>
      </c>
      <c r="O279" s="8">
        <v>5</v>
      </c>
      <c r="P279" s="8"/>
    </row>
    <row r="280" spans="1:16" hidden="1" x14ac:dyDescent="0.25">
      <c r="A280" s="7" t="s">
        <v>37</v>
      </c>
      <c r="B280" s="7" t="s">
        <v>343</v>
      </c>
      <c r="C280" s="8">
        <v>25884</v>
      </c>
      <c r="D280" s="7" t="s">
        <v>28</v>
      </c>
      <c r="E280" s="7" t="s">
        <v>29</v>
      </c>
      <c r="F280" s="7" t="s">
        <v>29</v>
      </c>
      <c r="G280" s="7" t="s">
        <v>18</v>
      </c>
      <c r="H280" s="7" t="s">
        <v>24</v>
      </c>
      <c r="I280" s="7" t="s">
        <v>712</v>
      </c>
      <c r="J280" s="7" t="s">
        <v>712</v>
      </c>
      <c r="K280" s="8">
        <v>6257392</v>
      </c>
      <c r="L280" s="8">
        <v>340079</v>
      </c>
      <c r="M280" s="8">
        <v>19</v>
      </c>
      <c r="N280" s="8">
        <v>1</v>
      </c>
      <c r="O280" s="8">
        <v>7</v>
      </c>
      <c r="P280" s="8"/>
    </row>
    <row r="281" spans="1:16" hidden="1" x14ac:dyDescent="0.25">
      <c r="A281" s="7" t="s">
        <v>37</v>
      </c>
      <c r="B281" s="7" t="s">
        <v>343</v>
      </c>
      <c r="C281" s="8">
        <v>25887</v>
      </c>
      <c r="D281" s="7" t="s">
        <v>28</v>
      </c>
      <c r="E281" s="7" t="s">
        <v>29</v>
      </c>
      <c r="F281" s="7" t="s">
        <v>29</v>
      </c>
      <c r="G281" s="7" t="s">
        <v>18</v>
      </c>
      <c r="H281" s="7" t="s">
        <v>24</v>
      </c>
      <c r="I281" s="7" t="s">
        <v>712</v>
      </c>
      <c r="J281" s="7" t="s">
        <v>712</v>
      </c>
      <c r="K281" s="8">
        <v>6260075</v>
      </c>
      <c r="L281" s="8">
        <v>339223</v>
      </c>
      <c r="M281" s="8">
        <v>19</v>
      </c>
      <c r="N281" s="8">
        <v>1</v>
      </c>
      <c r="O281" s="8">
        <v>6</v>
      </c>
      <c r="P281" s="8"/>
    </row>
    <row r="282" spans="1:16" hidden="1" x14ac:dyDescent="0.25">
      <c r="A282" s="7" t="s">
        <v>37</v>
      </c>
      <c r="B282" s="7" t="s">
        <v>254</v>
      </c>
      <c r="C282" s="8">
        <v>25889</v>
      </c>
      <c r="D282" s="7" t="s">
        <v>16</v>
      </c>
      <c r="E282" s="7" t="s">
        <v>264</v>
      </c>
      <c r="F282" s="7" t="s">
        <v>265</v>
      </c>
      <c r="G282" s="7" t="s">
        <v>18</v>
      </c>
      <c r="H282" s="7" t="s">
        <v>48</v>
      </c>
      <c r="I282" s="7" t="s">
        <v>712</v>
      </c>
      <c r="J282" s="7" t="s">
        <v>712</v>
      </c>
      <c r="K282" s="8">
        <v>6119044</v>
      </c>
      <c r="L282" s="8">
        <v>290153</v>
      </c>
      <c r="M282" s="8">
        <v>19</v>
      </c>
      <c r="N282" s="8">
        <v>3</v>
      </c>
      <c r="O282" s="8">
        <v>36</v>
      </c>
      <c r="P282" s="8"/>
    </row>
    <row r="283" spans="1:16" hidden="1" x14ac:dyDescent="0.25">
      <c r="A283" s="7" t="s">
        <v>37</v>
      </c>
      <c r="B283" s="7" t="s">
        <v>343</v>
      </c>
      <c r="C283" s="8">
        <v>25890</v>
      </c>
      <c r="D283" s="7" t="s">
        <v>28</v>
      </c>
      <c r="E283" s="7" t="s">
        <v>32</v>
      </c>
      <c r="F283" s="7" t="s">
        <v>147</v>
      </c>
      <c r="G283" s="7" t="s">
        <v>18</v>
      </c>
      <c r="H283" s="7" t="s">
        <v>24</v>
      </c>
      <c r="I283" s="7" t="s">
        <v>712</v>
      </c>
      <c r="J283" s="7" t="s">
        <v>712</v>
      </c>
      <c r="K283" s="8">
        <v>6271757</v>
      </c>
      <c r="L283" s="8">
        <v>335230</v>
      </c>
      <c r="M283" s="8">
        <v>19</v>
      </c>
      <c r="N283" s="8">
        <v>1</v>
      </c>
      <c r="O283" s="8">
        <v>2</v>
      </c>
      <c r="P283" s="8"/>
    </row>
    <row r="284" spans="1:16" hidden="1" x14ac:dyDescent="0.25">
      <c r="A284" s="7" t="s">
        <v>37</v>
      </c>
      <c r="B284" s="7" t="s">
        <v>343</v>
      </c>
      <c r="C284" s="8">
        <v>25891</v>
      </c>
      <c r="D284" s="7" t="s">
        <v>28</v>
      </c>
      <c r="E284" s="7" t="s">
        <v>32</v>
      </c>
      <c r="F284" s="7" t="s">
        <v>147</v>
      </c>
      <c r="G284" s="7" t="s">
        <v>18</v>
      </c>
      <c r="H284" s="7" t="s">
        <v>109</v>
      </c>
      <c r="I284" s="7" t="s">
        <v>712</v>
      </c>
      <c r="J284" s="7" t="s">
        <v>691</v>
      </c>
      <c r="K284" s="8">
        <v>6271757</v>
      </c>
      <c r="L284" s="8">
        <v>335230</v>
      </c>
      <c r="M284" s="8">
        <v>19</v>
      </c>
      <c r="N284" s="8">
        <v>1</v>
      </c>
      <c r="O284" s="8">
        <v>8</v>
      </c>
      <c r="P284" s="8"/>
    </row>
    <row r="285" spans="1:16" hidden="1" x14ac:dyDescent="0.25">
      <c r="A285" s="7" t="s">
        <v>14</v>
      </c>
      <c r="B285" s="7" t="s">
        <v>415</v>
      </c>
      <c r="C285" s="8">
        <v>25892</v>
      </c>
      <c r="D285" s="7" t="s">
        <v>322</v>
      </c>
      <c r="E285" s="7" t="s">
        <v>323</v>
      </c>
      <c r="F285" s="7" t="s">
        <v>422</v>
      </c>
      <c r="G285" s="7" t="s">
        <v>18</v>
      </c>
      <c r="H285" s="7" t="s">
        <v>689</v>
      </c>
      <c r="I285" s="7" t="s">
        <v>712</v>
      </c>
      <c r="J285" s="7" t="s">
        <v>712</v>
      </c>
      <c r="K285" s="8">
        <v>7949169</v>
      </c>
      <c r="L285" s="8">
        <v>381091</v>
      </c>
      <c r="M285" s="8">
        <v>19</v>
      </c>
      <c r="N285" s="8">
        <v>1</v>
      </c>
      <c r="O285" s="8">
        <v>0.74</v>
      </c>
      <c r="P285" s="8"/>
    </row>
    <row r="286" spans="1:16" hidden="1" x14ac:dyDescent="0.25">
      <c r="A286" s="7" t="s">
        <v>14</v>
      </c>
      <c r="B286" s="7" t="s">
        <v>415</v>
      </c>
      <c r="C286" s="8">
        <v>25893</v>
      </c>
      <c r="D286" s="7" t="s">
        <v>322</v>
      </c>
      <c r="E286" s="7" t="s">
        <v>323</v>
      </c>
      <c r="F286" s="7" t="s">
        <v>422</v>
      </c>
      <c r="G286" s="7" t="s">
        <v>18</v>
      </c>
      <c r="H286" s="7" t="s">
        <v>689</v>
      </c>
      <c r="I286" s="7" t="s">
        <v>712</v>
      </c>
      <c r="J286" s="7" t="s">
        <v>712</v>
      </c>
      <c r="K286" s="8">
        <v>7952211</v>
      </c>
      <c r="L286" s="8">
        <v>371281</v>
      </c>
      <c r="M286" s="8">
        <v>19</v>
      </c>
      <c r="N286" s="8">
        <v>1</v>
      </c>
      <c r="O286" s="8">
        <v>0.05</v>
      </c>
      <c r="P286" s="8"/>
    </row>
    <row r="287" spans="1:16" hidden="1" x14ac:dyDescent="0.25">
      <c r="A287" s="7" t="s">
        <v>14</v>
      </c>
      <c r="B287" s="7" t="s">
        <v>415</v>
      </c>
      <c r="C287" s="8">
        <v>25894</v>
      </c>
      <c r="D287" s="7" t="s">
        <v>322</v>
      </c>
      <c r="E287" s="7" t="s">
        <v>323</v>
      </c>
      <c r="F287" s="7" t="s">
        <v>422</v>
      </c>
      <c r="G287" s="7" t="s">
        <v>18</v>
      </c>
      <c r="H287" s="7" t="s">
        <v>689</v>
      </c>
      <c r="I287" s="7" t="s">
        <v>712</v>
      </c>
      <c r="J287" s="7" t="s">
        <v>712</v>
      </c>
      <c r="K287" s="8">
        <v>7952511</v>
      </c>
      <c r="L287" s="8">
        <v>371281</v>
      </c>
      <c r="M287" s="8">
        <v>19</v>
      </c>
      <c r="N287" s="8">
        <v>1</v>
      </c>
      <c r="O287" s="8">
        <v>0.14000000000000001</v>
      </c>
      <c r="P287" s="8"/>
    </row>
    <row r="288" spans="1:16" hidden="1" x14ac:dyDescent="0.25">
      <c r="A288" s="7" t="s">
        <v>37</v>
      </c>
      <c r="B288" s="7" t="s">
        <v>343</v>
      </c>
      <c r="C288" s="8">
        <v>25895</v>
      </c>
      <c r="D288" s="7" t="s">
        <v>16</v>
      </c>
      <c r="E288" s="7" t="s">
        <v>155</v>
      </c>
      <c r="F288" s="7" t="s">
        <v>156</v>
      </c>
      <c r="G288" s="7" t="s">
        <v>18</v>
      </c>
      <c r="H288" s="7" t="s">
        <v>48</v>
      </c>
      <c r="I288" s="7" t="s">
        <v>712</v>
      </c>
      <c r="J288" s="7" t="s">
        <v>712</v>
      </c>
      <c r="K288" s="8">
        <v>6114098</v>
      </c>
      <c r="L288" s="8">
        <v>306387</v>
      </c>
      <c r="M288" s="8">
        <v>19</v>
      </c>
      <c r="N288" s="8">
        <v>2</v>
      </c>
      <c r="O288" s="8">
        <v>50.3</v>
      </c>
      <c r="P288" s="8"/>
    </row>
    <row r="289" spans="1:16" hidden="1" x14ac:dyDescent="0.25">
      <c r="A289" s="7" t="s">
        <v>37</v>
      </c>
      <c r="B289" s="7" t="s">
        <v>343</v>
      </c>
      <c r="C289" s="8">
        <v>25896</v>
      </c>
      <c r="D289" s="7" t="s">
        <v>16</v>
      </c>
      <c r="E289" s="7" t="s">
        <v>46</v>
      </c>
      <c r="F289" s="7" t="s">
        <v>353</v>
      </c>
      <c r="G289" s="7" t="s">
        <v>18</v>
      </c>
      <c r="H289" s="7" t="s">
        <v>48</v>
      </c>
      <c r="I289" s="7" t="s">
        <v>712</v>
      </c>
      <c r="J289" s="7" t="s">
        <v>712</v>
      </c>
      <c r="K289" s="8">
        <v>6115793</v>
      </c>
      <c r="L289" s="8">
        <v>295619</v>
      </c>
      <c r="M289" s="8">
        <v>19</v>
      </c>
      <c r="N289" s="8">
        <v>5</v>
      </c>
      <c r="O289" s="8">
        <v>23.83</v>
      </c>
      <c r="P289" s="8"/>
    </row>
    <row r="290" spans="1:16" hidden="1" x14ac:dyDescent="0.25">
      <c r="A290" s="7" t="s">
        <v>37</v>
      </c>
      <c r="B290" s="7" t="s">
        <v>343</v>
      </c>
      <c r="C290" s="8">
        <v>25897</v>
      </c>
      <c r="D290" s="7" t="s">
        <v>16</v>
      </c>
      <c r="E290" s="7" t="s">
        <v>46</v>
      </c>
      <c r="F290" s="7" t="s">
        <v>46</v>
      </c>
      <c r="G290" s="7" t="s">
        <v>18</v>
      </c>
      <c r="H290" s="7" t="s">
        <v>48</v>
      </c>
      <c r="I290" s="7" t="s">
        <v>712</v>
      </c>
      <c r="J290" s="7" t="s">
        <v>712</v>
      </c>
      <c r="K290" s="8">
        <v>6115291</v>
      </c>
      <c r="L290" s="8">
        <v>292872</v>
      </c>
      <c r="M290" s="8">
        <v>19</v>
      </c>
      <c r="N290" s="8">
        <v>1</v>
      </c>
      <c r="O290" s="8">
        <v>31</v>
      </c>
      <c r="P290" s="8"/>
    </row>
    <row r="291" spans="1:16" hidden="1" x14ac:dyDescent="0.25">
      <c r="A291" s="7" t="s">
        <v>37</v>
      </c>
      <c r="B291" s="7" t="s">
        <v>343</v>
      </c>
      <c r="C291" s="8">
        <v>25898</v>
      </c>
      <c r="D291" s="7" t="s">
        <v>16</v>
      </c>
      <c r="E291" s="7" t="s">
        <v>155</v>
      </c>
      <c r="F291" s="7" t="s">
        <v>354</v>
      </c>
      <c r="G291" s="7" t="s">
        <v>18</v>
      </c>
      <c r="H291" s="7" t="s">
        <v>48</v>
      </c>
      <c r="I291" s="7" t="s">
        <v>712</v>
      </c>
      <c r="J291" s="7" t="s">
        <v>712</v>
      </c>
      <c r="K291" s="8">
        <v>6131820</v>
      </c>
      <c r="L291" s="8">
        <v>292973</v>
      </c>
      <c r="M291" s="8">
        <v>19</v>
      </c>
      <c r="N291" s="8">
        <v>3</v>
      </c>
      <c r="O291" s="8">
        <v>23.2</v>
      </c>
      <c r="P291" s="8"/>
    </row>
    <row r="292" spans="1:16" hidden="1" x14ac:dyDescent="0.25">
      <c r="A292" s="7" t="s">
        <v>37</v>
      </c>
      <c r="B292" s="7" t="s">
        <v>343</v>
      </c>
      <c r="C292" s="8">
        <v>25899</v>
      </c>
      <c r="D292" s="7" t="s">
        <v>16</v>
      </c>
      <c r="E292" s="7" t="s">
        <v>155</v>
      </c>
      <c r="F292" s="7" t="s">
        <v>355</v>
      </c>
      <c r="G292" s="7" t="s">
        <v>18</v>
      </c>
      <c r="H292" s="7" t="s">
        <v>48</v>
      </c>
      <c r="I292" s="7" t="s">
        <v>691</v>
      </c>
      <c r="J292" s="7" t="s">
        <v>691</v>
      </c>
      <c r="K292" s="8">
        <v>6128240</v>
      </c>
      <c r="L292" s="8">
        <v>299379</v>
      </c>
      <c r="M292" s="8">
        <v>19</v>
      </c>
      <c r="N292" s="8">
        <v>1</v>
      </c>
      <c r="O292" s="8">
        <v>14</v>
      </c>
      <c r="P292" s="8"/>
    </row>
    <row r="293" spans="1:16" hidden="1" x14ac:dyDescent="0.25">
      <c r="A293" s="7" t="s">
        <v>37</v>
      </c>
      <c r="B293" s="7" t="s">
        <v>343</v>
      </c>
      <c r="C293" s="8">
        <v>25900</v>
      </c>
      <c r="D293" s="7" t="s">
        <v>16</v>
      </c>
      <c r="E293" s="7" t="s">
        <v>155</v>
      </c>
      <c r="F293" s="7" t="s">
        <v>356</v>
      </c>
      <c r="G293" s="7" t="s">
        <v>18</v>
      </c>
      <c r="H293" s="7" t="s">
        <v>48</v>
      </c>
      <c r="I293" s="7" t="s">
        <v>712</v>
      </c>
      <c r="J293" s="7" t="s">
        <v>712</v>
      </c>
      <c r="K293" s="8">
        <v>6129276</v>
      </c>
      <c r="L293" s="8">
        <v>296404</v>
      </c>
      <c r="M293" s="8">
        <v>19</v>
      </c>
      <c r="N293" s="8">
        <v>2</v>
      </c>
      <c r="O293" s="8">
        <v>9</v>
      </c>
      <c r="P293" s="8"/>
    </row>
    <row r="294" spans="1:16" hidden="1" x14ac:dyDescent="0.25">
      <c r="A294" s="7" t="s">
        <v>37</v>
      </c>
      <c r="B294" s="7" t="s">
        <v>415</v>
      </c>
      <c r="C294" s="8">
        <v>25901</v>
      </c>
      <c r="D294" s="7" t="s">
        <v>28</v>
      </c>
      <c r="E294" s="7" t="s">
        <v>146</v>
      </c>
      <c r="F294" s="7" t="s">
        <v>146</v>
      </c>
      <c r="G294" s="7" t="s">
        <v>18</v>
      </c>
      <c r="H294" s="7" t="s">
        <v>24</v>
      </c>
      <c r="I294" s="7" t="s">
        <v>712</v>
      </c>
      <c r="J294" s="7" t="s">
        <v>712</v>
      </c>
      <c r="K294" s="8">
        <v>6270011</v>
      </c>
      <c r="L294" s="8">
        <v>318058</v>
      </c>
      <c r="M294" s="8">
        <v>19</v>
      </c>
      <c r="N294" s="8">
        <v>1</v>
      </c>
      <c r="O294" s="8">
        <v>1.6</v>
      </c>
      <c r="P294" s="8"/>
    </row>
    <row r="295" spans="1:16" hidden="1" x14ac:dyDescent="0.25">
      <c r="A295" s="7" t="s">
        <v>19</v>
      </c>
      <c r="B295" s="7" t="s">
        <v>415</v>
      </c>
      <c r="C295" s="8">
        <v>25902</v>
      </c>
      <c r="D295" s="7" t="s">
        <v>28</v>
      </c>
      <c r="E295" s="7" t="s">
        <v>29</v>
      </c>
      <c r="F295" s="7" t="s">
        <v>29</v>
      </c>
      <c r="G295" s="7" t="s">
        <v>18</v>
      </c>
      <c r="H295" s="7" t="s">
        <v>48</v>
      </c>
      <c r="I295" s="7" t="s">
        <v>712</v>
      </c>
      <c r="J295" s="7" t="s">
        <v>712</v>
      </c>
      <c r="K295" s="8">
        <v>6256668</v>
      </c>
      <c r="L295" s="8">
        <v>324661</v>
      </c>
      <c r="M295" s="8">
        <v>19</v>
      </c>
      <c r="N295" s="8">
        <v>1</v>
      </c>
      <c r="O295" s="8">
        <v>0.35</v>
      </c>
      <c r="P295" s="8"/>
    </row>
    <row r="296" spans="1:16" hidden="1" x14ac:dyDescent="0.25">
      <c r="A296" s="7" t="s">
        <v>19</v>
      </c>
      <c r="B296" s="7" t="s">
        <v>415</v>
      </c>
      <c r="C296" s="8">
        <v>25903</v>
      </c>
      <c r="D296" s="7" t="s">
        <v>28</v>
      </c>
      <c r="E296" s="7" t="s">
        <v>29</v>
      </c>
      <c r="F296" s="7" t="s">
        <v>29</v>
      </c>
      <c r="G296" s="7" t="s">
        <v>18</v>
      </c>
      <c r="H296" s="7" t="s">
        <v>48</v>
      </c>
      <c r="I296" s="7" t="s">
        <v>712</v>
      </c>
      <c r="J296" s="7" t="s">
        <v>712</v>
      </c>
      <c r="K296" s="8">
        <v>6256668</v>
      </c>
      <c r="L296" s="8">
        <v>324661</v>
      </c>
      <c r="M296" s="8">
        <v>19</v>
      </c>
      <c r="N296" s="8">
        <v>1</v>
      </c>
      <c r="O296" s="8">
        <v>0.36</v>
      </c>
      <c r="P296" s="8"/>
    </row>
    <row r="297" spans="1:16" hidden="1" x14ac:dyDescent="0.25">
      <c r="A297" s="7" t="s">
        <v>19</v>
      </c>
      <c r="B297" s="7" t="s">
        <v>415</v>
      </c>
      <c r="C297" s="8">
        <v>25904</v>
      </c>
      <c r="D297" s="7" t="s">
        <v>28</v>
      </c>
      <c r="E297" s="7" t="s">
        <v>393</v>
      </c>
      <c r="F297" s="7" t="s">
        <v>393</v>
      </c>
      <c r="G297" s="7" t="s">
        <v>18</v>
      </c>
      <c r="H297" s="7" t="s">
        <v>48</v>
      </c>
      <c r="I297" s="7" t="s">
        <v>712</v>
      </c>
      <c r="J297" s="7" t="s">
        <v>712</v>
      </c>
      <c r="K297" s="8">
        <v>6270745</v>
      </c>
      <c r="L297" s="8">
        <v>317975</v>
      </c>
      <c r="M297" s="8">
        <v>19</v>
      </c>
      <c r="N297" s="8">
        <v>1</v>
      </c>
      <c r="O297" s="8">
        <v>0.37</v>
      </c>
      <c r="P297" s="8"/>
    </row>
    <row r="298" spans="1:16" hidden="1" x14ac:dyDescent="0.25">
      <c r="A298" s="7" t="s">
        <v>37</v>
      </c>
      <c r="B298" s="7" t="s">
        <v>415</v>
      </c>
      <c r="C298" s="8">
        <v>25909</v>
      </c>
      <c r="D298" s="7" t="s">
        <v>28</v>
      </c>
      <c r="E298" s="7" t="s">
        <v>447</v>
      </c>
      <c r="F298" s="7" t="s">
        <v>390</v>
      </c>
      <c r="G298" s="7" t="s">
        <v>18</v>
      </c>
      <c r="H298" s="7" t="s">
        <v>24</v>
      </c>
      <c r="I298" s="7" t="s">
        <v>712</v>
      </c>
      <c r="J298" s="7" t="s">
        <v>712</v>
      </c>
      <c r="K298" s="8">
        <v>6301598</v>
      </c>
      <c r="L298" s="8">
        <v>335864</v>
      </c>
      <c r="M298" s="8">
        <v>19</v>
      </c>
      <c r="N298" s="8">
        <v>1</v>
      </c>
      <c r="O298" s="8">
        <v>0.2</v>
      </c>
      <c r="P298" s="8"/>
    </row>
    <row r="299" spans="1:16" hidden="1" x14ac:dyDescent="0.25">
      <c r="A299" s="7" t="s">
        <v>19</v>
      </c>
      <c r="B299" s="7" t="s">
        <v>415</v>
      </c>
      <c r="C299" s="8">
        <v>25912</v>
      </c>
      <c r="D299" s="7" t="s">
        <v>28</v>
      </c>
      <c r="E299" s="7" t="s">
        <v>29</v>
      </c>
      <c r="F299" s="7" t="s">
        <v>29</v>
      </c>
      <c r="G299" s="7" t="s">
        <v>18</v>
      </c>
      <c r="H299" s="7" t="s">
        <v>48</v>
      </c>
      <c r="I299" s="7" t="s">
        <v>712</v>
      </c>
      <c r="J299" s="7" t="s">
        <v>712</v>
      </c>
      <c r="K299" s="8">
        <v>6259828</v>
      </c>
      <c r="L299" s="8">
        <v>341824</v>
      </c>
      <c r="M299" s="8">
        <v>19</v>
      </c>
      <c r="N299" s="8">
        <v>1</v>
      </c>
      <c r="O299" s="8">
        <v>0.4</v>
      </c>
      <c r="P299" s="8"/>
    </row>
    <row r="300" spans="1:16" hidden="1" x14ac:dyDescent="0.25">
      <c r="A300" s="7" t="s">
        <v>37</v>
      </c>
      <c r="B300" s="7" t="s">
        <v>92</v>
      </c>
      <c r="C300" s="8">
        <v>25917</v>
      </c>
      <c r="D300" s="7" t="s">
        <v>34</v>
      </c>
      <c r="E300" s="7" t="s">
        <v>103</v>
      </c>
      <c r="F300" s="7" t="s">
        <v>103</v>
      </c>
      <c r="G300" s="7" t="s">
        <v>43</v>
      </c>
      <c r="H300" s="7" t="s">
        <v>109</v>
      </c>
      <c r="I300" s="7" t="s">
        <v>712</v>
      </c>
      <c r="J300" s="7" t="s">
        <v>691</v>
      </c>
      <c r="K300" s="8">
        <v>5902856</v>
      </c>
      <c r="L300" s="8">
        <v>759968</v>
      </c>
      <c r="M300" s="8">
        <v>18</v>
      </c>
      <c r="N300" s="8">
        <v>1</v>
      </c>
      <c r="O300" s="8">
        <v>2</v>
      </c>
      <c r="P300" s="8"/>
    </row>
    <row r="301" spans="1:16" hidden="1" x14ac:dyDescent="0.25">
      <c r="A301" s="7" t="s">
        <v>37</v>
      </c>
      <c r="B301" s="7" t="s">
        <v>343</v>
      </c>
      <c r="C301" s="8">
        <v>25918</v>
      </c>
      <c r="D301" s="7" t="s">
        <v>16</v>
      </c>
      <c r="E301" s="7" t="s">
        <v>264</v>
      </c>
      <c r="F301" s="7" t="s">
        <v>264</v>
      </c>
      <c r="G301" s="7" t="s">
        <v>18</v>
      </c>
      <c r="H301" s="7" t="s">
        <v>48</v>
      </c>
      <c r="I301" s="7" t="s">
        <v>712</v>
      </c>
      <c r="J301" s="7" t="s">
        <v>691</v>
      </c>
      <c r="K301" s="8">
        <v>6124197</v>
      </c>
      <c r="L301" s="8">
        <v>285625</v>
      </c>
      <c r="M301" s="8">
        <v>19</v>
      </c>
      <c r="N301" s="8">
        <v>3</v>
      </c>
      <c r="O301" s="8">
        <v>27.3</v>
      </c>
      <c r="P301" s="8"/>
    </row>
    <row r="302" spans="1:16" hidden="1" x14ac:dyDescent="0.25">
      <c r="A302" s="7" t="s">
        <v>37</v>
      </c>
      <c r="B302" s="7" t="s">
        <v>563</v>
      </c>
      <c r="C302" s="8">
        <v>25920</v>
      </c>
      <c r="D302" s="7" t="s">
        <v>34</v>
      </c>
      <c r="E302" s="7" t="s">
        <v>190</v>
      </c>
      <c r="F302" s="7" t="s">
        <v>190</v>
      </c>
      <c r="G302" s="7" t="s">
        <v>43</v>
      </c>
      <c r="H302" s="7" t="s">
        <v>48</v>
      </c>
      <c r="I302" s="7" t="s">
        <v>97</v>
      </c>
      <c r="J302" s="7" t="s">
        <v>98</v>
      </c>
      <c r="K302" s="8">
        <v>5840778</v>
      </c>
      <c r="L302" s="8">
        <v>710558</v>
      </c>
      <c r="M302" s="8">
        <v>18</v>
      </c>
      <c r="N302" s="8">
        <v>1</v>
      </c>
      <c r="O302" s="8">
        <v>26</v>
      </c>
      <c r="P302" s="8"/>
    </row>
    <row r="303" spans="1:16" hidden="1" x14ac:dyDescent="0.25">
      <c r="A303" s="7" t="s">
        <v>19</v>
      </c>
      <c r="B303" s="7" t="s">
        <v>254</v>
      </c>
      <c r="C303" s="8">
        <v>25923</v>
      </c>
      <c r="D303" s="7" t="s">
        <v>16</v>
      </c>
      <c r="E303" s="7" t="s">
        <v>17</v>
      </c>
      <c r="F303" s="7" t="s">
        <v>266</v>
      </c>
      <c r="G303" s="7" t="s">
        <v>18</v>
      </c>
      <c r="H303" s="7" t="s">
        <v>48</v>
      </c>
      <c r="I303" s="7" t="s">
        <v>712</v>
      </c>
      <c r="J303" s="7" t="s">
        <v>712</v>
      </c>
      <c r="K303" s="8">
        <v>6060688</v>
      </c>
      <c r="L303" s="8">
        <v>279233</v>
      </c>
      <c r="M303" s="8">
        <v>19</v>
      </c>
      <c r="N303" s="8">
        <v>2</v>
      </c>
      <c r="O303" s="8">
        <v>8</v>
      </c>
      <c r="P303" s="8"/>
    </row>
    <row r="304" spans="1:16" hidden="1" x14ac:dyDescent="0.25">
      <c r="A304" s="7" t="s">
        <v>37</v>
      </c>
      <c r="B304" s="7" t="s">
        <v>254</v>
      </c>
      <c r="C304" s="8">
        <v>25924</v>
      </c>
      <c r="D304" s="7" t="s">
        <v>16</v>
      </c>
      <c r="E304" s="7" t="s">
        <v>127</v>
      </c>
      <c r="F304" s="7" t="s">
        <v>267</v>
      </c>
      <c r="G304" s="7" t="s">
        <v>18</v>
      </c>
      <c r="H304" s="7" t="s">
        <v>48</v>
      </c>
      <c r="I304" s="7" t="s">
        <v>712</v>
      </c>
      <c r="J304" s="7" t="s">
        <v>691</v>
      </c>
      <c r="K304" s="8">
        <v>6038911</v>
      </c>
      <c r="L304" s="8">
        <v>278006</v>
      </c>
      <c r="M304" s="8">
        <v>19</v>
      </c>
      <c r="N304" s="8">
        <v>8</v>
      </c>
      <c r="O304" s="8">
        <v>39</v>
      </c>
      <c r="P304" s="8"/>
    </row>
    <row r="305" spans="1:16" hidden="1" x14ac:dyDescent="0.25">
      <c r="A305" s="7" t="s">
        <v>19</v>
      </c>
      <c r="B305" s="7" t="s">
        <v>270</v>
      </c>
      <c r="C305" s="8">
        <v>25925</v>
      </c>
      <c r="D305" s="7" t="s">
        <v>16</v>
      </c>
      <c r="E305" s="7" t="s">
        <v>50</v>
      </c>
      <c r="F305" s="7" t="s">
        <v>591</v>
      </c>
      <c r="G305" s="7" t="s">
        <v>18</v>
      </c>
      <c r="H305" s="7" t="s">
        <v>48</v>
      </c>
      <c r="I305" s="7" t="s">
        <v>712</v>
      </c>
      <c r="J305" s="7" t="s">
        <v>691</v>
      </c>
      <c r="K305" s="8">
        <v>6074466</v>
      </c>
      <c r="L305" s="8">
        <v>266981</v>
      </c>
      <c r="M305" s="8">
        <v>19</v>
      </c>
      <c r="N305" s="8">
        <v>3</v>
      </c>
      <c r="O305" s="8">
        <v>7.5</v>
      </c>
      <c r="P305" s="8"/>
    </row>
    <row r="306" spans="1:16" hidden="1" x14ac:dyDescent="0.25">
      <c r="A306" s="7" t="s">
        <v>37</v>
      </c>
      <c r="B306" s="7" t="s">
        <v>254</v>
      </c>
      <c r="C306" s="8">
        <v>25926</v>
      </c>
      <c r="D306" s="7" t="s">
        <v>16</v>
      </c>
      <c r="E306" s="7" t="s">
        <v>127</v>
      </c>
      <c r="F306" s="7" t="s">
        <v>267</v>
      </c>
      <c r="G306" s="7" t="s">
        <v>18</v>
      </c>
      <c r="H306" s="7" t="s">
        <v>48</v>
      </c>
      <c r="I306" s="7" t="s">
        <v>712</v>
      </c>
      <c r="J306" s="7" t="s">
        <v>712</v>
      </c>
      <c r="K306" s="8">
        <v>6038111</v>
      </c>
      <c r="L306" s="8">
        <v>277200</v>
      </c>
      <c r="M306" s="8">
        <v>19</v>
      </c>
      <c r="N306" s="8">
        <v>1</v>
      </c>
      <c r="O306" s="8">
        <v>6</v>
      </c>
      <c r="P306" s="8"/>
    </row>
    <row r="307" spans="1:16" hidden="1" x14ac:dyDescent="0.25">
      <c r="A307" s="7" t="s">
        <v>19</v>
      </c>
      <c r="B307" s="7" t="s">
        <v>270</v>
      </c>
      <c r="C307" s="8">
        <v>25927</v>
      </c>
      <c r="D307" s="7" t="s">
        <v>52</v>
      </c>
      <c r="E307" s="7" t="s">
        <v>249</v>
      </c>
      <c r="F307" s="7" t="s">
        <v>592</v>
      </c>
      <c r="G307" s="7" t="s">
        <v>18</v>
      </c>
      <c r="H307" s="7" t="s">
        <v>48</v>
      </c>
      <c r="I307" s="7" t="s">
        <v>712</v>
      </c>
      <c r="J307" s="7" t="s">
        <v>712</v>
      </c>
      <c r="K307" s="8">
        <v>6186606</v>
      </c>
      <c r="L307" s="8">
        <v>312515</v>
      </c>
      <c r="M307" s="8">
        <v>19</v>
      </c>
      <c r="N307" s="8">
        <v>3</v>
      </c>
      <c r="O307" s="8">
        <v>11</v>
      </c>
      <c r="P307" s="8"/>
    </row>
    <row r="308" spans="1:16" hidden="1" x14ac:dyDescent="0.25">
      <c r="A308" s="7" t="s">
        <v>37</v>
      </c>
      <c r="B308" s="7" t="s">
        <v>415</v>
      </c>
      <c r="C308" s="8">
        <v>25928</v>
      </c>
      <c r="D308" s="7" t="s">
        <v>28</v>
      </c>
      <c r="E308" s="7" t="s">
        <v>56</v>
      </c>
      <c r="F308" s="7" t="s">
        <v>162</v>
      </c>
      <c r="G308" s="7" t="s">
        <v>18</v>
      </c>
      <c r="H308" s="7" t="s">
        <v>24</v>
      </c>
      <c r="I308" s="7" t="s">
        <v>712</v>
      </c>
      <c r="J308" s="7" t="s">
        <v>712</v>
      </c>
      <c r="K308" s="8">
        <v>6257717</v>
      </c>
      <c r="L308" s="8">
        <v>334534</v>
      </c>
      <c r="M308" s="8">
        <v>19</v>
      </c>
      <c r="N308" s="8">
        <v>1</v>
      </c>
      <c r="O308" s="8">
        <v>0.05</v>
      </c>
      <c r="P308" s="8"/>
    </row>
    <row r="309" spans="1:16" hidden="1" x14ac:dyDescent="0.25">
      <c r="A309" s="7" t="s">
        <v>14</v>
      </c>
      <c r="B309" s="7" t="s">
        <v>415</v>
      </c>
      <c r="C309" s="8">
        <v>25929</v>
      </c>
      <c r="D309" s="7" t="s">
        <v>28</v>
      </c>
      <c r="E309" s="7" t="s">
        <v>56</v>
      </c>
      <c r="F309" s="7" t="s">
        <v>378</v>
      </c>
      <c r="G309" s="7" t="s">
        <v>18</v>
      </c>
      <c r="H309" s="7" t="s">
        <v>689</v>
      </c>
      <c r="I309" s="7" t="s">
        <v>712</v>
      </c>
      <c r="J309" s="7" t="s">
        <v>712</v>
      </c>
      <c r="K309" s="8">
        <v>6260164</v>
      </c>
      <c r="L309" s="8">
        <v>331372</v>
      </c>
      <c r="M309" s="8">
        <v>19</v>
      </c>
      <c r="N309" s="8">
        <v>1</v>
      </c>
      <c r="O309" s="8">
        <v>0.66</v>
      </c>
      <c r="P309" s="8"/>
    </row>
    <row r="310" spans="1:16" hidden="1" x14ac:dyDescent="0.25">
      <c r="A310" s="7" t="s">
        <v>37</v>
      </c>
      <c r="B310" s="7" t="s">
        <v>254</v>
      </c>
      <c r="C310" s="8">
        <v>25930</v>
      </c>
      <c r="D310" s="7" t="s">
        <v>16</v>
      </c>
      <c r="E310" s="7" t="s">
        <v>46</v>
      </c>
      <c r="F310" s="7" t="s">
        <v>46</v>
      </c>
      <c r="G310" s="7" t="s">
        <v>18</v>
      </c>
      <c r="H310" s="7" t="s">
        <v>48</v>
      </c>
      <c r="I310" s="7" t="s">
        <v>712</v>
      </c>
      <c r="J310" s="7" t="s">
        <v>712</v>
      </c>
      <c r="K310" s="8">
        <v>6111744</v>
      </c>
      <c r="L310" s="8">
        <v>290800</v>
      </c>
      <c r="M310" s="8">
        <v>19</v>
      </c>
      <c r="N310" s="8">
        <v>4</v>
      </c>
      <c r="O310" s="8">
        <v>12</v>
      </c>
      <c r="P310" s="8"/>
    </row>
    <row r="311" spans="1:16" hidden="1" x14ac:dyDescent="0.25">
      <c r="A311" s="7" t="s">
        <v>37</v>
      </c>
      <c r="B311" s="7" t="s">
        <v>343</v>
      </c>
      <c r="C311" s="8">
        <v>25931</v>
      </c>
      <c r="D311" s="7" t="s">
        <v>16</v>
      </c>
      <c r="E311" s="7" t="s">
        <v>264</v>
      </c>
      <c r="F311" s="7" t="s">
        <v>357</v>
      </c>
      <c r="G311" s="7" t="s">
        <v>18</v>
      </c>
      <c r="H311" s="7" t="s">
        <v>48</v>
      </c>
      <c r="I311" s="7" t="s">
        <v>712</v>
      </c>
      <c r="J311" s="7" t="s">
        <v>691</v>
      </c>
      <c r="K311" s="8">
        <v>6121341</v>
      </c>
      <c r="L311" s="8">
        <v>293474</v>
      </c>
      <c r="M311" s="8">
        <v>19</v>
      </c>
      <c r="N311" s="8">
        <v>3</v>
      </c>
      <c r="O311" s="8">
        <v>21</v>
      </c>
      <c r="P311" s="8"/>
    </row>
    <row r="312" spans="1:16" hidden="1" x14ac:dyDescent="0.25">
      <c r="A312" s="7" t="s">
        <v>37</v>
      </c>
      <c r="B312" s="7" t="s">
        <v>254</v>
      </c>
      <c r="C312" s="8">
        <v>25932</v>
      </c>
      <c r="D312" s="7" t="s">
        <v>16</v>
      </c>
      <c r="E312" s="7" t="s">
        <v>46</v>
      </c>
      <c r="F312" s="7" t="s">
        <v>46</v>
      </c>
      <c r="G312" s="7" t="s">
        <v>18</v>
      </c>
      <c r="H312" s="7" t="s">
        <v>48</v>
      </c>
      <c r="I312" s="7" t="s">
        <v>712</v>
      </c>
      <c r="J312" s="7" t="s">
        <v>712</v>
      </c>
      <c r="K312" s="8">
        <v>6112072</v>
      </c>
      <c r="L312" s="8">
        <v>290432</v>
      </c>
      <c r="M312" s="8">
        <v>19</v>
      </c>
      <c r="N312" s="8">
        <v>2</v>
      </c>
      <c r="O312" s="8">
        <v>5</v>
      </c>
      <c r="P312" s="8"/>
    </row>
    <row r="313" spans="1:16" hidden="1" x14ac:dyDescent="0.25">
      <c r="A313" s="7" t="s">
        <v>37</v>
      </c>
      <c r="B313" s="7" t="s">
        <v>254</v>
      </c>
      <c r="C313" s="8">
        <v>25933</v>
      </c>
      <c r="D313" s="7" t="s">
        <v>16</v>
      </c>
      <c r="E313" s="7" t="s">
        <v>60</v>
      </c>
      <c r="F313" s="7" t="s">
        <v>60</v>
      </c>
      <c r="G313" s="7" t="s">
        <v>18</v>
      </c>
      <c r="H313" s="7" t="s">
        <v>48</v>
      </c>
      <c r="I313" s="7" t="s">
        <v>712</v>
      </c>
      <c r="J313" s="7" t="s">
        <v>691</v>
      </c>
      <c r="K313" s="8">
        <v>6080981</v>
      </c>
      <c r="L313" s="8">
        <v>278002</v>
      </c>
      <c r="M313" s="8">
        <v>19</v>
      </c>
      <c r="N313" s="8">
        <v>1</v>
      </c>
      <c r="O313" s="8">
        <v>13</v>
      </c>
      <c r="P313" s="8"/>
    </row>
    <row r="314" spans="1:16" hidden="1" x14ac:dyDescent="0.25">
      <c r="A314" s="7" t="s">
        <v>37</v>
      </c>
      <c r="B314" s="7" t="s">
        <v>343</v>
      </c>
      <c r="C314" s="8">
        <v>25934</v>
      </c>
      <c r="D314" s="7" t="s">
        <v>16</v>
      </c>
      <c r="E314" s="7" t="s">
        <v>264</v>
      </c>
      <c r="F314" s="7" t="s">
        <v>358</v>
      </c>
      <c r="G314" s="7" t="s">
        <v>18</v>
      </c>
      <c r="H314" s="7" t="s">
        <v>48</v>
      </c>
      <c r="I314" s="7" t="s">
        <v>712</v>
      </c>
      <c r="J314" s="7" t="s">
        <v>691</v>
      </c>
      <c r="K314" s="8">
        <v>6113545</v>
      </c>
      <c r="L314" s="8">
        <v>275608</v>
      </c>
      <c r="M314" s="8">
        <v>19</v>
      </c>
      <c r="N314" s="8">
        <v>5</v>
      </c>
      <c r="O314" s="8">
        <v>50.07</v>
      </c>
      <c r="P314" s="8"/>
    </row>
    <row r="315" spans="1:16" hidden="1" x14ac:dyDescent="0.25">
      <c r="A315" s="7" t="s">
        <v>37</v>
      </c>
      <c r="B315" s="7" t="s">
        <v>343</v>
      </c>
      <c r="C315" s="8">
        <v>25935</v>
      </c>
      <c r="D315" s="7" t="s">
        <v>16</v>
      </c>
      <c r="E315" s="7" t="s">
        <v>264</v>
      </c>
      <c r="F315" s="7" t="s">
        <v>264</v>
      </c>
      <c r="G315" s="7" t="s">
        <v>18</v>
      </c>
      <c r="H315" s="7" t="s">
        <v>48</v>
      </c>
      <c r="I315" s="7" t="s">
        <v>712</v>
      </c>
      <c r="J315" s="7" t="s">
        <v>691</v>
      </c>
      <c r="K315" s="8">
        <v>6124388</v>
      </c>
      <c r="L315" s="8">
        <v>284696</v>
      </c>
      <c r="M315" s="8">
        <v>19</v>
      </c>
      <c r="N315" s="8">
        <v>1</v>
      </c>
      <c r="O315" s="8">
        <v>5.42</v>
      </c>
      <c r="P315" s="8"/>
    </row>
    <row r="316" spans="1:16" hidden="1" x14ac:dyDescent="0.25">
      <c r="A316" s="7" t="s">
        <v>37</v>
      </c>
      <c r="B316" s="7" t="s">
        <v>343</v>
      </c>
      <c r="C316" s="8">
        <v>25936</v>
      </c>
      <c r="D316" s="7" t="s">
        <v>52</v>
      </c>
      <c r="E316" s="7" t="s">
        <v>273</v>
      </c>
      <c r="F316" s="7" t="s">
        <v>273</v>
      </c>
      <c r="G316" s="7" t="s">
        <v>18</v>
      </c>
      <c r="H316" s="7" t="s">
        <v>24</v>
      </c>
      <c r="I316" s="7" t="s">
        <v>712</v>
      </c>
      <c r="J316" s="7" t="s">
        <v>712</v>
      </c>
      <c r="K316" s="8">
        <v>6161242</v>
      </c>
      <c r="L316" s="8">
        <v>293432</v>
      </c>
      <c r="M316" s="8">
        <v>19</v>
      </c>
      <c r="N316" s="8">
        <v>1</v>
      </c>
      <c r="O316" s="8">
        <v>9.5</v>
      </c>
      <c r="P316" s="8"/>
    </row>
    <row r="317" spans="1:16" hidden="1" x14ac:dyDescent="0.25">
      <c r="A317" s="7" t="s">
        <v>37</v>
      </c>
      <c r="B317" s="7" t="s">
        <v>254</v>
      </c>
      <c r="C317" s="8">
        <v>25938</v>
      </c>
      <c r="D317" s="7" t="s">
        <v>16</v>
      </c>
      <c r="E317" s="7" t="s">
        <v>268</v>
      </c>
      <c r="F317" s="7" t="s">
        <v>268</v>
      </c>
      <c r="G317" s="7" t="s">
        <v>18</v>
      </c>
      <c r="H317" s="7" t="s">
        <v>48</v>
      </c>
      <c r="I317" s="7" t="s">
        <v>712</v>
      </c>
      <c r="J317" s="7" t="s">
        <v>712</v>
      </c>
      <c r="K317" s="8">
        <v>6135898</v>
      </c>
      <c r="L317" s="8">
        <v>310019</v>
      </c>
      <c r="M317" s="8">
        <v>19</v>
      </c>
      <c r="N317" s="8">
        <v>2</v>
      </c>
      <c r="O317" s="8">
        <v>20</v>
      </c>
      <c r="P317" s="8"/>
    </row>
    <row r="318" spans="1:16" hidden="1" x14ac:dyDescent="0.25">
      <c r="A318" s="7" t="s">
        <v>37</v>
      </c>
      <c r="B318" s="7" t="s">
        <v>254</v>
      </c>
      <c r="C318" s="8">
        <v>25939</v>
      </c>
      <c r="D318" s="7" t="s">
        <v>16</v>
      </c>
      <c r="E318" s="7" t="s">
        <v>268</v>
      </c>
      <c r="F318" s="7" t="s">
        <v>268</v>
      </c>
      <c r="G318" s="7" t="s">
        <v>18</v>
      </c>
      <c r="H318" s="7" t="s">
        <v>48</v>
      </c>
      <c r="I318" s="7" t="s">
        <v>712</v>
      </c>
      <c r="J318" s="7" t="s">
        <v>691</v>
      </c>
      <c r="K318" s="8">
        <v>6135845</v>
      </c>
      <c r="L318" s="8">
        <v>310824</v>
      </c>
      <c r="M318" s="8">
        <v>19</v>
      </c>
      <c r="N318" s="8">
        <v>2</v>
      </c>
      <c r="O318" s="8">
        <v>16</v>
      </c>
      <c r="P318" s="8"/>
    </row>
    <row r="319" spans="1:16" hidden="1" x14ac:dyDescent="0.25">
      <c r="A319" s="7" t="s">
        <v>37</v>
      </c>
      <c r="B319" s="7" t="s">
        <v>415</v>
      </c>
      <c r="C319" s="8">
        <v>25940</v>
      </c>
      <c r="D319" s="7" t="s">
        <v>28</v>
      </c>
      <c r="E319" s="7" t="s">
        <v>452</v>
      </c>
      <c r="F319" s="7" t="s">
        <v>453</v>
      </c>
      <c r="G319" s="7" t="s">
        <v>18</v>
      </c>
      <c r="H319" s="7" t="s">
        <v>24</v>
      </c>
      <c r="I319" s="7" t="s">
        <v>712</v>
      </c>
      <c r="J319" s="7" t="s">
        <v>712</v>
      </c>
      <c r="K319" s="8">
        <v>6307011</v>
      </c>
      <c r="L319" s="8">
        <v>329919</v>
      </c>
      <c r="M319" s="8">
        <v>19</v>
      </c>
      <c r="N319" s="8">
        <v>1</v>
      </c>
      <c r="O319" s="8">
        <v>0.15</v>
      </c>
      <c r="P319" s="8"/>
    </row>
    <row r="320" spans="1:16" hidden="1" x14ac:dyDescent="0.25">
      <c r="A320" s="7" t="s">
        <v>37</v>
      </c>
      <c r="B320" s="7" t="s">
        <v>270</v>
      </c>
      <c r="C320" s="8">
        <v>25941</v>
      </c>
      <c r="D320" s="7" t="s">
        <v>21</v>
      </c>
      <c r="E320" s="7" t="s">
        <v>584</v>
      </c>
      <c r="F320" s="7" t="s">
        <v>585</v>
      </c>
      <c r="G320" s="7" t="s">
        <v>18</v>
      </c>
      <c r="H320" s="7" t="s">
        <v>24</v>
      </c>
      <c r="I320" s="7" t="s">
        <v>712</v>
      </c>
      <c r="J320" s="7" t="s">
        <v>712</v>
      </c>
      <c r="K320" s="8">
        <v>6371379</v>
      </c>
      <c r="L320" s="8">
        <v>322837</v>
      </c>
      <c r="M320" s="8">
        <v>19</v>
      </c>
      <c r="N320" s="8">
        <v>1</v>
      </c>
      <c r="O320" s="8">
        <v>2</v>
      </c>
      <c r="P320" s="8"/>
    </row>
    <row r="321" spans="1:16" hidden="1" x14ac:dyDescent="0.25">
      <c r="A321" s="7" t="s">
        <v>37</v>
      </c>
      <c r="B321" s="7" t="s">
        <v>254</v>
      </c>
      <c r="C321" s="8">
        <v>25942</v>
      </c>
      <c r="D321" s="7" t="s">
        <v>52</v>
      </c>
      <c r="E321" s="7" t="s">
        <v>53</v>
      </c>
      <c r="F321" s="7" t="s">
        <v>269</v>
      </c>
      <c r="G321" s="7" t="s">
        <v>18</v>
      </c>
      <c r="H321" s="7" t="s">
        <v>48</v>
      </c>
      <c r="I321" s="7" t="s">
        <v>712</v>
      </c>
      <c r="J321" s="7" t="s">
        <v>712</v>
      </c>
      <c r="K321" s="8">
        <v>6154402</v>
      </c>
      <c r="L321" s="8">
        <v>314183</v>
      </c>
      <c r="M321" s="8">
        <v>19</v>
      </c>
      <c r="N321" s="8">
        <v>2</v>
      </c>
      <c r="O321" s="8">
        <v>19</v>
      </c>
      <c r="P321" s="8"/>
    </row>
    <row r="322" spans="1:16" hidden="1" x14ac:dyDescent="0.25">
      <c r="A322" s="7" t="s">
        <v>37</v>
      </c>
      <c r="B322" s="7" t="s">
        <v>415</v>
      </c>
      <c r="C322" s="8">
        <v>25943</v>
      </c>
      <c r="D322" s="7" t="s">
        <v>28</v>
      </c>
      <c r="E322" s="7" t="s">
        <v>364</v>
      </c>
      <c r="F322" s="7" t="s">
        <v>455</v>
      </c>
      <c r="G322" s="7" t="s">
        <v>18</v>
      </c>
      <c r="H322" s="7" t="s">
        <v>24</v>
      </c>
      <c r="I322" s="7" t="s">
        <v>712</v>
      </c>
      <c r="J322" s="7" t="s">
        <v>712</v>
      </c>
      <c r="K322" s="8">
        <v>6289242</v>
      </c>
      <c r="L322" s="8">
        <v>331000</v>
      </c>
      <c r="M322" s="8">
        <v>19</v>
      </c>
      <c r="N322" s="8">
        <v>1</v>
      </c>
      <c r="O322" s="8">
        <v>0.08</v>
      </c>
      <c r="P322" s="8"/>
    </row>
    <row r="323" spans="1:16" hidden="1" x14ac:dyDescent="0.25">
      <c r="A323" s="7" t="s">
        <v>37</v>
      </c>
      <c r="B323" s="7" t="s">
        <v>415</v>
      </c>
      <c r="C323" s="8">
        <v>25944</v>
      </c>
      <c r="D323" s="7" t="s">
        <v>28</v>
      </c>
      <c r="E323" s="7" t="s">
        <v>364</v>
      </c>
      <c r="F323" s="7" t="s">
        <v>455</v>
      </c>
      <c r="G323" s="7" t="s">
        <v>18</v>
      </c>
      <c r="H323" s="7" t="s">
        <v>24</v>
      </c>
      <c r="I323" s="7" t="s">
        <v>712</v>
      </c>
      <c r="J323" s="7" t="s">
        <v>712</v>
      </c>
      <c r="K323" s="8">
        <v>6289743</v>
      </c>
      <c r="L323" s="8">
        <v>330585</v>
      </c>
      <c r="M323" s="8">
        <v>19</v>
      </c>
      <c r="N323" s="8">
        <v>1</v>
      </c>
      <c r="O323" s="8">
        <v>0.09</v>
      </c>
      <c r="P323" s="8"/>
    </row>
    <row r="324" spans="1:16" hidden="1" x14ac:dyDescent="0.25">
      <c r="A324" s="7" t="s">
        <v>19</v>
      </c>
      <c r="B324" s="7" t="s">
        <v>415</v>
      </c>
      <c r="C324" s="8">
        <v>25945</v>
      </c>
      <c r="D324" s="7" t="s">
        <v>28</v>
      </c>
      <c r="E324" s="7" t="s">
        <v>32</v>
      </c>
      <c r="F324" s="7" t="s">
        <v>147</v>
      </c>
      <c r="G324" s="7" t="s">
        <v>18</v>
      </c>
      <c r="H324" s="7" t="s">
        <v>48</v>
      </c>
      <c r="I324" s="7" t="s">
        <v>712</v>
      </c>
      <c r="J324" s="7" t="s">
        <v>712</v>
      </c>
      <c r="K324" s="8">
        <v>6274134</v>
      </c>
      <c r="L324" s="8">
        <v>339529</v>
      </c>
      <c r="M324" s="8">
        <v>19</v>
      </c>
      <c r="N324" s="8">
        <v>1</v>
      </c>
      <c r="O324" s="8">
        <v>0.4</v>
      </c>
      <c r="P324" s="8"/>
    </row>
    <row r="325" spans="1:16" hidden="1" x14ac:dyDescent="0.25">
      <c r="A325" s="7" t="s">
        <v>37</v>
      </c>
      <c r="B325" s="7" t="s">
        <v>254</v>
      </c>
      <c r="C325" s="8">
        <v>25946</v>
      </c>
      <c r="D325" s="7" t="s">
        <v>16</v>
      </c>
      <c r="E325" s="7" t="s">
        <v>268</v>
      </c>
      <c r="F325" s="7" t="s">
        <v>268</v>
      </c>
      <c r="G325" s="7" t="s">
        <v>18</v>
      </c>
      <c r="H325" s="7" t="s">
        <v>48</v>
      </c>
      <c r="I325" s="7" t="s">
        <v>712</v>
      </c>
      <c r="J325" s="7" t="s">
        <v>712</v>
      </c>
      <c r="K325" s="8">
        <v>6144958</v>
      </c>
      <c r="L325" s="8">
        <v>306891</v>
      </c>
      <c r="M325" s="8">
        <v>19</v>
      </c>
      <c r="N325" s="8">
        <v>3</v>
      </c>
      <c r="O325" s="8">
        <v>30</v>
      </c>
      <c r="P325" s="8"/>
    </row>
    <row r="326" spans="1:16" hidden="1" x14ac:dyDescent="0.25">
      <c r="A326" s="7" t="s">
        <v>19</v>
      </c>
      <c r="B326" s="7" t="s">
        <v>415</v>
      </c>
      <c r="C326" s="8">
        <v>25947</v>
      </c>
      <c r="D326" s="7" t="s">
        <v>28</v>
      </c>
      <c r="E326" s="7" t="s">
        <v>32</v>
      </c>
      <c r="F326" s="7" t="s">
        <v>147</v>
      </c>
      <c r="G326" s="7" t="s">
        <v>18</v>
      </c>
      <c r="H326" s="7" t="s">
        <v>48</v>
      </c>
      <c r="I326" s="7" t="s">
        <v>712</v>
      </c>
      <c r="J326" s="7" t="s">
        <v>712</v>
      </c>
      <c r="K326" s="8">
        <v>6273399</v>
      </c>
      <c r="L326" s="8">
        <v>339936</v>
      </c>
      <c r="M326" s="8">
        <v>19</v>
      </c>
      <c r="N326" s="8">
        <v>1</v>
      </c>
      <c r="O326" s="8">
        <v>0.4</v>
      </c>
      <c r="P326" s="8"/>
    </row>
    <row r="327" spans="1:16" hidden="1" x14ac:dyDescent="0.25">
      <c r="A327" s="7" t="s">
        <v>19</v>
      </c>
      <c r="B327" s="7" t="s">
        <v>415</v>
      </c>
      <c r="C327" s="8">
        <v>25948</v>
      </c>
      <c r="D327" s="7" t="s">
        <v>28</v>
      </c>
      <c r="E327" s="7" t="s">
        <v>142</v>
      </c>
      <c r="F327" s="7" t="s">
        <v>142</v>
      </c>
      <c r="G327" s="7" t="s">
        <v>18</v>
      </c>
      <c r="H327" s="7" t="s">
        <v>48</v>
      </c>
      <c r="I327" s="7" t="s">
        <v>712</v>
      </c>
      <c r="J327" s="7" t="s">
        <v>712</v>
      </c>
      <c r="K327" s="8">
        <v>6278001</v>
      </c>
      <c r="L327" s="8">
        <v>334091</v>
      </c>
      <c r="M327" s="8">
        <v>19</v>
      </c>
      <c r="N327" s="8">
        <v>1</v>
      </c>
      <c r="O327" s="8">
        <v>0.4</v>
      </c>
      <c r="P327" s="8"/>
    </row>
    <row r="328" spans="1:16" hidden="1" x14ac:dyDescent="0.25">
      <c r="A328" s="7" t="s">
        <v>37</v>
      </c>
      <c r="B328" s="7" t="s">
        <v>254</v>
      </c>
      <c r="C328" s="8">
        <v>25949</v>
      </c>
      <c r="D328" s="7" t="s">
        <v>52</v>
      </c>
      <c r="E328" s="7" t="s">
        <v>53</v>
      </c>
      <c r="F328" s="7" t="s">
        <v>269</v>
      </c>
      <c r="G328" s="7" t="s">
        <v>18</v>
      </c>
      <c r="H328" s="7" t="s">
        <v>48</v>
      </c>
      <c r="I328" s="7" t="s">
        <v>712</v>
      </c>
      <c r="J328" s="7" t="s">
        <v>712</v>
      </c>
      <c r="K328" s="8">
        <v>6154811</v>
      </c>
      <c r="L328" s="8">
        <v>313677</v>
      </c>
      <c r="M328" s="8">
        <v>19</v>
      </c>
      <c r="N328" s="8">
        <v>1</v>
      </c>
      <c r="O328" s="8">
        <v>40</v>
      </c>
      <c r="P328" s="8"/>
    </row>
    <row r="329" spans="1:16" hidden="1" x14ac:dyDescent="0.25">
      <c r="A329" s="7" t="s">
        <v>19</v>
      </c>
      <c r="B329" s="7" t="s">
        <v>415</v>
      </c>
      <c r="C329" s="8">
        <v>25950</v>
      </c>
      <c r="D329" s="7" t="s">
        <v>28</v>
      </c>
      <c r="E329" s="7" t="s">
        <v>56</v>
      </c>
      <c r="F329" s="7" t="s">
        <v>56</v>
      </c>
      <c r="G329" s="7" t="s">
        <v>18</v>
      </c>
      <c r="H329" s="7" t="s">
        <v>48</v>
      </c>
      <c r="I329" s="7" t="s">
        <v>712</v>
      </c>
      <c r="J329" s="7" t="s">
        <v>712</v>
      </c>
      <c r="K329" s="8">
        <v>6266562</v>
      </c>
      <c r="L329" s="8">
        <v>341241</v>
      </c>
      <c r="M329" s="8">
        <v>19</v>
      </c>
      <c r="N329" s="8">
        <v>1</v>
      </c>
      <c r="O329" s="8">
        <v>0.39</v>
      </c>
      <c r="P329" s="8"/>
    </row>
    <row r="330" spans="1:16" hidden="1" x14ac:dyDescent="0.25">
      <c r="A330" s="7" t="s">
        <v>37</v>
      </c>
      <c r="B330" s="7" t="s">
        <v>254</v>
      </c>
      <c r="C330" s="8">
        <v>25954</v>
      </c>
      <c r="D330" s="7" t="s">
        <v>52</v>
      </c>
      <c r="E330" s="7" t="s">
        <v>141</v>
      </c>
      <c r="F330" s="7" t="s">
        <v>270</v>
      </c>
      <c r="G330" s="7" t="s">
        <v>18</v>
      </c>
      <c r="H330" s="7" t="s">
        <v>48</v>
      </c>
      <c r="I330" s="7" t="s">
        <v>712</v>
      </c>
      <c r="J330" s="7" t="s">
        <v>712</v>
      </c>
      <c r="K330" s="8">
        <v>6220863</v>
      </c>
      <c r="L330" s="8">
        <v>337670</v>
      </c>
      <c r="M330" s="8">
        <v>19</v>
      </c>
      <c r="N330" s="8">
        <v>1</v>
      </c>
      <c r="O330" s="8">
        <v>5.0999999999999996</v>
      </c>
      <c r="P330" s="8"/>
    </row>
    <row r="331" spans="1:16" hidden="1" x14ac:dyDescent="0.25">
      <c r="A331" s="7" t="s">
        <v>37</v>
      </c>
      <c r="B331" s="7" t="s">
        <v>270</v>
      </c>
      <c r="C331" s="8">
        <v>25955</v>
      </c>
      <c r="D331" s="7" t="s">
        <v>52</v>
      </c>
      <c r="E331" s="7" t="s">
        <v>153</v>
      </c>
      <c r="F331" s="7" t="s">
        <v>153</v>
      </c>
      <c r="G331" s="7" t="s">
        <v>18</v>
      </c>
      <c r="H331" s="7" t="s">
        <v>48</v>
      </c>
      <c r="I331" s="7" t="s">
        <v>712</v>
      </c>
      <c r="J331" s="7" t="s">
        <v>691</v>
      </c>
      <c r="K331" s="8">
        <v>6203152</v>
      </c>
      <c r="L331" s="8">
        <v>335964</v>
      </c>
      <c r="M331" s="8">
        <v>19</v>
      </c>
      <c r="N331" s="8">
        <v>1</v>
      </c>
      <c r="O331" s="8">
        <v>14</v>
      </c>
      <c r="P331" s="8"/>
    </row>
    <row r="332" spans="1:16" hidden="1" x14ac:dyDescent="0.25">
      <c r="A332" s="7" t="s">
        <v>37</v>
      </c>
      <c r="B332" s="7" t="s">
        <v>92</v>
      </c>
      <c r="C332" s="8">
        <v>25956</v>
      </c>
      <c r="D332" s="7" t="s">
        <v>34</v>
      </c>
      <c r="E332" s="7" t="s">
        <v>93</v>
      </c>
      <c r="F332" s="7" t="s">
        <v>93</v>
      </c>
      <c r="G332" s="7" t="s">
        <v>43</v>
      </c>
      <c r="H332" s="7" t="s">
        <v>109</v>
      </c>
      <c r="I332" s="7" t="s">
        <v>712</v>
      </c>
      <c r="J332" s="7" t="s">
        <v>691</v>
      </c>
      <c r="K332" s="8">
        <v>5940904</v>
      </c>
      <c r="L332" s="8">
        <v>232140</v>
      </c>
      <c r="M332" s="8">
        <v>19</v>
      </c>
      <c r="N332" s="8">
        <v>1</v>
      </c>
      <c r="O332" s="8">
        <v>2</v>
      </c>
      <c r="P332" s="8"/>
    </row>
    <row r="333" spans="1:16" hidden="1" x14ac:dyDescent="0.25">
      <c r="A333" s="7" t="s">
        <v>37</v>
      </c>
      <c r="B333" s="7" t="s">
        <v>254</v>
      </c>
      <c r="C333" s="8">
        <v>25957</v>
      </c>
      <c r="D333" s="7" t="s">
        <v>52</v>
      </c>
      <c r="E333" s="7" t="s">
        <v>141</v>
      </c>
      <c r="F333" s="7" t="s">
        <v>270</v>
      </c>
      <c r="G333" s="7" t="s">
        <v>18</v>
      </c>
      <c r="H333" s="7" t="s">
        <v>48</v>
      </c>
      <c r="I333" s="7" t="s">
        <v>712</v>
      </c>
      <c r="J333" s="7" t="s">
        <v>712</v>
      </c>
      <c r="K333" s="8">
        <v>6222967</v>
      </c>
      <c r="L333" s="8">
        <v>337310</v>
      </c>
      <c r="M333" s="8">
        <v>19</v>
      </c>
      <c r="N333" s="8">
        <v>1</v>
      </c>
      <c r="O333" s="8">
        <v>4.5999999999999996</v>
      </c>
      <c r="P333" s="8"/>
    </row>
    <row r="334" spans="1:16" hidden="1" x14ac:dyDescent="0.25">
      <c r="A334" s="7" t="s">
        <v>14</v>
      </c>
      <c r="B334" s="7" t="s">
        <v>270</v>
      </c>
      <c r="C334" s="8">
        <v>25958</v>
      </c>
      <c r="D334" s="7" t="s">
        <v>52</v>
      </c>
      <c r="E334" s="7" t="s">
        <v>139</v>
      </c>
      <c r="F334" s="7" t="s">
        <v>139</v>
      </c>
      <c r="G334" s="7" t="s">
        <v>18</v>
      </c>
      <c r="H334" s="7" t="s">
        <v>689</v>
      </c>
      <c r="I334" s="7" t="s">
        <v>712</v>
      </c>
      <c r="J334" s="7" t="s">
        <v>712</v>
      </c>
      <c r="K334" s="8">
        <v>6225010</v>
      </c>
      <c r="L334" s="8">
        <v>339646</v>
      </c>
      <c r="M334" s="8">
        <v>19</v>
      </c>
      <c r="N334" s="8">
        <v>1</v>
      </c>
      <c r="O334" s="8">
        <v>0.12</v>
      </c>
      <c r="P334" s="8"/>
    </row>
    <row r="335" spans="1:16" hidden="1" x14ac:dyDescent="0.25">
      <c r="A335" s="7" t="s">
        <v>37</v>
      </c>
      <c r="B335" s="7" t="s">
        <v>254</v>
      </c>
      <c r="C335" s="8">
        <v>25959</v>
      </c>
      <c r="D335" s="7" t="s">
        <v>52</v>
      </c>
      <c r="E335" s="7" t="s">
        <v>141</v>
      </c>
      <c r="F335" s="7" t="s">
        <v>165</v>
      </c>
      <c r="G335" s="7" t="s">
        <v>18</v>
      </c>
      <c r="H335" s="7" t="s">
        <v>48</v>
      </c>
      <c r="I335" s="7" t="s">
        <v>712</v>
      </c>
      <c r="J335" s="7" t="s">
        <v>712</v>
      </c>
      <c r="K335" s="8">
        <v>6219622</v>
      </c>
      <c r="L335" s="8">
        <v>335683</v>
      </c>
      <c r="M335" s="8">
        <v>19</v>
      </c>
      <c r="N335" s="8">
        <v>1</v>
      </c>
      <c r="O335" s="8">
        <v>18.399999999999999</v>
      </c>
      <c r="P335" s="8"/>
    </row>
    <row r="336" spans="1:16" hidden="1" x14ac:dyDescent="0.25">
      <c r="A336" s="7" t="s">
        <v>19</v>
      </c>
      <c r="B336" s="7" t="s">
        <v>270</v>
      </c>
      <c r="C336" s="8">
        <v>25961</v>
      </c>
      <c r="D336" s="7" t="s">
        <v>52</v>
      </c>
      <c r="E336" s="7" t="s">
        <v>139</v>
      </c>
      <c r="F336" s="7" t="s">
        <v>270</v>
      </c>
      <c r="G336" s="7" t="s">
        <v>18</v>
      </c>
      <c r="H336" s="7" t="s">
        <v>48</v>
      </c>
      <c r="I336" s="7" t="s">
        <v>712</v>
      </c>
      <c r="J336" s="7" t="s">
        <v>712</v>
      </c>
      <c r="K336" s="8">
        <v>6224308</v>
      </c>
      <c r="L336" s="8">
        <v>335960</v>
      </c>
      <c r="M336" s="8">
        <v>19</v>
      </c>
      <c r="N336" s="8">
        <v>3</v>
      </c>
      <c r="O336" s="8">
        <v>28.8</v>
      </c>
      <c r="P336" s="8"/>
    </row>
    <row r="337" spans="1:16" hidden="1" x14ac:dyDescent="0.25">
      <c r="A337" s="7" t="s">
        <v>37</v>
      </c>
      <c r="B337" s="7" t="s">
        <v>254</v>
      </c>
      <c r="C337" s="8">
        <v>25962</v>
      </c>
      <c r="D337" s="7" t="s">
        <v>52</v>
      </c>
      <c r="E337" s="7" t="s">
        <v>141</v>
      </c>
      <c r="F337" s="7" t="s">
        <v>165</v>
      </c>
      <c r="G337" s="7" t="s">
        <v>18</v>
      </c>
      <c r="H337" s="7" t="s">
        <v>48</v>
      </c>
      <c r="I337" s="7" t="s">
        <v>712</v>
      </c>
      <c r="J337" s="7" t="s">
        <v>712</v>
      </c>
      <c r="K337" s="8">
        <v>6219771</v>
      </c>
      <c r="L337" s="8">
        <v>335162</v>
      </c>
      <c r="M337" s="8">
        <v>19</v>
      </c>
      <c r="N337" s="8">
        <v>1</v>
      </c>
      <c r="O337" s="8">
        <v>12</v>
      </c>
      <c r="P337" s="8"/>
    </row>
    <row r="338" spans="1:16" hidden="1" x14ac:dyDescent="0.25">
      <c r="A338" s="7" t="s">
        <v>19</v>
      </c>
      <c r="B338" s="7" t="s">
        <v>415</v>
      </c>
      <c r="C338" s="8">
        <v>25963</v>
      </c>
      <c r="D338" s="7" t="s">
        <v>28</v>
      </c>
      <c r="E338" s="7" t="s">
        <v>53</v>
      </c>
      <c r="F338" s="7" t="s">
        <v>53</v>
      </c>
      <c r="G338" s="7" t="s">
        <v>18</v>
      </c>
      <c r="H338" s="7" t="s">
        <v>48</v>
      </c>
      <c r="I338" s="7" t="s">
        <v>712</v>
      </c>
      <c r="J338" s="7" t="s">
        <v>712</v>
      </c>
      <c r="K338" s="8">
        <v>6280076</v>
      </c>
      <c r="L338" s="8">
        <v>330358</v>
      </c>
      <c r="M338" s="8">
        <v>19</v>
      </c>
      <c r="N338" s="8">
        <v>1</v>
      </c>
      <c r="O338" s="8">
        <v>0.4</v>
      </c>
      <c r="P338" s="8"/>
    </row>
    <row r="339" spans="1:16" hidden="1" x14ac:dyDescent="0.25">
      <c r="A339" s="7" t="s">
        <v>19</v>
      </c>
      <c r="B339" s="7" t="s">
        <v>415</v>
      </c>
      <c r="C339" s="8">
        <v>25965</v>
      </c>
      <c r="D339" s="7" t="s">
        <v>28</v>
      </c>
      <c r="E339" s="7" t="s">
        <v>53</v>
      </c>
      <c r="F339" s="7" t="s">
        <v>53</v>
      </c>
      <c r="G339" s="7" t="s">
        <v>18</v>
      </c>
      <c r="H339" s="7" t="s">
        <v>48</v>
      </c>
      <c r="I339" s="7" t="s">
        <v>712</v>
      </c>
      <c r="J339" s="7" t="s">
        <v>712</v>
      </c>
      <c r="K339" s="8">
        <v>6280076</v>
      </c>
      <c r="L339" s="8">
        <v>330358</v>
      </c>
      <c r="M339" s="8">
        <v>19</v>
      </c>
      <c r="N339" s="8">
        <v>1</v>
      </c>
      <c r="O339" s="8">
        <v>0.4</v>
      </c>
      <c r="P339" s="8"/>
    </row>
    <row r="340" spans="1:16" hidden="1" x14ac:dyDescent="0.25">
      <c r="A340" s="7" t="s">
        <v>19</v>
      </c>
      <c r="B340" s="7" t="s">
        <v>415</v>
      </c>
      <c r="C340" s="8">
        <v>25966</v>
      </c>
      <c r="D340" s="7" t="s">
        <v>28</v>
      </c>
      <c r="E340" s="7" t="s">
        <v>29</v>
      </c>
      <c r="F340" s="7" t="s">
        <v>29</v>
      </c>
      <c r="G340" s="7" t="s">
        <v>18</v>
      </c>
      <c r="H340" s="7" t="s">
        <v>48</v>
      </c>
      <c r="I340" s="7" t="s">
        <v>712</v>
      </c>
      <c r="J340" s="7" t="s">
        <v>712</v>
      </c>
      <c r="K340" s="8">
        <v>6256668</v>
      </c>
      <c r="L340" s="8">
        <v>324661</v>
      </c>
      <c r="M340" s="8">
        <v>19</v>
      </c>
      <c r="N340" s="8">
        <v>1</v>
      </c>
      <c r="O340" s="8">
        <v>0.36</v>
      </c>
      <c r="P340" s="8"/>
    </row>
    <row r="341" spans="1:16" hidden="1" x14ac:dyDescent="0.25">
      <c r="A341" s="7" t="s">
        <v>37</v>
      </c>
      <c r="B341" s="7" t="s">
        <v>254</v>
      </c>
      <c r="C341" s="8">
        <v>25968</v>
      </c>
      <c r="D341" s="7" t="s">
        <v>52</v>
      </c>
      <c r="E341" s="7" t="s">
        <v>139</v>
      </c>
      <c r="F341" s="7" t="s">
        <v>139</v>
      </c>
      <c r="G341" s="7" t="s">
        <v>18</v>
      </c>
      <c r="H341" s="7" t="s">
        <v>48</v>
      </c>
      <c r="I341" s="7" t="s">
        <v>712</v>
      </c>
      <c r="J341" s="7" t="s">
        <v>712</v>
      </c>
      <c r="K341" s="8">
        <v>6226132</v>
      </c>
      <c r="L341" s="8">
        <v>348396</v>
      </c>
      <c r="M341" s="8">
        <v>19</v>
      </c>
      <c r="N341" s="8">
        <v>1</v>
      </c>
      <c r="O341" s="8">
        <v>4.5</v>
      </c>
      <c r="P341" s="8"/>
    </row>
    <row r="342" spans="1:16" hidden="1" x14ac:dyDescent="0.25">
      <c r="A342" s="7" t="s">
        <v>19</v>
      </c>
      <c r="B342" s="7" t="s">
        <v>415</v>
      </c>
      <c r="C342" s="8">
        <v>25969</v>
      </c>
      <c r="D342" s="7" t="s">
        <v>28</v>
      </c>
      <c r="E342" s="7" t="s">
        <v>146</v>
      </c>
      <c r="F342" s="7" t="s">
        <v>146</v>
      </c>
      <c r="G342" s="7" t="s">
        <v>18</v>
      </c>
      <c r="H342" s="7" t="s">
        <v>48</v>
      </c>
      <c r="I342" s="7" t="s">
        <v>712</v>
      </c>
      <c r="J342" s="7" t="s">
        <v>691</v>
      </c>
      <c r="K342" s="8">
        <v>6269945</v>
      </c>
      <c r="L342" s="8">
        <v>325718</v>
      </c>
      <c r="M342" s="8">
        <v>19</v>
      </c>
      <c r="N342" s="8">
        <v>1</v>
      </c>
      <c r="O342" s="8">
        <v>0.4</v>
      </c>
      <c r="P342" s="8"/>
    </row>
    <row r="343" spans="1:16" hidden="1" x14ac:dyDescent="0.25">
      <c r="A343" s="7" t="s">
        <v>19</v>
      </c>
      <c r="B343" s="7" t="s">
        <v>415</v>
      </c>
      <c r="C343" s="8">
        <v>25970</v>
      </c>
      <c r="D343" s="7" t="s">
        <v>28</v>
      </c>
      <c r="E343" s="7" t="s">
        <v>29</v>
      </c>
      <c r="F343" s="7" t="s">
        <v>456</v>
      </c>
      <c r="G343" s="7" t="s">
        <v>18</v>
      </c>
      <c r="H343" s="7" t="s">
        <v>48</v>
      </c>
      <c r="I343" s="7" t="s">
        <v>712</v>
      </c>
      <c r="J343" s="7" t="s">
        <v>691</v>
      </c>
      <c r="K343" s="8">
        <v>6256903</v>
      </c>
      <c r="L343" s="8">
        <v>342574</v>
      </c>
      <c r="M343" s="8">
        <v>19</v>
      </c>
      <c r="N343" s="8">
        <v>1</v>
      </c>
      <c r="O343" s="8">
        <v>0.46</v>
      </c>
      <c r="P343" s="8"/>
    </row>
    <row r="344" spans="1:16" hidden="1" x14ac:dyDescent="0.25">
      <c r="A344" s="7" t="s">
        <v>37</v>
      </c>
      <c r="B344" s="7" t="s">
        <v>254</v>
      </c>
      <c r="C344" s="8">
        <v>25971</v>
      </c>
      <c r="D344" s="7" t="s">
        <v>16</v>
      </c>
      <c r="E344" s="7" t="s">
        <v>46</v>
      </c>
      <c r="F344" s="7" t="s">
        <v>271</v>
      </c>
      <c r="G344" s="7" t="s">
        <v>18</v>
      </c>
      <c r="H344" s="7" t="s">
        <v>48</v>
      </c>
      <c r="I344" s="7" t="s">
        <v>712</v>
      </c>
      <c r="J344" s="7" t="s">
        <v>712</v>
      </c>
      <c r="K344" s="8">
        <v>6107526</v>
      </c>
      <c r="L344" s="8">
        <v>298972</v>
      </c>
      <c r="M344" s="8">
        <v>19</v>
      </c>
      <c r="N344" s="8">
        <v>1</v>
      </c>
      <c r="O344" s="8">
        <v>10</v>
      </c>
      <c r="P344" s="8"/>
    </row>
    <row r="345" spans="1:16" hidden="1" x14ac:dyDescent="0.25">
      <c r="A345" s="7" t="s">
        <v>19</v>
      </c>
      <c r="B345" s="7" t="s">
        <v>270</v>
      </c>
      <c r="C345" s="8">
        <v>25972</v>
      </c>
      <c r="D345" s="7" t="s">
        <v>52</v>
      </c>
      <c r="E345" s="7" t="s">
        <v>141</v>
      </c>
      <c r="F345" s="7" t="s">
        <v>593</v>
      </c>
      <c r="G345" s="7" t="s">
        <v>18</v>
      </c>
      <c r="H345" s="7" t="s">
        <v>48</v>
      </c>
      <c r="I345" s="7" t="s">
        <v>712</v>
      </c>
      <c r="J345" s="7" t="s">
        <v>712</v>
      </c>
      <c r="K345" s="8">
        <v>6222283</v>
      </c>
      <c r="L345" s="8">
        <v>335796</v>
      </c>
      <c r="M345" s="8">
        <v>19</v>
      </c>
      <c r="N345" s="8">
        <v>4</v>
      </c>
      <c r="O345" s="8">
        <v>79.84</v>
      </c>
      <c r="P345" s="8"/>
    </row>
    <row r="346" spans="1:16" hidden="1" x14ac:dyDescent="0.25">
      <c r="A346" s="7" t="s">
        <v>19</v>
      </c>
      <c r="B346" s="7" t="s">
        <v>415</v>
      </c>
      <c r="C346" s="8">
        <v>25973</v>
      </c>
      <c r="D346" s="7" t="s">
        <v>28</v>
      </c>
      <c r="E346" s="7" t="s">
        <v>142</v>
      </c>
      <c r="F346" s="7" t="s">
        <v>142</v>
      </c>
      <c r="G346" s="7" t="s">
        <v>18</v>
      </c>
      <c r="H346" s="7" t="s">
        <v>48</v>
      </c>
      <c r="I346" s="7" t="s">
        <v>712</v>
      </c>
      <c r="J346" s="7" t="s">
        <v>712</v>
      </c>
      <c r="K346" s="8">
        <v>6277548</v>
      </c>
      <c r="L346" s="8">
        <v>334007</v>
      </c>
      <c r="M346" s="8">
        <v>19</v>
      </c>
      <c r="N346" s="8">
        <v>1</v>
      </c>
      <c r="O346" s="8">
        <v>0.4</v>
      </c>
      <c r="P346" s="8"/>
    </row>
    <row r="347" spans="1:16" hidden="1" x14ac:dyDescent="0.25">
      <c r="A347" s="7" t="s">
        <v>19</v>
      </c>
      <c r="B347" s="7" t="s">
        <v>415</v>
      </c>
      <c r="C347" s="8">
        <v>25974</v>
      </c>
      <c r="D347" s="7" t="s">
        <v>28</v>
      </c>
      <c r="E347" s="7" t="s">
        <v>142</v>
      </c>
      <c r="F347" s="7" t="s">
        <v>142</v>
      </c>
      <c r="G347" s="7" t="s">
        <v>18</v>
      </c>
      <c r="H347" s="7" t="s">
        <v>48</v>
      </c>
      <c r="I347" s="7" t="s">
        <v>712</v>
      </c>
      <c r="J347" s="7" t="s">
        <v>712</v>
      </c>
      <c r="K347" s="8">
        <v>6277548</v>
      </c>
      <c r="L347" s="8">
        <v>334007</v>
      </c>
      <c r="M347" s="8">
        <v>19</v>
      </c>
      <c r="N347" s="8">
        <v>1</v>
      </c>
      <c r="O347" s="8">
        <v>0.4</v>
      </c>
      <c r="P347" s="8"/>
    </row>
    <row r="348" spans="1:16" hidden="1" x14ac:dyDescent="0.25">
      <c r="A348" s="7" t="s">
        <v>19</v>
      </c>
      <c r="B348" s="7" t="s">
        <v>415</v>
      </c>
      <c r="C348" s="8">
        <v>25975</v>
      </c>
      <c r="D348" s="7" t="s">
        <v>28</v>
      </c>
      <c r="E348" s="7" t="s">
        <v>146</v>
      </c>
      <c r="F348" s="7" t="s">
        <v>146</v>
      </c>
      <c r="G348" s="7" t="s">
        <v>18</v>
      </c>
      <c r="H348" s="7" t="s">
        <v>48</v>
      </c>
      <c r="I348" s="7" t="s">
        <v>712</v>
      </c>
      <c r="J348" s="7" t="s">
        <v>691</v>
      </c>
      <c r="K348" s="8">
        <v>6269945</v>
      </c>
      <c r="L348" s="8">
        <v>325718</v>
      </c>
      <c r="M348" s="8">
        <v>19</v>
      </c>
      <c r="N348" s="8">
        <v>1</v>
      </c>
      <c r="O348" s="8">
        <v>0.4</v>
      </c>
      <c r="P348" s="8"/>
    </row>
    <row r="349" spans="1:16" hidden="1" x14ac:dyDescent="0.25">
      <c r="A349" s="7" t="s">
        <v>37</v>
      </c>
      <c r="B349" s="7" t="s">
        <v>254</v>
      </c>
      <c r="C349" s="8">
        <v>25976</v>
      </c>
      <c r="D349" s="7" t="s">
        <v>52</v>
      </c>
      <c r="E349" s="7" t="s">
        <v>141</v>
      </c>
      <c r="F349" s="7" t="s">
        <v>272</v>
      </c>
      <c r="G349" s="7" t="s">
        <v>18</v>
      </c>
      <c r="H349" s="7" t="s">
        <v>48</v>
      </c>
      <c r="I349" s="7" t="s">
        <v>712</v>
      </c>
      <c r="J349" s="7" t="s">
        <v>712</v>
      </c>
      <c r="K349" s="8">
        <v>6222552</v>
      </c>
      <c r="L349" s="8">
        <v>334356</v>
      </c>
      <c r="M349" s="8">
        <v>19</v>
      </c>
      <c r="N349" s="8">
        <v>1</v>
      </c>
      <c r="O349" s="8">
        <v>10</v>
      </c>
      <c r="P349" s="8"/>
    </row>
    <row r="350" spans="1:16" hidden="1" x14ac:dyDescent="0.25">
      <c r="A350" s="7" t="s">
        <v>19</v>
      </c>
      <c r="B350" s="7" t="s">
        <v>270</v>
      </c>
      <c r="C350" s="8">
        <v>25977</v>
      </c>
      <c r="D350" s="7" t="s">
        <v>16</v>
      </c>
      <c r="E350" s="7" t="s">
        <v>50</v>
      </c>
      <c r="F350" s="7" t="s">
        <v>591</v>
      </c>
      <c r="G350" s="7" t="s">
        <v>18</v>
      </c>
      <c r="H350" s="7" t="s">
        <v>48</v>
      </c>
      <c r="I350" s="7" t="s">
        <v>712</v>
      </c>
      <c r="J350" s="7" t="s">
        <v>691</v>
      </c>
      <c r="K350" s="8">
        <v>6074944</v>
      </c>
      <c r="L350" s="8">
        <v>265962</v>
      </c>
      <c r="M350" s="8">
        <v>19</v>
      </c>
      <c r="N350" s="8">
        <v>3</v>
      </c>
      <c r="O350" s="8">
        <v>10.4</v>
      </c>
      <c r="P350" s="8"/>
    </row>
    <row r="351" spans="1:16" hidden="1" x14ac:dyDescent="0.25">
      <c r="A351" s="7" t="s">
        <v>37</v>
      </c>
      <c r="B351" s="7" t="s">
        <v>254</v>
      </c>
      <c r="C351" s="8">
        <v>25978</v>
      </c>
      <c r="D351" s="7" t="s">
        <v>52</v>
      </c>
      <c r="E351" s="7" t="s">
        <v>145</v>
      </c>
      <c r="F351" s="7" t="s">
        <v>248</v>
      </c>
      <c r="G351" s="7" t="s">
        <v>18</v>
      </c>
      <c r="H351" s="7" t="s">
        <v>48</v>
      </c>
      <c r="I351" s="7" t="s">
        <v>712</v>
      </c>
      <c r="J351" s="7" t="s">
        <v>712</v>
      </c>
      <c r="K351" s="8">
        <v>6164554</v>
      </c>
      <c r="L351" s="8">
        <v>325784</v>
      </c>
      <c r="M351" s="8">
        <v>19</v>
      </c>
      <c r="N351" s="8">
        <v>1</v>
      </c>
      <c r="O351" s="8">
        <v>10</v>
      </c>
      <c r="P351" s="8"/>
    </row>
    <row r="352" spans="1:16" hidden="1" x14ac:dyDescent="0.25">
      <c r="A352" s="7" t="s">
        <v>37</v>
      </c>
      <c r="B352" s="7" t="s">
        <v>254</v>
      </c>
      <c r="C352" s="8">
        <v>25979</v>
      </c>
      <c r="D352" s="7" t="s">
        <v>52</v>
      </c>
      <c r="E352" s="7" t="s">
        <v>145</v>
      </c>
      <c r="F352" s="7" t="s">
        <v>247</v>
      </c>
      <c r="G352" s="7" t="s">
        <v>18</v>
      </c>
      <c r="H352" s="7" t="s">
        <v>48</v>
      </c>
      <c r="I352" s="7" t="s">
        <v>712</v>
      </c>
      <c r="J352" s="7" t="s">
        <v>712</v>
      </c>
      <c r="K352" s="8">
        <v>6169530</v>
      </c>
      <c r="L352" s="8">
        <v>323732</v>
      </c>
      <c r="M352" s="8">
        <v>19</v>
      </c>
      <c r="N352" s="8">
        <v>1</v>
      </c>
      <c r="O352" s="8">
        <v>5</v>
      </c>
      <c r="P352" s="8"/>
    </row>
    <row r="353" spans="1:16" hidden="1" x14ac:dyDescent="0.25">
      <c r="A353" s="7" t="s">
        <v>19</v>
      </c>
      <c r="B353" s="7" t="s">
        <v>270</v>
      </c>
      <c r="C353" s="8">
        <v>25980</v>
      </c>
      <c r="D353" s="7" t="s">
        <v>16</v>
      </c>
      <c r="E353" s="7" t="s">
        <v>50</v>
      </c>
      <c r="F353" s="7" t="s">
        <v>591</v>
      </c>
      <c r="G353" s="7" t="s">
        <v>18</v>
      </c>
      <c r="H353" s="7" t="s">
        <v>48</v>
      </c>
      <c r="I353" s="7" t="s">
        <v>712</v>
      </c>
      <c r="J353" s="7" t="s">
        <v>691</v>
      </c>
      <c r="K353" s="8">
        <v>6075237</v>
      </c>
      <c r="L353" s="8">
        <v>266674</v>
      </c>
      <c r="M353" s="8">
        <v>19</v>
      </c>
      <c r="N353" s="8">
        <v>6</v>
      </c>
      <c r="O353" s="8">
        <v>22</v>
      </c>
      <c r="P353" s="8"/>
    </row>
    <row r="354" spans="1:16" hidden="1" x14ac:dyDescent="0.25">
      <c r="A354" s="7" t="s">
        <v>37</v>
      </c>
      <c r="B354" s="7" t="s">
        <v>124</v>
      </c>
      <c r="C354" s="8">
        <v>25981</v>
      </c>
      <c r="D354" s="7" t="s">
        <v>16</v>
      </c>
      <c r="E354" s="7" t="s">
        <v>125</v>
      </c>
      <c r="F354" s="7" t="s">
        <v>125</v>
      </c>
      <c r="G354" s="7" t="s">
        <v>18</v>
      </c>
      <c r="H354" s="7" t="s">
        <v>24</v>
      </c>
      <c r="I354" s="7" t="s">
        <v>712</v>
      </c>
      <c r="J354" s="7" t="s">
        <v>712</v>
      </c>
      <c r="K354" s="8">
        <v>6063371</v>
      </c>
      <c r="L354" s="8">
        <v>258350</v>
      </c>
      <c r="M354" s="8">
        <v>19</v>
      </c>
      <c r="N354" s="8">
        <v>1</v>
      </c>
      <c r="O354" s="8">
        <v>3.3</v>
      </c>
      <c r="P354" s="8"/>
    </row>
    <row r="355" spans="1:16" hidden="1" x14ac:dyDescent="0.25">
      <c r="A355" s="7" t="s">
        <v>14</v>
      </c>
      <c r="B355" s="7" t="s">
        <v>415</v>
      </c>
      <c r="C355" s="8">
        <v>25982</v>
      </c>
      <c r="D355" s="7" t="s">
        <v>28</v>
      </c>
      <c r="E355" s="7" t="s">
        <v>56</v>
      </c>
      <c r="F355" s="7" t="s">
        <v>162</v>
      </c>
      <c r="G355" s="7" t="s">
        <v>18</v>
      </c>
      <c r="H355" s="7" t="s">
        <v>689</v>
      </c>
      <c r="I355" s="7" t="s">
        <v>712</v>
      </c>
      <c r="J355" s="7" t="s">
        <v>712</v>
      </c>
      <c r="K355" s="8">
        <v>6259765</v>
      </c>
      <c r="L355" s="8">
        <v>332396</v>
      </c>
      <c r="M355" s="8">
        <v>19</v>
      </c>
      <c r="N355" s="8">
        <v>1</v>
      </c>
      <c r="O355" s="8">
        <v>0.86</v>
      </c>
      <c r="P355" s="8"/>
    </row>
    <row r="356" spans="1:16" hidden="1" x14ac:dyDescent="0.25">
      <c r="A356" s="7" t="s">
        <v>19</v>
      </c>
      <c r="B356" s="7" t="s">
        <v>270</v>
      </c>
      <c r="C356" s="8">
        <v>25983</v>
      </c>
      <c r="D356" s="7" t="s">
        <v>52</v>
      </c>
      <c r="E356" s="7" t="s">
        <v>139</v>
      </c>
      <c r="F356" s="7" t="s">
        <v>270</v>
      </c>
      <c r="G356" s="7" t="s">
        <v>18</v>
      </c>
      <c r="H356" s="7" t="s">
        <v>48</v>
      </c>
      <c r="I356" s="7" t="s">
        <v>712</v>
      </c>
      <c r="J356" s="7" t="s">
        <v>712</v>
      </c>
      <c r="K356" s="8" t="s">
        <v>686</v>
      </c>
      <c r="L356" s="8" t="s">
        <v>686</v>
      </c>
      <c r="M356" s="8">
        <v>19</v>
      </c>
      <c r="N356" s="8">
        <v>3</v>
      </c>
      <c r="O356" s="8">
        <v>16.46</v>
      </c>
      <c r="P356" s="8"/>
    </row>
    <row r="357" spans="1:16" hidden="1" x14ac:dyDescent="0.25">
      <c r="A357" s="7" t="s">
        <v>37</v>
      </c>
      <c r="B357" s="7" t="s">
        <v>124</v>
      </c>
      <c r="C357" s="8">
        <v>25984</v>
      </c>
      <c r="D357" s="7" t="s">
        <v>16</v>
      </c>
      <c r="E357" s="7" t="s">
        <v>127</v>
      </c>
      <c r="F357" s="7" t="s">
        <v>128</v>
      </c>
      <c r="G357" s="7" t="s">
        <v>18</v>
      </c>
      <c r="H357" s="7" t="s">
        <v>24</v>
      </c>
      <c r="I357" s="7" t="s">
        <v>712</v>
      </c>
      <c r="J357" s="7" t="s">
        <v>712</v>
      </c>
      <c r="K357" s="8">
        <v>6044797</v>
      </c>
      <c r="L357" s="8">
        <v>281198</v>
      </c>
      <c r="M357" s="8">
        <v>19</v>
      </c>
      <c r="N357" s="8">
        <v>1</v>
      </c>
      <c r="O357" s="8">
        <v>3.3</v>
      </c>
      <c r="P357" s="8"/>
    </row>
    <row r="358" spans="1:16" hidden="1" x14ac:dyDescent="0.25">
      <c r="A358" s="7" t="s">
        <v>37</v>
      </c>
      <c r="B358" s="7" t="s">
        <v>254</v>
      </c>
      <c r="C358" s="8">
        <v>25986</v>
      </c>
      <c r="D358" s="7" t="s">
        <v>52</v>
      </c>
      <c r="E358" s="7" t="s">
        <v>273</v>
      </c>
      <c r="F358" s="7" t="s">
        <v>273</v>
      </c>
      <c r="G358" s="7" t="s">
        <v>18</v>
      </c>
      <c r="H358" s="7" t="s">
        <v>48</v>
      </c>
      <c r="I358" s="7" t="s">
        <v>712</v>
      </c>
      <c r="J358" s="7" t="s">
        <v>712</v>
      </c>
      <c r="K358" s="8">
        <v>6162374</v>
      </c>
      <c r="L358" s="8">
        <v>295668</v>
      </c>
      <c r="M358" s="8">
        <v>19</v>
      </c>
      <c r="N358" s="8">
        <v>1</v>
      </c>
      <c r="O358" s="8">
        <v>16.5</v>
      </c>
      <c r="P358" s="8"/>
    </row>
    <row r="359" spans="1:16" hidden="1" x14ac:dyDescent="0.25">
      <c r="A359" s="7" t="s">
        <v>14</v>
      </c>
      <c r="B359" s="7" t="s">
        <v>415</v>
      </c>
      <c r="C359" s="8">
        <v>25987</v>
      </c>
      <c r="D359" s="7" t="s">
        <v>28</v>
      </c>
      <c r="E359" s="7" t="s">
        <v>56</v>
      </c>
      <c r="F359" s="7" t="s">
        <v>162</v>
      </c>
      <c r="G359" s="7" t="s">
        <v>18</v>
      </c>
      <c r="H359" s="7" t="s">
        <v>689</v>
      </c>
      <c r="I359" s="7" t="s">
        <v>712</v>
      </c>
      <c r="J359" s="7" t="s">
        <v>712</v>
      </c>
      <c r="K359" s="8">
        <v>6259108</v>
      </c>
      <c r="L359" s="8">
        <v>332717</v>
      </c>
      <c r="M359" s="8">
        <v>19</v>
      </c>
      <c r="N359" s="8">
        <v>1</v>
      </c>
      <c r="O359" s="8">
        <v>0.77</v>
      </c>
      <c r="P359" s="8"/>
    </row>
    <row r="360" spans="1:16" hidden="1" x14ac:dyDescent="0.25">
      <c r="A360" s="7" t="s">
        <v>37</v>
      </c>
      <c r="B360" s="7" t="s">
        <v>270</v>
      </c>
      <c r="C360" s="8">
        <v>25988</v>
      </c>
      <c r="D360" s="7" t="s">
        <v>21</v>
      </c>
      <c r="E360" s="7" t="s">
        <v>584</v>
      </c>
      <c r="F360" s="7" t="s">
        <v>594</v>
      </c>
      <c r="G360" s="7" t="s">
        <v>18</v>
      </c>
      <c r="H360" s="7" t="s">
        <v>24</v>
      </c>
      <c r="I360" s="7" t="s">
        <v>712</v>
      </c>
      <c r="J360" s="7" t="s">
        <v>712</v>
      </c>
      <c r="K360" s="8">
        <v>6371860</v>
      </c>
      <c r="L360" s="8">
        <v>322785</v>
      </c>
      <c r="M360" s="8">
        <v>19</v>
      </c>
      <c r="N360" s="8">
        <v>2</v>
      </c>
      <c r="O360" s="8">
        <v>1.5</v>
      </c>
      <c r="P360" s="8"/>
    </row>
    <row r="361" spans="1:16" hidden="1" x14ac:dyDescent="0.25">
      <c r="A361" s="7" t="s">
        <v>37</v>
      </c>
      <c r="B361" s="7" t="s">
        <v>124</v>
      </c>
      <c r="C361" s="8">
        <v>25989</v>
      </c>
      <c r="D361" s="7" t="s">
        <v>16</v>
      </c>
      <c r="E361" s="7" t="s">
        <v>127</v>
      </c>
      <c r="F361" s="7" t="s">
        <v>130</v>
      </c>
      <c r="G361" s="7" t="s">
        <v>18</v>
      </c>
      <c r="H361" s="7" t="s">
        <v>24</v>
      </c>
      <c r="I361" s="7" t="s">
        <v>712</v>
      </c>
      <c r="J361" s="7" t="s">
        <v>712</v>
      </c>
      <c r="K361" s="8">
        <v>6050220</v>
      </c>
      <c r="L361" s="8">
        <v>277896</v>
      </c>
      <c r="M361" s="8">
        <v>19</v>
      </c>
      <c r="N361" s="8">
        <v>1</v>
      </c>
      <c r="O361" s="8">
        <v>2</v>
      </c>
      <c r="P361" s="8"/>
    </row>
    <row r="362" spans="1:16" hidden="1" x14ac:dyDescent="0.25">
      <c r="A362" s="7" t="s">
        <v>37</v>
      </c>
      <c r="B362" s="7" t="s">
        <v>254</v>
      </c>
      <c r="C362" s="8">
        <v>25990</v>
      </c>
      <c r="D362" s="7" t="s">
        <v>52</v>
      </c>
      <c r="E362" s="7" t="s">
        <v>145</v>
      </c>
      <c r="F362" s="7" t="s">
        <v>248</v>
      </c>
      <c r="G362" s="7" t="s">
        <v>18</v>
      </c>
      <c r="H362" s="7" t="s">
        <v>48</v>
      </c>
      <c r="I362" s="7" t="s">
        <v>712</v>
      </c>
      <c r="J362" s="7" t="s">
        <v>691</v>
      </c>
      <c r="K362" s="8">
        <v>6164155</v>
      </c>
      <c r="L362" s="8">
        <v>325528</v>
      </c>
      <c r="M362" s="8">
        <v>19</v>
      </c>
      <c r="N362" s="8">
        <v>1</v>
      </c>
      <c r="O362" s="8">
        <v>10</v>
      </c>
      <c r="P362" s="8"/>
    </row>
    <row r="363" spans="1:16" hidden="1" x14ac:dyDescent="0.25">
      <c r="A363" s="7" t="s">
        <v>37</v>
      </c>
      <c r="B363" s="7" t="s">
        <v>254</v>
      </c>
      <c r="C363" s="8">
        <v>25993</v>
      </c>
      <c r="D363" s="7" t="s">
        <v>16</v>
      </c>
      <c r="E363" s="7" t="s">
        <v>72</v>
      </c>
      <c r="F363" s="7" t="s">
        <v>274</v>
      </c>
      <c r="G363" s="7" t="s">
        <v>18</v>
      </c>
      <c r="H363" s="7" t="s">
        <v>48</v>
      </c>
      <c r="I363" s="7" t="s">
        <v>712</v>
      </c>
      <c r="J363" s="7" t="s">
        <v>712</v>
      </c>
      <c r="K363" s="8">
        <v>6096253</v>
      </c>
      <c r="L363" s="8">
        <v>291151</v>
      </c>
      <c r="M363" s="8">
        <v>19</v>
      </c>
      <c r="N363" s="8">
        <v>4</v>
      </c>
      <c r="O363" s="8">
        <v>32</v>
      </c>
      <c r="P363" s="8"/>
    </row>
    <row r="364" spans="1:16" hidden="1" x14ac:dyDescent="0.25">
      <c r="A364" s="7" t="s">
        <v>14</v>
      </c>
      <c r="B364" s="7" t="s">
        <v>181</v>
      </c>
      <c r="C364" s="8">
        <v>25994</v>
      </c>
      <c r="D364" s="7" t="s">
        <v>119</v>
      </c>
      <c r="E364" s="7" t="s">
        <v>199</v>
      </c>
      <c r="F364" s="7" t="s">
        <v>200</v>
      </c>
      <c r="G364" s="7" t="s">
        <v>43</v>
      </c>
      <c r="H364" s="7" t="s">
        <v>689</v>
      </c>
      <c r="I364" s="7" t="s">
        <v>690</v>
      </c>
      <c r="J364" s="7" t="s">
        <v>690</v>
      </c>
      <c r="K364" s="8">
        <v>5682830</v>
      </c>
      <c r="L364" s="8">
        <v>657989</v>
      </c>
      <c r="M364" s="8">
        <v>18</v>
      </c>
      <c r="N364" s="8">
        <v>1</v>
      </c>
      <c r="O364" s="8">
        <v>0.66</v>
      </c>
      <c r="P364" s="8"/>
    </row>
    <row r="365" spans="1:16" hidden="1" x14ac:dyDescent="0.25">
      <c r="A365" s="7" t="s">
        <v>14</v>
      </c>
      <c r="B365" s="7" t="s">
        <v>181</v>
      </c>
      <c r="C365" s="8">
        <v>25996</v>
      </c>
      <c r="D365" s="7" t="s">
        <v>119</v>
      </c>
      <c r="E365" s="7" t="s">
        <v>199</v>
      </c>
      <c r="F365" s="7" t="s">
        <v>201</v>
      </c>
      <c r="G365" s="7" t="s">
        <v>43</v>
      </c>
      <c r="H365" s="7" t="s">
        <v>689</v>
      </c>
      <c r="I365" s="7" t="s">
        <v>690</v>
      </c>
      <c r="J365" s="7" t="s">
        <v>690</v>
      </c>
      <c r="K365" s="8">
        <v>5682306</v>
      </c>
      <c r="L365" s="8">
        <v>673322</v>
      </c>
      <c r="M365" s="8">
        <v>18</v>
      </c>
      <c r="N365" s="8">
        <v>1</v>
      </c>
      <c r="O365" s="8">
        <v>0.98</v>
      </c>
      <c r="P365" s="8"/>
    </row>
    <row r="366" spans="1:16" hidden="1" x14ac:dyDescent="0.25">
      <c r="A366" s="7" t="s">
        <v>14</v>
      </c>
      <c r="B366" s="7" t="s">
        <v>415</v>
      </c>
      <c r="C366" s="8">
        <v>25998</v>
      </c>
      <c r="D366" s="7" t="s">
        <v>28</v>
      </c>
      <c r="E366" s="7" t="s">
        <v>56</v>
      </c>
      <c r="F366" s="7" t="s">
        <v>162</v>
      </c>
      <c r="G366" s="7" t="s">
        <v>18</v>
      </c>
      <c r="H366" s="7" t="s">
        <v>689</v>
      </c>
      <c r="I366" s="7" t="s">
        <v>712</v>
      </c>
      <c r="J366" s="7" t="s">
        <v>712</v>
      </c>
      <c r="K366" s="8">
        <v>6259496</v>
      </c>
      <c r="L366" s="8">
        <v>332884</v>
      </c>
      <c r="M366" s="8">
        <v>19</v>
      </c>
      <c r="N366" s="8">
        <v>2</v>
      </c>
      <c r="O366" s="8">
        <v>1.85</v>
      </c>
      <c r="P366" s="8"/>
    </row>
    <row r="367" spans="1:16" hidden="1" x14ac:dyDescent="0.25">
      <c r="A367" s="7" t="s">
        <v>14</v>
      </c>
      <c r="B367" s="7" t="s">
        <v>415</v>
      </c>
      <c r="C367" s="8">
        <v>25999</v>
      </c>
      <c r="D367" s="7" t="s">
        <v>28</v>
      </c>
      <c r="E367" s="7" t="s">
        <v>56</v>
      </c>
      <c r="F367" s="7" t="s">
        <v>162</v>
      </c>
      <c r="G367" s="7" t="s">
        <v>18</v>
      </c>
      <c r="H367" s="7" t="s">
        <v>689</v>
      </c>
      <c r="I367" s="7" t="s">
        <v>712</v>
      </c>
      <c r="J367" s="7" t="s">
        <v>712</v>
      </c>
      <c r="K367" s="8">
        <v>6259384</v>
      </c>
      <c r="L367" s="8">
        <v>332932</v>
      </c>
      <c r="M367" s="8">
        <v>19</v>
      </c>
      <c r="N367" s="8">
        <v>1</v>
      </c>
      <c r="O367" s="8">
        <v>1.83</v>
      </c>
      <c r="P367" s="8"/>
    </row>
    <row r="368" spans="1:16" hidden="1" x14ac:dyDescent="0.25">
      <c r="A368" s="7" t="s">
        <v>14</v>
      </c>
      <c r="B368" s="7" t="s">
        <v>415</v>
      </c>
      <c r="C368" s="8">
        <v>26001</v>
      </c>
      <c r="D368" s="7" t="s">
        <v>28</v>
      </c>
      <c r="E368" s="7" t="s">
        <v>56</v>
      </c>
      <c r="F368" s="7" t="s">
        <v>162</v>
      </c>
      <c r="G368" s="7" t="s">
        <v>18</v>
      </c>
      <c r="H368" s="7" t="s">
        <v>689</v>
      </c>
      <c r="I368" s="7" t="s">
        <v>712</v>
      </c>
      <c r="J368" s="7" t="s">
        <v>712</v>
      </c>
      <c r="K368" s="8">
        <v>6259314</v>
      </c>
      <c r="L368" s="8">
        <v>332999</v>
      </c>
      <c r="M368" s="8">
        <v>19</v>
      </c>
      <c r="N368" s="8">
        <v>1</v>
      </c>
      <c r="O368" s="8">
        <v>1.55</v>
      </c>
      <c r="P368" s="8"/>
    </row>
    <row r="369" spans="1:16" hidden="1" x14ac:dyDescent="0.25">
      <c r="A369" s="7" t="s">
        <v>37</v>
      </c>
      <c r="B369" s="7" t="s">
        <v>343</v>
      </c>
      <c r="C369" s="8">
        <v>26002</v>
      </c>
      <c r="D369" s="7" t="s">
        <v>16</v>
      </c>
      <c r="E369" s="7" t="s">
        <v>268</v>
      </c>
      <c r="F369" s="7" t="s">
        <v>359</v>
      </c>
      <c r="G369" s="7" t="s">
        <v>18</v>
      </c>
      <c r="H369" s="7" t="s">
        <v>24</v>
      </c>
      <c r="I369" s="7" t="s">
        <v>712</v>
      </c>
      <c r="J369" s="7" t="s">
        <v>712</v>
      </c>
      <c r="K369" s="8">
        <v>6134493</v>
      </c>
      <c r="L369" s="8">
        <v>314589</v>
      </c>
      <c r="M369" s="8">
        <v>19</v>
      </c>
      <c r="N369" s="8">
        <v>1</v>
      </c>
      <c r="O369" s="8">
        <v>17</v>
      </c>
      <c r="P369" s="8"/>
    </row>
    <row r="370" spans="1:16" hidden="1" x14ac:dyDescent="0.25">
      <c r="A370" s="7" t="s">
        <v>14</v>
      </c>
      <c r="B370" s="7" t="s">
        <v>415</v>
      </c>
      <c r="C370" s="8">
        <v>26004</v>
      </c>
      <c r="D370" s="7" t="s">
        <v>28</v>
      </c>
      <c r="E370" s="7" t="s">
        <v>56</v>
      </c>
      <c r="F370" s="7" t="s">
        <v>162</v>
      </c>
      <c r="G370" s="7" t="s">
        <v>18</v>
      </c>
      <c r="H370" s="7" t="s">
        <v>689</v>
      </c>
      <c r="I370" s="7" t="s">
        <v>712</v>
      </c>
      <c r="J370" s="7" t="s">
        <v>712</v>
      </c>
      <c r="K370" s="8">
        <v>6259225</v>
      </c>
      <c r="L370" s="8">
        <v>332814</v>
      </c>
      <c r="M370" s="8">
        <v>19</v>
      </c>
      <c r="N370" s="8">
        <v>1</v>
      </c>
      <c r="O370" s="8">
        <v>1.9</v>
      </c>
      <c r="P370" s="8"/>
    </row>
    <row r="371" spans="1:16" hidden="1" x14ac:dyDescent="0.25">
      <c r="A371" s="7" t="s">
        <v>37</v>
      </c>
      <c r="B371" s="7" t="s">
        <v>343</v>
      </c>
      <c r="C371" s="8">
        <v>26005</v>
      </c>
      <c r="D371" s="7" t="s">
        <v>16</v>
      </c>
      <c r="E371" s="7" t="s">
        <v>268</v>
      </c>
      <c r="F371" s="7" t="s">
        <v>268</v>
      </c>
      <c r="G371" s="7" t="s">
        <v>18</v>
      </c>
      <c r="H371" s="7" t="s">
        <v>24</v>
      </c>
      <c r="I371" s="7" t="s">
        <v>712</v>
      </c>
      <c r="J371" s="7" t="s">
        <v>712</v>
      </c>
      <c r="K371" s="8">
        <v>6134369</v>
      </c>
      <c r="L371" s="8">
        <v>315160</v>
      </c>
      <c r="M371" s="8">
        <v>19</v>
      </c>
      <c r="N371" s="8">
        <v>1</v>
      </c>
      <c r="O371" s="8">
        <v>0.42</v>
      </c>
      <c r="P371" s="8"/>
    </row>
    <row r="372" spans="1:16" hidden="1" x14ac:dyDescent="0.25">
      <c r="A372" s="7" t="s">
        <v>37</v>
      </c>
      <c r="B372" s="7" t="s">
        <v>343</v>
      </c>
      <c r="C372" s="8">
        <v>26007</v>
      </c>
      <c r="D372" s="7" t="s">
        <v>16</v>
      </c>
      <c r="E372" s="7" t="s">
        <v>268</v>
      </c>
      <c r="F372" s="7" t="s">
        <v>268</v>
      </c>
      <c r="G372" s="7" t="s">
        <v>18</v>
      </c>
      <c r="H372" s="7" t="s">
        <v>24</v>
      </c>
      <c r="I372" s="7" t="s">
        <v>712</v>
      </c>
      <c r="J372" s="7" t="s">
        <v>712</v>
      </c>
      <c r="K372" s="8">
        <v>6134561</v>
      </c>
      <c r="L372" s="8">
        <v>314915</v>
      </c>
      <c r="M372" s="8">
        <v>19</v>
      </c>
      <c r="N372" s="8">
        <v>1</v>
      </c>
      <c r="O372" s="8">
        <v>0.5</v>
      </c>
      <c r="P372" s="8"/>
    </row>
    <row r="373" spans="1:16" hidden="1" x14ac:dyDescent="0.25">
      <c r="A373" s="7" t="s">
        <v>37</v>
      </c>
      <c r="B373" s="7" t="s">
        <v>343</v>
      </c>
      <c r="C373" s="8">
        <v>26010</v>
      </c>
      <c r="D373" s="7" t="s">
        <v>16</v>
      </c>
      <c r="E373" s="7" t="s">
        <v>268</v>
      </c>
      <c r="F373" s="7" t="s">
        <v>268</v>
      </c>
      <c r="G373" s="7" t="s">
        <v>18</v>
      </c>
      <c r="H373" s="7" t="s">
        <v>24</v>
      </c>
      <c r="I373" s="7" t="s">
        <v>712</v>
      </c>
      <c r="J373" s="7" t="s">
        <v>712</v>
      </c>
      <c r="K373" s="8">
        <v>6135571</v>
      </c>
      <c r="L373" s="8">
        <v>314512</v>
      </c>
      <c r="M373" s="8">
        <v>19</v>
      </c>
      <c r="N373" s="8">
        <v>1</v>
      </c>
      <c r="O373" s="8">
        <v>10</v>
      </c>
      <c r="P373" s="8"/>
    </row>
    <row r="374" spans="1:16" hidden="1" x14ac:dyDescent="0.25">
      <c r="A374" s="7" t="s">
        <v>37</v>
      </c>
      <c r="B374" s="7" t="s">
        <v>343</v>
      </c>
      <c r="C374" s="8">
        <v>26015</v>
      </c>
      <c r="D374" s="7" t="s">
        <v>52</v>
      </c>
      <c r="E374" s="7" t="s">
        <v>53</v>
      </c>
      <c r="F374" s="7" t="s">
        <v>81</v>
      </c>
      <c r="G374" s="7" t="s">
        <v>18</v>
      </c>
      <c r="H374" s="7" t="s">
        <v>48</v>
      </c>
      <c r="I374" s="7" t="s">
        <v>712</v>
      </c>
      <c r="J374" s="7" t="s">
        <v>691</v>
      </c>
      <c r="K374" s="8">
        <v>6150808</v>
      </c>
      <c r="L374" s="8">
        <v>323047</v>
      </c>
      <c r="M374" s="8">
        <v>19</v>
      </c>
      <c r="N374" s="8">
        <v>1</v>
      </c>
      <c r="O374" s="8">
        <v>3</v>
      </c>
      <c r="P374" s="8"/>
    </row>
    <row r="375" spans="1:16" hidden="1" x14ac:dyDescent="0.25">
      <c r="A375" s="7" t="s">
        <v>37</v>
      </c>
      <c r="B375" s="7" t="s">
        <v>254</v>
      </c>
      <c r="C375" s="8">
        <v>26016</v>
      </c>
      <c r="D375" s="7" t="s">
        <v>16</v>
      </c>
      <c r="E375" s="7" t="s">
        <v>127</v>
      </c>
      <c r="F375" s="7" t="s">
        <v>275</v>
      </c>
      <c r="G375" s="7" t="s">
        <v>18</v>
      </c>
      <c r="H375" s="7" t="s">
        <v>48</v>
      </c>
      <c r="I375" s="7" t="s">
        <v>712</v>
      </c>
      <c r="J375" s="7" t="s">
        <v>712</v>
      </c>
      <c r="K375" s="8">
        <v>6054217</v>
      </c>
      <c r="L375" s="8">
        <v>279926</v>
      </c>
      <c r="M375" s="8">
        <v>19</v>
      </c>
      <c r="N375" s="8">
        <v>1</v>
      </c>
      <c r="O375" s="8">
        <v>2.7</v>
      </c>
      <c r="P375" s="8"/>
    </row>
    <row r="376" spans="1:16" hidden="1" x14ac:dyDescent="0.25">
      <c r="A376" s="7" t="s">
        <v>37</v>
      </c>
      <c r="B376" s="7" t="s">
        <v>343</v>
      </c>
      <c r="C376" s="8">
        <v>26019</v>
      </c>
      <c r="D376" s="7" t="s">
        <v>52</v>
      </c>
      <c r="E376" s="7" t="s">
        <v>53</v>
      </c>
      <c r="F376" s="7" t="s">
        <v>360</v>
      </c>
      <c r="G376" s="7" t="s">
        <v>18</v>
      </c>
      <c r="H376" s="7" t="s">
        <v>48</v>
      </c>
      <c r="I376" s="7" t="s">
        <v>712</v>
      </c>
      <c r="J376" s="7" t="s">
        <v>712</v>
      </c>
      <c r="K376" s="8">
        <v>6155794</v>
      </c>
      <c r="L376" s="8">
        <v>318237</v>
      </c>
      <c r="M376" s="8">
        <v>19</v>
      </c>
      <c r="N376" s="8">
        <v>1</v>
      </c>
      <c r="O376" s="8">
        <v>2</v>
      </c>
      <c r="P376" s="8"/>
    </row>
    <row r="377" spans="1:16" hidden="1" x14ac:dyDescent="0.25">
      <c r="A377" s="7" t="s">
        <v>37</v>
      </c>
      <c r="B377" s="7" t="s">
        <v>270</v>
      </c>
      <c r="C377" s="8">
        <v>26022</v>
      </c>
      <c r="D377" s="7" t="s">
        <v>21</v>
      </c>
      <c r="E377" s="7" t="s">
        <v>584</v>
      </c>
      <c r="F377" s="7" t="s">
        <v>594</v>
      </c>
      <c r="G377" s="7" t="s">
        <v>18</v>
      </c>
      <c r="H377" s="7" t="s">
        <v>24</v>
      </c>
      <c r="I377" s="7" t="s">
        <v>712</v>
      </c>
      <c r="J377" s="7" t="s">
        <v>712</v>
      </c>
      <c r="K377" s="8">
        <v>6371488</v>
      </c>
      <c r="L377" s="8">
        <v>323270</v>
      </c>
      <c r="M377" s="8">
        <v>19</v>
      </c>
      <c r="N377" s="8">
        <v>3</v>
      </c>
      <c r="O377" s="8">
        <v>10.5</v>
      </c>
      <c r="P377" s="8"/>
    </row>
    <row r="378" spans="1:16" hidden="1" x14ac:dyDescent="0.25">
      <c r="A378" s="7" t="s">
        <v>37</v>
      </c>
      <c r="B378" s="7" t="s">
        <v>343</v>
      </c>
      <c r="C378" s="8">
        <v>26023</v>
      </c>
      <c r="D378" s="7" t="s">
        <v>52</v>
      </c>
      <c r="E378" s="7" t="s">
        <v>53</v>
      </c>
      <c r="F378" s="7" t="s">
        <v>360</v>
      </c>
      <c r="G378" s="7" t="s">
        <v>18</v>
      </c>
      <c r="H378" s="7" t="s">
        <v>48</v>
      </c>
      <c r="I378" s="7" t="s">
        <v>712</v>
      </c>
      <c r="J378" s="7" t="s">
        <v>712</v>
      </c>
      <c r="K378" s="8">
        <v>6155612</v>
      </c>
      <c r="L378" s="8">
        <v>318136</v>
      </c>
      <c r="M378" s="8">
        <v>19</v>
      </c>
      <c r="N378" s="8">
        <v>1</v>
      </c>
      <c r="O378" s="8">
        <v>3</v>
      </c>
      <c r="P378" s="8"/>
    </row>
    <row r="379" spans="1:16" hidden="1" x14ac:dyDescent="0.25">
      <c r="A379" s="7" t="s">
        <v>37</v>
      </c>
      <c r="B379" s="7" t="s">
        <v>254</v>
      </c>
      <c r="C379" s="8">
        <v>26024</v>
      </c>
      <c r="D379" s="7" t="s">
        <v>52</v>
      </c>
      <c r="E379" s="7" t="s">
        <v>145</v>
      </c>
      <c r="F379" s="7" t="s">
        <v>248</v>
      </c>
      <c r="G379" s="7" t="s">
        <v>18</v>
      </c>
      <c r="H379" s="7" t="s">
        <v>48</v>
      </c>
      <c r="I379" s="7" t="s">
        <v>712</v>
      </c>
      <c r="J379" s="7" t="s">
        <v>691</v>
      </c>
      <c r="K379" s="8">
        <v>6170395</v>
      </c>
      <c r="L379" s="8">
        <v>315288</v>
      </c>
      <c r="M379" s="8">
        <v>19</v>
      </c>
      <c r="N379" s="8">
        <v>1</v>
      </c>
      <c r="O379" s="8">
        <v>2.7</v>
      </c>
      <c r="P379" s="8"/>
    </row>
    <row r="380" spans="1:16" hidden="1" x14ac:dyDescent="0.25">
      <c r="A380" s="7" t="s">
        <v>37</v>
      </c>
      <c r="B380" s="7" t="s">
        <v>124</v>
      </c>
      <c r="C380" s="8">
        <v>26025</v>
      </c>
      <c r="D380" s="7" t="s">
        <v>16</v>
      </c>
      <c r="E380" s="7" t="s">
        <v>127</v>
      </c>
      <c r="F380" s="7" t="s">
        <v>128</v>
      </c>
      <c r="G380" s="7" t="s">
        <v>18</v>
      </c>
      <c r="H380" s="7" t="s">
        <v>24</v>
      </c>
      <c r="I380" s="7" t="s">
        <v>712</v>
      </c>
      <c r="J380" s="7" t="s">
        <v>712</v>
      </c>
      <c r="K380" s="8">
        <v>6046823</v>
      </c>
      <c r="L380" s="8">
        <v>278587</v>
      </c>
      <c r="M380" s="8">
        <v>19</v>
      </c>
      <c r="N380" s="8">
        <v>1</v>
      </c>
      <c r="O380" s="8">
        <v>5.3</v>
      </c>
      <c r="P380" s="8"/>
    </row>
    <row r="381" spans="1:16" hidden="1" x14ac:dyDescent="0.25">
      <c r="A381" s="7" t="s">
        <v>37</v>
      </c>
      <c r="B381" s="7" t="s">
        <v>254</v>
      </c>
      <c r="C381" s="8">
        <v>26029</v>
      </c>
      <c r="D381" s="7" t="s">
        <v>52</v>
      </c>
      <c r="E381" s="7" t="s">
        <v>145</v>
      </c>
      <c r="F381" s="7" t="s">
        <v>145</v>
      </c>
      <c r="G381" s="7" t="s">
        <v>18</v>
      </c>
      <c r="H381" s="7" t="s">
        <v>48</v>
      </c>
      <c r="I381" s="7" t="s">
        <v>712</v>
      </c>
      <c r="J381" s="7" t="s">
        <v>712</v>
      </c>
      <c r="K381" s="8">
        <v>6166888</v>
      </c>
      <c r="L381" s="8">
        <v>325319</v>
      </c>
      <c r="M381" s="8">
        <v>19</v>
      </c>
      <c r="N381" s="8">
        <v>6</v>
      </c>
      <c r="O381" s="8">
        <v>52</v>
      </c>
      <c r="P381" s="8"/>
    </row>
    <row r="382" spans="1:16" hidden="1" x14ac:dyDescent="0.25">
      <c r="A382" s="7" t="s">
        <v>37</v>
      </c>
      <c r="B382" s="7" t="s">
        <v>124</v>
      </c>
      <c r="C382" s="8">
        <v>26030</v>
      </c>
      <c r="D382" s="7" t="s">
        <v>16</v>
      </c>
      <c r="E382" s="7" t="s">
        <v>127</v>
      </c>
      <c r="F382" s="7" t="s">
        <v>128</v>
      </c>
      <c r="G382" s="7" t="s">
        <v>18</v>
      </c>
      <c r="H382" s="7" t="s">
        <v>24</v>
      </c>
      <c r="I382" s="7" t="s">
        <v>712</v>
      </c>
      <c r="J382" s="7" t="s">
        <v>712</v>
      </c>
      <c r="K382" s="8">
        <v>6044710</v>
      </c>
      <c r="L382" s="8">
        <v>280800</v>
      </c>
      <c r="M382" s="8">
        <v>19</v>
      </c>
      <c r="N382" s="8">
        <v>1</v>
      </c>
      <c r="O382" s="8">
        <v>3.3</v>
      </c>
      <c r="P382" s="8"/>
    </row>
    <row r="383" spans="1:16" hidden="1" x14ac:dyDescent="0.25">
      <c r="A383" s="7" t="s">
        <v>19</v>
      </c>
      <c r="B383" s="7" t="s">
        <v>270</v>
      </c>
      <c r="C383" s="8">
        <v>26032</v>
      </c>
      <c r="D383" s="7" t="s">
        <v>52</v>
      </c>
      <c r="E383" s="7" t="s">
        <v>139</v>
      </c>
      <c r="F383" s="7" t="s">
        <v>270</v>
      </c>
      <c r="G383" s="7" t="s">
        <v>18</v>
      </c>
      <c r="H383" s="7" t="s">
        <v>48</v>
      </c>
      <c r="I383" s="7" t="s">
        <v>712</v>
      </c>
      <c r="J383" s="7" t="s">
        <v>712</v>
      </c>
      <c r="K383" s="8">
        <v>6225869</v>
      </c>
      <c r="L383" s="8">
        <v>337277</v>
      </c>
      <c r="M383" s="8">
        <v>19</v>
      </c>
      <c r="N383" s="8">
        <v>4</v>
      </c>
      <c r="O383" s="8">
        <v>37.9</v>
      </c>
      <c r="P383" s="8"/>
    </row>
    <row r="384" spans="1:16" hidden="1" x14ac:dyDescent="0.25">
      <c r="A384" s="7" t="s">
        <v>37</v>
      </c>
      <c r="B384" s="7" t="s">
        <v>651</v>
      </c>
      <c r="C384" s="8">
        <v>26034</v>
      </c>
      <c r="D384" s="7" t="s">
        <v>52</v>
      </c>
      <c r="E384" s="7" t="s">
        <v>139</v>
      </c>
      <c r="F384" s="7" t="s">
        <v>652</v>
      </c>
      <c r="G384" s="7" t="s">
        <v>18</v>
      </c>
      <c r="H384" s="7" t="s">
        <v>48</v>
      </c>
      <c r="I384" s="7" t="s">
        <v>712</v>
      </c>
      <c r="J384" s="7" t="s">
        <v>712</v>
      </c>
      <c r="K384" s="8">
        <v>6227129</v>
      </c>
      <c r="L384" s="8">
        <v>338179</v>
      </c>
      <c r="M384" s="8">
        <v>19</v>
      </c>
      <c r="N384" s="8">
        <v>1</v>
      </c>
      <c r="O384" s="8">
        <v>5</v>
      </c>
      <c r="P384" s="8"/>
    </row>
    <row r="385" spans="1:16" hidden="1" x14ac:dyDescent="0.25">
      <c r="A385" s="7" t="s">
        <v>37</v>
      </c>
      <c r="B385" s="7" t="s">
        <v>254</v>
      </c>
      <c r="C385" s="8">
        <v>26035</v>
      </c>
      <c r="D385" s="7" t="s">
        <v>16</v>
      </c>
      <c r="E385" s="7" t="s">
        <v>268</v>
      </c>
      <c r="F385" s="7" t="s">
        <v>276</v>
      </c>
      <c r="G385" s="7" t="s">
        <v>18</v>
      </c>
      <c r="H385" s="7" t="s">
        <v>48</v>
      </c>
      <c r="I385" s="7" t="s">
        <v>712</v>
      </c>
      <c r="J385" s="7" t="s">
        <v>712</v>
      </c>
      <c r="K385" s="8">
        <v>6139060</v>
      </c>
      <c r="L385" s="8">
        <v>319223</v>
      </c>
      <c r="M385" s="8">
        <v>19</v>
      </c>
      <c r="N385" s="8">
        <v>1</v>
      </c>
      <c r="O385" s="8">
        <v>10.199999999999999</v>
      </c>
      <c r="P385" s="8"/>
    </row>
    <row r="386" spans="1:16" hidden="1" x14ac:dyDescent="0.25">
      <c r="A386" s="7" t="s">
        <v>19</v>
      </c>
      <c r="B386" s="7" t="s">
        <v>651</v>
      </c>
      <c r="C386" s="8">
        <v>26038</v>
      </c>
      <c r="D386" s="7" t="s">
        <v>52</v>
      </c>
      <c r="E386" s="7" t="s">
        <v>139</v>
      </c>
      <c r="F386" s="7" t="s">
        <v>652</v>
      </c>
      <c r="G386" s="7" t="s">
        <v>18</v>
      </c>
      <c r="H386" s="7" t="s">
        <v>48</v>
      </c>
      <c r="I386" s="7" t="s">
        <v>712</v>
      </c>
      <c r="J386" s="7" t="s">
        <v>691</v>
      </c>
      <c r="K386" s="8">
        <v>6226628</v>
      </c>
      <c r="L386" s="8">
        <v>338569</v>
      </c>
      <c r="M386" s="8">
        <v>19</v>
      </c>
      <c r="N386" s="8">
        <v>1</v>
      </c>
      <c r="O386" s="8">
        <v>14.5</v>
      </c>
      <c r="P386" s="8"/>
    </row>
    <row r="387" spans="1:16" hidden="1" x14ac:dyDescent="0.25">
      <c r="A387" s="7" t="s">
        <v>19</v>
      </c>
      <c r="B387" s="7" t="s">
        <v>270</v>
      </c>
      <c r="C387" s="8">
        <v>26039</v>
      </c>
      <c r="D387" s="7" t="s">
        <v>52</v>
      </c>
      <c r="E387" s="7" t="s">
        <v>139</v>
      </c>
      <c r="F387" s="7" t="s">
        <v>270</v>
      </c>
      <c r="G387" s="7" t="s">
        <v>18</v>
      </c>
      <c r="H387" s="7" t="s">
        <v>48</v>
      </c>
      <c r="I387" s="7" t="s">
        <v>712</v>
      </c>
      <c r="J387" s="7" t="s">
        <v>712</v>
      </c>
      <c r="K387" s="8">
        <v>6225390</v>
      </c>
      <c r="L387" s="8">
        <v>338558</v>
      </c>
      <c r="M387" s="8">
        <v>19</v>
      </c>
      <c r="N387" s="8">
        <v>4</v>
      </c>
      <c r="O387" s="8">
        <v>50.3</v>
      </c>
      <c r="P387" s="8"/>
    </row>
    <row r="388" spans="1:16" hidden="1" x14ac:dyDescent="0.25">
      <c r="A388" s="7" t="s">
        <v>19</v>
      </c>
      <c r="B388" s="7" t="s">
        <v>270</v>
      </c>
      <c r="C388" s="8">
        <v>26041</v>
      </c>
      <c r="D388" s="7" t="s">
        <v>16</v>
      </c>
      <c r="E388" s="7" t="s">
        <v>595</v>
      </c>
      <c r="F388" s="7" t="s">
        <v>453</v>
      </c>
      <c r="G388" s="7" t="s">
        <v>18</v>
      </c>
      <c r="H388" s="7" t="s">
        <v>48</v>
      </c>
      <c r="I388" s="7" t="s">
        <v>712</v>
      </c>
      <c r="J388" s="7" t="s">
        <v>712</v>
      </c>
      <c r="K388" s="8">
        <v>6120118</v>
      </c>
      <c r="L388" s="8">
        <v>250710</v>
      </c>
      <c r="M388" s="8">
        <v>19</v>
      </c>
      <c r="N388" s="8">
        <v>1</v>
      </c>
      <c r="O388" s="8">
        <v>29</v>
      </c>
      <c r="P388" s="8"/>
    </row>
    <row r="389" spans="1:16" hidden="1" x14ac:dyDescent="0.25">
      <c r="A389" s="7" t="s">
        <v>19</v>
      </c>
      <c r="B389" s="7" t="s">
        <v>270</v>
      </c>
      <c r="C389" s="8">
        <v>26042</v>
      </c>
      <c r="D389" s="7" t="s">
        <v>16</v>
      </c>
      <c r="E389" s="7" t="s">
        <v>125</v>
      </c>
      <c r="F389" s="7" t="s">
        <v>596</v>
      </c>
      <c r="G389" s="7" t="s">
        <v>18</v>
      </c>
      <c r="H389" s="7" t="s">
        <v>48</v>
      </c>
      <c r="I389" s="7" t="s">
        <v>712</v>
      </c>
      <c r="J389" s="7" t="s">
        <v>712</v>
      </c>
      <c r="K389" s="8">
        <v>6128281</v>
      </c>
      <c r="L389" s="8">
        <v>289082</v>
      </c>
      <c r="M389" s="8">
        <v>19</v>
      </c>
      <c r="N389" s="8">
        <v>2</v>
      </c>
      <c r="O389" s="8">
        <v>29</v>
      </c>
      <c r="P389" s="8"/>
    </row>
    <row r="390" spans="1:16" hidden="1" x14ac:dyDescent="0.25">
      <c r="A390" s="7" t="s">
        <v>37</v>
      </c>
      <c r="B390" s="7" t="s">
        <v>124</v>
      </c>
      <c r="C390" s="8">
        <v>26046</v>
      </c>
      <c r="D390" s="7" t="s">
        <v>16</v>
      </c>
      <c r="E390" s="7" t="s">
        <v>50</v>
      </c>
      <c r="F390" s="7" t="s">
        <v>50</v>
      </c>
      <c r="G390" s="7" t="s">
        <v>18</v>
      </c>
      <c r="H390" s="7" t="s">
        <v>24</v>
      </c>
      <c r="I390" s="7" t="s">
        <v>712</v>
      </c>
      <c r="J390" s="7" t="s">
        <v>712</v>
      </c>
      <c r="K390" s="8">
        <v>6074272</v>
      </c>
      <c r="L390" s="8">
        <v>262132</v>
      </c>
      <c r="M390" s="8">
        <v>19</v>
      </c>
      <c r="N390" s="8">
        <v>1</v>
      </c>
      <c r="O390" s="8">
        <v>1.2</v>
      </c>
      <c r="P390" s="8"/>
    </row>
    <row r="391" spans="1:16" hidden="1" x14ac:dyDescent="0.25">
      <c r="A391" s="7" t="s">
        <v>37</v>
      </c>
      <c r="B391" s="7" t="s">
        <v>254</v>
      </c>
      <c r="C391" s="8">
        <v>26047</v>
      </c>
      <c r="D391" s="7" t="s">
        <v>16</v>
      </c>
      <c r="E391" s="7" t="s">
        <v>268</v>
      </c>
      <c r="F391" s="7" t="s">
        <v>268</v>
      </c>
      <c r="G391" s="7" t="s">
        <v>18</v>
      </c>
      <c r="H391" s="7" t="s">
        <v>48</v>
      </c>
      <c r="I391" s="7" t="s">
        <v>712</v>
      </c>
      <c r="J391" s="7" t="s">
        <v>712</v>
      </c>
      <c r="K391" s="8">
        <v>6138964</v>
      </c>
      <c r="L391" s="8">
        <v>319021</v>
      </c>
      <c r="M391" s="8">
        <v>19</v>
      </c>
      <c r="N391" s="8">
        <v>1</v>
      </c>
      <c r="O391" s="8">
        <v>10.199999999999999</v>
      </c>
      <c r="P391" s="8"/>
    </row>
    <row r="392" spans="1:16" hidden="1" x14ac:dyDescent="0.25">
      <c r="A392" s="7" t="s">
        <v>19</v>
      </c>
      <c r="B392" s="7" t="s">
        <v>415</v>
      </c>
      <c r="C392" s="8">
        <v>26051</v>
      </c>
      <c r="D392" s="7" t="s">
        <v>28</v>
      </c>
      <c r="E392" s="7" t="s">
        <v>344</v>
      </c>
      <c r="F392" s="7" t="s">
        <v>457</v>
      </c>
      <c r="G392" s="7" t="s">
        <v>18</v>
      </c>
      <c r="H392" s="7" t="s">
        <v>48</v>
      </c>
      <c r="I392" s="7" t="s">
        <v>712</v>
      </c>
      <c r="J392" s="7" t="s">
        <v>691</v>
      </c>
      <c r="K392" s="8">
        <v>6276128</v>
      </c>
      <c r="L392" s="8">
        <v>289002</v>
      </c>
      <c r="M392" s="8">
        <v>19</v>
      </c>
      <c r="N392" s="8">
        <v>1</v>
      </c>
      <c r="O392" s="8">
        <v>0.4</v>
      </c>
      <c r="P392" s="8"/>
    </row>
    <row r="393" spans="1:16" hidden="1" x14ac:dyDescent="0.25">
      <c r="A393" s="7" t="s">
        <v>19</v>
      </c>
      <c r="B393" s="7" t="s">
        <v>415</v>
      </c>
      <c r="C393" s="8">
        <v>26055</v>
      </c>
      <c r="D393" s="7" t="s">
        <v>28</v>
      </c>
      <c r="E393" s="7" t="s">
        <v>32</v>
      </c>
      <c r="F393" s="7" t="s">
        <v>33</v>
      </c>
      <c r="G393" s="7" t="s">
        <v>18</v>
      </c>
      <c r="H393" s="7" t="s">
        <v>48</v>
      </c>
      <c r="I393" s="7" t="s">
        <v>712</v>
      </c>
      <c r="J393" s="7" t="s">
        <v>691</v>
      </c>
      <c r="K393" s="8">
        <v>6275613</v>
      </c>
      <c r="L393" s="8">
        <v>340362</v>
      </c>
      <c r="M393" s="8">
        <v>19</v>
      </c>
      <c r="N393" s="8">
        <v>1</v>
      </c>
      <c r="O393" s="8">
        <v>0.4</v>
      </c>
      <c r="P393" s="8"/>
    </row>
    <row r="394" spans="1:16" hidden="1" x14ac:dyDescent="0.25">
      <c r="A394" s="7" t="s">
        <v>37</v>
      </c>
      <c r="B394" s="7" t="s">
        <v>415</v>
      </c>
      <c r="C394" s="8">
        <v>26056</v>
      </c>
      <c r="D394" s="7" t="s">
        <v>28</v>
      </c>
      <c r="E394" s="7" t="s">
        <v>146</v>
      </c>
      <c r="F394" s="7" t="s">
        <v>458</v>
      </c>
      <c r="G394" s="7" t="s">
        <v>18</v>
      </c>
      <c r="H394" s="7" t="s">
        <v>24</v>
      </c>
      <c r="I394" s="7" t="s">
        <v>712</v>
      </c>
      <c r="J394" s="7" t="s">
        <v>712</v>
      </c>
      <c r="K394" s="8">
        <v>6271570</v>
      </c>
      <c r="L394" s="8">
        <v>326162</v>
      </c>
      <c r="M394" s="8">
        <v>19</v>
      </c>
      <c r="N394" s="8">
        <v>1</v>
      </c>
      <c r="O394" s="8">
        <v>0.98</v>
      </c>
      <c r="P394" s="8"/>
    </row>
    <row r="395" spans="1:16" hidden="1" x14ac:dyDescent="0.25">
      <c r="A395" s="7" t="s">
        <v>19</v>
      </c>
      <c r="B395" s="7" t="s">
        <v>415</v>
      </c>
      <c r="C395" s="8">
        <v>26057</v>
      </c>
      <c r="D395" s="7" t="s">
        <v>28</v>
      </c>
      <c r="E395" s="7" t="s">
        <v>344</v>
      </c>
      <c r="F395" s="7" t="s">
        <v>457</v>
      </c>
      <c r="G395" s="7" t="s">
        <v>18</v>
      </c>
      <c r="H395" s="7" t="s">
        <v>48</v>
      </c>
      <c r="I395" s="7" t="s">
        <v>712</v>
      </c>
      <c r="J395" s="7" t="s">
        <v>691</v>
      </c>
      <c r="K395" s="8">
        <v>6276128</v>
      </c>
      <c r="L395" s="8">
        <v>289002</v>
      </c>
      <c r="M395" s="8">
        <v>19</v>
      </c>
      <c r="N395" s="8">
        <v>1</v>
      </c>
      <c r="O395" s="8">
        <v>0.4</v>
      </c>
      <c r="P395" s="8"/>
    </row>
    <row r="396" spans="1:16" hidden="1" x14ac:dyDescent="0.25">
      <c r="A396" s="7" t="s">
        <v>37</v>
      </c>
      <c r="B396" s="7" t="s">
        <v>415</v>
      </c>
      <c r="C396" s="8">
        <v>26058</v>
      </c>
      <c r="D396" s="7" t="s">
        <v>28</v>
      </c>
      <c r="E396" s="7" t="s">
        <v>452</v>
      </c>
      <c r="F396" s="7" t="s">
        <v>435</v>
      </c>
      <c r="G396" s="7" t="s">
        <v>18</v>
      </c>
      <c r="H396" s="7" t="s">
        <v>24</v>
      </c>
      <c r="I396" s="7" t="s">
        <v>712</v>
      </c>
      <c r="J396" s="7" t="s">
        <v>712</v>
      </c>
      <c r="K396" s="8">
        <v>6303492</v>
      </c>
      <c r="L396" s="8">
        <v>324338</v>
      </c>
      <c r="M396" s="8">
        <v>19</v>
      </c>
      <c r="N396" s="8">
        <v>1</v>
      </c>
      <c r="O396" s="8">
        <v>0.98</v>
      </c>
      <c r="P396" s="8"/>
    </row>
    <row r="397" spans="1:16" hidden="1" x14ac:dyDescent="0.25">
      <c r="A397" s="7" t="s">
        <v>37</v>
      </c>
      <c r="B397" s="7" t="s">
        <v>415</v>
      </c>
      <c r="C397" s="8">
        <v>26059</v>
      </c>
      <c r="D397" s="7" t="s">
        <v>28</v>
      </c>
      <c r="E397" s="7" t="s">
        <v>56</v>
      </c>
      <c r="F397" s="7" t="s">
        <v>162</v>
      </c>
      <c r="G397" s="7" t="s">
        <v>18</v>
      </c>
      <c r="H397" s="7" t="s">
        <v>24</v>
      </c>
      <c r="I397" s="7" t="s">
        <v>712</v>
      </c>
      <c r="J397" s="7" t="s">
        <v>712</v>
      </c>
      <c r="K397" s="8">
        <v>6261028</v>
      </c>
      <c r="L397" s="8">
        <v>336788</v>
      </c>
      <c r="M397" s="8">
        <v>19</v>
      </c>
      <c r="N397" s="8">
        <v>1</v>
      </c>
      <c r="O397" s="8">
        <v>0.5</v>
      </c>
      <c r="P397" s="8"/>
    </row>
    <row r="398" spans="1:16" hidden="1" x14ac:dyDescent="0.25">
      <c r="A398" s="7" t="s">
        <v>19</v>
      </c>
      <c r="B398" s="7" t="s">
        <v>415</v>
      </c>
      <c r="C398" s="8">
        <v>26060</v>
      </c>
      <c r="D398" s="7" t="s">
        <v>28</v>
      </c>
      <c r="E398" s="7" t="s">
        <v>56</v>
      </c>
      <c r="F398" s="7" t="s">
        <v>57</v>
      </c>
      <c r="G398" s="7" t="s">
        <v>18</v>
      </c>
      <c r="H398" s="7" t="s">
        <v>48</v>
      </c>
      <c r="I398" s="7" t="s">
        <v>712</v>
      </c>
      <c r="J398" s="7" t="s">
        <v>712</v>
      </c>
      <c r="K398" s="8">
        <v>6305555</v>
      </c>
      <c r="L398" s="8">
        <v>331790</v>
      </c>
      <c r="M398" s="8">
        <v>19</v>
      </c>
      <c r="N398" s="8">
        <v>1</v>
      </c>
      <c r="O398" s="8">
        <v>0.4</v>
      </c>
      <c r="P398" s="8"/>
    </row>
    <row r="399" spans="1:16" hidden="1" x14ac:dyDescent="0.25">
      <c r="A399" s="7" t="s">
        <v>37</v>
      </c>
      <c r="B399" s="7" t="s">
        <v>415</v>
      </c>
      <c r="C399" s="8">
        <v>26061</v>
      </c>
      <c r="D399" s="7" t="s">
        <v>28</v>
      </c>
      <c r="E399" s="7" t="s">
        <v>452</v>
      </c>
      <c r="F399" s="7" t="s">
        <v>459</v>
      </c>
      <c r="G399" s="7" t="s">
        <v>18</v>
      </c>
      <c r="H399" s="7" t="s">
        <v>24</v>
      </c>
      <c r="I399" s="7" t="s">
        <v>712</v>
      </c>
      <c r="J399" s="7" t="s">
        <v>712</v>
      </c>
      <c r="K399" s="8">
        <v>6303491</v>
      </c>
      <c r="L399" s="8">
        <v>324605</v>
      </c>
      <c r="M399" s="8">
        <v>19</v>
      </c>
      <c r="N399" s="8">
        <v>1</v>
      </c>
      <c r="O399" s="8">
        <v>1</v>
      </c>
      <c r="P399" s="8"/>
    </row>
    <row r="400" spans="1:16" hidden="1" x14ac:dyDescent="0.25">
      <c r="A400" s="7" t="s">
        <v>19</v>
      </c>
      <c r="B400" s="7" t="s">
        <v>415</v>
      </c>
      <c r="C400" s="8">
        <v>26062</v>
      </c>
      <c r="D400" s="7" t="s">
        <v>28</v>
      </c>
      <c r="E400" s="7" t="s">
        <v>344</v>
      </c>
      <c r="F400" s="7" t="s">
        <v>457</v>
      </c>
      <c r="G400" s="7" t="s">
        <v>18</v>
      </c>
      <c r="H400" s="7" t="s">
        <v>48</v>
      </c>
      <c r="I400" s="7" t="s">
        <v>712</v>
      </c>
      <c r="J400" s="7" t="s">
        <v>691</v>
      </c>
      <c r="K400" s="8">
        <v>6276128</v>
      </c>
      <c r="L400" s="8">
        <v>289002</v>
      </c>
      <c r="M400" s="8">
        <v>19</v>
      </c>
      <c r="N400" s="8">
        <v>1</v>
      </c>
      <c r="O400" s="8">
        <v>0.4</v>
      </c>
      <c r="P400" s="8"/>
    </row>
    <row r="401" spans="1:16" hidden="1" x14ac:dyDescent="0.25">
      <c r="A401" s="7" t="s">
        <v>19</v>
      </c>
      <c r="B401" s="7" t="s">
        <v>415</v>
      </c>
      <c r="C401" s="8">
        <v>26063</v>
      </c>
      <c r="D401" s="7" t="s">
        <v>28</v>
      </c>
      <c r="E401" s="7" t="s">
        <v>142</v>
      </c>
      <c r="F401" s="7" t="s">
        <v>142</v>
      </c>
      <c r="G401" s="7" t="s">
        <v>18</v>
      </c>
      <c r="H401" s="7" t="s">
        <v>48</v>
      </c>
      <c r="I401" s="7" t="s">
        <v>712</v>
      </c>
      <c r="J401" s="7" t="s">
        <v>712</v>
      </c>
      <c r="K401" s="8">
        <v>6277710</v>
      </c>
      <c r="L401" s="8">
        <v>333592</v>
      </c>
      <c r="M401" s="8">
        <v>19</v>
      </c>
      <c r="N401" s="8">
        <v>1</v>
      </c>
      <c r="O401" s="8">
        <v>0.4</v>
      </c>
      <c r="P401" s="8"/>
    </row>
    <row r="402" spans="1:16" hidden="1" x14ac:dyDescent="0.25">
      <c r="A402" s="7" t="s">
        <v>37</v>
      </c>
      <c r="B402" s="7" t="s">
        <v>415</v>
      </c>
      <c r="C402" s="8">
        <v>26066</v>
      </c>
      <c r="D402" s="7" t="s">
        <v>28</v>
      </c>
      <c r="E402" s="7" t="s">
        <v>56</v>
      </c>
      <c r="F402" s="7" t="s">
        <v>162</v>
      </c>
      <c r="G402" s="7" t="s">
        <v>18</v>
      </c>
      <c r="H402" s="7" t="s">
        <v>24</v>
      </c>
      <c r="I402" s="7" t="s">
        <v>712</v>
      </c>
      <c r="J402" s="7" t="s">
        <v>712</v>
      </c>
      <c r="K402" s="8">
        <v>6258113</v>
      </c>
      <c r="L402" s="8">
        <v>334307</v>
      </c>
      <c r="M402" s="8">
        <v>19</v>
      </c>
      <c r="N402" s="8">
        <v>1</v>
      </c>
      <c r="O402" s="8">
        <v>0.28999999999999998</v>
      </c>
      <c r="P402" s="8"/>
    </row>
    <row r="403" spans="1:16" hidden="1" x14ac:dyDescent="0.25">
      <c r="A403" s="7" t="s">
        <v>37</v>
      </c>
      <c r="B403" s="7" t="s">
        <v>415</v>
      </c>
      <c r="C403" s="8">
        <v>26068</v>
      </c>
      <c r="D403" s="7" t="s">
        <v>28</v>
      </c>
      <c r="E403" s="7" t="s">
        <v>32</v>
      </c>
      <c r="F403" s="7" t="s">
        <v>147</v>
      </c>
      <c r="G403" s="7" t="s">
        <v>18</v>
      </c>
      <c r="H403" s="7" t="s">
        <v>24</v>
      </c>
      <c r="I403" s="7" t="s">
        <v>712</v>
      </c>
      <c r="J403" s="7" t="s">
        <v>712</v>
      </c>
      <c r="K403" s="8">
        <v>6273839</v>
      </c>
      <c r="L403" s="8">
        <v>338045</v>
      </c>
      <c r="M403" s="8">
        <v>19</v>
      </c>
      <c r="N403" s="8">
        <v>1</v>
      </c>
      <c r="O403" s="8">
        <v>0.19</v>
      </c>
      <c r="P403" s="8"/>
    </row>
    <row r="404" spans="1:16" hidden="1" x14ac:dyDescent="0.25">
      <c r="A404" s="7" t="s">
        <v>37</v>
      </c>
      <c r="B404" s="7" t="s">
        <v>415</v>
      </c>
      <c r="C404" s="8">
        <v>26069</v>
      </c>
      <c r="D404" s="7" t="s">
        <v>28</v>
      </c>
      <c r="E404" s="7" t="s">
        <v>142</v>
      </c>
      <c r="F404" s="7" t="s">
        <v>460</v>
      </c>
      <c r="G404" s="7" t="s">
        <v>18</v>
      </c>
      <c r="H404" s="7" t="s">
        <v>109</v>
      </c>
      <c r="I404" s="7" t="s">
        <v>712</v>
      </c>
      <c r="J404" s="7" t="s">
        <v>691</v>
      </c>
      <c r="K404" s="8">
        <v>6277371</v>
      </c>
      <c r="L404" s="8">
        <v>338753</v>
      </c>
      <c r="M404" s="8">
        <v>19</v>
      </c>
      <c r="N404" s="8">
        <v>1</v>
      </c>
      <c r="O404" s="8">
        <v>0.16</v>
      </c>
      <c r="P404" s="8"/>
    </row>
    <row r="405" spans="1:16" hidden="1" x14ac:dyDescent="0.25">
      <c r="A405" s="7" t="s">
        <v>19</v>
      </c>
      <c r="B405" s="7" t="s">
        <v>415</v>
      </c>
      <c r="C405" s="8">
        <v>26070</v>
      </c>
      <c r="D405" s="7" t="s">
        <v>28</v>
      </c>
      <c r="E405" s="7" t="s">
        <v>393</v>
      </c>
      <c r="F405" s="7" t="s">
        <v>393</v>
      </c>
      <c r="G405" s="7" t="s">
        <v>18</v>
      </c>
      <c r="H405" s="7" t="s">
        <v>48</v>
      </c>
      <c r="I405" s="7" t="s">
        <v>712</v>
      </c>
      <c r="J405" s="7" t="s">
        <v>712</v>
      </c>
      <c r="K405" s="8">
        <v>6269218</v>
      </c>
      <c r="L405" s="8">
        <v>306942</v>
      </c>
      <c r="M405" s="8">
        <v>19</v>
      </c>
      <c r="N405" s="8">
        <v>1</v>
      </c>
      <c r="O405" s="8">
        <v>2.52</v>
      </c>
      <c r="P405" s="8"/>
    </row>
    <row r="406" spans="1:16" hidden="1" x14ac:dyDescent="0.25">
      <c r="A406" s="7" t="s">
        <v>37</v>
      </c>
      <c r="B406" s="7" t="s">
        <v>415</v>
      </c>
      <c r="C406" s="8">
        <v>26071</v>
      </c>
      <c r="D406" s="7" t="s">
        <v>28</v>
      </c>
      <c r="E406" s="7" t="s">
        <v>387</v>
      </c>
      <c r="F406" s="7" t="s">
        <v>435</v>
      </c>
      <c r="G406" s="7" t="s">
        <v>18</v>
      </c>
      <c r="H406" s="7" t="s">
        <v>24</v>
      </c>
      <c r="I406" s="7" t="s">
        <v>712</v>
      </c>
      <c r="J406" s="7" t="s">
        <v>712</v>
      </c>
      <c r="K406" s="8">
        <v>6302239</v>
      </c>
      <c r="L406" s="8">
        <v>326269</v>
      </c>
      <c r="M406" s="8">
        <v>19</v>
      </c>
      <c r="N406" s="8">
        <v>1</v>
      </c>
      <c r="O406" s="8">
        <v>0.1</v>
      </c>
      <c r="P406" s="8"/>
    </row>
    <row r="407" spans="1:16" hidden="1" x14ac:dyDescent="0.25">
      <c r="A407" s="7" t="s">
        <v>37</v>
      </c>
      <c r="B407" s="7" t="s">
        <v>415</v>
      </c>
      <c r="C407" s="8">
        <v>26072</v>
      </c>
      <c r="D407" s="7" t="s">
        <v>28</v>
      </c>
      <c r="E407" s="7" t="s">
        <v>387</v>
      </c>
      <c r="F407" s="7" t="s">
        <v>435</v>
      </c>
      <c r="G407" s="7" t="s">
        <v>18</v>
      </c>
      <c r="H407" s="7" t="s">
        <v>24</v>
      </c>
      <c r="I407" s="7" t="s">
        <v>712</v>
      </c>
      <c r="J407" s="7" t="s">
        <v>712</v>
      </c>
      <c r="K407" s="8">
        <v>6301897</v>
      </c>
      <c r="L407" s="8">
        <v>326297</v>
      </c>
      <c r="M407" s="8">
        <v>19</v>
      </c>
      <c r="N407" s="8">
        <v>1</v>
      </c>
      <c r="O407" s="8">
        <v>0.15</v>
      </c>
      <c r="P407" s="8"/>
    </row>
    <row r="408" spans="1:16" hidden="1" x14ac:dyDescent="0.25">
      <c r="A408" s="7" t="s">
        <v>37</v>
      </c>
      <c r="B408" s="7" t="s">
        <v>415</v>
      </c>
      <c r="C408" s="8">
        <v>26073</v>
      </c>
      <c r="D408" s="7" t="s">
        <v>28</v>
      </c>
      <c r="E408" s="7" t="s">
        <v>387</v>
      </c>
      <c r="F408" s="7" t="s">
        <v>435</v>
      </c>
      <c r="G408" s="7" t="s">
        <v>18</v>
      </c>
      <c r="H408" s="7" t="s">
        <v>24</v>
      </c>
      <c r="I408" s="7" t="s">
        <v>712</v>
      </c>
      <c r="J408" s="7" t="s">
        <v>712</v>
      </c>
      <c r="K408" s="8">
        <v>6301948</v>
      </c>
      <c r="L408" s="8">
        <v>326021</v>
      </c>
      <c r="M408" s="8">
        <v>19</v>
      </c>
      <c r="N408" s="8">
        <v>1</v>
      </c>
      <c r="O408" s="8">
        <v>0.2</v>
      </c>
      <c r="P408" s="8"/>
    </row>
    <row r="409" spans="1:16" hidden="1" x14ac:dyDescent="0.25">
      <c r="A409" s="7" t="s">
        <v>19</v>
      </c>
      <c r="B409" s="7" t="s">
        <v>415</v>
      </c>
      <c r="C409" s="8">
        <v>26074</v>
      </c>
      <c r="D409" s="7" t="s">
        <v>28</v>
      </c>
      <c r="E409" s="7" t="s">
        <v>29</v>
      </c>
      <c r="F409" s="7" t="s">
        <v>29</v>
      </c>
      <c r="G409" s="7" t="s">
        <v>18</v>
      </c>
      <c r="H409" s="7" t="s">
        <v>48</v>
      </c>
      <c r="I409" s="7" t="s">
        <v>712</v>
      </c>
      <c r="J409" s="7" t="s">
        <v>691</v>
      </c>
      <c r="K409" s="8">
        <v>6259176</v>
      </c>
      <c r="L409" s="8">
        <v>342808</v>
      </c>
      <c r="M409" s="8">
        <v>19</v>
      </c>
      <c r="N409" s="8">
        <v>1</v>
      </c>
      <c r="O409" s="8">
        <v>0.39</v>
      </c>
      <c r="P409" s="8"/>
    </row>
    <row r="410" spans="1:16" hidden="1" x14ac:dyDescent="0.25">
      <c r="A410" s="7" t="s">
        <v>37</v>
      </c>
      <c r="B410" s="7" t="s">
        <v>415</v>
      </c>
      <c r="C410" s="8">
        <v>26075</v>
      </c>
      <c r="D410" s="7" t="s">
        <v>28</v>
      </c>
      <c r="E410" s="7" t="s">
        <v>142</v>
      </c>
      <c r="F410" s="7" t="s">
        <v>460</v>
      </c>
      <c r="G410" s="7" t="s">
        <v>18</v>
      </c>
      <c r="H410" s="7" t="s">
        <v>109</v>
      </c>
      <c r="I410" s="7" t="s">
        <v>712</v>
      </c>
      <c r="J410" s="7" t="s">
        <v>691</v>
      </c>
      <c r="K410" s="8">
        <v>6277557</v>
      </c>
      <c r="L410" s="8">
        <v>338189</v>
      </c>
      <c r="M410" s="8">
        <v>19</v>
      </c>
      <c r="N410" s="8">
        <v>1</v>
      </c>
      <c r="O410" s="8">
        <v>0.2</v>
      </c>
      <c r="P410" s="8"/>
    </row>
    <row r="411" spans="1:16" hidden="1" x14ac:dyDescent="0.25">
      <c r="A411" s="7" t="s">
        <v>37</v>
      </c>
      <c r="B411" s="7" t="s">
        <v>415</v>
      </c>
      <c r="C411" s="8">
        <v>26076</v>
      </c>
      <c r="D411" s="7" t="s">
        <v>28</v>
      </c>
      <c r="E411" s="7" t="s">
        <v>142</v>
      </c>
      <c r="F411" s="7" t="s">
        <v>460</v>
      </c>
      <c r="G411" s="7" t="s">
        <v>18</v>
      </c>
      <c r="H411" s="7" t="s">
        <v>109</v>
      </c>
      <c r="I411" s="7" t="s">
        <v>712</v>
      </c>
      <c r="J411" s="7" t="s">
        <v>691</v>
      </c>
      <c r="K411" s="8">
        <v>6277465</v>
      </c>
      <c r="L411" s="8">
        <v>338444</v>
      </c>
      <c r="M411" s="8">
        <v>19</v>
      </c>
      <c r="N411" s="8">
        <v>1</v>
      </c>
      <c r="O411" s="8">
        <v>0.11</v>
      </c>
      <c r="P411" s="8"/>
    </row>
    <row r="412" spans="1:16" hidden="1" x14ac:dyDescent="0.25">
      <c r="A412" s="7" t="s">
        <v>37</v>
      </c>
      <c r="B412" s="7" t="s">
        <v>415</v>
      </c>
      <c r="C412" s="8">
        <v>26077</v>
      </c>
      <c r="D412" s="7" t="s">
        <v>28</v>
      </c>
      <c r="E412" s="7" t="s">
        <v>29</v>
      </c>
      <c r="F412" s="7" t="s">
        <v>461</v>
      </c>
      <c r="G412" s="7" t="s">
        <v>18</v>
      </c>
      <c r="H412" s="7" t="s">
        <v>24</v>
      </c>
      <c r="I412" s="7" t="s">
        <v>712</v>
      </c>
      <c r="J412" s="7" t="s">
        <v>712</v>
      </c>
      <c r="K412" s="8">
        <v>6255846</v>
      </c>
      <c r="L412" s="8">
        <v>345917</v>
      </c>
      <c r="M412" s="8">
        <v>19</v>
      </c>
      <c r="N412" s="8">
        <v>1</v>
      </c>
      <c r="O412" s="8">
        <v>1.6</v>
      </c>
      <c r="P412" s="8"/>
    </row>
    <row r="413" spans="1:16" hidden="1" x14ac:dyDescent="0.25">
      <c r="A413" s="7" t="s">
        <v>19</v>
      </c>
      <c r="B413" s="7" t="s">
        <v>415</v>
      </c>
      <c r="C413" s="8">
        <v>26078</v>
      </c>
      <c r="D413" s="7" t="s">
        <v>28</v>
      </c>
      <c r="E413" s="7" t="s">
        <v>56</v>
      </c>
      <c r="F413" s="7" t="s">
        <v>462</v>
      </c>
      <c r="G413" s="7" t="s">
        <v>18</v>
      </c>
      <c r="H413" s="7" t="s">
        <v>48</v>
      </c>
      <c r="I413" s="7" t="s">
        <v>712</v>
      </c>
      <c r="J413" s="7" t="s">
        <v>691</v>
      </c>
      <c r="K413" s="8">
        <v>6256437</v>
      </c>
      <c r="L413" s="8">
        <v>333538</v>
      </c>
      <c r="M413" s="8">
        <v>19</v>
      </c>
      <c r="N413" s="8">
        <v>1</v>
      </c>
      <c r="O413" s="8">
        <v>0.4</v>
      </c>
      <c r="P413" s="8"/>
    </row>
    <row r="414" spans="1:16" hidden="1" x14ac:dyDescent="0.25">
      <c r="A414" s="7" t="s">
        <v>19</v>
      </c>
      <c r="B414" s="7" t="s">
        <v>415</v>
      </c>
      <c r="C414" s="8">
        <v>26079</v>
      </c>
      <c r="D414" s="7" t="s">
        <v>28</v>
      </c>
      <c r="E414" s="7" t="s">
        <v>146</v>
      </c>
      <c r="F414" s="7" t="s">
        <v>458</v>
      </c>
      <c r="G414" s="7" t="s">
        <v>18</v>
      </c>
      <c r="H414" s="7" t="s">
        <v>48</v>
      </c>
      <c r="I414" s="7" t="s">
        <v>712</v>
      </c>
      <c r="J414" s="7" t="s">
        <v>712</v>
      </c>
      <c r="K414" s="8">
        <v>6276105</v>
      </c>
      <c r="L414" s="8">
        <v>326756</v>
      </c>
      <c r="M414" s="8">
        <v>19</v>
      </c>
      <c r="N414" s="8">
        <v>1</v>
      </c>
      <c r="O414" s="8">
        <v>0.43</v>
      </c>
      <c r="P414" s="8"/>
    </row>
    <row r="415" spans="1:16" hidden="1" x14ac:dyDescent="0.25">
      <c r="A415" s="7" t="s">
        <v>19</v>
      </c>
      <c r="B415" s="7" t="s">
        <v>415</v>
      </c>
      <c r="C415" s="8">
        <v>26080</v>
      </c>
      <c r="D415" s="7" t="s">
        <v>28</v>
      </c>
      <c r="E415" s="7" t="s">
        <v>32</v>
      </c>
      <c r="F415" s="7" t="s">
        <v>147</v>
      </c>
      <c r="G415" s="7" t="s">
        <v>18</v>
      </c>
      <c r="H415" s="7" t="s">
        <v>48</v>
      </c>
      <c r="I415" s="7" t="s">
        <v>712</v>
      </c>
      <c r="J415" s="7" t="s">
        <v>691</v>
      </c>
      <c r="K415" s="8">
        <v>6273914</v>
      </c>
      <c r="L415" s="8">
        <v>337586</v>
      </c>
      <c r="M415" s="8">
        <v>19</v>
      </c>
      <c r="N415" s="8">
        <v>1</v>
      </c>
      <c r="O415" s="8">
        <v>0.4</v>
      </c>
      <c r="P415" s="8"/>
    </row>
    <row r="416" spans="1:16" hidden="1" x14ac:dyDescent="0.25">
      <c r="A416" s="7" t="s">
        <v>37</v>
      </c>
      <c r="B416" s="7" t="s">
        <v>415</v>
      </c>
      <c r="C416" s="8">
        <v>26081</v>
      </c>
      <c r="D416" s="7" t="s">
        <v>28</v>
      </c>
      <c r="E416" s="7" t="s">
        <v>447</v>
      </c>
      <c r="F416" s="7" t="s">
        <v>390</v>
      </c>
      <c r="G416" s="7" t="s">
        <v>18</v>
      </c>
      <c r="H416" s="7" t="s">
        <v>24</v>
      </c>
      <c r="I416" s="7" t="s">
        <v>712</v>
      </c>
      <c r="J416" s="7" t="s">
        <v>712</v>
      </c>
      <c r="K416" s="8">
        <v>6301894</v>
      </c>
      <c r="L416" s="8">
        <v>335772</v>
      </c>
      <c r="M416" s="8">
        <v>19</v>
      </c>
      <c r="N416" s="8">
        <v>1</v>
      </c>
      <c r="O416" s="8">
        <v>0.3</v>
      </c>
      <c r="P416" s="8"/>
    </row>
    <row r="417" spans="1:16" hidden="1" x14ac:dyDescent="0.25">
      <c r="A417" s="7" t="s">
        <v>37</v>
      </c>
      <c r="B417" s="7" t="s">
        <v>415</v>
      </c>
      <c r="C417" s="8">
        <v>26082</v>
      </c>
      <c r="D417" s="7" t="s">
        <v>28</v>
      </c>
      <c r="E417" s="7" t="s">
        <v>387</v>
      </c>
      <c r="F417" s="7" t="s">
        <v>435</v>
      </c>
      <c r="G417" s="7" t="s">
        <v>18</v>
      </c>
      <c r="H417" s="7" t="s">
        <v>24</v>
      </c>
      <c r="I417" s="7" t="s">
        <v>712</v>
      </c>
      <c r="J417" s="7" t="s">
        <v>712</v>
      </c>
      <c r="K417" s="8">
        <v>6302491</v>
      </c>
      <c r="L417" s="8">
        <v>326371</v>
      </c>
      <c r="M417" s="8">
        <v>19</v>
      </c>
      <c r="N417" s="8">
        <v>1</v>
      </c>
      <c r="O417" s="8">
        <v>0.13</v>
      </c>
      <c r="P417" s="8"/>
    </row>
    <row r="418" spans="1:16" hidden="1" x14ac:dyDescent="0.25">
      <c r="A418" s="7" t="s">
        <v>14</v>
      </c>
      <c r="B418" s="7" t="s">
        <v>415</v>
      </c>
      <c r="C418" s="8">
        <v>26084</v>
      </c>
      <c r="D418" s="7" t="s">
        <v>322</v>
      </c>
      <c r="E418" s="7" t="s">
        <v>323</v>
      </c>
      <c r="F418" s="7" t="s">
        <v>422</v>
      </c>
      <c r="G418" s="7" t="s">
        <v>18</v>
      </c>
      <c r="H418" s="7" t="s">
        <v>689</v>
      </c>
      <c r="I418" s="7" t="s">
        <v>712</v>
      </c>
      <c r="J418" s="7" t="s">
        <v>712</v>
      </c>
      <c r="K418" s="8">
        <v>7948935</v>
      </c>
      <c r="L418" s="8">
        <v>381066</v>
      </c>
      <c r="M418" s="8">
        <v>19</v>
      </c>
      <c r="N418" s="8">
        <v>1</v>
      </c>
      <c r="O418" s="8">
        <v>1.26</v>
      </c>
      <c r="P418" s="8"/>
    </row>
    <row r="419" spans="1:16" hidden="1" x14ac:dyDescent="0.25">
      <c r="A419" s="7" t="s">
        <v>14</v>
      </c>
      <c r="B419" s="7" t="s">
        <v>415</v>
      </c>
      <c r="C419" s="8">
        <v>26085</v>
      </c>
      <c r="D419" s="7" t="s">
        <v>322</v>
      </c>
      <c r="E419" s="7" t="s">
        <v>323</v>
      </c>
      <c r="F419" s="7" t="s">
        <v>422</v>
      </c>
      <c r="G419" s="7" t="s">
        <v>18</v>
      </c>
      <c r="H419" s="7" t="s">
        <v>689</v>
      </c>
      <c r="I419" s="7" t="s">
        <v>712</v>
      </c>
      <c r="J419" s="7" t="s">
        <v>712</v>
      </c>
      <c r="K419" s="8">
        <v>7950130</v>
      </c>
      <c r="L419" s="8">
        <v>378411</v>
      </c>
      <c r="M419" s="8">
        <v>19</v>
      </c>
      <c r="N419" s="8">
        <v>1</v>
      </c>
      <c r="O419" s="8">
        <v>0.1</v>
      </c>
      <c r="P419" s="8"/>
    </row>
    <row r="420" spans="1:16" hidden="1" x14ac:dyDescent="0.25">
      <c r="A420" s="7" t="s">
        <v>19</v>
      </c>
      <c r="B420" s="7" t="s">
        <v>415</v>
      </c>
      <c r="C420" s="8">
        <v>26086</v>
      </c>
      <c r="D420" s="7" t="s">
        <v>28</v>
      </c>
      <c r="E420" s="7" t="s">
        <v>32</v>
      </c>
      <c r="F420" s="7" t="s">
        <v>147</v>
      </c>
      <c r="G420" s="7" t="s">
        <v>18</v>
      </c>
      <c r="H420" s="7" t="s">
        <v>48</v>
      </c>
      <c r="I420" s="7" t="s">
        <v>712</v>
      </c>
      <c r="J420" s="7" t="s">
        <v>712</v>
      </c>
      <c r="K420" s="8">
        <v>6273194</v>
      </c>
      <c r="L420" s="8">
        <v>339729</v>
      </c>
      <c r="M420" s="8">
        <v>19</v>
      </c>
      <c r="N420" s="8">
        <v>1</v>
      </c>
      <c r="O420" s="8">
        <v>0.4</v>
      </c>
      <c r="P420" s="8"/>
    </row>
    <row r="421" spans="1:16" hidden="1" x14ac:dyDescent="0.25">
      <c r="A421" s="7" t="s">
        <v>19</v>
      </c>
      <c r="B421" s="7" t="s">
        <v>415</v>
      </c>
      <c r="C421" s="8">
        <v>26087</v>
      </c>
      <c r="D421" s="7" t="s">
        <v>28</v>
      </c>
      <c r="E421" s="7" t="s">
        <v>146</v>
      </c>
      <c r="F421" s="7" t="s">
        <v>146</v>
      </c>
      <c r="G421" s="7" t="s">
        <v>18</v>
      </c>
      <c r="H421" s="7" t="s">
        <v>48</v>
      </c>
      <c r="I421" s="7" t="s">
        <v>712</v>
      </c>
      <c r="J421" s="7" t="s">
        <v>712</v>
      </c>
      <c r="K421" s="8">
        <v>6276105</v>
      </c>
      <c r="L421" s="8">
        <v>326756</v>
      </c>
      <c r="M421" s="8">
        <v>19</v>
      </c>
      <c r="N421" s="8">
        <v>1</v>
      </c>
      <c r="O421" s="8">
        <v>0.4</v>
      </c>
      <c r="P421" s="8"/>
    </row>
    <row r="422" spans="1:16" hidden="1" x14ac:dyDescent="0.25">
      <c r="A422" s="7" t="s">
        <v>19</v>
      </c>
      <c r="B422" s="7" t="s">
        <v>415</v>
      </c>
      <c r="C422" s="8">
        <v>26088</v>
      </c>
      <c r="D422" s="7" t="s">
        <v>28</v>
      </c>
      <c r="E422" s="7" t="s">
        <v>146</v>
      </c>
      <c r="F422" s="7" t="s">
        <v>146</v>
      </c>
      <c r="G422" s="7" t="s">
        <v>18</v>
      </c>
      <c r="H422" s="7" t="s">
        <v>48</v>
      </c>
      <c r="I422" s="7" t="s">
        <v>712</v>
      </c>
      <c r="J422" s="7" t="s">
        <v>712</v>
      </c>
      <c r="K422" s="8">
        <v>6276105</v>
      </c>
      <c r="L422" s="8">
        <v>326756</v>
      </c>
      <c r="M422" s="8">
        <v>19</v>
      </c>
      <c r="N422" s="8">
        <v>1</v>
      </c>
      <c r="O422" s="8">
        <v>0.4</v>
      </c>
      <c r="P422" s="8"/>
    </row>
    <row r="423" spans="1:16" hidden="1" x14ac:dyDescent="0.25">
      <c r="A423" s="7" t="s">
        <v>37</v>
      </c>
      <c r="B423" s="7" t="s">
        <v>415</v>
      </c>
      <c r="C423" s="8">
        <v>26089</v>
      </c>
      <c r="D423" s="7" t="s">
        <v>28</v>
      </c>
      <c r="E423" s="7" t="s">
        <v>56</v>
      </c>
      <c r="F423" s="7" t="s">
        <v>162</v>
      </c>
      <c r="G423" s="7" t="s">
        <v>18</v>
      </c>
      <c r="H423" s="7" t="s">
        <v>24</v>
      </c>
      <c r="I423" s="7" t="s">
        <v>712</v>
      </c>
      <c r="J423" s="7" t="s">
        <v>712</v>
      </c>
      <c r="K423" s="8">
        <v>6257926</v>
      </c>
      <c r="L423" s="8">
        <v>333598</v>
      </c>
      <c r="M423" s="8">
        <v>19</v>
      </c>
      <c r="N423" s="8">
        <v>1</v>
      </c>
      <c r="O423" s="8">
        <v>0.39</v>
      </c>
      <c r="P423" s="8"/>
    </row>
    <row r="424" spans="1:16" hidden="1" x14ac:dyDescent="0.25">
      <c r="A424" s="7" t="s">
        <v>37</v>
      </c>
      <c r="B424" s="7" t="s">
        <v>415</v>
      </c>
      <c r="C424" s="8">
        <v>26090</v>
      </c>
      <c r="D424" s="7" t="s">
        <v>28</v>
      </c>
      <c r="E424" s="7" t="s">
        <v>29</v>
      </c>
      <c r="F424" s="7" t="s">
        <v>30</v>
      </c>
      <c r="G424" s="7" t="s">
        <v>18</v>
      </c>
      <c r="H424" s="7" t="s">
        <v>48</v>
      </c>
      <c r="I424" s="7" t="s">
        <v>712</v>
      </c>
      <c r="J424" s="7" t="s">
        <v>712</v>
      </c>
      <c r="K424" s="8">
        <v>6255045</v>
      </c>
      <c r="L424" s="8">
        <v>344752</v>
      </c>
      <c r="M424" s="8">
        <v>19</v>
      </c>
      <c r="N424" s="8">
        <v>1</v>
      </c>
      <c r="O424" s="8">
        <v>2.67</v>
      </c>
      <c r="P424" s="8"/>
    </row>
    <row r="425" spans="1:16" hidden="1" x14ac:dyDescent="0.25">
      <c r="A425" s="7" t="s">
        <v>19</v>
      </c>
      <c r="B425" s="7" t="s">
        <v>415</v>
      </c>
      <c r="C425" s="8">
        <v>26092</v>
      </c>
      <c r="D425" s="7" t="s">
        <v>28</v>
      </c>
      <c r="E425" s="7" t="s">
        <v>56</v>
      </c>
      <c r="F425" s="7" t="s">
        <v>350</v>
      </c>
      <c r="G425" s="7" t="s">
        <v>18</v>
      </c>
      <c r="H425" s="7" t="s">
        <v>48</v>
      </c>
      <c r="I425" s="7" t="s">
        <v>712</v>
      </c>
      <c r="J425" s="7" t="s">
        <v>712</v>
      </c>
      <c r="K425" s="8">
        <v>6261670</v>
      </c>
      <c r="L425" s="8">
        <v>340988</v>
      </c>
      <c r="M425" s="8">
        <v>19</v>
      </c>
      <c r="N425" s="8">
        <v>1</v>
      </c>
      <c r="O425" s="8">
        <v>0.4</v>
      </c>
      <c r="P425" s="8"/>
    </row>
    <row r="426" spans="1:16" hidden="1" x14ac:dyDescent="0.25">
      <c r="A426" s="7" t="s">
        <v>37</v>
      </c>
      <c r="B426" s="7" t="s">
        <v>181</v>
      </c>
      <c r="C426" s="8">
        <v>26093</v>
      </c>
      <c r="D426" s="7" t="s">
        <v>119</v>
      </c>
      <c r="E426" s="7" t="s">
        <v>197</v>
      </c>
      <c r="F426" s="7" t="s">
        <v>202</v>
      </c>
      <c r="G426" s="7" t="s">
        <v>43</v>
      </c>
      <c r="H426" s="7" t="s">
        <v>48</v>
      </c>
      <c r="I426" s="7" t="s">
        <v>91</v>
      </c>
      <c r="J426" s="7" t="s">
        <v>691</v>
      </c>
      <c r="K426" s="8">
        <v>5700811</v>
      </c>
      <c r="L426" s="8">
        <v>686386</v>
      </c>
      <c r="M426" s="8">
        <v>18</v>
      </c>
      <c r="N426" s="8">
        <v>1</v>
      </c>
      <c r="O426" s="8">
        <v>21</v>
      </c>
      <c r="P426" s="8"/>
    </row>
    <row r="427" spans="1:16" hidden="1" x14ac:dyDescent="0.25">
      <c r="A427" s="7" t="s">
        <v>37</v>
      </c>
      <c r="B427" s="7" t="s">
        <v>415</v>
      </c>
      <c r="C427" s="8">
        <v>26094</v>
      </c>
      <c r="D427" s="7" t="s">
        <v>28</v>
      </c>
      <c r="E427" s="7" t="s">
        <v>142</v>
      </c>
      <c r="F427" s="7" t="s">
        <v>463</v>
      </c>
      <c r="G427" s="7" t="s">
        <v>18</v>
      </c>
      <c r="H427" s="7" t="s">
        <v>109</v>
      </c>
      <c r="I427" s="7" t="s">
        <v>712</v>
      </c>
      <c r="J427" s="7" t="s">
        <v>691</v>
      </c>
      <c r="K427" s="8">
        <v>6275083</v>
      </c>
      <c r="L427" s="8">
        <v>336068</v>
      </c>
      <c r="M427" s="8">
        <v>19</v>
      </c>
      <c r="N427" s="8">
        <v>1</v>
      </c>
      <c r="O427" s="8">
        <v>0.09</v>
      </c>
      <c r="P427" s="8"/>
    </row>
    <row r="428" spans="1:16" hidden="1" x14ac:dyDescent="0.25">
      <c r="A428" s="7" t="s">
        <v>19</v>
      </c>
      <c r="B428" s="7" t="s">
        <v>415</v>
      </c>
      <c r="C428" s="8">
        <v>26095</v>
      </c>
      <c r="D428" s="7" t="s">
        <v>28</v>
      </c>
      <c r="E428" s="7" t="s">
        <v>32</v>
      </c>
      <c r="F428" s="7" t="s">
        <v>147</v>
      </c>
      <c r="G428" s="7" t="s">
        <v>18</v>
      </c>
      <c r="H428" s="7" t="s">
        <v>48</v>
      </c>
      <c r="I428" s="7" t="s">
        <v>712</v>
      </c>
      <c r="J428" s="7" t="s">
        <v>712</v>
      </c>
      <c r="K428" s="8">
        <v>6273194</v>
      </c>
      <c r="L428" s="8">
        <v>339729</v>
      </c>
      <c r="M428" s="8">
        <v>19</v>
      </c>
      <c r="N428" s="8">
        <v>1</v>
      </c>
      <c r="O428" s="8">
        <v>0.21</v>
      </c>
      <c r="P428" s="8"/>
    </row>
    <row r="429" spans="1:16" hidden="1" x14ac:dyDescent="0.25">
      <c r="A429" s="7" t="s">
        <v>19</v>
      </c>
      <c r="B429" s="7" t="s">
        <v>415</v>
      </c>
      <c r="C429" s="8">
        <v>26096</v>
      </c>
      <c r="D429" s="7" t="s">
        <v>28</v>
      </c>
      <c r="E429" s="7" t="s">
        <v>56</v>
      </c>
      <c r="F429" s="7" t="s">
        <v>350</v>
      </c>
      <c r="G429" s="7" t="s">
        <v>18</v>
      </c>
      <c r="H429" s="7" t="s">
        <v>48</v>
      </c>
      <c r="I429" s="7" t="s">
        <v>712</v>
      </c>
      <c r="J429" s="7" t="s">
        <v>712</v>
      </c>
      <c r="K429" s="8">
        <v>6261478</v>
      </c>
      <c r="L429" s="8">
        <v>340940</v>
      </c>
      <c r="M429" s="8">
        <v>19</v>
      </c>
      <c r="N429" s="8">
        <v>1</v>
      </c>
      <c r="O429" s="8">
        <v>0.4</v>
      </c>
      <c r="P429" s="8"/>
    </row>
    <row r="430" spans="1:16" hidden="1" x14ac:dyDescent="0.25">
      <c r="A430" s="7" t="s">
        <v>19</v>
      </c>
      <c r="B430" s="7" t="s">
        <v>415</v>
      </c>
      <c r="C430" s="8">
        <v>26098</v>
      </c>
      <c r="D430" s="7" t="s">
        <v>28</v>
      </c>
      <c r="E430" s="7" t="s">
        <v>142</v>
      </c>
      <c r="F430" s="7" t="s">
        <v>464</v>
      </c>
      <c r="G430" s="7" t="s">
        <v>18</v>
      </c>
      <c r="H430" s="7" t="s">
        <v>48</v>
      </c>
      <c r="I430" s="7" t="s">
        <v>712</v>
      </c>
      <c r="J430" s="7" t="s">
        <v>712</v>
      </c>
      <c r="K430" s="8">
        <v>6281822</v>
      </c>
      <c r="L430" s="8">
        <v>335853</v>
      </c>
      <c r="M430" s="8">
        <v>19</v>
      </c>
      <c r="N430" s="8">
        <v>1</v>
      </c>
      <c r="O430" s="8">
        <v>0.42</v>
      </c>
      <c r="P430" s="8"/>
    </row>
    <row r="431" spans="1:16" hidden="1" x14ac:dyDescent="0.25">
      <c r="A431" s="7" t="s">
        <v>37</v>
      </c>
      <c r="B431" s="7" t="s">
        <v>181</v>
      </c>
      <c r="C431" s="8">
        <v>26099</v>
      </c>
      <c r="D431" s="7" t="s">
        <v>119</v>
      </c>
      <c r="E431" s="7" t="s">
        <v>175</v>
      </c>
      <c r="F431" s="7" t="s">
        <v>203</v>
      </c>
      <c r="G431" s="7" t="s">
        <v>43</v>
      </c>
      <c r="H431" s="7" t="s">
        <v>48</v>
      </c>
      <c r="I431" s="7" t="s">
        <v>91</v>
      </c>
      <c r="J431" s="7" t="s">
        <v>691</v>
      </c>
      <c r="K431" s="8">
        <v>5717261</v>
      </c>
      <c r="L431" s="8">
        <v>750092</v>
      </c>
      <c r="M431" s="8">
        <v>18</v>
      </c>
      <c r="N431" s="8">
        <v>1</v>
      </c>
      <c r="O431" s="8">
        <v>43</v>
      </c>
      <c r="P431" s="8"/>
    </row>
    <row r="432" spans="1:16" hidden="1" x14ac:dyDescent="0.25">
      <c r="A432" s="7" t="s">
        <v>37</v>
      </c>
      <c r="B432" s="7" t="s">
        <v>415</v>
      </c>
      <c r="C432" s="8">
        <v>26101</v>
      </c>
      <c r="D432" s="7" t="s">
        <v>28</v>
      </c>
      <c r="E432" s="7" t="s">
        <v>146</v>
      </c>
      <c r="F432" s="7" t="s">
        <v>146</v>
      </c>
      <c r="G432" s="7" t="s">
        <v>18</v>
      </c>
      <c r="H432" s="7" t="s">
        <v>24</v>
      </c>
      <c r="I432" s="7" t="s">
        <v>712</v>
      </c>
      <c r="J432" s="7" t="s">
        <v>712</v>
      </c>
      <c r="K432" s="8">
        <v>6273054</v>
      </c>
      <c r="L432" s="8">
        <v>323607</v>
      </c>
      <c r="M432" s="8">
        <v>19</v>
      </c>
      <c r="N432" s="8">
        <v>1</v>
      </c>
      <c r="O432" s="8">
        <v>0.97</v>
      </c>
      <c r="P432" s="8"/>
    </row>
    <row r="433" spans="1:16" hidden="1" x14ac:dyDescent="0.25">
      <c r="A433" s="7" t="s">
        <v>37</v>
      </c>
      <c r="B433" s="7" t="s">
        <v>415</v>
      </c>
      <c r="C433" s="8">
        <v>26102</v>
      </c>
      <c r="D433" s="7" t="s">
        <v>28</v>
      </c>
      <c r="E433" s="7" t="s">
        <v>146</v>
      </c>
      <c r="F433" s="7" t="s">
        <v>146</v>
      </c>
      <c r="G433" s="7" t="s">
        <v>18</v>
      </c>
      <c r="H433" s="7" t="s">
        <v>24</v>
      </c>
      <c r="I433" s="7" t="s">
        <v>712</v>
      </c>
      <c r="J433" s="7" t="s">
        <v>712</v>
      </c>
      <c r="K433" s="8">
        <v>6272620</v>
      </c>
      <c r="L433" s="8">
        <v>323264</v>
      </c>
      <c r="M433" s="8">
        <v>19</v>
      </c>
      <c r="N433" s="8">
        <v>1</v>
      </c>
      <c r="O433" s="8">
        <v>1.1000000000000001</v>
      </c>
      <c r="P433" s="8"/>
    </row>
    <row r="434" spans="1:16" hidden="1" x14ac:dyDescent="0.25">
      <c r="A434" s="7" t="s">
        <v>37</v>
      </c>
      <c r="B434" s="7" t="s">
        <v>415</v>
      </c>
      <c r="C434" s="8">
        <v>26103</v>
      </c>
      <c r="D434" s="7" t="s">
        <v>28</v>
      </c>
      <c r="E434" s="7" t="s">
        <v>146</v>
      </c>
      <c r="F434" s="7" t="s">
        <v>465</v>
      </c>
      <c r="G434" s="7" t="s">
        <v>18</v>
      </c>
      <c r="H434" s="7" t="s">
        <v>24</v>
      </c>
      <c r="I434" s="7" t="s">
        <v>712</v>
      </c>
      <c r="J434" s="7" t="s">
        <v>712</v>
      </c>
      <c r="K434" s="8">
        <v>6271613</v>
      </c>
      <c r="L434" s="8">
        <v>322706</v>
      </c>
      <c r="M434" s="8">
        <v>19</v>
      </c>
      <c r="N434" s="8">
        <v>1</v>
      </c>
      <c r="O434" s="8">
        <v>2.4</v>
      </c>
      <c r="P434" s="8"/>
    </row>
    <row r="435" spans="1:16" hidden="1" x14ac:dyDescent="0.25">
      <c r="A435" s="7" t="s">
        <v>14</v>
      </c>
      <c r="B435" s="7" t="s">
        <v>415</v>
      </c>
      <c r="C435" s="8">
        <v>26104</v>
      </c>
      <c r="D435" s="7" t="s">
        <v>119</v>
      </c>
      <c r="E435" s="7" t="s">
        <v>196</v>
      </c>
      <c r="F435" s="7" t="s">
        <v>449</v>
      </c>
      <c r="G435" s="7" t="s">
        <v>43</v>
      </c>
      <c r="H435" s="7" t="s">
        <v>689</v>
      </c>
      <c r="I435" s="7" t="s">
        <v>712</v>
      </c>
      <c r="J435" s="7" t="s">
        <v>712</v>
      </c>
      <c r="K435" s="8">
        <v>5700652</v>
      </c>
      <c r="L435" s="8">
        <v>723232</v>
      </c>
      <c r="M435" s="8">
        <v>18</v>
      </c>
      <c r="N435" s="8">
        <v>1</v>
      </c>
      <c r="O435" s="8">
        <v>2</v>
      </c>
      <c r="P435" s="8"/>
    </row>
    <row r="436" spans="1:16" hidden="1" x14ac:dyDescent="0.25">
      <c r="A436" s="7" t="s">
        <v>37</v>
      </c>
      <c r="B436" s="7" t="s">
        <v>181</v>
      </c>
      <c r="C436" s="8">
        <v>26105</v>
      </c>
      <c r="D436" s="7" t="s">
        <v>34</v>
      </c>
      <c r="E436" s="7" t="s">
        <v>35</v>
      </c>
      <c r="F436" s="7" t="s">
        <v>99</v>
      </c>
      <c r="G436" s="7" t="s">
        <v>43</v>
      </c>
      <c r="H436" s="7" t="s">
        <v>48</v>
      </c>
      <c r="I436" s="7" t="s">
        <v>91</v>
      </c>
      <c r="J436" s="7" t="s">
        <v>91</v>
      </c>
      <c r="K436" s="8">
        <v>5857154</v>
      </c>
      <c r="L436" s="8">
        <v>739523</v>
      </c>
      <c r="M436" s="8">
        <v>18</v>
      </c>
      <c r="N436" s="8">
        <v>1</v>
      </c>
      <c r="O436" s="8">
        <v>27</v>
      </c>
      <c r="P436" s="8"/>
    </row>
    <row r="437" spans="1:16" hidden="1" x14ac:dyDescent="0.25">
      <c r="A437" s="7" t="s">
        <v>14</v>
      </c>
      <c r="B437" s="7" t="s">
        <v>415</v>
      </c>
      <c r="C437" s="8">
        <v>26106</v>
      </c>
      <c r="D437" s="7" t="s">
        <v>119</v>
      </c>
      <c r="E437" s="7" t="s">
        <v>175</v>
      </c>
      <c r="F437" s="7" t="s">
        <v>425</v>
      </c>
      <c r="G437" s="7" t="s">
        <v>43</v>
      </c>
      <c r="H437" s="7" t="s">
        <v>689</v>
      </c>
      <c r="I437" s="7" t="s">
        <v>712</v>
      </c>
      <c r="J437" s="7" t="s">
        <v>712</v>
      </c>
      <c r="K437" s="8">
        <v>5702378</v>
      </c>
      <c r="L437" s="8">
        <v>724928</v>
      </c>
      <c r="M437" s="8">
        <v>18</v>
      </c>
      <c r="N437" s="8">
        <v>1</v>
      </c>
      <c r="O437" s="8">
        <v>1.1000000000000001</v>
      </c>
      <c r="P437" s="8"/>
    </row>
    <row r="438" spans="1:16" hidden="1" x14ac:dyDescent="0.25">
      <c r="A438" s="7" t="s">
        <v>14</v>
      </c>
      <c r="B438" s="7" t="s">
        <v>41</v>
      </c>
      <c r="C438" s="8">
        <v>26117</v>
      </c>
      <c r="D438" s="7" t="s">
        <v>28</v>
      </c>
      <c r="E438" s="7" t="s">
        <v>29</v>
      </c>
      <c r="F438" s="7" t="s">
        <v>30</v>
      </c>
      <c r="G438" s="7" t="s">
        <v>43</v>
      </c>
      <c r="H438" s="7" t="s">
        <v>689</v>
      </c>
      <c r="I438" s="7" t="s">
        <v>712</v>
      </c>
      <c r="J438" s="7" t="s">
        <v>712</v>
      </c>
      <c r="K438" s="8">
        <v>6255332</v>
      </c>
      <c r="L438" s="8">
        <v>347124</v>
      </c>
      <c r="M438" s="8">
        <v>19</v>
      </c>
      <c r="N438" s="8">
        <v>1</v>
      </c>
      <c r="O438" s="8">
        <v>0.92</v>
      </c>
      <c r="P438" s="8"/>
    </row>
    <row r="439" spans="1:16" hidden="1" x14ac:dyDescent="0.25">
      <c r="A439" s="7" t="s">
        <v>14</v>
      </c>
      <c r="B439" s="7" t="s">
        <v>563</v>
      </c>
      <c r="C439" s="8">
        <v>26119</v>
      </c>
      <c r="D439" s="7" t="s">
        <v>119</v>
      </c>
      <c r="E439" s="7" t="s">
        <v>197</v>
      </c>
      <c r="F439" s="7" t="s">
        <v>565</v>
      </c>
      <c r="G439" s="7" t="s">
        <v>43</v>
      </c>
      <c r="H439" s="7" t="s">
        <v>689</v>
      </c>
      <c r="I439" s="7" t="s">
        <v>690</v>
      </c>
      <c r="J439" s="7" t="s">
        <v>690</v>
      </c>
      <c r="K439" s="8">
        <v>5691497</v>
      </c>
      <c r="L439" s="8">
        <v>708126</v>
      </c>
      <c r="M439" s="8">
        <v>18</v>
      </c>
      <c r="N439" s="8">
        <v>1</v>
      </c>
      <c r="O439" s="8">
        <v>0.65</v>
      </c>
      <c r="P439" s="8"/>
    </row>
    <row r="440" spans="1:16" hidden="1" x14ac:dyDescent="0.25">
      <c r="A440" s="7" t="s">
        <v>37</v>
      </c>
      <c r="B440" s="7" t="s">
        <v>343</v>
      </c>
      <c r="C440" s="8">
        <v>26122</v>
      </c>
      <c r="D440" s="7" t="s">
        <v>52</v>
      </c>
      <c r="E440" s="7" t="s">
        <v>151</v>
      </c>
      <c r="F440" s="7" t="s">
        <v>151</v>
      </c>
      <c r="G440" s="7" t="s">
        <v>18</v>
      </c>
      <c r="H440" s="7" t="s">
        <v>24</v>
      </c>
      <c r="I440" s="7" t="s">
        <v>712</v>
      </c>
      <c r="J440" s="7" t="s">
        <v>712</v>
      </c>
      <c r="K440" s="8">
        <v>6197993</v>
      </c>
      <c r="L440" s="8">
        <v>325063</v>
      </c>
      <c r="M440" s="8">
        <v>19</v>
      </c>
      <c r="N440" s="8">
        <v>1</v>
      </c>
      <c r="O440" s="8">
        <v>2</v>
      </c>
      <c r="P440" s="8"/>
    </row>
    <row r="441" spans="1:16" hidden="1" x14ac:dyDescent="0.25">
      <c r="A441" s="7" t="s">
        <v>37</v>
      </c>
      <c r="B441" s="7" t="s">
        <v>343</v>
      </c>
      <c r="C441" s="8">
        <v>26123</v>
      </c>
      <c r="D441" s="7" t="s">
        <v>52</v>
      </c>
      <c r="E441" s="7" t="s">
        <v>53</v>
      </c>
      <c r="F441" s="7" t="s">
        <v>360</v>
      </c>
      <c r="G441" s="7" t="s">
        <v>18</v>
      </c>
      <c r="H441" s="7" t="s">
        <v>48</v>
      </c>
      <c r="I441" s="7" t="s">
        <v>712</v>
      </c>
      <c r="J441" s="7" t="s">
        <v>691</v>
      </c>
      <c r="K441" s="8">
        <v>6154723</v>
      </c>
      <c r="L441" s="8">
        <v>317212</v>
      </c>
      <c r="M441" s="8">
        <v>19</v>
      </c>
      <c r="N441" s="8">
        <v>1</v>
      </c>
      <c r="O441" s="8">
        <v>10</v>
      </c>
      <c r="P441" s="8"/>
    </row>
    <row r="442" spans="1:16" hidden="1" x14ac:dyDescent="0.25">
      <c r="A442" s="7" t="s">
        <v>37</v>
      </c>
      <c r="B442" s="7" t="s">
        <v>343</v>
      </c>
      <c r="C442" s="8">
        <v>26124</v>
      </c>
      <c r="D442" s="7" t="s">
        <v>52</v>
      </c>
      <c r="E442" s="7" t="s">
        <v>132</v>
      </c>
      <c r="F442" s="7" t="s">
        <v>133</v>
      </c>
      <c r="G442" s="7" t="s">
        <v>18</v>
      </c>
      <c r="H442" s="7" t="s">
        <v>48</v>
      </c>
      <c r="I442" s="7" t="s">
        <v>712</v>
      </c>
      <c r="J442" s="7" t="s">
        <v>691</v>
      </c>
      <c r="K442" s="8">
        <v>6214369</v>
      </c>
      <c r="L442" s="8">
        <v>345805</v>
      </c>
      <c r="M442" s="8">
        <v>19</v>
      </c>
      <c r="N442" s="8">
        <v>1</v>
      </c>
      <c r="O442" s="8">
        <v>10</v>
      </c>
      <c r="P442" s="8"/>
    </row>
    <row r="443" spans="1:16" hidden="1" x14ac:dyDescent="0.25">
      <c r="A443" s="7" t="s">
        <v>37</v>
      </c>
      <c r="B443" s="7" t="s">
        <v>343</v>
      </c>
      <c r="C443" s="8">
        <v>26125</v>
      </c>
      <c r="D443" s="7" t="s">
        <v>52</v>
      </c>
      <c r="E443" s="7" t="s">
        <v>139</v>
      </c>
      <c r="F443" s="7" t="s">
        <v>139</v>
      </c>
      <c r="G443" s="7" t="s">
        <v>18</v>
      </c>
      <c r="H443" s="7" t="s">
        <v>48</v>
      </c>
      <c r="I443" s="7" t="s">
        <v>712</v>
      </c>
      <c r="J443" s="7" t="s">
        <v>691</v>
      </c>
      <c r="K443" s="8">
        <v>6230154</v>
      </c>
      <c r="L443" s="8">
        <v>342602</v>
      </c>
      <c r="M443" s="8">
        <v>19</v>
      </c>
      <c r="N443" s="8">
        <v>4</v>
      </c>
      <c r="O443" s="8">
        <v>34.36</v>
      </c>
      <c r="P443" s="8"/>
    </row>
    <row r="444" spans="1:16" hidden="1" x14ac:dyDescent="0.25">
      <c r="A444" s="7" t="s">
        <v>37</v>
      </c>
      <c r="B444" s="7" t="s">
        <v>343</v>
      </c>
      <c r="C444" s="8">
        <v>26128</v>
      </c>
      <c r="D444" s="7" t="s">
        <v>52</v>
      </c>
      <c r="E444" s="7" t="s">
        <v>139</v>
      </c>
      <c r="F444" s="7" t="s">
        <v>81</v>
      </c>
      <c r="G444" s="7" t="s">
        <v>18</v>
      </c>
      <c r="H444" s="7" t="s">
        <v>48</v>
      </c>
      <c r="I444" s="7" t="s">
        <v>712</v>
      </c>
      <c r="J444" s="7" t="s">
        <v>712</v>
      </c>
      <c r="K444" s="8">
        <v>6227061</v>
      </c>
      <c r="L444" s="8">
        <v>344326</v>
      </c>
      <c r="M444" s="8">
        <v>19</v>
      </c>
      <c r="N444" s="8">
        <v>1</v>
      </c>
      <c r="O444" s="8">
        <v>8.93</v>
      </c>
      <c r="P444" s="8"/>
    </row>
    <row r="445" spans="1:16" hidden="1" x14ac:dyDescent="0.25">
      <c r="A445" s="7" t="s">
        <v>37</v>
      </c>
      <c r="B445" s="7" t="s">
        <v>343</v>
      </c>
      <c r="C445" s="8">
        <v>26129</v>
      </c>
      <c r="D445" s="7" t="s">
        <v>52</v>
      </c>
      <c r="E445" s="7" t="s">
        <v>53</v>
      </c>
      <c r="F445" s="7" t="s">
        <v>53</v>
      </c>
      <c r="G445" s="7" t="s">
        <v>18</v>
      </c>
      <c r="H445" s="7" t="s">
        <v>48</v>
      </c>
      <c r="I445" s="7" t="s">
        <v>712</v>
      </c>
      <c r="J445" s="7" t="s">
        <v>712</v>
      </c>
      <c r="K445" s="8">
        <v>6151274</v>
      </c>
      <c r="L445" s="8">
        <v>312714</v>
      </c>
      <c r="M445" s="8">
        <v>19</v>
      </c>
      <c r="N445" s="8">
        <v>1</v>
      </c>
      <c r="O445" s="8">
        <v>25</v>
      </c>
      <c r="P445" s="8"/>
    </row>
    <row r="446" spans="1:16" hidden="1" x14ac:dyDescent="0.25">
      <c r="A446" s="7" t="s">
        <v>37</v>
      </c>
      <c r="B446" s="7" t="s">
        <v>343</v>
      </c>
      <c r="C446" s="8">
        <v>26130</v>
      </c>
      <c r="D446" s="7" t="s">
        <v>28</v>
      </c>
      <c r="E446" s="7" t="s">
        <v>344</v>
      </c>
      <c r="F446" s="7" t="s">
        <v>361</v>
      </c>
      <c r="G446" s="7" t="s">
        <v>18</v>
      </c>
      <c r="H446" s="7" t="s">
        <v>48</v>
      </c>
      <c r="I446" s="7" t="s">
        <v>712</v>
      </c>
      <c r="J446" s="7" t="s">
        <v>691</v>
      </c>
      <c r="K446" s="8">
        <v>6270511</v>
      </c>
      <c r="L446" s="8">
        <v>281701</v>
      </c>
      <c r="M446" s="8">
        <v>19</v>
      </c>
      <c r="N446" s="8">
        <v>4</v>
      </c>
      <c r="O446" s="8">
        <v>60</v>
      </c>
      <c r="P446" s="8"/>
    </row>
    <row r="447" spans="1:16" hidden="1" x14ac:dyDescent="0.25">
      <c r="A447" s="7" t="s">
        <v>37</v>
      </c>
      <c r="B447" s="7" t="s">
        <v>343</v>
      </c>
      <c r="C447" s="8">
        <v>26131</v>
      </c>
      <c r="D447" s="7" t="s">
        <v>28</v>
      </c>
      <c r="E447" s="7" t="s">
        <v>56</v>
      </c>
      <c r="F447" s="7" t="s">
        <v>350</v>
      </c>
      <c r="G447" s="7" t="s">
        <v>18</v>
      </c>
      <c r="H447" s="7" t="s">
        <v>48</v>
      </c>
      <c r="I447" s="7" t="s">
        <v>712</v>
      </c>
      <c r="J447" s="7" t="s">
        <v>691</v>
      </c>
      <c r="K447" s="8">
        <v>6261960</v>
      </c>
      <c r="L447" s="8">
        <v>343239</v>
      </c>
      <c r="M447" s="8">
        <v>19</v>
      </c>
      <c r="N447" s="8">
        <v>1</v>
      </c>
      <c r="O447" s="8">
        <v>6</v>
      </c>
      <c r="P447" s="8"/>
    </row>
    <row r="448" spans="1:16" hidden="1" x14ac:dyDescent="0.25">
      <c r="A448" s="7" t="s">
        <v>37</v>
      </c>
      <c r="B448" s="7" t="s">
        <v>343</v>
      </c>
      <c r="C448" s="8">
        <v>26132</v>
      </c>
      <c r="D448" s="7" t="s">
        <v>28</v>
      </c>
      <c r="E448" s="7" t="s">
        <v>84</v>
      </c>
      <c r="F448" s="7" t="s">
        <v>84</v>
      </c>
      <c r="G448" s="7" t="s">
        <v>18</v>
      </c>
      <c r="H448" s="7" t="s">
        <v>48</v>
      </c>
      <c r="I448" s="7" t="s">
        <v>712</v>
      </c>
      <c r="J448" s="7" t="s">
        <v>691</v>
      </c>
      <c r="K448" s="8">
        <v>6277945</v>
      </c>
      <c r="L448" s="8">
        <v>320432</v>
      </c>
      <c r="M448" s="8">
        <v>19</v>
      </c>
      <c r="N448" s="8">
        <v>3</v>
      </c>
      <c r="O448" s="8">
        <v>57</v>
      </c>
      <c r="P448" s="8"/>
    </row>
    <row r="449" spans="1:16" hidden="1" x14ac:dyDescent="0.25">
      <c r="A449" s="7" t="s">
        <v>37</v>
      </c>
      <c r="B449" s="7" t="s">
        <v>343</v>
      </c>
      <c r="C449" s="8">
        <v>26133</v>
      </c>
      <c r="D449" s="7" t="s">
        <v>28</v>
      </c>
      <c r="E449" s="7" t="s">
        <v>142</v>
      </c>
      <c r="F449" s="7" t="s">
        <v>362</v>
      </c>
      <c r="G449" s="7" t="s">
        <v>18</v>
      </c>
      <c r="H449" s="7" t="s">
        <v>48</v>
      </c>
      <c r="I449" s="7" t="s">
        <v>712</v>
      </c>
      <c r="J449" s="7" t="s">
        <v>691</v>
      </c>
      <c r="K449" s="8">
        <v>6275037</v>
      </c>
      <c r="L449" s="8">
        <v>327460</v>
      </c>
      <c r="M449" s="8">
        <v>19</v>
      </c>
      <c r="N449" s="8">
        <v>1</v>
      </c>
      <c r="O449" s="8">
        <v>7.5</v>
      </c>
      <c r="P449" s="8"/>
    </row>
    <row r="450" spans="1:16" hidden="1" x14ac:dyDescent="0.25">
      <c r="A450" s="7" t="s">
        <v>37</v>
      </c>
      <c r="B450" s="7" t="s">
        <v>343</v>
      </c>
      <c r="C450" s="8">
        <v>26134</v>
      </c>
      <c r="D450" s="7" t="s">
        <v>28</v>
      </c>
      <c r="E450" s="7" t="s">
        <v>84</v>
      </c>
      <c r="F450" s="7" t="s">
        <v>85</v>
      </c>
      <c r="G450" s="7" t="s">
        <v>18</v>
      </c>
      <c r="H450" s="7" t="s">
        <v>48</v>
      </c>
      <c r="I450" s="7" t="s">
        <v>712</v>
      </c>
      <c r="J450" s="7" t="s">
        <v>712</v>
      </c>
      <c r="K450" s="8">
        <v>6279657</v>
      </c>
      <c r="L450" s="8">
        <v>330967</v>
      </c>
      <c r="M450" s="8">
        <v>19</v>
      </c>
      <c r="N450" s="8">
        <v>2</v>
      </c>
      <c r="O450" s="8">
        <v>14</v>
      </c>
      <c r="P450" s="8"/>
    </row>
    <row r="451" spans="1:16" hidden="1" x14ac:dyDescent="0.25">
      <c r="A451" s="7" t="s">
        <v>37</v>
      </c>
      <c r="B451" s="7" t="s">
        <v>343</v>
      </c>
      <c r="C451" s="8">
        <v>26135</v>
      </c>
      <c r="D451" s="7" t="s">
        <v>28</v>
      </c>
      <c r="E451" s="7" t="s">
        <v>344</v>
      </c>
      <c r="F451" s="7" t="s">
        <v>361</v>
      </c>
      <c r="G451" s="7" t="s">
        <v>18</v>
      </c>
      <c r="H451" s="7" t="s">
        <v>48</v>
      </c>
      <c r="I451" s="7" t="s">
        <v>712</v>
      </c>
      <c r="J451" s="7" t="s">
        <v>691</v>
      </c>
      <c r="K451" s="8">
        <v>6268092</v>
      </c>
      <c r="L451" s="8">
        <v>280406</v>
      </c>
      <c r="M451" s="8">
        <v>19</v>
      </c>
      <c r="N451" s="8">
        <v>1</v>
      </c>
      <c r="O451" s="8">
        <v>18</v>
      </c>
      <c r="P451" s="8"/>
    </row>
    <row r="452" spans="1:16" hidden="1" x14ac:dyDescent="0.25">
      <c r="A452" s="7" t="s">
        <v>37</v>
      </c>
      <c r="B452" s="7" t="s">
        <v>343</v>
      </c>
      <c r="C452" s="8">
        <v>26136</v>
      </c>
      <c r="D452" s="7" t="s">
        <v>28</v>
      </c>
      <c r="E452" s="7" t="s">
        <v>166</v>
      </c>
      <c r="F452" s="7" t="s">
        <v>363</v>
      </c>
      <c r="G452" s="7" t="s">
        <v>18</v>
      </c>
      <c r="H452" s="7" t="s">
        <v>48</v>
      </c>
      <c r="I452" s="7" t="s">
        <v>712</v>
      </c>
      <c r="J452" s="7" t="s">
        <v>712</v>
      </c>
      <c r="K452" s="8">
        <v>6261959</v>
      </c>
      <c r="L452" s="8">
        <v>324460</v>
      </c>
      <c r="M452" s="8">
        <v>19</v>
      </c>
      <c r="N452" s="8">
        <v>2</v>
      </c>
      <c r="O452" s="8">
        <v>8</v>
      </c>
      <c r="P452" s="8"/>
    </row>
    <row r="453" spans="1:16" hidden="1" x14ac:dyDescent="0.25">
      <c r="A453" s="7" t="s">
        <v>37</v>
      </c>
      <c r="B453" s="7" t="s">
        <v>343</v>
      </c>
      <c r="C453" s="8">
        <v>26137</v>
      </c>
      <c r="D453" s="7" t="s">
        <v>28</v>
      </c>
      <c r="E453" s="7" t="s">
        <v>29</v>
      </c>
      <c r="F453" s="7" t="s">
        <v>162</v>
      </c>
      <c r="G453" s="7" t="s">
        <v>18</v>
      </c>
      <c r="H453" s="7" t="s">
        <v>24</v>
      </c>
      <c r="I453" s="7" t="s">
        <v>712</v>
      </c>
      <c r="J453" s="7" t="s">
        <v>712</v>
      </c>
      <c r="K453" s="8">
        <v>6255596</v>
      </c>
      <c r="L453" s="8">
        <v>334038</v>
      </c>
      <c r="M453" s="8">
        <v>19</v>
      </c>
      <c r="N453" s="8">
        <v>1</v>
      </c>
      <c r="O453" s="8">
        <v>11</v>
      </c>
      <c r="P453" s="8"/>
    </row>
    <row r="454" spans="1:16" hidden="1" x14ac:dyDescent="0.25">
      <c r="A454" s="7" t="s">
        <v>37</v>
      </c>
      <c r="B454" s="7" t="s">
        <v>343</v>
      </c>
      <c r="C454" s="8">
        <v>26138</v>
      </c>
      <c r="D454" s="7" t="s">
        <v>28</v>
      </c>
      <c r="E454" s="7" t="s">
        <v>166</v>
      </c>
      <c r="F454" s="7" t="s">
        <v>363</v>
      </c>
      <c r="G454" s="7" t="s">
        <v>18</v>
      </c>
      <c r="H454" s="7" t="s">
        <v>48</v>
      </c>
      <c r="I454" s="7" t="s">
        <v>712</v>
      </c>
      <c r="J454" s="7" t="s">
        <v>691</v>
      </c>
      <c r="K454" s="8">
        <v>6262295</v>
      </c>
      <c r="L454" s="8">
        <v>326420</v>
      </c>
      <c r="M454" s="8">
        <v>19</v>
      </c>
      <c r="N454" s="8">
        <v>4</v>
      </c>
      <c r="O454" s="8">
        <v>7.3</v>
      </c>
      <c r="P454" s="8"/>
    </row>
    <row r="455" spans="1:16" hidden="1" x14ac:dyDescent="0.25">
      <c r="A455" s="7" t="s">
        <v>37</v>
      </c>
      <c r="B455" s="7" t="s">
        <v>343</v>
      </c>
      <c r="C455" s="8">
        <v>26139</v>
      </c>
      <c r="D455" s="7" t="s">
        <v>28</v>
      </c>
      <c r="E455" s="7" t="s">
        <v>84</v>
      </c>
      <c r="F455" s="7" t="s">
        <v>85</v>
      </c>
      <c r="G455" s="7" t="s">
        <v>18</v>
      </c>
      <c r="H455" s="7" t="s">
        <v>48</v>
      </c>
      <c r="I455" s="7" t="s">
        <v>712</v>
      </c>
      <c r="J455" s="7" t="s">
        <v>712</v>
      </c>
      <c r="K455" s="8">
        <v>6279268</v>
      </c>
      <c r="L455" s="8">
        <v>329380</v>
      </c>
      <c r="M455" s="8">
        <v>19</v>
      </c>
      <c r="N455" s="8">
        <v>4</v>
      </c>
      <c r="O455" s="8">
        <v>41.5</v>
      </c>
      <c r="P455" s="8"/>
    </row>
    <row r="456" spans="1:16" hidden="1" x14ac:dyDescent="0.25">
      <c r="A456" s="7" t="s">
        <v>37</v>
      </c>
      <c r="B456" s="7" t="s">
        <v>343</v>
      </c>
      <c r="C456" s="8">
        <v>26140</v>
      </c>
      <c r="D456" s="7" t="s">
        <v>28</v>
      </c>
      <c r="E456" s="7" t="s">
        <v>364</v>
      </c>
      <c r="F456" s="7" t="s">
        <v>365</v>
      </c>
      <c r="G456" s="7" t="s">
        <v>18</v>
      </c>
      <c r="H456" s="7" t="s">
        <v>48</v>
      </c>
      <c r="I456" s="7" t="s">
        <v>712</v>
      </c>
      <c r="J456" s="7" t="s">
        <v>712</v>
      </c>
      <c r="K456" s="8">
        <v>6291182</v>
      </c>
      <c r="L456" s="8">
        <v>329969</v>
      </c>
      <c r="M456" s="8">
        <v>19</v>
      </c>
      <c r="N456" s="8">
        <v>4</v>
      </c>
      <c r="O456" s="8">
        <v>43</v>
      </c>
      <c r="P456" s="8"/>
    </row>
    <row r="457" spans="1:16" hidden="1" x14ac:dyDescent="0.25">
      <c r="A457" s="7" t="s">
        <v>37</v>
      </c>
      <c r="B457" s="7" t="s">
        <v>343</v>
      </c>
      <c r="C457" s="8">
        <v>26141</v>
      </c>
      <c r="D457" s="7" t="s">
        <v>28</v>
      </c>
      <c r="E457" s="7" t="s">
        <v>32</v>
      </c>
      <c r="F457" s="7" t="s">
        <v>33</v>
      </c>
      <c r="G457" s="7" t="s">
        <v>18</v>
      </c>
      <c r="H457" s="7" t="s">
        <v>48</v>
      </c>
      <c r="I457" s="7" t="s">
        <v>712</v>
      </c>
      <c r="J457" s="7" t="s">
        <v>712</v>
      </c>
      <c r="K457" s="8">
        <v>6277184</v>
      </c>
      <c r="L457" s="8">
        <v>343203</v>
      </c>
      <c r="M457" s="8">
        <v>19</v>
      </c>
      <c r="N457" s="8">
        <v>1</v>
      </c>
      <c r="O457" s="8">
        <v>9</v>
      </c>
      <c r="P457" s="8"/>
    </row>
    <row r="458" spans="1:16" hidden="1" x14ac:dyDescent="0.25">
      <c r="A458" s="7" t="s">
        <v>14</v>
      </c>
      <c r="B458" s="7" t="s">
        <v>343</v>
      </c>
      <c r="C458" s="8">
        <v>26145</v>
      </c>
      <c r="D458" s="7" t="s">
        <v>28</v>
      </c>
      <c r="E458" s="7" t="s">
        <v>29</v>
      </c>
      <c r="F458" s="7" t="s">
        <v>162</v>
      </c>
      <c r="G458" s="7" t="s">
        <v>18</v>
      </c>
      <c r="H458" s="7" t="s">
        <v>689</v>
      </c>
      <c r="I458" s="7" t="s">
        <v>712</v>
      </c>
      <c r="J458" s="7" t="s">
        <v>712</v>
      </c>
      <c r="K458" s="8">
        <v>6259004</v>
      </c>
      <c r="L458" s="8">
        <v>335783</v>
      </c>
      <c r="M458" s="8">
        <v>19</v>
      </c>
      <c r="N458" s="8">
        <v>1</v>
      </c>
      <c r="O458" s="8">
        <v>0.1</v>
      </c>
      <c r="P458" s="8"/>
    </row>
    <row r="459" spans="1:16" hidden="1" x14ac:dyDescent="0.25">
      <c r="A459" s="7" t="s">
        <v>37</v>
      </c>
      <c r="B459" s="7" t="s">
        <v>563</v>
      </c>
      <c r="C459" s="8">
        <v>26146</v>
      </c>
      <c r="D459" s="7" t="s">
        <v>119</v>
      </c>
      <c r="E459" s="7" t="s">
        <v>570</v>
      </c>
      <c r="F459" s="7" t="s">
        <v>570</v>
      </c>
      <c r="G459" s="7" t="s">
        <v>43</v>
      </c>
      <c r="H459" s="7" t="s">
        <v>48</v>
      </c>
      <c r="I459" s="7" t="s">
        <v>91</v>
      </c>
      <c r="J459" s="7" t="s">
        <v>91</v>
      </c>
      <c r="K459" s="8">
        <v>5749189</v>
      </c>
      <c r="L459" s="8">
        <v>707225</v>
      </c>
      <c r="M459" s="8">
        <v>18</v>
      </c>
      <c r="N459" s="8">
        <v>1</v>
      </c>
      <c r="O459" s="8">
        <v>26</v>
      </c>
      <c r="P459" s="8"/>
    </row>
    <row r="460" spans="1:16" hidden="1" x14ac:dyDescent="0.25">
      <c r="A460" s="7" t="s">
        <v>14</v>
      </c>
      <c r="B460" s="7" t="s">
        <v>181</v>
      </c>
      <c r="C460" s="8">
        <v>26147</v>
      </c>
      <c r="D460" s="7" t="s">
        <v>119</v>
      </c>
      <c r="E460" s="7" t="s">
        <v>204</v>
      </c>
      <c r="F460" s="7" t="s">
        <v>205</v>
      </c>
      <c r="G460" s="7" t="s">
        <v>43</v>
      </c>
      <c r="H460" s="7" t="s">
        <v>689</v>
      </c>
      <c r="I460" s="7" t="s">
        <v>690</v>
      </c>
      <c r="J460" s="7" t="s">
        <v>690</v>
      </c>
      <c r="K460" s="8">
        <v>5714632</v>
      </c>
      <c r="L460" s="8">
        <v>691793</v>
      </c>
      <c r="M460" s="8">
        <v>18</v>
      </c>
      <c r="N460" s="8">
        <v>1</v>
      </c>
      <c r="O460" s="8">
        <v>2</v>
      </c>
      <c r="P460" s="8"/>
    </row>
    <row r="461" spans="1:16" hidden="1" x14ac:dyDescent="0.25">
      <c r="A461" s="7" t="s">
        <v>14</v>
      </c>
      <c r="B461" s="7" t="s">
        <v>181</v>
      </c>
      <c r="C461" s="8">
        <v>26148</v>
      </c>
      <c r="D461" s="7" t="s">
        <v>119</v>
      </c>
      <c r="E461" s="7" t="s">
        <v>204</v>
      </c>
      <c r="F461" s="7" t="s">
        <v>206</v>
      </c>
      <c r="G461" s="7" t="s">
        <v>43</v>
      </c>
      <c r="H461" s="7" t="s">
        <v>689</v>
      </c>
      <c r="I461" s="7" t="s">
        <v>690</v>
      </c>
      <c r="J461" s="7" t="s">
        <v>690</v>
      </c>
      <c r="K461" s="8">
        <v>5739450</v>
      </c>
      <c r="L461" s="8">
        <v>678748</v>
      </c>
      <c r="M461" s="8">
        <v>18</v>
      </c>
      <c r="N461" s="8">
        <v>1</v>
      </c>
      <c r="O461" s="8">
        <v>1.3</v>
      </c>
      <c r="P461" s="8"/>
    </row>
    <row r="462" spans="1:16" hidden="1" x14ac:dyDescent="0.25">
      <c r="A462" s="7" t="s">
        <v>19</v>
      </c>
      <c r="B462" s="7" t="s">
        <v>270</v>
      </c>
      <c r="C462" s="8">
        <v>26149</v>
      </c>
      <c r="D462" s="7" t="s">
        <v>52</v>
      </c>
      <c r="E462" s="7" t="s">
        <v>139</v>
      </c>
      <c r="F462" s="7" t="s">
        <v>270</v>
      </c>
      <c r="G462" s="7" t="s">
        <v>18</v>
      </c>
      <c r="H462" s="7" t="s">
        <v>48</v>
      </c>
      <c r="I462" s="7" t="s">
        <v>712</v>
      </c>
      <c r="J462" s="7" t="s">
        <v>712</v>
      </c>
      <c r="K462" s="8">
        <v>6225024</v>
      </c>
      <c r="L462" s="8">
        <v>335937</v>
      </c>
      <c r="M462" s="8">
        <v>19</v>
      </c>
      <c r="N462" s="8">
        <v>3</v>
      </c>
      <c r="O462" s="8">
        <v>17.899999999999999</v>
      </c>
      <c r="P462" s="8"/>
    </row>
    <row r="463" spans="1:16" hidden="1" x14ac:dyDescent="0.25">
      <c r="A463" s="7" t="s">
        <v>19</v>
      </c>
      <c r="B463" s="7" t="s">
        <v>270</v>
      </c>
      <c r="C463" s="8">
        <v>26151</v>
      </c>
      <c r="D463" s="7" t="s">
        <v>16</v>
      </c>
      <c r="E463" s="7" t="s">
        <v>50</v>
      </c>
      <c r="F463" s="7" t="s">
        <v>591</v>
      </c>
      <c r="G463" s="7" t="s">
        <v>18</v>
      </c>
      <c r="H463" s="7" t="s">
        <v>48</v>
      </c>
      <c r="I463" s="7" t="s">
        <v>712</v>
      </c>
      <c r="J463" s="7" t="s">
        <v>691</v>
      </c>
      <c r="K463" s="8">
        <v>6074339</v>
      </c>
      <c r="L463" s="8">
        <v>266630</v>
      </c>
      <c r="M463" s="8">
        <v>19</v>
      </c>
      <c r="N463" s="8">
        <v>2</v>
      </c>
      <c r="O463" s="8">
        <v>10</v>
      </c>
      <c r="P463" s="8"/>
    </row>
    <row r="464" spans="1:16" hidden="1" x14ac:dyDescent="0.25">
      <c r="A464" s="7" t="s">
        <v>19</v>
      </c>
      <c r="B464" s="7" t="s">
        <v>270</v>
      </c>
      <c r="C464" s="8">
        <v>26152</v>
      </c>
      <c r="D464" s="7" t="s">
        <v>16</v>
      </c>
      <c r="E464" s="7" t="s">
        <v>17</v>
      </c>
      <c r="F464" s="7" t="s">
        <v>380</v>
      </c>
      <c r="G464" s="7" t="s">
        <v>18</v>
      </c>
      <c r="H464" s="7" t="s">
        <v>48</v>
      </c>
      <c r="I464" s="7" t="s">
        <v>712</v>
      </c>
      <c r="J464" s="7" t="s">
        <v>712</v>
      </c>
      <c r="K464" s="8">
        <v>6060241</v>
      </c>
      <c r="L464" s="8">
        <v>284702</v>
      </c>
      <c r="M464" s="8">
        <v>19</v>
      </c>
      <c r="N464" s="8">
        <v>3</v>
      </c>
      <c r="O464" s="8">
        <v>17.5</v>
      </c>
      <c r="P464" s="8"/>
    </row>
    <row r="465" spans="1:16" hidden="1" x14ac:dyDescent="0.25">
      <c r="A465" s="7" t="s">
        <v>19</v>
      </c>
      <c r="B465" s="7" t="s">
        <v>415</v>
      </c>
      <c r="C465" s="8">
        <v>26153</v>
      </c>
      <c r="D465" s="7" t="s">
        <v>28</v>
      </c>
      <c r="E465" s="7" t="s">
        <v>146</v>
      </c>
      <c r="F465" s="7" t="s">
        <v>146</v>
      </c>
      <c r="G465" s="7" t="s">
        <v>18</v>
      </c>
      <c r="H465" s="7" t="s">
        <v>48</v>
      </c>
      <c r="I465" s="7" t="s">
        <v>712</v>
      </c>
      <c r="J465" s="7" t="s">
        <v>691</v>
      </c>
      <c r="K465" s="8">
        <v>6269869</v>
      </c>
      <c r="L465" s="8">
        <v>325919</v>
      </c>
      <c r="M465" s="8">
        <v>19</v>
      </c>
      <c r="N465" s="8">
        <v>1</v>
      </c>
      <c r="O465" s="8">
        <v>0.4</v>
      </c>
      <c r="P465" s="8"/>
    </row>
    <row r="466" spans="1:16" hidden="1" x14ac:dyDescent="0.25">
      <c r="A466" s="7" t="s">
        <v>19</v>
      </c>
      <c r="B466" s="7" t="s">
        <v>415</v>
      </c>
      <c r="C466" s="8">
        <v>26154</v>
      </c>
      <c r="D466" s="7" t="s">
        <v>28</v>
      </c>
      <c r="E466" s="7" t="s">
        <v>29</v>
      </c>
      <c r="F466" s="7" t="s">
        <v>466</v>
      </c>
      <c r="G466" s="7" t="s">
        <v>18</v>
      </c>
      <c r="H466" s="7" t="s">
        <v>48</v>
      </c>
      <c r="I466" s="7" t="s">
        <v>712</v>
      </c>
      <c r="J466" s="7" t="s">
        <v>691</v>
      </c>
      <c r="K466" s="8">
        <v>6258913</v>
      </c>
      <c r="L466" s="8">
        <v>346353</v>
      </c>
      <c r="M466" s="8">
        <v>19</v>
      </c>
      <c r="N466" s="8">
        <v>1</v>
      </c>
      <c r="O466" s="8">
        <v>0.38</v>
      </c>
      <c r="P466" s="8"/>
    </row>
    <row r="467" spans="1:16" hidden="1" x14ac:dyDescent="0.25">
      <c r="A467" s="7" t="s">
        <v>14</v>
      </c>
      <c r="B467" s="7" t="s">
        <v>254</v>
      </c>
      <c r="C467" s="8">
        <v>26155</v>
      </c>
      <c r="D467" s="7" t="s">
        <v>52</v>
      </c>
      <c r="E467" s="7" t="s">
        <v>141</v>
      </c>
      <c r="F467" s="7" t="s">
        <v>277</v>
      </c>
      <c r="G467" s="7" t="s">
        <v>18</v>
      </c>
      <c r="H467" s="7" t="s">
        <v>689</v>
      </c>
      <c r="I467" s="7" t="s">
        <v>712</v>
      </c>
      <c r="J467" s="7" t="s">
        <v>712</v>
      </c>
      <c r="K467" s="8">
        <v>6220919</v>
      </c>
      <c r="L467" s="8">
        <v>328882</v>
      </c>
      <c r="M467" s="8">
        <v>19</v>
      </c>
      <c r="N467" s="8">
        <v>1</v>
      </c>
      <c r="O467" s="8">
        <v>0.06</v>
      </c>
      <c r="P467" s="8"/>
    </row>
    <row r="468" spans="1:16" hidden="1" x14ac:dyDescent="0.25">
      <c r="A468" s="7" t="s">
        <v>14</v>
      </c>
      <c r="B468" s="7" t="s">
        <v>254</v>
      </c>
      <c r="C468" s="8">
        <v>26156</v>
      </c>
      <c r="D468" s="7" t="s">
        <v>52</v>
      </c>
      <c r="E468" s="7" t="s">
        <v>141</v>
      </c>
      <c r="F468" s="7" t="s">
        <v>277</v>
      </c>
      <c r="G468" s="7" t="s">
        <v>18</v>
      </c>
      <c r="H468" s="7" t="s">
        <v>689</v>
      </c>
      <c r="I468" s="7" t="s">
        <v>712</v>
      </c>
      <c r="J468" s="7" t="s">
        <v>712</v>
      </c>
      <c r="K468" s="8">
        <v>6220919</v>
      </c>
      <c r="L468" s="8">
        <v>328882</v>
      </c>
      <c r="M468" s="8">
        <v>19</v>
      </c>
      <c r="N468" s="8">
        <v>1</v>
      </c>
      <c r="O468" s="8">
        <v>0.17</v>
      </c>
      <c r="P468" s="8"/>
    </row>
    <row r="469" spans="1:16" hidden="1" x14ac:dyDescent="0.25">
      <c r="A469" s="7" t="s">
        <v>14</v>
      </c>
      <c r="B469" s="7" t="s">
        <v>254</v>
      </c>
      <c r="C469" s="8">
        <v>26157</v>
      </c>
      <c r="D469" s="7" t="s">
        <v>52</v>
      </c>
      <c r="E469" s="7" t="s">
        <v>141</v>
      </c>
      <c r="F469" s="7" t="s">
        <v>277</v>
      </c>
      <c r="G469" s="7" t="s">
        <v>18</v>
      </c>
      <c r="H469" s="7" t="s">
        <v>689</v>
      </c>
      <c r="I469" s="7" t="s">
        <v>712</v>
      </c>
      <c r="J469" s="7" t="s">
        <v>712</v>
      </c>
      <c r="K469" s="8">
        <v>6220919</v>
      </c>
      <c r="L469" s="8">
        <v>328882</v>
      </c>
      <c r="M469" s="8">
        <v>19</v>
      </c>
      <c r="N469" s="8">
        <v>1</v>
      </c>
      <c r="O469" s="8">
        <v>0.01</v>
      </c>
      <c r="P469" s="8"/>
    </row>
    <row r="470" spans="1:16" hidden="1" x14ac:dyDescent="0.25">
      <c r="A470" s="7" t="s">
        <v>14</v>
      </c>
      <c r="B470" s="7" t="s">
        <v>254</v>
      </c>
      <c r="C470" s="8">
        <v>26159</v>
      </c>
      <c r="D470" s="7" t="s">
        <v>52</v>
      </c>
      <c r="E470" s="7" t="s">
        <v>141</v>
      </c>
      <c r="F470" s="7" t="s">
        <v>277</v>
      </c>
      <c r="G470" s="7" t="s">
        <v>18</v>
      </c>
      <c r="H470" s="7" t="s">
        <v>689</v>
      </c>
      <c r="I470" s="7" t="s">
        <v>712</v>
      </c>
      <c r="J470" s="7" t="s">
        <v>712</v>
      </c>
      <c r="K470" s="8">
        <v>6220919</v>
      </c>
      <c r="L470" s="8">
        <v>328882</v>
      </c>
      <c r="M470" s="8">
        <v>19</v>
      </c>
      <c r="N470" s="8">
        <v>1</v>
      </c>
      <c r="O470" s="8">
        <v>0.02</v>
      </c>
      <c r="P470" s="8"/>
    </row>
    <row r="471" spans="1:16" hidden="1" x14ac:dyDescent="0.25">
      <c r="A471" s="7" t="s">
        <v>14</v>
      </c>
      <c r="B471" s="7" t="s">
        <v>254</v>
      </c>
      <c r="C471" s="8">
        <v>26160</v>
      </c>
      <c r="D471" s="7" t="s">
        <v>52</v>
      </c>
      <c r="E471" s="7" t="s">
        <v>141</v>
      </c>
      <c r="F471" s="7" t="s">
        <v>277</v>
      </c>
      <c r="G471" s="7" t="s">
        <v>18</v>
      </c>
      <c r="H471" s="7" t="s">
        <v>689</v>
      </c>
      <c r="I471" s="7" t="s">
        <v>712</v>
      </c>
      <c r="J471" s="7" t="s">
        <v>712</v>
      </c>
      <c r="K471" s="8">
        <v>6220919</v>
      </c>
      <c r="L471" s="8">
        <v>328882</v>
      </c>
      <c r="M471" s="8">
        <v>19</v>
      </c>
      <c r="N471" s="8">
        <v>1</v>
      </c>
      <c r="O471" s="8">
        <v>0.22</v>
      </c>
      <c r="P471" s="8"/>
    </row>
    <row r="472" spans="1:16" hidden="1" x14ac:dyDescent="0.25">
      <c r="A472" s="7" t="s">
        <v>14</v>
      </c>
      <c r="B472" s="7" t="s">
        <v>254</v>
      </c>
      <c r="C472" s="8">
        <v>26162</v>
      </c>
      <c r="D472" s="7" t="s">
        <v>52</v>
      </c>
      <c r="E472" s="7" t="s">
        <v>141</v>
      </c>
      <c r="F472" s="7" t="s">
        <v>277</v>
      </c>
      <c r="G472" s="7" t="s">
        <v>18</v>
      </c>
      <c r="H472" s="7" t="s">
        <v>689</v>
      </c>
      <c r="I472" s="7" t="s">
        <v>712</v>
      </c>
      <c r="J472" s="7" t="s">
        <v>712</v>
      </c>
      <c r="K472" s="8">
        <v>6220919</v>
      </c>
      <c r="L472" s="8">
        <v>328882</v>
      </c>
      <c r="M472" s="8">
        <v>19</v>
      </c>
      <c r="N472" s="8">
        <v>1</v>
      </c>
      <c r="O472" s="8">
        <v>0.13</v>
      </c>
      <c r="P472" s="8"/>
    </row>
    <row r="473" spans="1:16" hidden="1" x14ac:dyDescent="0.25">
      <c r="A473" s="7" t="s">
        <v>14</v>
      </c>
      <c r="B473" s="7" t="s">
        <v>254</v>
      </c>
      <c r="C473" s="8">
        <v>26163</v>
      </c>
      <c r="D473" s="7" t="s">
        <v>52</v>
      </c>
      <c r="E473" s="7" t="s">
        <v>141</v>
      </c>
      <c r="F473" s="7" t="s">
        <v>277</v>
      </c>
      <c r="G473" s="7" t="s">
        <v>18</v>
      </c>
      <c r="H473" s="7" t="s">
        <v>689</v>
      </c>
      <c r="I473" s="7" t="s">
        <v>712</v>
      </c>
      <c r="J473" s="7" t="s">
        <v>712</v>
      </c>
      <c r="K473" s="8">
        <v>6220919</v>
      </c>
      <c r="L473" s="8">
        <v>328882</v>
      </c>
      <c r="M473" s="8">
        <v>19</v>
      </c>
      <c r="N473" s="8">
        <v>1</v>
      </c>
      <c r="O473" s="8">
        <v>0.28999999999999998</v>
      </c>
      <c r="P473" s="8"/>
    </row>
    <row r="474" spans="1:16" hidden="1" x14ac:dyDescent="0.25">
      <c r="A474" s="7" t="s">
        <v>14</v>
      </c>
      <c r="B474" s="7" t="s">
        <v>254</v>
      </c>
      <c r="C474" s="8">
        <v>26164</v>
      </c>
      <c r="D474" s="7" t="s">
        <v>52</v>
      </c>
      <c r="E474" s="7" t="s">
        <v>141</v>
      </c>
      <c r="F474" s="7" t="s">
        <v>277</v>
      </c>
      <c r="G474" s="7" t="s">
        <v>18</v>
      </c>
      <c r="H474" s="7" t="s">
        <v>689</v>
      </c>
      <c r="I474" s="7" t="s">
        <v>712</v>
      </c>
      <c r="J474" s="7" t="s">
        <v>712</v>
      </c>
      <c r="K474" s="8">
        <v>6220919</v>
      </c>
      <c r="L474" s="8">
        <v>328882</v>
      </c>
      <c r="M474" s="8">
        <v>19</v>
      </c>
      <c r="N474" s="8">
        <v>1</v>
      </c>
      <c r="O474" s="8">
        <v>0.1</v>
      </c>
      <c r="P474" s="8"/>
    </row>
    <row r="475" spans="1:16" hidden="1" x14ac:dyDescent="0.25">
      <c r="A475" s="7" t="s">
        <v>14</v>
      </c>
      <c r="B475" s="7" t="s">
        <v>254</v>
      </c>
      <c r="C475" s="8">
        <v>26165</v>
      </c>
      <c r="D475" s="7" t="s">
        <v>52</v>
      </c>
      <c r="E475" s="7" t="s">
        <v>141</v>
      </c>
      <c r="F475" s="7" t="s">
        <v>277</v>
      </c>
      <c r="G475" s="7" t="s">
        <v>18</v>
      </c>
      <c r="H475" s="7" t="s">
        <v>689</v>
      </c>
      <c r="I475" s="7" t="s">
        <v>712</v>
      </c>
      <c r="J475" s="7" t="s">
        <v>712</v>
      </c>
      <c r="K475" s="8">
        <v>6220919</v>
      </c>
      <c r="L475" s="8">
        <v>328882</v>
      </c>
      <c r="M475" s="8">
        <v>19</v>
      </c>
      <c r="N475" s="8">
        <v>1</v>
      </c>
      <c r="O475" s="8">
        <v>0.24</v>
      </c>
      <c r="P475" s="8"/>
    </row>
    <row r="476" spans="1:16" hidden="1" x14ac:dyDescent="0.25">
      <c r="A476" s="7" t="s">
        <v>37</v>
      </c>
      <c r="B476" s="7" t="s">
        <v>343</v>
      </c>
      <c r="C476" s="8">
        <v>26166</v>
      </c>
      <c r="D476" s="7" t="s">
        <v>16</v>
      </c>
      <c r="E476" s="7" t="s">
        <v>137</v>
      </c>
      <c r="F476" s="7" t="s">
        <v>137</v>
      </c>
      <c r="G476" s="7" t="s">
        <v>18</v>
      </c>
      <c r="H476" s="7" t="s">
        <v>48</v>
      </c>
      <c r="I476" s="7" t="s">
        <v>712</v>
      </c>
      <c r="J476" s="7" t="s">
        <v>712</v>
      </c>
      <c r="K476" s="8">
        <v>6081979</v>
      </c>
      <c r="L476" s="8">
        <v>244275</v>
      </c>
      <c r="M476" s="8">
        <v>19</v>
      </c>
      <c r="N476" s="8">
        <v>1</v>
      </c>
      <c r="O476" s="8">
        <v>35</v>
      </c>
      <c r="P476" s="8"/>
    </row>
    <row r="477" spans="1:16" hidden="1" x14ac:dyDescent="0.25">
      <c r="A477" s="7" t="s">
        <v>37</v>
      </c>
      <c r="B477" s="7" t="s">
        <v>343</v>
      </c>
      <c r="C477" s="8">
        <v>26168</v>
      </c>
      <c r="D477" s="7" t="s">
        <v>16</v>
      </c>
      <c r="E477" s="7" t="s">
        <v>17</v>
      </c>
      <c r="F477" s="7" t="s">
        <v>366</v>
      </c>
      <c r="G477" s="7" t="s">
        <v>18</v>
      </c>
      <c r="H477" s="7" t="s">
        <v>48</v>
      </c>
      <c r="I477" s="7" t="s">
        <v>712</v>
      </c>
      <c r="J477" s="7" t="s">
        <v>712</v>
      </c>
      <c r="K477" s="8">
        <v>6072080</v>
      </c>
      <c r="L477" s="8">
        <v>273026</v>
      </c>
      <c r="M477" s="8">
        <v>19</v>
      </c>
      <c r="N477" s="8">
        <v>2</v>
      </c>
      <c r="O477" s="8">
        <v>20</v>
      </c>
      <c r="P477" s="8"/>
    </row>
    <row r="478" spans="1:16" hidden="1" x14ac:dyDescent="0.25">
      <c r="A478" s="7" t="s">
        <v>19</v>
      </c>
      <c r="B478" s="7" t="s">
        <v>270</v>
      </c>
      <c r="C478" s="8">
        <v>26170</v>
      </c>
      <c r="D478" s="7" t="s">
        <v>16</v>
      </c>
      <c r="E478" s="7" t="s">
        <v>17</v>
      </c>
      <c r="F478" s="7" t="s">
        <v>380</v>
      </c>
      <c r="G478" s="7" t="s">
        <v>18</v>
      </c>
      <c r="H478" s="7" t="s">
        <v>48</v>
      </c>
      <c r="I478" s="7" t="s">
        <v>712</v>
      </c>
      <c r="J478" s="7" t="s">
        <v>712</v>
      </c>
      <c r="K478" s="8">
        <v>6060248</v>
      </c>
      <c r="L478" s="8">
        <v>284311</v>
      </c>
      <c r="M478" s="8">
        <v>19</v>
      </c>
      <c r="N478" s="8">
        <v>4</v>
      </c>
      <c r="O478" s="8">
        <v>10</v>
      </c>
      <c r="P478" s="8"/>
    </row>
    <row r="479" spans="1:16" hidden="1" x14ac:dyDescent="0.25">
      <c r="A479" s="7" t="s">
        <v>37</v>
      </c>
      <c r="B479" s="7" t="s">
        <v>270</v>
      </c>
      <c r="C479" s="8">
        <v>26171</v>
      </c>
      <c r="D479" s="7" t="s">
        <v>28</v>
      </c>
      <c r="E479" s="7" t="s">
        <v>146</v>
      </c>
      <c r="F479" s="7" t="s">
        <v>527</v>
      </c>
      <c r="G479" s="7" t="s">
        <v>18</v>
      </c>
      <c r="H479" s="7" t="s">
        <v>24</v>
      </c>
      <c r="I479" s="7" t="s">
        <v>712</v>
      </c>
      <c r="J479" s="7" t="s">
        <v>712</v>
      </c>
      <c r="K479" s="8">
        <v>6273459</v>
      </c>
      <c r="L479" s="8">
        <v>327801</v>
      </c>
      <c r="M479" s="8">
        <v>19</v>
      </c>
      <c r="N479" s="8">
        <v>1</v>
      </c>
      <c r="O479" s="8">
        <v>10.5</v>
      </c>
      <c r="P479" s="8"/>
    </row>
    <row r="480" spans="1:16" hidden="1" x14ac:dyDescent="0.25">
      <c r="A480" s="7" t="s">
        <v>14</v>
      </c>
      <c r="B480" s="7" t="s">
        <v>415</v>
      </c>
      <c r="C480" s="8">
        <v>26172</v>
      </c>
      <c r="D480" s="7" t="s">
        <v>28</v>
      </c>
      <c r="E480" s="7" t="s">
        <v>56</v>
      </c>
      <c r="F480" s="7" t="s">
        <v>162</v>
      </c>
      <c r="G480" s="7" t="s">
        <v>18</v>
      </c>
      <c r="H480" s="7" t="s">
        <v>689</v>
      </c>
      <c r="I480" s="7" t="s">
        <v>712</v>
      </c>
      <c r="J480" s="7" t="s">
        <v>712</v>
      </c>
      <c r="K480" s="8">
        <v>6259488</v>
      </c>
      <c r="L480" s="8">
        <v>332593</v>
      </c>
      <c r="M480" s="8">
        <v>19</v>
      </c>
      <c r="N480" s="8">
        <v>1</v>
      </c>
      <c r="O480" s="8">
        <v>1.67</v>
      </c>
      <c r="P480" s="8"/>
    </row>
    <row r="481" spans="1:16" hidden="1" x14ac:dyDescent="0.25">
      <c r="A481" s="7" t="s">
        <v>19</v>
      </c>
      <c r="B481" s="7" t="s">
        <v>270</v>
      </c>
      <c r="C481" s="8">
        <v>26176</v>
      </c>
      <c r="D481" s="7" t="s">
        <v>16</v>
      </c>
      <c r="E481" s="7" t="s">
        <v>17</v>
      </c>
      <c r="F481" s="7" t="s">
        <v>380</v>
      </c>
      <c r="G481" s="7" t="s">
        <v>18</v>
      </c>
      <c r="H481" s="7" t="s">
        <v>48</v>
      </c>
      <c r="I481" s="7" t="s">
        <v>712</v>
      </c>
      <c r="J481" s="7" t="s">
        <v>712</v>
      </c>
      <c r="K481" s="8">
        <v>6060163</v>
      </c>
      <c r="L481" s="8">
        <v>285181</v>
      </c>
      <c r="M481" s="8">
        <v>19</v>
      </c>
      <c r="N481" s="8">
        <v>3</v>
      </c>
      <c r="O481" s="8">
        <v>16</v>
      </c>
      <c r="P481" s="8"/>
    </row>
    <row r="482" spans="1:16" hidden="1" x14ac:dyDescent="0.25">
      <c r="A482" s="7" t="s">
        <v>14</v>
      </c>
      <c r="B482" s="7" t="s">
        <v>415</v>
      </c>
      <c r="C482" s="8">
        <v>26177</v>
      </c>
      <c r="D482" s="7" t="s">
        <v>28</v>
      </c>
      <c r="E482" s="7" t="s">
        <v>56</v>
      </c>
      <c r="F482" s="7" t="s">
        <v>162</v>
      </c>
      <c r="G482" s="7" t="s">
        <v>18</v>
      </c>
      <c r="H482" s="7" t="s">
        <v>689</v>
      </c>
      <c r="I482" s="7" t="s">
        <v>712</v>
      </c>
      <c r="J482" s="7" t="s">
        <v>712</v>
      </c>
      <c r="K482" s="8">
        <v>6258800</v>
      </c>
      <c r="L482" s="8">
        <v>332581</v>
      </c>
      <c r="M482" s="8">
        <v>19</v>
      </c>
      <c r="N482" s="8">
        <v>1</v>
      </c>
      <c r="O482" s="8">
        <v>0.02</v>
      </c>
      <c r="P482" s="8"/>
    </row>
    <row r="483" spans="1:16" hidden="1" x14ac:dyDescent="0.25">
      <c r="A483" s="7" t="s">
        <v>19</v>
      </c>
      <c r="B483" s="7" t="s">
        <v>270</v>
      </c>
      <c r="C483" s="8">
        <v>26178</v>
      </c>
      <c r="D483" s="7" t="s">
        <v>52</v>
      </c>
      <c r="E483" s="7" t="s">
        <v>139</v>
      </c>
      <c r="F483" s="7" t="s">
        <v>270</v>
      </c>
      <c r="G483" s="7" t="s">
        <v>18</v>
      </c>
      <c r="H483" s="7" t="s">
        <v>48</v>
      </c>
      <c r="I483" s="7" t="s">
        <v>712</v>
      </c>
      <c r="J483" s="7" t="s">
        <v>691</v>
      </c>
      <c r="K483" s="8">
        <v>6223673</v>
      </c>
      <c r="L483" s="8">
        <v>338504</v>
      </c>
      <c r="M483" s="8">
        <v>19</v>
      </c>
      <c r="N483" s="8">
        <v>9</v>
      </c>
      <c r="O483" s="8">
        <v>104.11</v>
      </c>
      <c r="P483" s="8"/>
    </row>
    <row r="484" spans="1:16" hidden="1" x14ac:dyDescent="0.25">
      <c r="A484" s="7" t="s">
        <v>37</v>
      </c>
      <c r="B484" s="7" t="s">
        <v>415</v>
      </c>
      <c r="C484" s="8">
        <v>26184</v>
      </c>
      <c r="D484" s="7" t="s">
        <v>34</v>
      </c>
      <c r="E484" s="7" t="s">
        <v>35</v>
      </c>
      <c r="F484" s="7" t="s">
        <v>467</v>
      </c>
      <c r="G484" s="7" t="s">
        <v>43</v>
      </c>
      <c r="H484" s="7" t="s">
        <v>48</v>
      </c>
      <c r="I484" s="7" t="s">
        <v>712</v>
      </c>
      <c r="J484" s="7" t="s">
        <v>691</v>
      </c>
      <c r="K484" s="8">
        <v>5849104</v>
      </c>
      <c r="L484" s="8">
        <v>747354</v>
      </c>
      <c r="M484" s="8">
        <v>18</v>
      </c>
      <c r="N484" s="8">
        <v>1</v>
      </c>
      <c r="O484" s="8">
        <v>2</v>
      </c>
      <c r="P484" s="8"/>
    </row>
    <row r="485" spans="1:16" hidden="1" x14ac:dyDescent="0.25">
      <c r="A485" s="7" t="s">
        <v>37</v>
      </c>
      <c r="B485" s="7" t="s">
        <v>415</v>
      </c>
      <c r="C485" s="8">
        <v>26186</v>
      </c>
      <c r="D485" s="7" t="s">
        <v>28</v>
      </c>
      <c r="E485" s="7" t="s">
        <v>387</v>
      </c>
      <c r="F485" s="7" t="s">
        <v>435</v>
      </c>
      <c r="G485" s="7" t="s">
        <v>18</v>
      </c>
      <c r="H485" s="7" t="s">
        <v>24</v>
      </c>
      <c r="I485" s="7" t="s">
        <v>712</v>
      </c>
      <c r="J485" s="7" t="s">
        <v>712</v>
      </c>
      <c r="K485" s="8">
        <v>6305087</v>
      </c>
      <c r="L485" s="8">
        <v>327039</v>
      </c>
      <c r="M485" s="8">
        <v>19</v>
      </c>
      <c r="N485" s="8">
        <v>1</v>
      </c>
      <c r="O485" s="8">
        <v>1</v>
      </c>
      <c r="P485" s="8"/>
    </row>
    <row r="486" spans="1:16" hidden="1" x14ac:dyDescent="0.25">
      <c r="A486" s="7" t="s">
        <v>37</v>
      </c>
      <c r="B486" s="7" t="s">
        <v>415</v>
      </c>
      <c r="C486" s="8">
        <v>26187</v>
      </c>
      <c r="D486" s="7" t="s">
        <v>34</v>
      </c>
      <c r="E486" s="7" t="s">
        <v>190</v>
      </c>
      <c r="F486" s="7" t="s">
        <v>190</v>
      </c>
      <c r="G486" s="7" t="s">
        <v>43</v>
      </c>
      <c r="H486" s="7" t="s">
        <v>48</v>
      </c>
      <c r="I486" s="7" t="s">
        <v>712</v>
      </c>
      <c r="J486" s="7" t="s">
        <v>691</v>
      </c>
      <c r="K486" s="8">
        <v>5832995</v>
      </c>
      <c r="L486" s="8">
        <v>714074</v>
      </c>
      <c r="M486" s="8">
        <v>18</v>
      </c>
      <c r="N486" s="8">
        <v>2</v>
      </c>
      <c r="O486" s="8">
        <v>20</v>
      </c>
      <c r="P486" s="8"/>
    </row>
    <row r="487" spans="1:16" hidden="1" x14ac:dyDescent="0.25">
      <c r="A487" s="7" t="s">
        <v>37</v>
      </c>
      <c r="B487" s="7" t="s">
        <v>415</v>
      </c>
      <c r="C487" s="8">
        <v>26190</v>
      </c>
      <c r="D487" s="7" t="s">
        <v>119</v>
      </c>
      <c r="E487" s="7" t="s">
        <v>120</v>
      </c>
      <c r="F487" s="7" t="s">
        <v>120</v>
      </c>
      <c r="G487" s="7" t="s">
        <v>43</v>
      </c>
      <c r="H487" s="7" t="s">
        <v>48</v>
      </c>
      <c r="I487" s="7" t="s">
        <v>712</v>
      </c>
      <c r="J487" s="7" t="s">
        <v>691</v>
      </c>
      <c r="K487" s="8">
        <v>5811398</v>
      </c>
      <c r="L487" s="8">
        <v>706266</v>
      </c>
      <c r="M487" s="8">
        <v>18</v>
      </c>
      <c r="N487" s="8">
        <v>1</v>
      </c>
      <c r="O487" s="8">
        <v>40</v>
      </c>
      <c r="P487" s="8"/>
    </row>
    <row r="488" spans="1:16" hidden="1" x14ac:dyDescent="0.25">
      <c r="A488" s="7" t="s">
        <v>37</v>
      </c>
      <c r="B488" s="7" t="s">
        <v>254</v>
      </c>
      <c r="C488" s="8">
        <v>26191</v>
      </c>
      <c r="D488" s="7" t="s">
        <v>21</v>
      </c>
      <c r="E488" s="7" t="s">
        <v>278</v>
      </c>
      <c r="F488" s="7" t="s">
        <v>279</v>
      </c>
      <c r="G488" s="7" t="s">
        <v>18</v>
      </c>
      <c r="H488" s="7" t="s">
        <v>24</v>
      </c>
      <c r="I488" s="7" t="s">
        <v>712</v>
      </c>
      <c r="J488" s="7" t="s">
        <v>712</v>
      </c>
      <c r="K488" s="8">
        <v>6365991</v>
      </c>
      <c r="L488" s="8">
        <v>311408</v>
      </c>
      <c r="M488" s="8">
        <v>19</v>
      </c>
      <c r="N488" s="8">
        <v>1</v>
      </c>
      <c r="O488" s="8">
        <v>0.8</v>
      </c>
      <c r="P488" s="8"/>
    </row>
    <row r="489" spans="1:16" hidden="1" x14ac:dyDescent="0.25">
      <c r="A489" s="7" t="s">
        <v>37</v>
      </c>
      <c r="B489" s="7" t="s">
        <v>415</v>
      </c>
      <c r="C489" s="8">
        <v>26192</v>
      </c>
      <c r="D489" s="7" t="s">
        <v>119</v>
      </c>
      <c r="E489" s="7" t="s">
        <v>120</v>
      </c>
      <c r="F489" s="7" t="s">
        <v>120</v>
      </c>
      <c r="G489" s="7" t="s">
        <v>43</v>
      </c>
      <c r="H489" s="7" t="s">
        <v>48</v>
      </c>
      <c r="I489" s="7" t="s">
        <v>712</v>
      </c>
      <c r="J489" s="7" t="s">
        <v>691</v>
      </c>
      <c r="K489" s="8">
        <v>5805130</v>
      </c>
      <c r="L489" s="8">
        <v>705426</v>
      </c>
      <c r="M489" s="8">
        <v>18</v>
      </c>
      <c r="N489" s="8">
        <v>1</v>
      </c>
      <c r="O489" s="8">
        <v>8</v>
      </c>
      <c r="P489" s="8"/>
    </row>
    <row r="490" spans="1:16" hidden="1" x14ac:dyDescent="0.25">
      <c r="A490" s="7" t="s">
        <v>37</v>
      </c>
      <c r="B490" s="7" t="s">
        <v>415</v>
      </c>
      <c r="C490" s="8">
        <v>26193</v>
      </c>
      <c r="D490" s="7" t="s">
        <v>34</v>
      </c>
      <c r="E490" s="7" t="s">
        <v>35</v>
      </c>
      <c r="F490" s="7" t="s">
        <v>468</v>
      </c>
      <c r="G490" s="7" t="s">
        <v>43</v>
      </c>
      <c r="H490" s="7" t="s">
        <v>48</v>
      </c>
      <c r="I490" s="7" t="s">
        <v>712</v>
      </c>
      <c r="J490" s="7" t="s">
        <v>691</v>
      </c>
      <c r="K490" s="8">
        <v>5869173</v>
      </c>
      <c r="L490" s="8">
        <v>734157</v>
      </c>
      <c r="M490" s="8">
        <v>18</v>
      </c>
      <c r="N490" s="8">
        <v>1</v>
      </c>
      <c r="O490" s="8">
        <v>5</v>
      </c>
      <c r="P490" s="8"/>
    </row>
    <row r="491" spans="1:16" hidden="1" x14ac:dyDescent="0.25">
      <c r="A491" s="7" t="s">
        <v>37</v>
      </c>
      <c r="B491" s="7" t="s">
        <v>270</v>
      </c>
      <c r="C491" s="8">
        <v>26194</v>
      </c>
      <c r="D491" s="7" t="s">
        <v>28</v>
      </c>
      <c r="E491" s="7" t="s">
        <v>146</v>
      </c>
      <c r="F491" s="7" t="s">
        <v>597</v>
      </c>
      <c r="G491" s="7" t="s">
        <v>18</v>
      </c>
      <c r="H491" s="7" t="s">
        <v>24</v>
      </c>
      <c r="I491" s="7" t="s">
        <v>712</v>
      </c>
      <c r="J491" s="7" t="s">
        <v>712</v>
      </c>
      <c r="K491" s="8">
        <v>6273867</v>
      </c>
      <c r="L491" s="8">
        <v>330693</v>
      </c>
      <c r="M491" s="8">
        <v>19</v>
      </c>
      <c r="N491" s="8">
        <v>1</v>
      </c>
      <c r="O491" s="8">
        <v>3.2</v>
      </c>
      <c r="P491" s="8"/>
    </row>
    <row r="492" spans="1:16" hidden="1" x14ac:dyDescent="0.25">
      <c r="A492" s="7" t="s">
        <v>37</v>
      </c>
      <c r="B492" s="7" t="s">
        <v>415</v>
      </c>
      <c r="C492" s="8">
        <v>26196</v>
      </c>
      <c r="D492" s="7" t="s">
        <v>34</v>
      </c>
      <c r="E492" s="7" t="s">
        <v>35</v>
      </c>
      <c r="F492" s="7" t="s">
        <v>468</v>
      </c>
      <c r="G492" s="7" t="s">
        <v>43</v>
      </c>
      <c r="H492" s="7" t="s">
        <v>48</v>
      </c>
      <c r="I492" s="7" t="s">
        <v>712</v>
      </c>
      <c r="J492" s="7" t="s">
        <v>691</v>
      </c>
      <c r="K492" s="8">
        <v>5873284</v>
      </c>
      <c r="L492" s="8">
        <v>732930</v>
      </c>
      <c r="M492" s="8">
        <v>18</v>
      </c>
      <c r="N492" s="8">
        <v>1</v>
      </c>
      <c r="O492" s="8">
        <v>50</v>
      </c>
      <c r="P492" s="8"/>
    </row>
    <row r="493" spans="1:16" hidden="1" x14ac:dyDescent="0.25">
      <c r="A493" s="7" t="s">
        <v>14</v>
      </c>
      <c r="B493" s="7" t="s">
        <v>181</v>
      </c>
      <c r="C493" s="8">
        <v>26197</v>
      </c>
      <c r="D493" s="7" t="s">
        <v>119</v>
      </c>
      <c r="E493" s="7" t="s">
        <v>204</v>
      </c>
      <c r="F493" s="7" t="s">
        <v>207</v>
      </c>
      <c r="G493" s="7" t="s">
        <v>43</v>
      </c>
      <c r="H493" s="7" t="s">
        <v>689</v>
      </c>
      <c r="I493" s="7" t="s">
        <v>690</v>
      </c>
      <c r="J493" s="7" t="s">
        <v>690</v>
      </c>
      <c r="K493" s="8">
        <v>5733237</v>
      </c>
      <c r="L493" s="8">
        <v>684228</v>
      </c>
      <c r="M493" s="8">
        <v>18</v>
      </c>
      <c r="N493" s="8">
        <v>1</v>
      </c>
      <c r="O493" s="8">
        <v>1.3</v>
      </c>
      <c r="P493" s="8"/>
    </row>
    <row r="494" spans="1:16" hidden="1" x14ac:dyDescent="0.25">
      <c r="A494" s="7" t="s">
        <v>37</v>
      </c>
      <c r="B494" s="7" t="s">
        <v>415</v>
      </c>
      <c r="C494" s="8">
        <v>26198</v>
      </c>
      <c r="D494" s="7" t="s">
        <v>34</v>
      </c>
      <c r="E494" s="7" t="s">
        <v>35</v>
      </c>
      <c r="F494" s="7" t="s">
        <v>35</v>
      </c>
      <c r="G494" s="7" t="s">
        <v>43</v>
      </c>
      <c r="H494" s="7" t="s">
        <v>48</v>
      </c>
      <c r="I494" s="7" t="s">
        <v>712</v>
      </c>
      <c r="J494" s="7" t="s">
        <v>691</v>
      </c>
      <c r="K494" s="8">
        <v>5850326</v>
      </c>
      <c r="L494" s="8">
        <v>741720</v>
      </c>
      <c r="M494" s="8">
        <v>18</v>
      </c>
      <c r="N494" s="8">
        <v>1</v>
      </c>
      <c r="O494" s="8">
        <v>9</v>
      </c>
      <c r="P494" s="8"/>
    </row>
    <row r="495" spans="1:16" hidden="1" x14ac:dyDescent="0.25">
      <c r="A495" s="7" t="s">
        <v>37</v>
      </c>
      <c r="B495" s="7" t="s">
        <v>124</v>
      </c>
      <c r="C495" s="8">
        <v>26199</v>
      </c>
      <c r="D495" s="7" t="s">
        <v>52</v>
      </c>
      <c r="E495" s="7" t="s">
        <v>132</v>
      </c>
      <c r="F495" s="7" t="s">
        <v>133</v>
      </c>
      <c r="G495" s="7" t="s">
        <v>18</v>
      </c>
      <c r="H495" s="7" t="s">
        <v>48</v>
      </c>
      <c r="I495" s="7" t="s">
        <v>712</v>
      </c>
      <c r="J495" s="7" t="s">
        <v>691</v>
      </c>
      <c r="K495" s="8">
        <v>6215809</v>
      </c>
      <c r="L495" s="8">
        <v>343587</v>
      </c>
      <c r="M495" s="8">
        <v>19</v>
      </c>
      <c r="N495" s="8">
        <v>1</v>
      </c>
      <c r="O495" s="8">
        <v>7.3</v>
      </c>
      <c r="P495" s="8"/>
    </row>
    <row r="496" spans="1:16" hidden="1" x14ac:dyDescent="0.25">
      <c r="A496" s="7" t="s">
        <v>14</v>
      </c>
      <c r="B496" s="7" t="s">
        <v>181</v>
      </c>
      <c r="C496" s="8">
        <v>26200</v>
      </c>
      <c r="D496" s="7" t="s">
        <v>119</v>
      </c>
      <c r="E496" s="7" t="s">
        <v>204</v>
      </c>
      <c r="F496" s="7" t="s">
        <v>208</v>
      </c>
      <c r="G496" s="7" t="s">
        <v>43</v>
      </c>
      <c r="H496" s="7" t="s">
        <v>689</v>
      </c>
      <c r="I496" s="7" t="s">
        <v>690</v>
      </c>
      <c r="J496" s="7" t="s">
        <v>690</v>
      </c>
      <c r="K496" s="8">
        <v>5727645</v>
      </c>
      <c r="L496" s="8">
        <v>685978</v>
      </c>
      <c r="M496" s="8">
        <v>18</v>
      </c>
      <c r="N496" s="8">
        <v>1</v>
      </c>
      <c r="O496" s="8">
        <v>1.3</v>
      </c>
      <c r="P496" s="8"/>
    </row>
    <row r="497" spans="1:16" hidden="1" x14ac:dyDescent="0.25">
      <c r="A497" s="7" t="s">
        <v>19</v>
      </c>
      <c r="B497" s="7" t="s">
        <v>270</v>
      </c>
      <c r="C497" s="8">
        <v>26202</v>
      </c>
      <c r="D497" s="7" t="s">
        <v>16</v>
      </c>
      <c r="E497" s="7" t="s">
        <v>50</v>
      </c>
      <c r="F497" s="7" t="s">
        <v>149</v>
      </c>
      <c r="G497" s="7" t="s">
        <v>18</v>
      </c>
      <c r="H497" s="7" t="s">
        <v>48</v>
      </c>
      <c r="I497" s="7" t="s">
        <v>712</v>
      </c>
      <c r="J497" s="7" t="s">
        <v>712</v>
      </c>
      <c r="K497" s="8">
        <v>6059054</v>
      </c>
      <c r="L497" s="8">
        <v>277845</v>
      </c>
      <c r="M497" s="8">
        <v>19</v>
      </c>
      <c r="N497" s="8">
        <v>2</v>
      </c>
      <c r="O497" s="8">
        <v>5</v>
      </c>
      <c r="P497" s="8"/>
    </row>
    <row r="498" spans="1:16" hidden="1" x14ac:dyDescent="0.25">
      <c r="A498" s="7" t="s">
        <v>19</v>
      </c>
      <c r="B498" s="7" t="s">
        <v>270</v>
      </c>
      <c r="C498" s="8">
        <v>26203</v>
      </c>
      <c r="D498" s="7" t="s">
        <v>16</v>
      </c>
      <c r="E498" s="7" t="s">
        <v>50</v>
      </c>
      <c r="F498" s="7" t="s">
        <v>380</v>
      </c>
      <c r="G498" s="7" t="s">
        <v>18</v>
      </c>
      <c r="H498" s="7" t="s">
        <v>48</v>
      </c>
      <c r="I498" s="7" t="s">
        <v>712</v>
      </c>
      <c r="J498" s="7" t="s">
        <v>712</v>
      </c>
      <c r="K498" s="8">
        <v>6059993</v>
      </c>
      <c r="L498" s="8">
        <v>284703</v>
      </c>
      <c r="M498" s="8">
        <v>19</v>
      </c>
      <c r="N498" s="8">
        <v>3</v>
      </c>
      <c r="O498" s="8">
        <v>8.5</v>
      </c>
      <c r="P498" s="8"/>
    </row>
    <row r="499" spans="1:16" hidden="1" x14ac:dyDescent="0.25">
      <c r="A499" s="7" t="s">
        <v>19</v>
      </c>
      <c r="B499" s="7" t="s">
        <v>270</v>
      </c>
      <c r="C499" s="8">
        <v>26208</v>
      </c>
      <c r="D499" s="7" t="s">
        <v>16</v>
      </c>
      <c r="E499" s="7" t="s">
        <v>50</v>
      </c>
      <c r="F499" s="7" t="s">
        <v>598</v>
      </c>
      <c r="G499" s="7" t="s">
        <v>18</v>
      </c>
      <c r="H499" s="7" t="s">
        <v>48</v>
      </c>
      <c r="I499" s="7" t="s">
        <v>712</v>
      </c>
      <c r="J499" s="7" t="s">
        <v>712</v>
      </c>
      <c r="K499" s="8">
        <v>6057435</v>
      </c>
      <c r="L499" s="8">
        <v>279542</v>
      </c>
      <c r="M499" s="8">
        <v>19</v>
      </c>
      <c r="N499" s="8">
        <v>5</v>
      </c>
      <c r="O499" s="8">
        <v>11</v>
      </c>
      <c r="P499" s="8"/>
    </row>
    <row r="500" spans="1:16" hidden="1" x14ac:dyDescent="0.25">
      <c r="A500" s="7" t="s">
        <v>37</v>
      </c>
      <c r="B500" s="7" t="s">
        <v>270</v>
      </c>
      <c r="C500" s="8">
        <v>26213</v>
      </c>
      <c r="D500" s="7" t="s">
        <v>28</v>
      </c>
      <c r="E500" s="7" t="s">
        <v>166</v>
      </c>
      <c r="F500" s="7" t="s">
        <v>599</v>
      </c>
      <c r="G500" s="7" t="s">
        <v>18</v>
      </c>
      <c r="H500" s="7" t="s">
        <v>24</v>
      </c>
      <c r="I500" s="7" t="s">
        <v>712</v>
      </c>
      <c r="J500" s="7" t="s">
        <v>712</v>
      </c>
      <c r="K500" s="8">
        <v>6268899</v>
      </c>
      <c r="L500" s="8">
        <v>321732</v>
      </c>
      <c r="M500" s="8">
        <v>19</v>
      </c>
      <c r="N500" s="8">
        <v>1</v>
      </c>
      <c r="O500" s="8">
        <v>1.2</v>
      </c>
      <c r="P500" s="8"/>
    </row>
    <row r="501" spans="1:16" hidden="1" x14ac:dyDescent="0.25">
      <c r="A501" s="7" t="s">
        <v>14</v>
      </c>
      <c r="B501" s="7" t="s">
        <v>415</v>
      </c>
      <c r="C501" s="8">
        <v>26214</v>
      </c>
      <c r="D501" s="7" t="s">
        <v>28</v>
      </c>
      <c r="E501" s="7" t="s">
        <v>56</v>
      </c>
      <c r="F501" s="7" t="s">
        <v>162</v>
      </c>
      <c r="G501" s="7" t="s">
        <v>18</v>
      </c>
      <c r="H501" s="7" t="s">
        <v>689</v>
      </c>
      <c r="I501" s="7" t="s">
        <v>712</v>
      </c>
      <c r="J501" s="7" t="s">
        <v>712</v>
      </c>
      <c r="K501" s="8">
        <v>6259100</v>
      </c>
      <c r="L501" s="8">
        <v>332557</v>
      </c>
      <c r="M501" s="8">
        <v>19</v>
      </c>
      <c r="N501" s="8">
        <v>1</v>
      </c>
      <c r="O501" s="8">
        <v>0.75</v>
      </c>
      <c r="P501" s="8"/>
    </row>
    <row r="502" spans="1:16" hidden="1" x14ac:dyDescent="0.25">
      <c r="A502" s="7" t="s">
        <v>19</v>
      </c>
      <c r="B502" s="7" t="s">
        <v>270</v>
      </c>
      <c r="C502" s="8">
        <v>26215</v>
      </c>
      <c r="D502" s="7" t="s">
        <v>52</v>
      </c>
      <c r="E502" s="7" t="s">
        <v>139</v>
      </c>
      <c r="F502" s="7" t="s">
        <v>270</v>
      </c>
      <c r="G502" s="7" t="s">
        <v>18</v>
      </c>
      <c r="H502" s="7" t="s">
        <v>48</v>
      </c>
      <c r="I502" s="7" t="s">
        <v>712</v>
      </c>
      <c r="J502" s="7" t="s">
        <v>712</v>
      </c>
      <c r="K502" s="8">
        <v>6225045</v>
      </c>
      <c r="L502" s="8">
        <v>336261</v>
      </c>
      <c r="M502" s="8">
        <v>19</v>
      </c>
      <c r="N502" s="8">
        <v>4</v>
      </c>
      <c r="O502" s="8">
        <v>32.4</v>
      </c>
      <c r="P502" s="8"/>
    </row>
    <row r="503" spans="1:16" hidden="1" x14ac:dyDescent="0.25">
      <c r="A503" s="7" t="s">
        <v>19</v>
      </c>
      <c r="B503" s="7" t="s">
        <v>270</v>
      </c>
      <c r="C503" s="8">
        <v>26216</v>
      </c>
      <c r="D503" s="7" t="s">
        <v>52</v>
      </c>
      <c r="E503" s="7" t="s">
        <v>82</v>
      </c>
      <c r="F503" s="7" t="s">
        <v>437</v>
      </c>
      <c r="G503" s="7" t="s">
        <v>18</v>
      </c>
      <c r="H503" s="7" t="s">
        <v>48</v>
      </c>
      <c r="I503" s="7" t="s">
        <v>712</v>
      </c>
      <c r="J503" s="7" t="s">
        <v>691</v>
      </c>
      <c r="K503" s="8">
        <v>6166539</v>
      </c>
      <c r="L503" s="8">
        <v>289009</v>
      </c>
      <c r="M503" s="8">
        <v>19</v>
      </c>
      <c r="N503" s="8">
        <v>1</v>
      </c>
      <c r="O503" s="8">
        <v>45</v>
      </c>
      <c r="P503" s="8"/>
    </row>
    <row r="504" spans="1:16" hidden="1" x14ac:dyDescent="0.25">
      <c r="A504" s="7" t="s">
        <v>14</v>
      </c>
      <c r="B504" s="7" t="s">
        <v>181</v>
      </c>
      <c r="C504" s="8">
        <v>26217</v>
      </c>
      <c r="D504" s="7" t="s">
        <v>119</v>
      </c>
      <c r="E504" s="7" t="s">
        <v>204</v>
      </c>
      <c r="F504" s="7" t="s">
        <v>209</v>
      </c>
      <c r="G504" s="7" t="s">
        <v>43</v>
      </c>
      <c r="H504" s="7" t="s">
        <v>689</v>
      </c>
      <c r="I504" s="7" t="s">
        <v>690</v>
      </c>
      <c r="J504" s="7" t="s">
        <v>690</v>
      </c>
      <c r="K504" s="8">
        <v>5721716</v>
      </c>
      <c r="L504" s="8">
        <v>687966</v>
      </c>
      <c r="M504" s="8">
        <v>18</v>
      </c>
      <c r="N504" s="8">
        <v>1</v>
      </c>
      <c r="O504" s="8">
        <v>1.3</v>
      </c>
      <c r="P504" s="8"/>
    </row>
    <row r="505" spans="1:16" hidden="1" x14ac:dyDescent="0.25">
      <c r="A505" s="7" t="s">
        <v>14</v>
      </c>
      <c r="B505" s="7" t="s">
        <v>181</v>
      </c>
      <c r="C505" s="8">
        <v>26218</v>
      </c>
      <c r="D505" s="7" t="s">
        <v>119</v>
      </c>
      <c r="E505" s="7" t="s">
        <v>204</v>
      </c>
      <c r="F505" s="7" t="s">
        <v>210</v>
      </c>
      <c r="G505" s="7" t="s">
        <v>43</v>
      </c>
      <c r="H505" s="7" t="s">
        <v>689</v>
      </c>
      <c r="I505" s="7" t="s">
        <v>690</v>
      </c>
      <c r="J505" s="7" t="s">
        <v>690</v>
      </c>
      <c r="K505" s="8">
        <v>5729225</v>
      </c>
      <c r="L505" s="8">
        <v>681109</v>
      </c>
      <c r="M505" s="8">
        <v>18</v>
      </c>
      <c r="N505" s="8">
        <v>1</v>
      </c>
      <c r="O505" s="8">
        <v>1.3</v>
      </c>
      <c r="P505" s="8"/>
    </row>
    <row r="506" spans="1:16" hidden="1" x14ac:dyDescent="0.25">
      <c r="A506" s="7" t="s">
        <v>14</v>
      </c>
      <c r="B506" s="7" t="s">
        <v>181</v>
      </c>
      <c r="C506" s="8">
        <v>26219</v>
      </c>
      <c r="D506" s="7" t="s">
        <v>119</v>
      </c>
      <c r="E506" s="7" t="s">
        <v>211</v>
      </c>
      <c r="F506" s="7" t="s">
        <v>212</v>
      </c>
      <c r="G506" s="7" t="s">
        <v>43</v>
      </c>
      <c r="H506" s="7" t="s">
        <v>689</v>
      </c>
      <c r="I506" s="7" t="s">
        <v>690</v>
      </c>
      <c r="J506" s="7" t="s">
        <v>690</v>
      </c>
      <c r="K506" s="8">
        <v>5705523</v>
      </c>
      <c r="L506" s="8">
        <v>652840</v>
      </c>
      <c r="M506" s="8">
        <v>18</v>
      </c>
      <c r="N506" s="8">
        <v>1</v>
      </c>
      <c r="O506" s="8">
        <v>0.1</v>
      </c>
      <c r="P506" s="8"/>
    </row>
    <row r="507" spans="1:16" hidden="1" x14ac:dyDescent="0.25">
      <c r="A507" s="7" t="s">
        <v>37</v>
      </c>
      <c r="B507" s="7" t="s">
        <v>563</v>
      </c>
      <c r="C507" s="8">
        <v>26221</v>
      </c>
      <c r="D507" s="7" t="s">
        <v>34</v>
      </c>
      <c r="E507" s="7" t="s">
        <v>35</v>
      </c>
      <c r="F507" s="7" t="s">
        <v>35</v>
      </c>
      <c r="G507" s="7" t="s">
        <v>43</v>
      </c>
      <c r="H507" s="7" t="s">
        <v>24</v>
      </c>
      <c r="I507" s="7" t="s">
        <v>91</v>
      </c>
      <c r="J507" s="7" t="s">
        <v>91</v>
      </c>
      <c r="K507" s="8">
        <v>5848347</v>
      </c>
      <c r="L507" s="8">
        <v>736082</v>
      </c>
      <c r="M507" s="8">
        <v>18</v>
      </c>
      <c r="N507" s="8">
        <v>1</v>
      </c>
      <c r="O507" s="8">
        <v>2</v>
      </c>
      <c r="P507" s="8"/>
    </row>
    <row r="508" spans="1:16" hidden="1" x14ac:dyDescent="0.25">
      <c r="A508" s="7" t="s">
        <v>19</v>
      </c>
      <c r="B508" s="7" t="s">
        <v>124</v>
      </c>
      <c r="C508" s="8">
        <v>26223</v>
      </c>
      <c r="D508" s="7" t="s">
        <v>52</v>
      </c>
      <c r="E508" s="7" t="s">
        <v>53</v>
      </c>
      <c r="F508" s="7" t="s">
        <v>53</v>
      </c>
      <c r="G508" s="7" t="s">
        <v>18</v>
      </c>
      <c r="H508" s="7" t="s">
        <v>48</v>
      </c>
      <c r="I508" s="7" t="s">
        <v>712</v>
      </c>
      <c r="J508" s="7" t="s">
        <v>691</v>
      </c>
      <c r="K508" s="8">
        <v>6157315</v>
      </c>
      <c r="L508" s="8">
        <v>313730</v>
      </c>
      <c r="M508" s="8">
        <v>19</v>
      </c>
      <c r="N508" s="8">
        <v>1</v>
      </c>
      <c r="O508" s="8">
        <v>20</v>
      </c>
      <c r="P508" s="8"/>
    </row>
    <row r="509" spans="1:16" hidden="1" x14ac:dyDescent="0.25">
      <c r="A509" s="7" t="s">
        <v>37</v>
      </c>
      <c r="B509" s="7" t="s">
        <v>254</v>
      </c>
      <c r="C509" s="8">
        <v>26224</v>
      </c>
      <c r="D509" s="7" t="s">
        <v>21</v>
      </c>
      <c r="E509" s="7" t="s">
        <v>280</v>
      </c>
      <c r="F509" s="7" t="s">
        <v>281</v>
      </c>
      <c r="G509" s="7" t="s">
        <v>18</v>
      </c>
      <c r="H509" s="7" t="s">
        <v>24</v>
      </c>
      <c r="I509" s="7" t="s">
        <v>712</v>
      </c>
      <c r="J509" s="7" t="s">
        <v>712</v>
      </c>
      <c r="K509" s="8">
        <v>6363771</v>
      </c>
      <c r="L509" s="8">
        <v>313331</v>
      </c>
      <c r="M509" s="8">
        <v>19</v>
      </c>
      <c r="N509" s="8">
        <v>1</v>
      </c>
      <c r="O509" s="8">
        <v>0.4</v>
      </c>
      <c r="P509" s="8"/>
    </row>
    <row r="510" spans="1:16" hidden="1" x14ac:dyDescent="0.25">
      <c r="A510" s="7" t="s">
        <v>14</v>
      </c>
      <c r="B510" s="7" t="s">
        <v>415</v>
      </c>
      <c r="C510" s="8">
        <v>26232</v>
      </c>
      <c r="D510" s="7" t="s">
        <v>28</v>
      </c>
      <c r="E510" s="7" t="s">
        <v>56</v>
      </c>
      <c r="F510" s="7" t="s">
        <v>378</v>
      </c>
      <c r="G510" s="7" t="s">
        <v>18</v>
      </c>
      <c r="H510" s="7" t="s">
        <v>689</v>
      </c>
      <c r="I510" s="7" t="s">
        <v>712</v>
      </c>
      <c r="J510" s="7" t="s">
        <v>712</v>
      </c>
      <c r="K510" s="8">
        <v>6260146</v>
      </c>
      <c r="L510" s="8">
        <v>331093</v>
      </c>
      <c r="M510" s="8">
        <v>19</v>
      </c>
      <c r="N510" s="8">
        <v>1</v>
      </c>
      <c r="O510" s="8">
        <v>0.33</v>
      </c>
      <c r="P510" s="8"/>
    </row>
    <row r="511" spans="1:16" hidden="1" x14ac:dyDescent="0.25">
      <c r="A511" s="7" t="s">
        <v>19</v>
      </c>
      <c r="B511" s="7" t="s">
        <v>270</v>
      </c>
      <c r="C511" s="8">
        <v>26233</v>
      </c>
      <c r="D511" s="7" t="s">
        <v>16</v>
      </c>
      <c r="E511" s="7" t="s">
        <v>50</v>
      </c>
      <c r="F511" s="7" t="s">
        <v>591</v>
      </c>
      <c r="G511" s="7" t="s">
        <v>18</v>
      </c>
      <c r="H511" s="7" t="s">
        <v>48</v>
      </c>
      <c r="I511" s="7" t="s">
        <v>712</v>
      </c>
      <c r="J511" s="7" t="s">
        <v>691</v>
      </c>
      <c r="K511" s="8">
        <v>6074718</v>
      </c>
      <c r="L511" s="8">
        <v>266545</v>
      </c>
      <c r="M511" s="8">
        <v>19</v>
      </c>
      <c r="N511" s="8">
        <v>9</v>
      </c>
      <c r="O511" s="8">
        <v>28.8</v>
      </c>
      <c r="P511" s="8"/>
    </row>
    <row r="512" spans="1:16" hidden="1" x14ac:dyDescent="0.25">
      <c r="A512" s="7" t="s">
        <v>37</v>
      </c>
      <c r="B512" s="7" t="s">
        <v>270</v>
      </c>
      <c r="C512" s="8">
        <v>26241</v>
      </c>
      <c r="D512" s="7" t="s">
        <v>16</v>
      </c>
      <c r="E512" s="7" t="s">
        <v>337</v>
      </c>
      <c r="F512" s="7" t="s">
        <v>588</v>
      </c>
      <c r="G512" s="7" t="s">
        <v>18</v>
      </c>
      <c r="H512" s="7" t="s">
        <v>48</v>
      </c>
      <c r="I512" s="7" t="s">
        <v>712</v>
      </c>
      <c r="J512" s="7" t="s">
        <v>691</v>
      </c>
      <c r="K512" s="8">
        <v>6125492</v>
      </c>
      <c r="L512" s="8">
        <v>311607</v>
      </c>
      <c r="M512" s="8">
        <v>19</v>
      </c>
      <c r="N512" s="8">
        <v>1</v>
      </c>
      <c r="O512" s="8">
        <v>33</v>
      </c>
      <c r="P512" s="8"/>
    </row>
    <row r="513" spans="1:16" hidden="1" x14ac:dyDescent="0.25">
      <c r="A513" s="7" t="s">
        <v>37</v>
      </c>
      <c r="B513" s="7" t="s">
        <v>343</v>
      </c>
      <c r="C513" s="8">
        <v>26246</v>
      </c>
      <c r="D513" s="7" t="s">
        <v>28</v>
      </c>
      <c r="E513" s="7" t="s">
        <v>32</v>
      </c>
      <c r="F513" s="7" t="s">
        <v>135</v>
      </c>
      <c r="G513" s="7" t="s">
        <v>18</v>
      </c>
      <c r="H513" s="7" t="s">
        <v>24</v>
      </c>
      <c r="I513" s="7" t="s">
        <v>712</v>
      </c>
      <c r="J513" s="7" t="s">
        <v>712</v>
      </c>
      <c r="K513" s="8">
        <v>6278446</v>
      </c>
      <c r="L513" s="8">
        <v>346944</v>
      </c>
      <c r="M513" s="8">
        <v>19</v>
      </c>
      <c r="N513" s="8">
        <v>1</v>
      </c>
      <c r="O513" s="8">
        <v>13.21</v>
      </c>
      <c r="P513" s="8"/>
    </row>
    <row r="514" spans="1:16" hidden="1" x14ac:dyDescent="0.25">
      <c r="A514" s="7" t="s">
        <v>14</v>
      </c>
      <c r="B514" s="7" t="s">
        <v>415</v>
      </c>
      <c r="C514" s="8">
        <v>26247</v>
      </c>
      <c r="D514" s="7" t="s">
        <v>28</v>
      </c>
      <c r="E514" s="7" t="s">
        <v>29</v>
      </c>
      <c r="F514" s="7" t="s">
        <v>29</v>
      </c>
      <c r="G514" s="7" t="s">
        <v>18</v>
      </c>
      <c r="H514" s="7" t="s">
        <v>689</v>
      </c>
      <c r="I514" s="7" t="s">
        <v>712</v>
      </c>
      <c r="J514" s="7" t="s">
        <v>712</v>
      </c>
      <c r="K514" s="8">
        <v>6254768</v>
      </c>
      <c r="L514" s="8">
        <v>339952</v>
      </c>
      <c r="M514" s="8">
        <v>19</v>
      </c>
      <c r="N514" s="8">
        <v>1</v>
      </c>
      <c r="O514" s="8">
        <v>0.3</v>
      </c>
      <c r="P514" s="8"/>
    </row>
    <row r="515" spans="1:16" hidden="1" x14ac:dyDescent="0.25">
      <c r="A515" s="7" t="s">
        <v>37</v>
      </c>
      <c r="B515" s="7" t="s">
        <v>415</v>
      </c>
      <c r="C515" s="8">
        <v>26250</v>
      </c>
      <c r="D515" s="7" t="s">
        <v>52</v>
      </c>
      <c r="E515" s="7" t="s">
        <v>141</v>
      </c>
      <c r="F515" s="7" t="s">
        <v>81</v>
      </c>
      <c r="G515" s="7" t="s">
        <v>18</v>
      </c>
      <c r="H515" s="7" t="s">
        <v>48</v>
      </c>
      <c r="I515" s="7" t="s">
        <v>712</v>
      </c>
      <c r="J515" s="7" t="s">
        <v>712</v>
      </c>
      <c r="K515" s="8">
        <v>6227365</v>
      </c>
      <c r="L515" s="8">
        <v>345079</v>
      </c>
      <c r="M515" s="8">
        <v>19</v>
      </c>
      <c r="N515" s="8">
        <v>3</v>
      </c>
      <c r="O515" s="8">
        <v>18.489999999999998</v>
      </c>
      <c r="P515" s="8"/>
    </row>
    <row r="516" spans="1:16" hidden="1" x14ac:dyDescent="0.25">
      <c r="A516" s="7" t="s">
        <v>19</v>
      </c>
      <c r="B516" s="7" t="s">
        <v>415</v>
      </c>
      <c r="C516" s="8">
        <v>26257</v>
      </c>
      <c r="D516" s="7" t="s">
        <v>52</v>
      </c>
      <c r="E516" s="7" t="s">
        <v>139</v>
      </c>
      <c r="F516" s="7" t="s">
        <v>469</v>
      </c>
      <c r="G516" s="7" t="s">
        <v>18</v>
      </c>
      <c r="H516" s="7" t="s">
        <v>48</v>
      </c>
      <c r="I516" s="7" t="s">
        <v>712</v>
      </c>
      <c r="J516" s="7" t="s">
        <v>712</v>
      </c>
      <c r="K516" s="8">
        <v>6223896</v>
      </c>
      <c r="L516" s="8">
        <v>342568</v>
      </c>
      <c r="M516" s="8">
        <v>19</v>
      </c>
      <c r="N516" s="8">
        <v>1</v>
      </c>
      <c r="O516" s="8">
        <v>4.16</v>
      </c>
      <c r="P516" s="8"/>
    </row>
    <row r="517" spans="1:16" hidden="1" x14ac:dyDescent="0.25">
      <c r="A517" s="7" t="s">
        <v>19</v>
      </c>
      <c r="B517" s="7" t="s">
        <v>651</v>
      </c>
      <c r="C517" s="8">
        <v>26258</v>
      </c>
      <c r="D517" s="7" t="s">
        <v>28</v>
      </c>
      <c r="E517" s="7" t="s">
        <v>166</v>
      </c>
      <c r="F517" s="7" t="s">
        <v>653</v>
      </c>
      <c r="G517" s="7" t="s">
        <v>18</v>
      </c>
      <c r="H517" s="7" t="s">
        <v>48</v>
      </c>
      <c r="I517" s="7" t="s">
        <v>712</v>
      </c>
      <c r="J517" s="7" t="s">
        <v>712</v>
      </c>
      <c r="K517" s="8">
        <v>6264257</v>
      </c>
      <c r="L517" s="8">
        <v>329549</v>
      </c>
      <c r="M517" s="8">
        <v>19</v>
      </c>
      <c r="N517" s="8">
        <v>1</v>
      </c>
      <c r="O517" s="8">
        <v>30</v>
      </c>
      <c r="P517" s="8"/>
    </row>
    <row r="518" spans="1:16" hidden="1" x14ac:dyDescent="0.25">
      <c r="A518" s="7" t="s">
        <v>19</v>
      </c>
      <c r="B518" s="7" t="s">
        <v>124</v>
      </c>
      <c r="C518" s="8">
        <v>26259</v>
      </c>
      <c r="D518" s="7" t="s">
        <v>52</v>
      </c>
      <c r="E518" s="7" t="s">
        <v>53</v>
      </c>
      <c r="F518" s="7" t="s">
        <v>53</v>
      </c>
      <c r="G518" s="7" t="s">
        <v>18</v>
      </c>
      <c r="H518" s="7" t="s">
        <v>48</v>
      </c>
      <c r="I518" s="7" t="s">
        <v>712</v>
      </c>
      <c r="J518" s="7" t="s">
        <v>691</v>
      </c>
      <c r="K518" s="8">
        <v>6154214</v>
      </c>
      <c r="L518" s="8">
        <v>319495</v>
      </c>
      <c r="M518" s="8">
        <v>19</v>
      </c>
      <c r="N518" s="8">
        <v>1</v>
      </c>
      <c r="O518" s="8">
        <v>21</v>
      </c>
      <c r="P518" s="8"/>
    </row>
    <row r="519" spans="1:16" hidden="1" x14ac:dyDescent="0.25">
      <c r="A519" s="7" t="s">
        <v>37</v>
      </c>
      <c r="B519" s="7" t="s">
        <v>343</v>
      </c>
      <c r="C519" s="8">
        <v>26264</v>
      </c>
      <c r="D519" s="7" t="s">
        <v>28</v>
      </c>
      <c r="E519" s="7" t="s">
        <v>32</v>
      </c>
      <c r="F519" s="7" t="s">
        <v>147</v>
      </c>
      <c r="G519" s="7" t="s">
        <v>18</v>
      </c>
      <c r="H519" s="7" t="s">
        <v>24</v>
      </c>
      <c r="I519" s="7" t="s">
        <v>712</v>
      </c>
      <c r="J519" s="7" t="s">
        <v>712</v>
      </c>
      <c r="K519" s="8">
        <v>6274636</v>
      </c>
      <c r="L519" s="8">
        <v>343373</v>
      </c>
      <c r="M519" s="8">
        <v>19</v>
      </c>
      <c r="N519" s="8">
        <v>1</v>
      </c>
      <c r="O519" s="8">
        <v>9.1999999999999993</v>
      </c>
      <c r="P519" s="8"/>
    </row>
    <row r="520" spans="1:16" hidden="1" x14ac:dyDescent="0.25">
      <c r="A520" s="7" t="s">
        <v>37</v>
      </c>
      <c r="B520" s="7" t="s">
        <v>415</v>
      </c>
      <c r="C520" s="8">
        <v>26266</v>
      </c>
      <c r="D520" s="7" t="s">
        <v>28</v>
      </c>
      <c r="E520" s="7" t="s">
        <v>56</v>
      </c>
      <c r="F520" s="7" t="s">
        <v>350</v>
      </c>
      <c r="G520" s="7" t="s">
        <v>18</v>
      </c>
      <c r="H520" s="7" t="s">
        <v>24</v>
      </c>
      <c r="I520" s="7" t="s">
        <v>712</v>
      </c>
      <c r="J520" s="7" t="s">
        <v>712</v>
      </c>
      <c r="K520" s="8">
        <v>6261970</v>
      </c>
      <c r="L520" s="8">
        <v>341533</v>
      </c>
      <c r="M520" s="8">
        <v>19</v>
      </c>
      <c r="N520" s="8">
        <v>1</v>
      </c>
      <c r="O520" s="8">
        <v>0.38</v>
      </c>
      <c r="P520" s="8"/>
    </row>
    <row r="521" spans="1:16" hidden="1" x14ac:dyDescent="0.25">
      <c r="A521" s="7" t="s">
        <v>37</v>
      </c>
      <c r="B521" s="7" t="s">
        <v>415</v>
      </c>
      <c r="C521" s="8">
        <v>26267</v>
      </c>
      <c r="D521" s="7" t="s">
        <v>16</v>
      </c>
      <c r="E521" s="7" t="s">
        <v>46</v>
      </c>
      <c r="F521" s="7" t="s">
        <v>444</v>
      </c>
      <c r="G521" s="7" t="s">
        <v>18</v>
      </c>
      <c r="H521" s="7" t="s">
        <v>48</v>
      </c>
      <c r="I521" s="7" t="s">
        <v>712</v>
      </c>
      <c r="J521" s="7" t="s">
        <v>691</v>
      </c>
      <c r="K521" s="8">
        <v>6118038</v>
      </c>
      <c r="L521" s="8">
        <v>291009</v>
      </c>
      <c r="M521" s="8">
        <v>19</v>
      </c>
      <c r="N521" s="8">
        <v>1</v>
      </c>
      <c r="O521" s="8">
        <v>10.28</v>
      </c>
      <c r="P521" s="8"/>
    </row>
    <row r="522" spans="1:16" hidden="1" x14ac:dyDescent="0.25">
      <c r="A522" s="7" t="s">
        <v>19</v>
      </c>
      <c r="B522" s="7" t="s">
        <v>415</v>
      </c>
      <c r="C522" s="8">
        <v>26268</v>
      </c>
      <c r="D522" s="7" t="s">
        <v>28</v>
      </c>
      <c r="E522" s="7" t="s">
        <v>56</v>
      </c>
      <c r="F522" s="7" t="s">
        <v>350</v>
      </c>
      <c r="G522" s="7" t="s">
        <v>18</v>
      </c>
      <c r="H522" s="7" t="s">
        <v>48</v>
      </c>
      <c r="I522" s="7" t="s">
        <v>712</v>
      </c>
      <c r="J522" s="7" t="s">
        <v>712</v>
      </c>
      <c r="K522" s="8">
        <v>6261574</v>
      </c>
      <c r="L522" s="8">
        <v>341156</v>
      </c>
      <c r="M522" s="8">
        <v>19</v>
      </c>
      <c r="N522" s="8">
        <v>1</v>
      </c>
      <c r="O522" s="8">
        <v>0.37</v>
      </c>
      <c r="P522" s="8"/>
    </row>
    <row r="523" spans="1:16" hidden="1" x14ac:dyDescent="0.25">
      <c r="A523" s="7" t="s">
        <v>19</v>
      </c>
      <c r="B523" s="7" t="s">
        <v>415</v>
      </c>
      <c r="C523" s="8">
        <v>26270</v>
      </c>
      <c r="D523" s="7" t="s">
        <v>28</v>
      </c>
      <c r="E523" s="7" t="s">
        <v>29</v>
      </c>
      <c r="F523" s="7" t="s">
        <v>29</v>
      </c>
      <c r="G523" s="7" t="s">
        <v>18</v>
      </c>
      <c r="H523" s="7" t="s">
        <v>48</v>
      </c>
      <c r="I523" s="7" t="s">
        <v>712</v>
      </c>
      <c r="J523" s="7" t="s">
        <v>691</v>
      </c>
      <c r="K523" s="8">
        <v>6259536</v>
      </c>
      <c r="L523" s="8">
        <v>342827</v>
      </c>
      <c r="M523" s="8">
        <v>19</v>
      </c>
      <c r="N523" s="8">
        <v>1</v>
      </c>
      <c r="O523" s="8">
        <v>0.41</v>
      </c>
      <c r="P523" s="8"/>
    </row>
    <row r="524" spans="1:16" hidden="1" x14ac:dyDescent="0.25">
      <c r="A524" s="7" t="s">
        <v>19</v>
      </c>
      <c r="B524" s="7" t="s">
        <v>415</v>
      </c>
      <c r="C524" s="8">
        <v>26271</v>
      </c>
      <c r="D524" s="7" t="s">
        <v>28</v>
      </c>
      <c r="E524" s="7" t="s">
        <v>141</v>
      </c>
      <c r="F524" s="7" t="s">
        <v>470</v>
      </c>
      <c r="G524" s="7" t="s">
        <v>18</v>
      </c>
      <c r="H524" s="7" t="s">
        <v>48</v>
      </c>
      <c r="I524" s="7" t="s">
        <v>712</v>
      </c>
      <c r="J524" s="7" t="s">
        <v>712</v>
      </c>
      <c r="K524" s="8">
        <v>6272238</v>
      </c>
      <c r="L524" s="8">
        <v>298666</v>
      </c>
      <c r="M524" s="8">
        <v>19</v>
      </c>
      <c r="N524" s="8">
        <v>1</v>
      </c>
      <c r="O524" s="8">
        <v>0.42</v>
      </c>
      <c r="P524" s="8"/>
    </row>
    <row r="525" spans="1:16" hidden="1" x14ac:dyDescent="0.25">
      <c r="A525" s="7" t="s">
        <v>37</v>
      </c>
      <c r="B525" s="7" t="s">
        <v>270</v>
      </c>
      <c r="C525" s="8">
        <v>26272</v>
      </c>
      <c r="D525" s="7" t="s">
        <v>28</v>
      </c>
      <c r="E525" s="7" t="s">
        <v>146</v>
      </c>
      <c r="F525" s="7" t="s">
        <v>600</v>
      </c>
      <c r="G525" s="7" t="s">
        <v>18</v>
      </c>
      <c r="H525" s="7" t="s">
        <v>24</v>
      </c>
      <c r="I525" s="7" t="s">
        <v>712</v>
      </c>
      <c r="J525" s="7" t="s">
        <v>712</v>
      </c>
      <c r="K525" s="8">
        <v>6274014</v>
      </c>
      <c r="L525" s="8">
        <v>327658</v>
      </c>
      <c r="M525" s="8">
        <v>19</v>
      </c>
      <c r="N525" s="8">
        <v>1</v>
      </c>
      <c r="O525" s="8">
        <v>0.8</v>
      </c>
      <c r="P525" s="8"/>
    </row>
    <row r="526" spans="1:16" hidden="1" x14ac:dyDescent="0.25">
      <c r="A526" s="7" t="s">
        <v>19</v>
      </c>
      <c r="B526" s="7" t="s">
        <v>415</v>
      </c>
      <c r="C526" s="8">
        <v>26273</v>
      </c>
      <c r="D526" s="7" t="s">
        <v>28</v>
      </c>
      <c r="E526" s="7" t="s">
        <v>141</v>
      </c>
      <c r="F526" s="7" t="s">
        <v>470</v>
      </c>
      <c r="G526" s="7" t="s">
        <v>18</v>
      </c>
      <c r="H526" s="7" t="s">
        <v>48</v>
      </c>
      <c r="I526" s="7" t="s">
        <v>712</v>
      </c>
      <c r="J526" s="7" t="s">
        <v>712</v>
      </c>
      <c r="K526" s="8">
        <v>6272238</v>
      </c>
      <c r="L526" s="8">
        <v>298666</v>
      </c>
      <c r="M526" s="8">
        <v>19</v>
      </c>
      <c r="N526" s="8">
        <v>1</v>
      </c>
      <c r="O526" s="8">
        <v>0.42</v>
      </c>
      <c r="P526" s="8"/>
    </row>
    <row r="527" spans="1:16" hidden="1" x14ac:dyDescent="0.25">
      <c r="A527" s="7" t="s">
        <v>37</v>
      </c>
      <c r="B527" s="7" t="s">
        <v>343</v>
      </c>
      <c r="C527" s="8">
        <v>26274</v>
      </c>
      <c r="D527" s="7" t="s">
        <v>28</v>
      </c>
      <c r="E527" s="7" t="s">
        <v>135</v>
      </c>
      <c r="F527" s="7" t="s">
        <v>135</v>
      </c>
      <c r="G527" s="7" t="s">
        <v>18</v>
      </c>
      <c r="H527" s="7" t="s">
        <v>24</v>
      </c>
      <c r="I527" s="7" t="s">
        <v>712</v>
      </c>
      <c r="J527" s="7" t="s">
        <v>712</v>
      </c>
      <c r="K527" s="8">
        <v>6278860</v>
      </c>
      <c r="L527" s="8">
        <v>346602</v>
      </c>
      <c r="M527" s="8">
        <v>19</v>
      </c>
      <c r="N527" s="8">
        <v>1</v>
      </c>
      <c r="O527" s="8">
        <v>2.8</v>
      </c>
      <c r="P527" s="8"/>
    </row>
    <row r="528" spans="1:16" hidden="1" x14ac:dyDescent="0.25">
      <c r="A528" s="7" t="s">
        <v>37</v>
      </c>
      <c r="B528" s="7" t="s">
        <v>270</v>
      </c>
      <c r="C528" s="8">
        <v>26275</v>
      </c>
      <c r="D528" s="7" t="s">
        <v>16</v>
      </c>
      <c r="E528" s="7" t="s">
        <v>268</v>
      </c>
      <c r="F528" s="7" t="s">
        <v>601</v>
      </c>
      <c r="G528" s="7" t="s">
        <v>18</v>
      </c>
      <c r="H528" s="7" t="s">
        <v>48</v>
      </c>
      <c r="I528" s="7" t="s">
        <v>712</v>
      </c>
      <c r="J528" s="7" t="s">
        <v>691</v>
      </c>
      <c r="K528" s="8">
        <v>6141846</v>
      </c>
      <c r="L528" s="8">
        <v>293494</v>
      </c>
      <c r="M528" s="8">
        <v>19</v>
      </c>
      <c r="N528" s="8">
        <v>2</v>
      </c>
      <c r="O528" s="8">
        <v>40</v>
      </c>
      <c r="P528" s="8"/>
    </row>
    <row r="529" spans="1:16" hidden="1" x14ac:dyDescent="0.25">
      <c r="A529" s="7" t="s">
        <v>19</v>
      </c>
      <c r="B529" s="7" t="s">
        <v>415</v>
      </c>
      <c r="C529" s="8">
        <v>26276</v>
      </c>
      <c r="D529" s="7" t="s">
        <v>28</v>
      </c>
      <c r="E529" s="7" t="s">
        <v>141</v>
      </c>
      <c r="F529" s="7" t="s">
        <v>470</v>
      </c>
      <c r="G529" s="7" t="s">
        <v>18</v>
      </c>
      <c r="H529" s="7" t="s">
        <v>48</v>
      </c>
      <c r="I529" s="7" t="s">
        <v>712</v>
      </c>
      <c r="J529" s="7" t="s">
        <v>712</v>
      </c>
      <c r="K529" s="8">
        <v>6272238</v>
      </c>
      <c r="L529" s="8">
        <v>298666</v>
      </c>
      <c r="M529" s="8">
        <v>19</v>
      </c>
      <c r="N529" s="8">
        <v>1</v>
      </c>
      <c r="O529" s="8">
        <v>0.42</v>
      </c>
      <c r="P529" s="8"/>
    </row>
    <row r="530" spans="1:16" hidden="1" x14ac:dyDescent="0.25">
      <c r="A530" s="7" t="s">
        <v>19</v>
      </c>
      <c r="B530" s="7" t="s">
        <v>415</v>
      </c>
      <c r="C530" s="8">
        <v>26278</v>
      </c>
      <c r="D530" s="7" t="s">
        <v>28</v>
      </c>
      <c r="E530" s="7" t="s">
        <v>56</v>
      </c>
      <c r="F530" s="7" t="s">
        <v>56</v>
      </c>
      <c r="G530" s="7" t="s">
        <v>18</v>
      </c>
      <c r="H530" s="7" t="s">
        <v>48</v>
      </c>
      <c r="I530" s="7" t="s">
        <v>712</v>
      </c>
      <c r="J530" s="7" t="s">
        <v>712</v>
      </c>
      <c r="K530" s="8">
        <v>6266335</v>
      </c>
      <c r="L530" s="8">
        <v>341116</v>
      </c>
      <c r="M530" s="8">
        <v>19</v>
      </c>
      <c r="N530" s="8">
        <v>1</v>
      </c>
      <c r="O530" s="8">
        <v>0.4</v>
      </c>
      <c r="P530" s="8"/>
    </row>
    <row r="531" spans="1:16" hidden="1" x14ac:dyDescent="0.25">
      <c r="A531" s="7" t="s">
        <v>37</v>
      </c>
      <c r="B531" s="7" t="s">
        <v>343</v>
      </c>
      <c r="C531" s="8">
        <v>26279</v>
      </c>
      <c r="D531" s="7" t="s">
        <v>28</v>
      </c>
      <c r="E531" s="7" t="s">
        <v>135</v>
      </c>
      <c r="F531" s="7" t="s">
        <v>135</v>
      </c>
      <c r="G531" s="7" t="s">
        <v>18</v>
      </c>
      <c r="H531" s="7" t="s">
        <v>24</v>
      </c>
      <c r="I531" s="7" t="s">
        <v>712</v>
      </c>
      <c r="J531" s="7" t="s">
        <v>712</v>
      </c>
      <c r="K531" s="8">
        <v>6278358</v>
      </c>
      <c r="L531" s="8">
        <v>346162</v>
      </c>
      <c r="M531" s="8">
        <v>19</v>
      </c>
      <c r="N531" s="8">
        <v>1</v>
      </c>
      <c r="O531" s="8">
        <v>12.01</v>
      </c>
      <c r="P531" s="8"/>
    </row>
    <row r="532" spans="1:16" hidden="1" x14ac:dyDescent="0.25">
      <c r="A532" s="7" t="s">
        <v>14</v>
      </c>
      <c r="B532" s="7" t="s">
        <v>415</v>
      </c>
      <c r="C532" s="8">
        <v>26280</v>
      </c>
      <c r="D532" s="7" t="s">
        <v>28</v>
      </c>
      <c r="E532" s="7" t="s">
        <v>56</v>
      </c>
      <c r="F532" s="7" t="s">
        <v>378</v>
      </c>
      <c r="G532" s="7" t="s">
        <v>18</v>
      </c>
      <c r="H532" s="7" t="s">
        <v>689</v>
      </c>
      <c r="I532" s="7" t="s">
        <v>712</v>
      </c>
      <c r="J532" s="7" t="s">
        <v>712</v>
      </c>
      <c r="K532" s="8">
        <v>6259782</v>
      </c>
      <c r="L532" s="8">
        <v>331149</v>
      </c>
      <c r="M532" s="8">
        <v>19</v>
      </c>
      <c r="N532" s="8">
        <v>1</v>
      </c>
      <c r="O532" s="8">
        <v>0.83</v>
      </c>
      <c r="P532" s="8"/>
    </row>
    <row r="533" spans="1:16" hidden="1" x14ac:dyDescent="0.25">
      <c r="A533" s="7" t="s">
        <v>14</v>
      </c>
      <c r="B533" s="7" t="s">
        <v>415</v>
      </c>
      <c r="C533" s="8">
        <v>26281</v>
      </c>
      <c r="D533" s="7" t="s">
        <v>28</v>
      </c>
      <c r="E533" s="7" t="s">
        <v>56</v>
      </c>
      <c r="F533" s="7" t="s">
        <v>162</v>
      </c>
      <c r="G533" s="7" t="s">
        <v>18</v>
      </c>
      <c r="H533" s="7" t="s">
        <v>689</v>
      </c>
      <c r="I533" s="7" t="s">
        <v>712</v>
      </c>
      <c r="J533" s="7" t="s">
        <v>712</v>
      </c>
      <c r="K533" s="8">
        <v>6260303</v>
      </c>
      <c r="L533" s="8">
        <v>332858</v>
      </c>
      <c r="M533" s="8">
        <v>19</v>
      </c>
      <c r="N533" s="8">
        <v>1</v>
      </c>
      <c r="O533" s="8">
        <v>0.9</v>
      </c>
      <c r="P533" s="8"/>
    </row>
    <row r="534" spans="1:16" hidden="1" x14ac:dyDescent="0.25">
      <c r="A534" s="7" t="s">
        <v>37</v>
      </c>
      <c r="B534" s="7" t="s">
        <v>343</v>
      </c>
      <c r="C534" s="8">
        <v>26282</v>
      </c>
      <c r="D534" s="7" t="s">
        <v>28</v>
      </c>
      <c r="E534" s="7" t="s">
        <v>32</v>
      </c>
      <c r="F534" s="7" t="s">
        <v>147</v>
      </c>
      <c r="G534" s="7" t="s">
        <v>18</v>
      </c>
      <c r="H534" s="7" t="s">
        <v>109</v>
      </c>
      <c r="I534" s="7" t="s">
        <v>712</v>
      </c>
      <c r="J534" s="7" t="s">
        <v>691</v>
      </c>
      <c r="K534" s="8">
        <v>6273462</v>
      </c>
      <c r="L534" s="8">
        <v>342992</v>
      </c>
      <c r="M534" s="8">
        <v>19</v>
      </c>
      <c r="N534" s="8">
        <v>2</v>
      </c>
      <c r="O534" s="8">
        <v>16.7</v>
      </c>
      <c r="P534" s="8"/>
    </row>
    <row r="535" spans="1:16" hidden="1" x14ac:dyDescent="0.25">
      <c r="A535" s="7" t="s">
        <v>19</v>
      </c>
      <c r="B535" s="7" t="s">
        <v>270</v>
      </c>
      <c r="C535" s="8">
        <v>26286</v>
      </c>
      <c r="D535" s="7" t="s">
        <v>16</v>
      </c>
      <c r="E535" s="7" t="s">
        <v>72</v>
      </c>
      <c r="F535" s="7" t="s">
        <v>602</v>
      </c>
      <c r="G535" s="7" t="s">
        <v>18</v>
      </c>
      <c r="H535" s="7" t="s">
        <v>48</v>
      </c>
      <c r="I535" s="7" t="s">
        <v>712</v>
      </c>
      <c r="J535" s="7" t="s">
        <v>712</v>
      </c>
      <c r="K535" s="8">
        <v>6108968</v>
      </c>
      <c r="L535" s="8">
        <v>289048</v>
      </c>
      <c r="M535" s="8">
        <v>19</v>
      </c>
      <c r="N535" s="8">
        <v>3</v>
      </c>
      <c r="O535" s="8">
        <v>33</v>
      </c>
      <c r="P535" s="8"/>
    </row>
    <row r="536" spans="1:16" hidden="1" x14ac:dyDescent="0.25">
      <c r="A536" s="7" t="s">
        <v>37</v>
      </c>
      <c r="B536" s="7" t="s">
        <v>270</v>
      </c>
      <c r="C536" s="8">
        <v>26288</v>
      </c>
      <c r="D536" s="7" t="s">
        <v>16</v>
      </c>
      <c r="E536" s="7" t="s">
        <v>268</v>
      </c>
      <c r="F536" s="7" t="s">
        <v>372</v>
      </c>
      <c r="G536" s="7" t="s">
        <v>18</v>
      </c>
      <c r="H536" s="7" t="s">
        <v>48</v>
      </c>
      <c r="I536" s="7" t="s">
        <v>712</v>
      </c>
      <c r="J536" s="7" t="s">
        <v>691</v>
      </c>
      <c r="K536" s="8">
        <v>6145172</v>
      </c>
      <c r="L536" s="8">
        <v>305003</v>
      </c>
      <c r="M536" s="8">
        <v>19</v>
      </c>
      <c r="N536" s="8">
        <v>7</v>
      </c>
      <c r="O536" s="8">
        <v>33</v>
      </c>
      <c r="P536" s="8"/>
    </row>
    <row r="537" spans="1:16" hidden="1" x14ac:dyDescent="0.25">
      <c r="A537" s="7" t="s">
        <v>19</v>
      </c>
      <c r="B537" s="7" t="s">
        <v>270</v>
      </c>
      <c r="C537" s="8">
        <v>26290</v>
      </c>
      <c r="D537" s="7" t="s">
        <v>16</v>
      </c>
      <c r="E537" s="7" t="s">
        <v>50</v>
      </c>
      <c r="F537" s="7" t="s">
        <v>537</v>
      </c>
      <c r="G537" s="7" t="s">
        <v>18</v>
      </c>
      <c r="H537" s="7" t="s">
        <v>48</v>
      </c>
      <c r="I537" s="7" t="s">
        <v>712</v>
      </c>
      <c r="J537" s="7" t="s">
        <v>712</v>
      </c>
      <c r="K537" s="8">
        <v>6067659</v>
      </c>
      <c r="L537" s="8">
        <v>273294</v>
      </c>
      <c r="M537" s="8">
        <v>19</v>
      </c>
      <c r="N537" s="8">
        <v>2</v>
      </c>
      <c r="O537" s="8">
        <v>12</v>
      </c>
      <c r="P537" s="8"/>
    </row>
    <row r="538" spans="1:16" hidden="1" x14ac:dyDescent="0.25">
      <c r="A538" s="7" t="s">
        <v>19</v>
      </c>
      <c r="B538" s="7" t="s">
        <v>270</v>
      </c>
      <c r="C538" s="8">
        <v>26291</v>
      </c>
      <c r="D538" s="7" t="s">
        <v>16</v>
      </c>
      <c r="E538" s="7" t="s">
        <v>60</v>
      </c>
      <c r="F538" s="7" t="s">
        <v>60</v>
      </c>
      <c r="G538" s="7" t="s">
        <v>18</v>
      </c>
      <c r="H538" s="7" t="s">
        <v>48</v>
      </c>
      <c r="I538" s="7" t="s">
        <v>712</v>
      </c>
      <c r="J538" s="7" t="s">
        <v>712</v>
      </c>
      <c r="K538" s="8">
        <v>6083985</v>
      </c>
      <c r="L538" s="8">
        <v>277558</v>
      </c>
      <c r="M538" s="8">
        <v>19</v>
      </c>
      <c r="N538" s="8">
        <v>4</v>
      </c>
      <c r="O538" s="8">
        <v>10</v>
      </c>
      <c r="P538" s="8"/>
    </row>
    <row r="539" spans="1:16" hidden="1" x14ac:dyDescent="0.25">
      <c r="A539" s="7" t="s">
        <v>37</v>
      </c>
      <c r="B539" s="7" t="s">
        <v>415</v>
      </c>
      <c r="C539" s="8">
        <v>26294</v>
      </c>
      <c r="D539" s="7" t="s">
        <v>52</v>
      </c>
      <c r="E539" s="7" t="s">
        <v>53</v>
      </c>
      <c r="F539" s="7" t="s">
        <v>53</v>
      </c>
      <c r="G539" s="7" t="s">
        <v>18</v>
      </c>
      <c r="H539" s="7" t="s">
        <v>48</v>
      </c>
      <c r="I539" s="7" t="s">
        <v>712</v>
      </c>
      <c r="J539" s="7" t="s">
        <v>712</v>
      </c>
      <c r="K539" s="8">
        <v>6159050</v>
      </c>
      <c r="L539" s="8">
        <v>320390</v>
      </c>
      <c r="M539" s="8">
        <v>19</v>
      </c>
      <c r="N539" s="8">
        <v>5</v>
      </c>
      <c r="O539" s="8">
        <v>60.51</v>
      </c>
      <c r="P539" s="8"/>
    </row>
    <row r="540" spans="1:16" hidden="1" x14ac:dyDescent="0.25">
      <c r="A540" s="7" t="s">
        <v>37</v>
      </c>
      <c r="B540" s="7" t="s">
        <v>651</v>
      </c>
      <c r="C540" s="8">
        <v>26296</v>
      </c>
      <c r="D540" s="7" t="s">
        <v>28</v>
      </c>
      <c r="E540" s="7" t="s">
        <v>166</v>
      </c>
      <c r="F540" s="7" t="s">
        <v>653</v>
      </c>
      <c r="G540" s="7" t="s">
        <v>18</v>
      </c>
      <c r="H540" s="7" t="s">
        <v>48</v>
      </c>
      <c r="I540" s="7" t="s">
        <v>712</v>
      </c>
      <c r="J540" s="7" t="s">
        <v>691</v>
      </c>
      <c r="K540" s="8">
        <v>6265762</v>
      </c>
      <c r="L540" s="8">
        <v>328840</v>
      </c>
      <c r="M540" s="8">
        <v>19</v>
      </c>
      <c r="N540" s="8">
        <v>1</v>
      </c>
      <c r="O540" s="8">
        <v>20</v>
      </c>
      <c r="P540" s="8"/>
    </row>
    <row r="541" spans="1:16" hidden="1" x14ac:dyDescent="0.25">
      <c r="A541" s="7" t="s">
        <v>37</v>
      </c>
      <c r="B541" s="7" t="s">
        <v>343</v>
      </c>
      <c r="C541" s="8">
        <v>26299</v>
      </c>
      <c r="D541" s="7" t="s">
        <v>16</v>
      </c>
      <c r="E541" s="7" t="s">
        <v>17</v>
      </c>
      <c r="F541" s="7" t="s">
        <v>121</v>
      </c>
      <c r="G541" s="7" t="s">
        <v>18</v>
      </c>
      <c r="H541" s="7" t="s">
        <v>48</v>
      </c>
      <c r="I541" s="7" t="s">
        <v>712</v>
      </c>
      <c r="J541" s="7" t="s">
        <v>712</v>
      </c>
      <c r="K541" s="8">
        <v>6069152</v>
      </c>
      <c r="L541" s="8">
        <v>274385</v>
      </c>
      <c r="M541" s="8">
        <v>19</v>
      </c>
      <c r="N541" s="8">
        <v>7</v>
      </c>
      <c r="O541" s="8">
        <v>40</v>
      </c>
      <c r="P541" s="8"/>
    </row>
    <row r="542" spans="1:16" hidden="1" x14ac:dyDescent="0.25">
      <c r="A542" s="7" t="s">
        <v>19</v>
      </c>
      <c r="B542" s="7" t="s">
        <v>651</v>
      </c>
      <c r="C542" s="8">
        <v>26303</v>
      </c>
      <c r="D542" s="7" t="s">
        <v>28</v>
      </c>
      <c r="E542" s="7" t="s">
        <v>166</v>
      </c>
      <c r="F542" s="7" t="s">
        <v>653</v>
      </c>
      <c r="G542" s="7" t="s">
        <v>18</v>
      </c>
      <c r="H542" s="7" t="s">
        <v>48</v>
      </c>
      <c r="I542" s="7" t="s">
        <v>712</v>
      </c>
      <c r="J542" s="7" t="s">
        <v>712</v>
      </c>
      <c r="K542" s="8">
        <v>6265054</v>
      </c>
      <c r="L542" s="8">
        <v>329854</v>
      </c>
      <c r="M542" s="8">
        <v>19</v>
      </c>
      <c r="N542" s="8">
        <v>1</v>
      </c>
      <c r="O542" s="8">
        <v>22</v>
      </c>
      <c r="P542" s="8"/>
    </row>
    <row r="543" spans="1:16" hidden="1" x14ac:dyDescent="0.25">
      <c r="A543" s="7" t="s">
        <v>19</v>
      </c>
      <c r="B543" s="7" t="s">
        <v>415</v>
      </c>
      <c r="C543" s="8">
        <v>26305</v>
      </c>
      <c r="D543" s="7" t="s">
        <v>28</v>
      </c>
      <c r="E543" s="7" t="s">
        <v>56</v>
      </c>
      <c r="F543" s="7" t="s">
        <v>162</v>
      </c>
      <c r="G543" s="7" t="s">
        <v>18</v>
      </c>
      <c r="H543" s="7" t="s">
        <v>48</v>
      </c>
      <c r="I543" s="7" t="s">
        <v>712</v>
      </c>
      <c r="J543" s="7" t="s">
        <v>691</v>
      </c>
      <c r="K543" s="8">
        <v>6260774</v>
      </c>
      <c r="L543" s="8">
        <v>336841</v>
      </c>
      <c r="M543" s="8">
        <v>19</v>
      </c>
      <c r="N543" s="8">
        <v>1</v>
      </c>
      <c r="O543" s="8">
        <v>0.4</v>
      </c>
      <c r="P543" s="8"/>
    </row>
    <row r="544" spans="1:16" hidden="1" x14ac:dyDescent="0.25">
      <c r="A544" s="7" t="s">
        <v>37</v>
      </c>
      <c r="B544" s="7" t="s">
        <v>343</v>
      </c>
      <c r="C544" s="8">
        <v>26306</v>
      </c>
      <c r="D544" s="7" t="s">
        <v>16</v>
      </c>
      <c r="E544" s="7" t="s">
        <v>367</v>
      </c>
      <c r="F544" s="7" t="s">
        <v>368</v>
      </c>
      <c r="G544" s="7" t="s">
        <v>18</v>
      </c>
      <c r="H544" s="7" t="s">
        <v>48</v>
      </c>
      <c r="I544" s="7" t="s">
        <v>712</v>
      </c>
      <c r="J544" s="7" t="s">
        <v>712</v>
      </c>
      <c r="K544" s="8">
        <v>6057288</v>
      </c>
      <c r="L544" s="8">
        <v>241716</v>
      </c>
      <c r="M544" s="8">
        <v>19</v>
      </c>
      <c r="N544" s="8">
        <v>1</v>
      </c>
      <c r="O544" s="8">
        <v>62</v>
      </c>
      <c r="P544" s="8"/>
    </row>
    <row r="545" spans="1:16" hidden="1" x14ac:dyDescent="0.25">
      <c r="A545" s="7" t="s">
        <v>19</v>
      </c>
      <c r="B545" s="7" t="s">
        <v>415</v>
      </c>
      <c r="C545" s="8">
        <v>26308</v>
      </c>
      <c r="D545" s="7" t="s">
        <v>28</v>
      </c>
      <c r="E545" s="7" t="s">
        <v>344</v>
      </c>
      <c r="F545" s="7" t="s">
        <v>344</v>
      </c>
      <c r="G545" s="7" t="s">
        <v>18</v>
      </c>
      <c r="H545" s="7" t="s">
        <v>48</v>
      </c>
      <c r="I545" s="7" t="s">
        <v>712</v>
      </c>
      <c r="J545" s="7" t="s">
        <v>712</v>
      </c>
      <c r="K545" s="8">
        <v>6274386</v>
      </c>
      <c r="L545" s="8">
        <v>284513</v>
      </c>
      <c r="M545" s="8">
        <v>19</v>
      </c>
      <c r="N545" s="8">
        <v>1</v>
      </c>
      <c r="O545" s="8">
        <v>0.42</v>
      </c>
      <c r="P545" s="8"/>
    </row>
    <row r="546" spans="1:16" hidden="1" x14ac:dyDescent="0.25">
      <c r="A546" s="7" t="s">
        <v>37</v>
      </c>
      <c r="B546" s="7" t="s">
        <v>343</v>
      </c>
      <c r="C546" s="8">
        <v>26310</v>
      </c>
      <c r="D546" s="7" t="s">
        <v>16</v>
      </c>
      <c r="E546" s="7" t="s">
        <v>17</v>
      </c>
      <c r="F546" s="7" t="s">
        <v>369</v>
      </c>
      <c r="G546" s="7" t="s">
        <v>18</v>
      </c>
      <c r="H546" s="7" t="s">
        <v>48</v>
      </c>
      <c r="I546" s="7" t="s">
        <v>712</v>
      </c>
      <c r="J546" s="7" t="s">
        <v>712</v>
      </c>
      <c r="K546" s="8">
        <v>6068833</v>
      </c>
      <c r="L546" s="8">
        <v>274805</v>
      </c>
      <c r="M546" s="8">
        <v>19</v>
      </c>
      <c r="N546" s="8">
        <v>2</v>
      </c>
      <c r="O546" s="8">
        <v>13</v>
      </c>
      <c r="P546" s="8"/>
    </row>
    <row r="547" spans="1:16" hidden="1" x14ac:dyDescent="0.25">
      <c r="A547" s="7" t="s">
        <v>37</v>
      </c>
      <c r="B547" s="7" t="s">
        <v>343</v>
      </c>
      <c r="C547" s="8">
        <v>26314</v>
      </c>
      <c r="D547" s="7" t="s">
        <v>16</v>
      </c>
      <c r="E547" s="7" t="s">
        <v>17</v>
      </c>
      <c r="F547" s="7" t="s">
        <v>55</v>
      </c>
      <c r="G547" s="7" t="s">
        <v>18</v>
      </c>
      <c r="H547" s="7" t="s">
        <v>48</v>
      </c>
      <c r="I547" s="7" t="s">
        <v>712</v>
      </c>
      <c r="J547" s="7" t="s">
        <v>712</v>
      </c>
      <c r="K547" s="8">
        <v>6065296</v>
      </c>
      <c r="L547" s="8">
        <v>279494</v>
      </c>
      <c r="M547" s="8">
        <v>19</v>
      </c>
      <c r="N547" s="8">
        <v>1</v>
      </c>
      <c r="O547" s="8">
        <v>13</v>
      </c>
      <c r="P547" s="8"/>
    </row>
    <row r="548" spans="1:16" hidden="1" x14ac:dyDescent="0.25">
      <c r="A548" s="7" t="s">
        <v>19</v>
      </c>
      <c r="B548" s="7" t="s">
        <v>415</v>
      </c>
      <c r="C548" s="8">
        <v>26317</v>
      </c>
      <c r="D548" s="7" t="s">
        <v>28</v>
      </c>
      <c r="E548" s="7" t="s">
        <v>146</v>
      </c>
      <c r="F548" s="7" t="s">
        <v>146</v>
      </c>
      <c r="G548" s="7" t="s">
        <v>18</v>
      </c>
      <c r="H548" s="7" t="s">
        <v>48</v>
      </c>
      <c r="I548" s="7" t="s">
        <v>712</v>
      </c>
      <c r="J548" s="7" t="s">
        <v>712</v>
      </c>
      <c r="K548" s="8">
        <v>6276544</v>
      </c>
      <c r="L548" s="8">
        <v>325954</v>
      </c>
      <c r="M548" s="8">
        <v>19</v>
      </c>
      <c r="N548" s="8">
        <v>1</v>
      </c>
      <c r="O548" s="8">
        <v>0.41</v>
      </c>
      <c r="P548" s="8"/>
    </row>
    <row r="549" spans="1:16" hidden="1" x14ac:dyDescent="0.25">
      <c r="A549" s="7" t="s">
        <v>37</v>
      </c>
      <c r="B549" s="7" t="s">
        <v>343</v>
      </c>
      <c r="C549" s="8">
        <v>26319</v>
      </c>
      <c r="D549" s="7" t="s">
        <v>16</v>
      </c>
      <c r="E549" s="7" t="s">
        <v>17</v>
      </c>
      <c r="F549" s="7" t="s">
        <v>370</v>
      </c>
      <c r="G549" s="7" t="s">
        <v>18</v>
      </c>
      <c r="H549" s="7" t="s">
        <v>48</v>
      </c>
      <c r="I549" s="7" t="s">
        <v>712</v>
      </c>
      <c r="J549" s="7" t="s">
        <v>712</v>
      </c>
      <c r="K549" s="8">
        <v>6069425</v>
      </c>
      <c r="L549" s="8">
        <v>274512</v>
      </c>
      <c r="M549" s="8">
        <v>19</v>
      </c>
      <c r="N549" s="8">
        <v>2</v>
      </c>
      <c r="O549" s="8">
        <v>18</v>
      </c>
      <c r="P549" s="8"/>
    </row>
    <row r="550" spans="1:16" hidden="1" x14ac:dyDescent="0.25">
      <c r="A550" s="7" t="s">
        <v>37</v>
      </c>
      <c r="B550" s="7" t="s">
        <v>343</v>
      </c>
      <c r="C550" s="8">
        <v>26321</v>
      </c>
      <c r="D550" s="7" t="s">
        <v>16</v>
      </c>
      <c r="E550" s="7" t="s">
        <v>50</v>
      </c>
      <c r="F550" s="7" t="s">
        <v>371</v>
      </c>
      <c r="G550" s="7" t="s">
        <v>18</v>
      </c>
      <c r="H550" s="7" t="s">
        <v>48</v>
      </c>
      <c r="I550" s="7" t="s">
        <v>712</v>
      </c>
      <c r="J550" s="7" t="s">
        <v>712</v>
      </c>
      <c r="K550" s="8">
        <v>6075685</v>
      </c>
      <c r="L550" s="8">
        <v>265319</v>
      </c>
      <c r="M550" s="8">
        <v>19</v>
      </c>
      <c r="N550" s="8">
        <v>1</v>
      </c>
      <c r="O550" s="8">
        <v>10</v>
      </c>
      <c r="P550" s="8"/>
    </row>
    <row r="551" spans="1:16" hidden="1" x14ac:dyDescent="0.25">
      <c r="A551" s="7" t="s">
        <v>37</v>
      </c>
      <c r="B551" s="7" t="s">
        <v>124</v>
      </c>
      <c r="C551" s="8">
        <v>26322</v>
      </c>
      <c r="D551" s="7" t="s">
        <v>28</v>
      </c>
      <c r="E551" s="7" t="s">
        <v>135</v>
      </c>
      <c r="F551" s="7" t="s">
        <v>135</v>
      </c>
      <c r="G551" s="7" t="s">
        <v>18</v>
      </c>
      <c r="H551" s="7" t="s">
        <v>24</v>
      </c>
      <c r="I551" s="7" t="s">
        <v>712</v>
      </c>
      <c r="J551" s="7" t="s">
        <v>712</v>
      </c>
      <c r="K551" s="8">
        <v>6279842</v>
      </c>
      <c r="L551" s="8">
        <v>347279</v>
      </c>
      <c r="M551" s="8">
        <v>19</v>
      </c>
      <c r="N551" s="8">
        <v>1</v>
      </c>
      <c r="O551" s="8">
        <v>2</v>
      </c>
      <c r="P551" s="8"/>
    </row>
    <row r="552" spans="1:16" hidden="1" x14ac:dyDescent="0.25">
      <c r="A552" s="7" t="s">
        <v>19</v>
      </c>
      <c r="B552" s="7" t="s">
        <v>415</v>
      </c>
      <c r="C552" s="8">
        <v>26323</v>
      </c>
      <c r="D552" s="7" t="s">
        <v>28</v>
      </c>
      <c r="E552" s="7" t="s">
        <v>447</v>
      </c>
      <c r="F552" s="7" t="s">
        <v>390</v>
      </c>
      <c r="G552" s="7" t="s">
        <v>18</v>
      </c>
      <c r="H552" s="7" t="s">
        <v>48</v>
      </c>
      <c r="I552" s="7" t="s">
        <v>712</v>
      </c>
      <c r="J552" s="7" t="s">
        <v>712</v>
      </c>
      <c r="K552" s="8">
        <v>6302458</v>
      </c>
      <c r="L552" s="8">
        <v>335728</v>
      </c>
      <c r="M552" s="8">
        <v>19</v>
      </c>
      <c r="N552" s="8">
        <v>1</v>
      </c>
      <c r="O552" s="8">
        <v>0.4</v>
      </c>
      <c r="P552" s="8"/>
    </row>
    <row r="553" spans="1:16" hidden="1" x14ac:dyDescent="0.25">
      <c r="A553" s="7" t="s">
        <v>19</v>
      </c>
      <c r="B553" s="7" t="s">
        <v>415</v>
      </c>
      <c r="C553" s="8">
        <v>26325</v>
      </c>
      <c r="D553" s="7" t="s">
        <v>28</v>
      </c>
      <c r="E553" s="7" t="s">
        <v>447</v>
      </c>
      <c r="F553" s="7" t="s">
        <v>390</v>
      </c>
      <c r="G553" s="7" t="s">
        <v>18</v>
      </c>
      <c r="H553" s="7" t="s">
        <v>48</v>
      </c>
      <c r="I553" s="7" t="s">
        <v>712</v>
      </c>
      <c r="J553" s="7" t="s">
        <v>712</v>
      </c>
      <c r="K553" s="8">
        <v>6302873</v>
      </c>
      <c r="L553" s="8">
        <v>335491</v>
      </c>
      <c r="M553" s="8">
        <v>19</v>
      </c>
      <c r="N553" s="8">
        <v>1</v>
      </c>
      <c r="O553" s="8">
        <v>0.4</v>
      </c>
      <c r="P553" s="8"/>
    </row>
    <row r="554" spans="1:16" hidden="1" x14ac:dyDescent="0.25">
      <c r="A554" s="7" t="s">
        <v>37</v>
      </c>
      <c r="B554" s="7" t="s">
        <v>343</v>
      </c>
      <c r="C554" s="8">
        <v>26326</v>
      </c>
      <c r="D554" s="7" t="s">
        <v>16</v>
      </c>
      <c r="E554" s="7" t="s">
        <v>50</v>
      </c>
      <c r="F554" s="7" t="s">
        <v>371</v>
      </c>
      <c r="G554" s="7" t="s">
        <v>18</v>
      </c>
      <c r="H554" s="7" t="s">
        <v>48</v>
      </c>
      <c r="I554" s="7" t="s">
        <v>712</v>
      </c>
      <c r="J554" s="7" t="s">
        <v>712</v>
      </c>
      <c r="K554" s="8">
        <v>6075508</v>
      </c>
      <c r="L554" s="8">
        <v>265564</v>
      </c>
      <c r="M554" s="8">
        <v>19</v>
      </c>
      <c r="N554" s="8">
        <v>1</v>
      </c>
      <c r="O554" s="8">
        <v>9</v>
      </c>
      <c r="P554" s="8"/>
    </row>
    <row r="555" spans="1:16" hidden="1" x14ac:dyDescent="0.25">
      <c r="A555" s="7" t="s">
        <v>19</v>
      </c>
      <c r="B555" s="7" t="s">
        <v>415</v>
      </c>
      <c r="C555" s="8">
        <v>26327</v>
      </c>
      <c r="D555" s="7" t="s">
        <v>28</v>
      </c>
      <c r="E555" s="7" t="s">
        <v>135</v>
      </c>
      <c r="F555" s="7" t="s">
        <v>471</v>
      </c>
      <c r="G555" s="7" t="s">
        <v>18</v>
      </c>
      <c r="H555" s="7" t="s">
        <v>48</v>
      </c>
      <c r="I555" s="7" t="s">
        <v>712</v>
      </c>
      <c r="J555" s="7" t="s">
        <v>712</v>
      </c>
      <c r="K555" s="8">
        <v>6280892</v>
      </c>
      <c r="L555" s="8">
        <v>346444</v>
      </c>
      <c r="M555" s="8">
        <v>19</v>
      </c>
      <c r="N555" s="8">
        <v>1</v>
      </c>
      <c r="O555" s="8">
        <v>0.33</v>
      </c>
      <c r="P555" s="8"/>
    </row>
    <row r="556" spans="1:16" hidden="1" x14ac:dyDescent="0.25">
      <c r="A556" s="7" t="s">
        <v>19</v>
      </c>
      <c r="B556" s="7" t="s">
        <v>415</v>
      </c>
      <c r="C556" s="8">
        <v>26329</v>
      </c>
      <c r="D556" s="7" t="s">
        <v>28</v>
      </c>
      <c r="E556" s="7" t="s">
        <v>135</v>
      </c>
      <c r="F556" s="7" t="s">
        <v>471</v>
      </c>
      <c r="G556" s="7" t="s">
        <v>18</v>
      </c>
      <c r="H556" s="7" t="s">
        <v>48</v>
      </c>
      <c r="I556" s="7" t="s">
        <v>712</v>
      </c>
      <c r="J556" s="7" t="s">
        <v>712</v>
      </c>
      <c r="K556" s="8">
        <v>6280892</v>
      </c>
      <c r="L556" s="8">
        <v>346444</v>
      </c>
      <c r="M556" s="8">
        <v>19</v>
      </c>
      <c r="N556" s="8">
        <v>1</v>
      </c>
      <c r="O556" s="8">
        <v>0.33</v>
      </c>
      <c r="P556" s="8"/>
    </row>
    <row r="557" spans="1:16" hidden="1" x14ac:dyDescent="0.25">
      <c r="A557" s="7" t="s">
        <v>37</v>
      </c>
      <c r="B557" s="7" t="s">
        <v>343</v>
      </c>
      <c r="C557" s="8">
        <v>26331</v>
      </c>
      <c r="D557" s="7" t="s">
        <v>16</v>
      </c>
      <c r="E557" s="7" t="s">
        <v>17</v>
      </c>
      <c r="F557" s="7" t="s">
        <v>17</v>
      </c>
      <c r="G557" s="7" t="s">
        <v>18</v>
      </c>
      <c r="H557" s="7" t="s">
        <v>48</v>
      </c>
      <c r="I557" s="7" t="s">
        <v>712</v>
      </c>
      <c r="J557" s="7" t="s">
        <v>712</v>
      </c>
      <c r="K557" s="8">
        <v>6068510</v>
      </c>
      <c r="L557" s="8">
        <v>277024</v>
      </c>
      <c r="M557" s="8">
        <v>19</v>
      </c>
      <c r="N557" s="8">
        <v>2</v>
      </c>
      <c r="O557" s="8">
        <v>35</v>
      </c>
      <c r="P557" s="8"/>
    </row>
    <row r="558" spans="1:16" hidden="1" x14ac:dyDescent="0.25">
      <c r="A558" s="7" t="s">
        <v>19</v>
      </c>
      <c r="B558" s="7" t="s">
        <v>415</v>
      </c>
      <c r="C558" s="8">
        <v>26332</v>
      </c>
      <c r="D558" s="7" t="s">
        <v>28</v>
      </c>
      <c r="E558" s="7" t="s">
        <v>135</v>
      </c>
      <c r="F558" s="7" t="s">
        <v>471</v>
      </c>
      <c r="G558" s="7" t="s">
        <v>18</v>
      </c>
      <c r="H558" s="7" t="s">
        <v>48</v>
      </c>
      <c r="I558" s="7" t="s">
        <v>712</v>
      </c>
      <c r="J558" s="7" t="s">
        <v>712</v>
      </c>
      <c r="K558" s="8">
        <v>6280892</v>
      </c>
      <c r="L558" s="8">
        <v>346444</v>
      </c>
      <c r="M558" s="8">
        <v>19</v>
      </c>
      <c r="N558" s="8">
        <v>1</v>
      </c>
      <c r="O558" s="8">
        <v>0.33</v>
      </c>
      <c r="P558" s="8"/>
    </row>
    <row r="559" spans="1:16" hidden="1" x14ac:dyDescent="0.25">
      <c r="A559" s="7" t="s">
        <v>37</v>
      </c>
      <c r="B559" s="7" t="s">
        <v>343</v>
      </c>
      <c r="C559" s="8">
        <v>26335</v>
      </c>
      <c r="D559" s="7" t="s">
        <v>16</v>
      </c>
      <c r="E559" s="7" t="s">
        <v>17</v>
      </c>
      <c r="F559" s="7" t="s">
        <v>121</v>
      </c>
      <c r="G559" s="7" t="s">
        <v>18</v>
      </c>
      <c r="H559" s="7" t="s">
        <v>48</v>
      </c>
      <c r="I559" s="7" t="s">
        <v>712</v>
      </c>
      <c r="J559" s="7" t="s">
        <v>712</v>
      </c>
      <c r="K559" s="8">
        <v>6068786</v>
      </c>
      <c r="L559" s="8">
        <v>274257</v>
      </c>
      <c r="M559" s="8">
        <v>19</v>
      </c>
      <c r="N559" s="8">
        <v>2</v>
      </c>
      <c r="O559" s="8">
        <v>4</v>
      </c>
      <c r="P559" s="8"/>
    </row>
    <row r="560" spans="1:16" hidden="1" x14ac:dyDescent="0.25">
      <c r="A560" s="7" t="s">
        <v>19</v>
      </c>
      <c r="B560" s="7" t="s">
        <v>415</v>
      </c>
      <c r="C560" s="8">
        <v>26337</v>
      </c>
      <c r="D560" s="7" t="s">
        <v>28</v>
      </c>
      <c r="E560" s="7" t="s">
        <v>135</v>
      </c>
      <c r="F560" s="7" t="s">
        <v>471</v>
      </c>
      <c r="G560" s="7" t="s">
        <v>18</v>
      </c>
      <c r="H560" s="7" t="s">
        <v>48</v>
      </c>
      <c r="I560" s="7" t="s">
        <v>712</v>
      </c>
      <c r="J560" s="7" t="s">
        <v>712</v>
      </c>
      <c r="K560" s="8">
        <v>6280892</v>
      </c>
      <c r="L560" s="8">
        <v>346444</v>
      </c>
      <c r="M560" s="8">
        <v>19</v>
      </c>
      <c r="N560" s="8">
        <v>1</v>
      </c>
      <c r="O560" s="8">
        <v>0.33</v>
      </c>
      <c r="P560" s="8"/>
    </row>
    <row r="561" spans="1:16" hidden="1" x14ac:dyDescent="0.25">
      <c r="A561" s="7" t="s">
        <v>19</v>
      </c>
      <c r="B561" s="7" t="s">
        <v>415</v>
      </c>
      <c r="C561" s="8">
        <v>26338</v>
      </c>
      <c r="D561" s="7" t="s">
        <v>28</v>
      </c>
      <c r="E561" s="7" t="s">
        <v>32</v>
      </c>
      <c r="F561" s="7" t="s">
        <v>147</v>
      </c>
      <c r="G561" s="7" t="s">
        <v>18</v>
      </c>
      <c r="H561" s="7" t="s">
        <v>48</v>
      </c>
      <c r="I561" s="7" t="s">
        <v>712</v>
      </c>
      <c r="J561" s="7" t="s">
        <v>712</v>
      </c>
      <c r="K561" s="8">
        <v>6273915</v>
      </c>
      <c r="L561" s="8">
        <v>339514</v>
      </c>
      <c r="M561" s="8">
        <v>19</v>
      </c>
      <c r="N561" s="8">
        <v>1</v>
      </c>
      <c r="O561" s="8">
        <v>0.4</v>
      </c>
      <c r="P561" s="8"/>
    </row>
    <row r="562" spans="1:16" hidden="1" x14ac:dyDescent="0.25">
      <c r="A562" s="7" t="s">
        <v>37</v>
      </c>
      <c r="B562" s="7" t="s">
        <v>343</v>
      </c>
      <c r="C562" s="8">
        <v>26339</v>
      </c>
      <c r="D562" s="7" t="s">
        <v>16</v>
      </c>
      <c r="E562" s="7" t="s">
        <v>367</v>
      </c>
      <c r="F562" s="7" t="s">
        <v>368</v>
      </c>
      <c r="G562" s="7" t="s">
        <v>18</v>
      </c>
      <c r="H562" s="7" t="s">
        <v>48</v>
      </c>
      <c r="I562" s="7" t="s">
        <v>712</v>
      </c>
      <c r="J562" s="7" t="s">
        <v>712</v>
      </c>
      <c r="K562" s="8">
        <v>6056696</v>
      </c>
      <c r="L562" s="8">
        <v>243842</v>
      </c>
      <c r="M562" s="8">
        <v>19</v>
      </c>
      <c r="N562" s="8">
        <v>1</v>
      </c>
      <c r="O562" s="8">
        <v>20</v>
      </c>
      <c r="P562" s="8"/>
    </row>
    <row r="563" spans="1:16" hidden="1" x14ac:dyDescent="0.25">
      <c r="A563" s="7" t="s">
        <v>19</v>
      </c>
      <c r="B563" s="7" t="s">
        <v>415</v>
      </c>
      <c r="C563" s="8">
        <v>26340</v>
      </c>
      <c r="D563" s="7" t="s">
        <v>28</v>
      </c>
      <c r="E563" s="7" t="s">
        <v>32</v>
      </c>
      <c r="F563" s="7" t="s">
        <v>147</v>
      </c>
      <c r="G563" s="7" t="s">
        <v>18</v>
      </c>
      <c r="H563" s="7" t="s">
        <v>48</v>
      </c>
      <c r="I563" s="7" t="s">
        <v>712</v>
      </c>
      <c r="J563" s="7" t="s">
        <v>712</v>
      </c>
      <c r="K563" s="8">
        <v>6273915</v>
      </c>
      <c r="L563" s="8">
        <v>339514</v>
      </c>
      <c r="M563" s="8">
        <v>19</v>
      </c>
      <c r="N563" s="8">
        <v>1</v>
      </c>
      <c r="O563" s="8">
        <v>0.37</v>
      </c>
      <c r="P563" s="8"/>
    </row>
    <row r="564" spans="1:16" hidden="1" x14ac:dyDescent="0.25">
      <c r="A564" s="7" t="s">
        <v>37</v>
      </c>
      <c r="B564" s="7" t="s">
        <v>415</v>
      </c>
      <c r="C564" s="8">
        <v>26341</v>
      </c>
      <c r="D564" s="7" t="s">
        <v>52</v>
      </c>
      <c r="E564" s="7" t="s">
        <v>145</v>
      </c>
      <c r="F564" s="7" t="s">
        <v>145</v>
      </c>
      <c r="G564" s="7" t="s">
        <v>18</v>
      </c>
      <c r="H564" s="7" t="s">
        <v>48</v>
      </c>
      <c r="I564" s="7" t="s">
        <v>712</v>
      </c>
      <c r="J564" s="7" t="s">
        <v>712</v>
      </c>
      <c r="K564" s="8">
        <v>6167294</v>
      </c>
      <c r="L564" s="8">
        <v>321694</v>
      </c>
      <c r="M564" s="8">
        <v>19</v>
      </c>
      <c r="N564" s="8">
        <v>3</v>
      </c>
      <c r="O564" s="8">
        <v>24.49</v>
      </c>
      <c r="P564" s="8"/>
    </row>
    <row r="565" spans="1:16" hidden="1" x14ac:dyDescent="0.25">
      <c r="A565" s="7" t="s">
        <v>19</v>
      </c>
      <c r="B565" s="7" t="s">
        <v>415</v>
      </c>
      <c r="C565" s="8">
        <v>26344</v>
      </c>
      <c r="D565" s="7" t="s">
        <v>16</v>
      </c>
      <c r="E565" s="7" t="s">
        <v>268</v>
      </c>
      <c r="F565" s="7" t="s">
        <v>472</v>
      </c>
      <c r="G565" s="7" t="s">
        <v>18</v>
      </c>
      <c r="H565" s="7" t="s">
        <v>48</v>
      </c>
      <c r="I565" s="7" t="s">
        <v>712</v>
      </c>
      <c r="J565" s="7" t="s">
        <v>691</v>
      </c>
      <c r="K565" s="8">
        <v>6144308</v>
      </c>
      <c r="L565" s="8">
        <v>312993</v>
      </c>
      <c r="M565" s="8">
        <v>19</v>
      </c>
      <c r="N565" s="8">
        <v>1</v>
      </c>
      <c r="O565" s="8">
        <v>13</v>
      </c>
      <c r="P565" s="8"/>
    </row>
    <row r="566" spans="1:16" hidden="1" x14ac:dyDescent="0.25">
      <c r="A566" s="7" t="s">
        <v>37</v>
      </c>
      <c r="B566" s="7" t="s">
        <v>124</v>
      </c>
      <c r="C566" s="8">
        <v>26346</v>
      </c>
      <c r="D566" s="7" t="s">
        <v>28</v>
      </c>
      <c r="E566" s="7" t="s">
        <v>44</v>
      </c>
      <c r="F566" s="7" t="s">
        <v>136</v>
      </c>
      <c r="G566" s="7" t="s">
        <v>18</v>
      </c>
      <c r="H566" s="7" t="s">
        <v>24</v>
      </c>
      <c r="I566" s="7" t="s">
        <v>712</v>
      </c>
      <c r="J566" s="7" t="s">
        <v>712</v>
      </c>
      <c r="K566" s="8">
        <v>6269855</v>
      </c>
      <c r="L566" s="8">
        <v>351430</v>
      </c>
      <c r="M566" s="8">
        <v>19</v>
      </c>
      <c r="N566" s="8">
        <v>1</v>
      </c>
      <c r="O566" s="8">
        <v>1.1000000000000001</v>
      </c>
      <c r="P566" s="8"/>
    </row>
    <row r="567" spans="1:16" hidden="1" x14ac:dyDescent="0.25">
      <c r="A567" s="7" t="s">
        <v>19</v>
      </c>
      <c r="B567" s="7" t="s">
        <v>124</v>
      </c>
      <c r="C567" s="8">
        <v>26347</v>
      </c>
      <c r="D567" s="7" t="s">
        <v>28</v>
      </c>
      <c r="E567" s="7" t="s">
        <v>44</v>
      </c>
      <c r="F567" s="7" t="s">
        <v>136</v>
      </c>
      <c r="G567" s="7" t="s">
        <v>18</v>
      </c>
      <c r="H567" s="7" t="s">
        <v>48</v>
      </c>
      <c r="I567" s="7" t="s">
        <v>712</v>
      </c>
      <c r="J567" s="7" t="s">
        <v>712</v>
      </c>
      <c r="K567" s="8">
        <v>6278540</v>
      </c>
      <c r="L567" s="8">
        <v>356553</v>
      </c>
      <c r="M567" s="8">
        <v>19</v>
      </c>
      <c r="N567" s="8">
        <v>1</v>
      </c>
      <c r="O567" s="8">
        <v>12</v>
      </c>
      <c r="P567" s="8"/>
    </row>
    <row r="568" spans="1:16" hidden="1" x14ac:dyDescent="0.25">
      <c r="A568" s="7" t="s">
        <v>19</v>
      </c>
      <c r="B568" s="7" t="s">
        <v>415</v>
      </c>
      <c r="C568" s="8">
        <v>26349</v>
      </c>
      <c r="D568" s="7" t="s">
        <v>28</v>
      </c>
      <c r="E568" s="7" t="s">
        <v>447</v>
      </c>
      <c r="F568" s="7" t="s">
        <v>390</v>
      </c>
      <c r="G568" s="7" t="s">
        <v>18</v>
      </c>
      <c r="H568" s="7" t="s">
        <v>48</v>
      </c>
      <c r="I568" s="7" t="s">
        <v>712</v>
      </c>
      <c r="J568" s="7" t="s">
        <v>712</v>
      </c>
      <c r="K568" s="8">
        <v>6302791</v>
      </c>
      <c r="L568" s="8">
        <v>335819</v>
      </c>
      <c r="M568" s="8">
        <v>19</v>
      </c>
      <c r="N568" s="8">
        <v>1</v>
      </c>
      <c r="O568" s="8">
        <v>0.37</v>
      </c>
      <c r="P568" s="8"/>
    </row>
    <row r="569" spans="1:16" hidden="1" x14ac:dyDescent="0.25">
      <c r="A569" s="7" t="s">
        <v>19</v>
      </c>
      <c r="B569" s="7" t="s">
        <v>415</v>
      </c>
      <c r="C569" s="8">
        <v>26350</v>
      </c>
      <c r="D569" s="7" t="s">
        <v>28</v>
      </c>
      <c r="E569" s="7" t="s">
        <v>32</v>
      </c>
      <c r="F569" s="7" t="s">
        <v>147</v>
      </c>
      <c r="G569" s="7" t="s">
        <v>18</v>
      </c>
      <c r="H569" s="7" t="s">
        <v>48</v>
      </c>
      <c r="I569" s="7" t="s">
        <v>712</v>
      </c>
      <c r="J569" s="7" t="s">
        <v>712</v>
      </c>
      <c r="K569" s="8">
        <v>6273915</v>
      </c>
      <c r="L569" s="8">
        <v>339514</v>
      </c>
      <c r="M569" s="8">
        <v>19</v>
      </c>
      <c r="N569" s="8">
        <v>1</v>
      </c>
      <c r="O569" s="8">
        <v>0.41</v>
      </c>
      <c r="P569" s="8"/>
    </row>
    <row r="570" spans="1:16" hidden="1" x14ac:dyDescent="0.25">
      <c r="A570" s="7" t="s">
        <v>14</v>
      </c>
      <c r="B570" s="7" t="s">
        <v>415</v>
      </c>
      <c r="C570" s="8">
        <v>26356</v>
      </c>
      <c r="D570" s="7" t="s">
        <v>322</v>
      </c>
      <c r="E570" s="7" t="s">
        <v>323</v>
      </c>
      <c r="F570" s="7" t="s">
        <v>422</v>
      </c>
      <c r="G570" s="7" t="s">
        <v>18</v>
      </c>
      <c r="H570" s="7" t="s">
        <v>689</v>
      </c>
      <c r="I570" s="7" t="s">
        <v>712</v>
      </c>
      <c r="J570" s="7" t="s">
        <v>712</v>
      </c>
      <c r="K570" s="8">
        <v>7953403</v>
      </c>
      <c r="L570" s="8">
        <v>370706</v>
      </c>
      <c r="M570" s="8">
        <v>19</v>
      </c>
      <c r="N570" s="8">
        <v>1</v>
      </c>
      <c r="O570" s="8">
        <v>0.3</v>
      </c>
      <c r="P570" s="8"/>
    </row>
    <row r="571" spans="1:16" hidden="1" x14ac:dyDescent="0.25">
      <c r="A571" s="7" t="s">
        <v>37</v>
      </c>
      <c r="B571" s="7" t="s">
        <v>254</v>
      </c>
      <c r="C571" s="8">
        <v>26357</v>
      </c>
      <c r="D571" s="7" t="s">
        <v>16</v>
      </c>
      <c r="E571" s="7" t="s">
        <v>46</v>
      </c>
      <c r="F571" s="7" t="s">
        <v>46</v>
      </c>
      <c r="G571" s="7" t="s">
        <v>18</v>
      </c>
      <c r="H571" s="7" t="s">
        <v>48</v>
      </c>
      <c r="I571" s="7" t="s">
        <v>712</v>
      </c>
      <c r="J571" s="7" t="s">
        <v>712</v>
      </c>
      <c r="K571" s="8">
        <v>6110497</v>
      </c>
      <c r="L571" s="8">
        <v>292104</v>
      </c>
      <c r="M571" s="8">
        <v>19</v>
      </c>
      <c r="N571" s="8">
        <v>2</v>
      </c>
      <c r="O571" s="8">
        <v>10</v>
      </c>
      <c r="P571" s="8"/>
    </row>
    <row r="572" spans="1:16" hidden="1" x14ac:dyDescent="0.25">
      <c r="A572" s="7" t="s">
        <v>37</v>
      </c>
      <c r="B572" s="7" t="s">
        <v>343</v>
      </c>
      <c r="C572" s="8">
        <v>26358</v>
      </c>
      <c r="D572" s="7" t="s">
        <v>16</v>
      </c>
      <c r="E572" s="7" t="s">
        <v>268</v>
      </c>
      <c r="F572" s="7" t="s">
        <v>268</v>
      </c>
      <c r="G572" s="7" t="s">
        <v>18</v>
      </c>
      <c r="H572" s="7" t="s">
        <v>24</v>
      </c>
      <c r="I572" s="7" t="s">
        <v>712</v>
      </c>
      <c r="J572" s="7" t="s">
        <v>712</v>
      </c>
      <c r="K572" s="8">
        <v>6128020</v>
      </c>
      <c r="L572" s="8">
        <v>324492</v>
      </c>
      <c r="M572" s="8">
        <v>19</v>
      </c>
      <c r="N572" s="8">
        <v>1</v>
      </c>
      <c r="O572" s="8">
        <v>0.6</v>
      </c>
      <c r="P572" s="8"/>
    </row>
    <row r="573" spans="1:16" hidden="1" x14ac:dyDescent="0.25">
      <c r="A573" s="7" t="s">
        <v>37</v>
      </c>
      <c r="B573" s="7" t="s">
        <v>343</v>
      </c>
      <c r="C573" s="8">
        <v>26359</v>
      </c>
      <c r="D573" s="7" t="s">
        <v>16</v>
      </c>
      <c r="E573" s="7" t="s">
        <v>268</v>
      </c>
      <c r="F573" s="7" t="s">
        <v>268</v>
      </c>
      <c r="G573" s="7" t="s">
        <v>18</v>
      </c>
      <c r="H573" s="7" t="s">
        <v>24</v>
      </c>
      <c r="I573" s="7" t="s">
        <v>712</v>
      </c>
      <c r="J573" s="7" t="s">
        <v>712</v>
      </c>
      <c r="K573" s="8">
        <v>6127914</v>
      </c>
      <c r="L573" s="8">
        <v>309248</v>
      </c>
      <c r="M573" s="8">
        <v>19</v>
      </c>
      <c r="N573" s="8">
        <v>1</v>
      </c>
      <c r="O573" s="8">
        <v>0.44</v>
      </c>
      <c r="P573" s="8"/>
    </row>
    <row r="574" spans="1:16" hidden="1" x14ac:dyDescent="0.25">
      <c r="A574" s="7" t="s">
        <v>19</v>
      </c>
      <c r="B574" s="7" t="s">
        <v>343</v>
      </c>
      <c r="C574" s="8">
        <v>26360</v>
      </c>
      <c r="D574" s="7" t="s">
        <v>16</v>
      </c>
      <c r="E574" s="7" t="s">
        <v>268</v>
      </c>
      <c r="F574" s="7" t="s">
        <v>268</v>
      </c>
      <c r="G574" s="7" t="s">
        <v>18</v>
      </c>
      <c r="H574" s="7" t="s">
        <v>24</v>
      </c>
      <c r="I574" s="7" t="s">
        <v>712</v>
      </c>
      <c r="J574" s="7" t="s">
        <v>712</v>
      </c>
      <c r="K574" s="8">
        <v>6128173</v>
      </c>
      <c r="L574" s="8">
        <v>326417</v>
      </c>
      <c r="M574" s="8">
        <v>19</v>
      </c>
      <c r="N574" s="8">
        <v>1</v>
      </c>
      <c r="O574" s="8">
        <v>0.44</v>
      </c>
      <c r="P574" s="8"/>
    </row>
    <row r="575" spans="1:16" hidden="1" x14ac:dyDescent="0.25">
      <c r="A575" s="7" t="s">
        <v>37</v>
      </c>
      <c r="B575" s="7" t="s">
        <v>343</v>
      </c>
      <c r="C575" s="8">
        <v>26361</v>
      </c>
      <c r="D575" s="7" t="s">
        <v>16</v>
      </c>
      <c r="E575" s="7" t="s">
        <v>268</v>
      </c>
      <c r="F575" s="7" t="s">
        <v>268</v>
      </c>
      <c r="G575" s="7" t="s">
        <v>18</v>
      </c>
      <c r="H575" s="7" t="s">
        <v>24</v>
      </c>
      <c r="I575" s="7" t="s">
        <v>712</v>
      </c>
      <c r="J575" s="7" t="s">
        <v>712</v>
      </c>
      <c r="K575" s="8">
        <v>6127956</v>
      </c>
      <c r="L575" s="8">
        <v>326849</v>
      </c>
      <c r="M575" s="8">
        <v>19</v>
      </c>
      <c r="N575" s="8">
        <v>1</v>
      </c>
      <c r="O575" s="8">
        <v>0.36</v>
      </c>
      <c r="P575" s="8"/>
    </row>
    <row r="576" spans="1:16" hidden="1" x14ac:dyDescent="0.25">
      <c r="A576" s="7" t="s">
        <v>14</v>
      </c>
      <c r="B576" s="7" t="s">
        <v>415</v>
      </c>
      <c r="C576" s="8">
        <v>26362</v>
      </c>
      <c r="D576" s="7" t="s">
        <v>322</v>
      </c>
      <c r="E576" s="7" t="s">
        <v>323</v>
      </c>
      <c r="F576" s="7" t="s">
        <v>422</v>
      </c>
      <c r="G576" s="7" t="s">
        <v>18</v>
      </c>
      <c r="H576" s="7" t="s">
        <v>689</v>
      </c>
      <c r="I576" s="7" t="s">
        <v>712</v>
      </c>
      <c r="J576" s="7" t="s">
        <v>712</v>
      </c>
      <c r="K576" s="8">
        <v>7952511</v>
      </c>
      <c r="L576" s="8">
        <v>371281</v>
      </c>
      <c r="M576" s="8">
        <v>19</v>
      </c>
      <c r="N576" s="8">
        <v>1</v>
      </c>
      <c r="O576" s="8">
        <v>0.06</v>
      </c>
      <c r="P576" s="8"/>
    </row>
    <row r="577" spans="1:16" hidden="1" x14ac:dyDescent="0.25">
      <c r="A577" s="7" t="s">
        <v>14</v>
      </c>
      <c r="B577" s="7" t="s">
        <v>415</v>
      </c>
      <c r="C577" s="8">
        <v>26363</v>
      </c>
      <c r="D577" s="7" t="s">
        <v>322</v>
      </c>
      <c r="E577" s="7" t="s">
        <v>323</v>
      </c>
      <c r="F577" s="7" t="s">
        <v>422</v>
      </c>
      <c r="G577" s="7" t="s">
        <v>18</v>
      </c>
      <c r="H577" s="7" t="s">
        <v>689</v>
      </c>
      <c r="I577" s="7" t="s">
        <v>712</v>
      </c>
      <c r="J577" s="7" t="s">
        <v>712</v>
      </c>
      <c r="K577" s="8">
        <v>7952511</v>
      </c>
      <c r="L577" s="8">
        <v>371281</v>
      </c>
      <c r="M577" s="8">
        <v>19</v>
      </c>
      <c r="N577" s="8">
        <v>1</v>
      </c>
      <c r="O577" s="8">
        <v>0.08</v>
      </c>
      <c r="P577" s="8"/>
    </row>
    <row r="578" spans="1:16" hidden="1" x14ac:dyDescent="0.25">
      <c r="A578" s="7" t="s">
        <v>19</v>
      </c>
      <c r="B578" s="7" t="s">
        <v>415</v>
      </c>
      <c r="C578" s="8">
        <v>26364</v>
      </c>
      <c r="D578" s="7" t="s">
        <v>28</v>
      </c>
      <c r="E578" s="7" t="s">
        <v>32</v>
      </c>
      <c r="F578" s="7" t="s">
        <v>147</v>
      </c>
      <c r="G578" s="7" t="s">
        <v>18</v>
      </c>
      <c r="H578" s="7" t="s">
        <v>48</v>
      </c>
      <c r="I578" s="7" t="s">
        <v>712</v>
      </c>
      <c r="J578" s="7" t="s">
        <v>691</v>
      </c>
      <c r="K578" s="8">
        <v>6268746</v>
      </c>
      <c r="L578" s="8">
        <v>334286</v>
      </c>
      <c r="M578" s="8">
        <v>19</v>
      </c>
      <c r="N578" s="8">
        <v>1</v>
      </c>
      <c r="O578" s="8">
        <v>0.36</v>
      </c>
      <c r="P578" s="8"/>
    </row>
    <row r="579" spans="1:16" hidden="1" x14ac:dyDescent="0.25">
      <c r="A579" s="7" t="s">
        <v>37</v>
      </c>
      <c r="B579" s="7" t="s">
        <v>415</v>
      </c>
      <c r="C579" s="8">
        <v>26365</v>
      </c>
      <c r="D579" s="7" t="s">
        <v>28</v>
      </c>
      <c r="E579" s="7" t="s">
        <v>32</v>
      </c>
      <c r="F579" s="7" t="s">
        <v>473</v>
      </c>
      <c r="G579" s="7" t="s">
        <v>18</v>
      </c>
      <c r="H579" s="7" t="s">
        <v>48</v>
      </c>
      <c r="I579" s="7" t="s">
        <v>712</v>
      </c>
      <c r="J579" s="7" t="s">
        <v>712</v>
      </c>
      <c r="K579" s="8">
        <v>6274613</v>
      </c>
      <c r="L579" s="8">
        <v>340677</v>
      </c>
      <c r="M579" s="8">
        <v>19</v>
      </c>
      <c r="N579" s="8">
        <v>1</v>
      </c>
      <c r="O579" s="8">
        <v>2.5</v>
      </c>
      <c r="P579" s="8"/>
    </row>
    <row r="580" spans="1:16" hidden="1" x14ac:dyDescent="0.25">
      <c r="A580" s="7" t="s">
        <v>19</v>
      </c>
      <c r="B580" s="7" t="s">
        <v>415</v>
      </c>
      <c r="C580" s="8">
        <v>26366</v>
      </c>
      <c r="D580" s="7" t="s">
        <v>28</v>
      </c>
      <c r="E580" s="7" t="s">
        <v>142</v>
      </c>
      <c r="F580" s="7" t="s">
        <v>142</v>
      </c>
      <c r="G580" s="7" t="s">
        <v>18</v>
      </c>
      <c r="H580" s="7" t="s">
        <v>48</v>
      </c>
      <c r="I580" s="7" t="s">
        <v>712</v>
      </c>
      <c r="J580" s="7" t="s">
        <v>712</v>
      </c>
      <c r="K580" s="8">
        <v>6277789</v>
      </c>
      <c r="L580" s="8">
        <v>333791</v>
      </c>
      <c r="M580" s="8">
        <v>19</v>
      </c>
      <c r="N580" s="8">
        <v>1</v>
      </c>
      <c r="O580" s="8">
        <v>0.4</v>
      </c>
      <c r="P580" s="8"/>
    </row>
    <row r="581" spans="1:16" hidden="1" x14ac:dyDescent="0.25">
      <c r="A581" s="7" t="s">
        <v>19</v>
      </c>
      <c r="B581" s="7" t="s">
        <v>415</v>
      </c>
      <c r="C581" s="8">
        <v>26367</v>
      </c>
      <c r="D581" s="7" t="s">
        <v>28</v>
      </c>
      <c r="E581" s="7" t="s">
        <v>344</v>
      </c>
      <c r="F581" s="7" t="s">
        <v>344</v>
      </c>
      <c r="G581" s="7" t="s">
        <v>18</v>
      </c>
      <c r="H581" s="7" t="s">
        <v>48</v>
      </c>
      <c r="I581" s="7" t="s">
        <v>712</v>
      </c>
      <c r="J581" s="7" t="s">
        <v>712</v>
      </c>
      <c r="K581" s="8">
        <v>6272006</v>
      </c>
      <c r="L581" s="8">
        <v>298660</v>
      </c>
      <c r="M581" s="8">
        <v>19</v>
      </c>
      <c r="N581" s="8">
        <v>1</v>
      </c>
      <c r="O581" s="8">
        <v>0.4</v>
      </c>
      <c r="P581" s="8"/>
    </row>
    <row r="582" spans="1:16" hidden="1" x14ac:dyDescent="0.25">
      <c r="A582" s="7" t="s">
        <v>19</v>
      </c>
      <c r="B582" s="7" t="s">
        <v>415</v>
      </c>
      <c r="C582" s="8">
        <v>26368</v>
      </c>
      <c r="D582" s="7" t="s">
        <v>28</v>
      </c>
      <c r="E582" s="7" t="s">
        <v>32</v>
      </c>
      <c r="F582" s="7" t="s">
        <v>33</v>
      </c>
      <c r="G582" s="7" t="s">
        <v>18</v>
      </c>
      <c r="H582" s="7" t="s">
        <v>48</v>
      </c>
      <c r="I582" s="7" t="s">
        <v>712</v>
      </c>
      <c r="J582" s="7" t="s">
        <v>691</v>
      </c>
      <c r="K582" s="8">
        <v>6275788</v>
      </c>
      <c r="L582" s="8">
        <v>340385</v>
      </c>
      <c r="M582" s="8">
        <v>19</v>
      </c>
      <c r="N582" s="8">
        <v>1</v>
      </c>
      <c r="O582" s="8">
        <v>0.4</v>
      </c>
      <c r="P582" s="8"/>
    </row>
    <row r="583" spans="1:16" hidden="1" x14ac:dyDescent="0.25">
      <c r="A583" s="7" t="s">
        <v>37</v>
      </c>
      <c r="B583" s="7" t="s">
        <v>415</v>
      </c>
      <c r="C583" s="8">
        <v>26369</v>
      </c>
      <c r="D583" s="7" t="s">
        <v>28</v>
      </c>
      <c r="E583" s="7" t="s">
        <v>146</v>
      </c>
      <c r="F583" s="7" t="s">
        <v>146</v>
      </c>
      <c r="G583" s="7" t="s">
        <v>18</v>
      </c>
      <c r="H583" s="7" t="s">
        <v>48</v>
      </c>
      <c r="I583" s="7" t="s">
        <v>712</v>
      </c>
      <c r="J583" s="7" t="s">
        <v>691</v>
      </c>
      <c r="K583" s="8">
        <v>6270160</v>
      </c>
      <c r="L583" s="8">
        <v>318704</v>
      </c>
      <c r="M583" s="8">
        <v>19</v>
      </c>
      <c r="N583" s="8">
        <v>1</v>
      </c>
      <c r="O583" s="8">
        <v>2.46</v>
      </c>
      <c r="P583" s="8"/>
    </row>
    <row r="584" spans="1:16" hidden="1" x14ac:dyDescent="0.25">
      <c r="A584" s="7" t="s">
        <v>37</v>
      </c>
      <c r="B584" s="7" t="s">
        <v>254</v>
      </c>
      <c r="C584" s="8">
        <v>26370</v>
      </c>
      <c r="D584" s="7" t="s">
        <v>16</v>
      </c>
      <c r="E584" s="7" t="s">
        <v>268</v>
      </c>
      <c r="F584" s="7" t="s">
        <v>282</v>
      </c>
      <c r="G584" s="7" t="s">
        <v>18</v>
      </c>
      <c r="H584" s="7" t="s">
        <v>24</v>
      </c>
      <c r="I584" s="7" t="s">
        <v>712</v>
      </c>
      <c r="J584" s="7" t="s">
        <v>712</v>
      </c>
      <c r="K584" s="8">
        <v>6132543</v>
      </c>
      <c r="L584" s="8">
        <v>317867</v>
      </c>
      <c r="M584" s="8">
        <v>19</v>
      </c>
      <c r="N584" s="8">
        <v>1</v>
      </c>
      <c r="O584" s="8">
        <v>4</v>
      </c>
      <c r="P584" s="8"/>
    </row>
    <row r="585" spans="1:16" hidden="1" x14ac:dyDescent="0.25">
      <c r="A585" s="7" t="s">
        <v>14</v>
      </c>
      <c r="B585" s="7" t="s">
        <v>41</v>
      </c>
      <c r="C585" s="8">
        <v>26371</v>
      </c>
      <c r="D585" s="7" t="s">
        <v>28</v>
      </c>
      <c r="E585" s="7" t="s">
        <v>688</v>
      </c>
      <c r="F585" s="7" t="s">
        <v>44</v>
      </c>
      <c r="G585" s="7" t="s">
        <v>45</v>
      </c>
      <c r="H585" s="7" t="s">
        <v>689</v>
      </c>
      <c r="I585" s="7" t="s">
        <v>712</v>
      </c>
      <c r="J585" s="7" t="s">
        <v>712</v>
      </c>
      <c r="K585" s="8">
        <v>6273875</v>
      </c>
      <c r="L585" s="8">
        <v>351993</v>
      </c>
      <c r="M585" s="8">
        <v>19</v>
      </c>
      <c r="N585" s="8">
        <v>1</v>
      </c>
      <c r="O585" s="8">
        <v>5</v>
      </c>
      <c r="P585" s="8"/>
    </row>
    <row r="586" spans="1:16" hidden="1" x14ac:dyDescent="0.25">
      <c r="A586" s="7" t="s">
        <v>14</v>
      </c>
      <c r="B586" s="7" t="s">
        <v>270</v>
      </c>
      <c r="C586" s="8">
        <v>26373</v>
      </c>
      <c r="D586" s="7" t="s">
        <v>52</v>
      </c>
      <c r="E586" s="7" t="s">
        <v>139</v>
      </c>
      <c r="F586" s="7" t="s">
        <v>139</v>
      </c>
      <c r="G586" s="7" t="s">
        <v>18</v>
      </c>
      <c r="H586" s="7" t="s">
        <v>689</v>
      </c>
      <c r="I586" s="7" t="s">
        <v>712</v>
      </c>
      <c r="J586" s="7" t="s">
        <v>712</v>
      </c>
      <c r="K586" s="8">
        <v>6225010</v>
      </c>
      <c r="L586" s="8">
        <v>339646</v>
      </c>
      <c r="M586" s="8">
        <v>19</v>
      </c>
      <c r="N586" s="8">
        <v>1</v>
      </c>
      <c r="O586" s="8">
        <v>0.3</v>
      </c>
      <c r="P586" s="8"/>
    </row>
    <row r="587" spans="1:16" hidden="1" x14ac:dyDescent="0.25">
      <c r="A587" s="7" t="s">
        <v>37</v>
      </c>
      <c r="B587" s="7" t="s">
        <v>343</v>
      </c>
      <c r="C587" s="8">
        <v>26375</v>
      </c>
      <c r="D587" s="7" t="s">
        <v>16</v>
      </c>
      <c r="E587" s="7" t="s">
        <v>268</v>
      </c>
      <c r="F587" s="7" t="s">
        <v>372</v>
      </c>
      <c r="G587" s="7" t="s">
        <v>18</v>
      </c>
      <c r="H587" s="7" t="s">
        <v>48</v>
      </c>
      <c r="I587" s="7" t="s">
        <v>712</v>
      </c>
      <c r="J587" s="7" t="s">
        <v>712</v>
      </c>
      <c r="K587" s="8">
        <v>6145193</v>
      </c>
      <c r="L587" s="8">
        <v>312475</v>
      </c>
      <c r="M587" s="8">
        <v>19</v>
      </c>
      <c r="N587" s="8">
        <v>2</v>
      </c>
      <c r="O587" s="8">
        <v>75.599999999999994</v>
      </c>
      <c r="P587" s="8"/>
    </row>
    <row r="588" spans="1:16" hidden="1" x14ac:dyDescent="0.25">
      <c r="A588" s="7" t="s">
        <v>37</v>
      </c>
      <c r="B588" s="7" t="s">
        <v>343</v>
      </c>
      <c r="C588" s="8">
        <v>26376</v>
      </c>
      <c r="D588" s="7" t="s">
        <v>16</v>
      </c>
      <c r="E588" s="7" t="s">
        <v>46</v>
      </c>
      <c r="F588" s="7" t="s">
        <v>295</v>
      </c>
      <c r="G588" s="7" t="s">
        <v>18</v>
      </c>
      <c r="H588" s="7" t="s">
        <v>48</v>
      </c>
      <c r="I588" s="7" t="s">
        <v>712</v>
      </c>
      <c r="J588" s="7" t="s">
        <v>712</v>
      </c>
      <c r="K588" s="8">
        <v>6105928</v>
      </c>
      <c r="L588" s="8">
        <v>297024</v>
      </c>
      <c r="M588" s="8">
        <v>19</v>
      </c>
      <c r="N588" s="8">
        <v>1</v>
      </c>
      <c r="O588" s="8">
        <v>11.6</v>
      </c>
      <c r="P588" s="8"/>
    </row>
    <row r="589" spans="1:16" hidden="1" x14ac:dyDescent="0.25">
      <c r="A589" s="7" t="s">
        <v>37</v>
      </c>
      <c r="B589" s="7" t="s">
        <v>343</v>
      </c>
      <c r="C589" s="8">
        <v>26377</v>
      </c>
      <c r="D589" s="7" t="s">
        <v>52</v>
      </c>
      <c r="E589" s="7" t="s">
        <v>273</v>
      </c>
      <c r="F589" s="7" t="s">
        <v>373</v>
      </c>
      <c r="G589" s="7" t="s">
        <v>18</v>
      </c>
      <c r="H589" s="7" t="s">
        <v>48</v>
      </c>
      <c r="I589" s="7" t="s">
        <v>712</v>
      </c>
      <c r="J589" s="7" t="s">
        <v>712</v>
      </c>
      <c r="K589" s="8">
        <v>6162933</v>
      </c>
      <c r="L589" s="8">
        <v>288110</v>
      </c>
      <c r="M589" s="8">
        <v>19</v>
      </c>
      <c r="N589" s="8">
        <v>1</v>
      </c>
      <c r="O589" s="8">
        <v>11.4</v>
      </c>
      <c r="P589" s="8"/>
    </row>
    <row r="590" spans="1:16" hidden="1" x14ac:dyDescent="0.25">
      <c r="A590" s="7" t="s">
        <v>37</v>
      </c>
      <c r="B590" s="7" t="s">
        <v>343</v>
      </c>
      <c r="C590" s="8">
        <v>26378</v>
      </c>
      <c r="D590" s="7" t="s">
        <v>52</v>
      </c>
      <c r="E590" s="7" t="s">
        <v>151</v>
      </c>
      <c r="F590" s="7" t="s">
        <v>298</v>
      </c>
      <c r="G590" s="7" t="s">
        <v>18</v>
      </c>
      <c r="H590" s="7" t="s">
        <v>24</v>
      </c>
      <c r="I590" s="7" t="s">
        <v>712</v>
      </c>
      <c r="J590" s="7" t="s">
        <v>712</v>
      </c>
      <c r="K590" s="8">
        <v>6197993</v>
      </c>
      <c r="L590" s="8">
        <v>324540</v>
      </c>
      <c r="M590" s="8">
        <v>19</v>
      </c>
      <c r="N590" s="8">
        <v>1</v>
      </c>
      <c r="O590" s="8">
        <v>4.8</v>
      </c>
      <c r="P590" s="8"/>
    </row>
    <row r="591" spans="1:16" hidden="1" x14ac:dyDescent="0.25">
      <c r="A591" s="7" t="s">
        <v>37</v>
      </c>
      <c r="B591" s="7" t="s">
        <v>343</v>
      </c>
      <c r="C591" s="8">
        <v>26379</v>
      </c>
      <c r="D591" s="7" t="s">
        <v>52</v>
      </c>
      <c r="E591" s="7" t="s">
        <v>273</v>
      </c>
      <c r="F591" s="7" t="s">
        <v>373</v>
      </c>
      <c r="G591" s="7" t="s">
        <v>18</v>
      </c>
      <c r="H591" s="7" t="s">
        <v>48</v>
      </c>
      <c r="I591" s="7" t="s">
        <v>712</v>
      </c>
      <c r="J591" s="7" t="s">
        <v>712</v>
      </c>
      <c r="K591" s="8">
        <v>6163966</v>
      </c>
      <c r="L591" s="8">
        <v>291951</v>
      </c>
      <c r="M591" s="8">
        <v>19</v>
      </c>
      <c r="N591" s="8">
        <v>2</v>
      </c>
      <c r="O591" s="8">
        <v>42.35</v>
      </c>
      <c r="P591" s="8"/>
    </row>
    <row r="592" spans="1:16" hidden="1" x14ac:dyDescent="0.25">
      <c r="A592" s="7" t="s">
        <v>37</v>
      </c>
      <c r="B592" s="7" t="s">
        <v>343</v>
      </c>
      <c r="C592" s="8">
        <v>26381</v>
      </c>
      <c r="D592" s="7" t="s">
        <v>16</v>
      </c>
      <c r="E592" s="7" t="s">
        <v>46</v>
      </c>
      <c r="F592" s="7" t="s">
        <v>46</v>
      </c>
      <c r="G592" s="7" t="s">
        <v>18</v>
      </c>
      <c r="H592" s="7" t="s">
        <v>48</v>
      </c>
      <c r="I592" s="7" t="s">
        <v>712</v>
      </c>
      <c r="J592" s="7" t="s">
        <v>712</v>
      </c>
      <c r="K592" s="8">
        <v>6114966</v>
      </c>
      <c r="L592" s="8">
        <v>293036</v>
      </c>
      <c r="M592" s="8">
        <v>19</v>
      </c>
      <c r="N592" s="8">
        <v>1</v>
      </c>
      <c r="O592" s="8">
        <v>5</v>
      </c>
      <c r="P592" s="8"/>
    </row>
    <row r="593" spans="1:16" hidden="1" x14ac:dyDescent="0.25">
      <c r="A593" s="7" t="s">
        <v>37</v>
      </c>
      <c r="B593" s="7" t="s">
        <v>343</v>
      </c>
      <c r="C593" s="8">
        <v>26382</v>
      </c>
      <c r="D593" s="7" t="s">
        <v>52</v>
      </c>
      <c r="E593" s="7" t="s">
        <v>81</v>
      </c>
      <c r="F593" s="7" t="s">
        <v>81</v>
      </c>
      <c r="G593" s="7" t="s">
        <v>18</v>
      </c>
      <c r="H593" s="7" t="s">
        <v>24</v>
      </c>
      <c r="I593" s="7" t="s">
        <v>712</v>
      </c>
      <c r="J593" s="7" t="s">
        <v>712</v>
      </c>
      <c r="K593" s="8">
        <v>6236754</v>
      </c>
      <c r="L593" s="8">
        <v>342680</v>
      </c>
      <c r="M593" s="8">
        <v>19</v>
      </c>
      <c r="N593" s="8">
        <v>1</v>
      </c>
      <c r="O593" s="8">
        <v>2</v>
      </c>
      <c r="P593" s="8"/>
    </row>
    <row r="594" spans="1:16" hidden="1" x14ac:dyDescent="0.25">
      <c r="A594" s="7" t="s">
        <v>37</v>
      </c>
      <c r="B594" s="7" t="s">
        <v>343</v>
      </c>
      <c r="C594" s="8">
        <v>26383</v>
      </c>
      <c r="D594" s="7" t="s">
        <v>52</v>
      </c>
      <c r="E594" s="7" t="s">
        <v>81</v>
      </c>
      <c r="F594" s="7" t="s">
        <v>81</v>
      </c>
      <c r="G594" s="7" t="s">
        <v>18</v>
      </c>
      <c r="H594" s="7" t="s">
        <v>24</v>
      </c>
      <c r="I594" s="7" t="s">
        <v>712</v>
      </c>
      <c r="J594" s="7" t="s">
        <v>712</v>
      </c>
      <c r="K594" s="8">
        <v>6236707</v>
      </c>
      <c r="L594" s="8">
        <v>342358</v>
      </c>
      <c r="M594" s="8">
        <v>19</v>
      </c>
      <c r="N594" s="8">
        <v>1</v>
      </c>
      <c r="O594" s="8">
        <v>2</v>
      </c>
      <c r="P594" s="8"/>
    </row>
    <row r="595" spans="1:16" hidden="1" x14ac:dyDescent="0.25">
      <c r="A595" s="7" t="s">
        <v>37</v>
      </c>
      <c r="B595" s="7" t="s">
        <v>343</v>
      </c>
      <c r="C595" s="8">
        <v>26384</v>
      </c>
      <c r="D595" s="7" t="s">
        <v>52</v>
      </c>
      <c r="E595" s="7" t="s">
        <v>151</v>
      </c>
      <c r="F595" s="7" t="s">
        <v>151</v>
      </c>
      <c r="G595" s="7" t="s">
        <v>18</v>
      </c>
      <c r="H595" s="7" t="s">
        <v>24</v>
      </c>
      <c r="I595" s="7" t="s">
        <v>712</v>
      </c>
      <c r="J595" s="7" t="s">
        <v>712</v>
      </c>
      <c r="K595" s="8">
        <v>6197768</v>
      </c>
      <c r="L595" s="8">
        <v>326106</v>
      </c>
      <c r="M595" s="8">
        <v>19</v>
      </c>
      <c r="N595" s="8">
        <v>1</v>
      </c>
      <c r="O595" s="8">
        <v>1.8</v>
      </c>
      <c r="P595" s="8"/>
    </row>
    <row r="596" spans="1:16" hidden="1" x14ac:dyDescent="0.25">
      <c r="A596" s="7" t="s">
        <v>14</v>
      </c>
      <c r="B596" s="7" t="s">
        <v>270</v>
      </c>
      <c r="C596" s="8">
        <v>26385</v>
      </c>
      <c r="D596" s="7" t="s">
        <v>52</v>
      </c>
      <c r="E596" s="7" t="s">
        <v>139</v>
      </c>
      <c r="F596" s="7" t="s">
        <v>139</v>
      </c>
      <c r="G596" s="7" t="s">
        <v>18</v>
      </c>
      <c r="H596" s="7" t="s">
        <v>689</v>
      </c>
      <c r="I596" s="7" t="s">
        <v>712</v>
      </c>
      <c r="J596" s="7" t="s">
        <v>712</v>
      </c>
      <c r="K596" s="8">
        <v>6224997</v>
      </c>
      <c r="L596" s="8">
        <v>339090</v>
      </c>
      <c r="M596" s="8">
        <v>19</v>
      </c>
      <c r="N596" s="8">
        <v>1</v>
      </c>
      <c r="O596" s="8">
        <v>0.2</v>
      </c>
      <c r="P596" s="8"/>
    </row>
    <row r="597" spans="1:16" hidden="1" x14ac:dyDescent="0.25">
      <c r="A597" s="7" t="s">
        <v>19</v>
      </c>
      <c r="B597" s="7" t="s">
        <v>415</v>
      </c>
      <c r="C597" s="8">
        <v>26389</v>
      </c>
      <c r="D597" s="7" t="s">
        <v>28</v>
      </c>
      <c r="E597" s="7" t="s">
        <v>32</v>
      </c>
      <c r="F597" s="7" t="s">
        <v>147</v>
      </c>
      <c r="G597" s="7" t="s">
        <v>18</v>
      </c>
      <c r="H597" s="7" t="s">
        <v>48</v>
      </c>
      <c r="I597" s="7" t="s">
        <v>712</v>
      </c>
      <c r="J597" s="7" t="s">
        <v>712</v>
      </c>
      <c r="K597" s="8">
        <v>6273915</v>
      </c>
      <c r="L597" s="8">
        <v>339514</v>
      </c>
      <c r="M597" s="8">
        <v>19</v>
      </c>
      <c r="N597" s="8">
        <v>1</v>
      </c>
      <c r="O597" s="8">
        <v>0.36</v>
      </c>
      <c r="P597" s="8"/>
    </row>
    <row r="598" spans="1:16" hidden="1" x14ac:dyDescent="0.25">
      <c r="A598" s="7" t="s">
        <v>19</v>
      </c>
      <c r="B598" s="7" t="s">
        <v>415</v>
      </c>
      <c r="C598" s="8">
        <v>26390</v>
      </c>
      <c r="D598" s="7" t="s">
        <v>28</v>
      </c>
      <c r="E598" s="7" t="s">
        <v>393</v>
      </c>
      <c r="F598" s="7" t="s">
        <v>393</v>
      </c>
      <c r="G598" s="7" t="s">
        <v>18</v>
      </c>
      <c r="H598" s="7" t="s">
        <v>48</v>
      </c>
      <c r="I598" s="7" t="s">
        <v>712</v>
      </c>
      <c r="J598" s="7" t="s">
        <v>712</v>
      </c>
      <c r="K598" s="8">
        <v>6270745</v>
      </c>
      <c r="L598" s="8">
        <v>317975</v>
      </c>
      <c r="M598" s="8">
        <v>19</v>
      </c>
      <c r="N598" s="8">
        <v>1</v>
      </c>
      <c r="O598" s="8">
        <v>0.38</v>
      </c>
      <c r="P598" s="8"/>
    </row>
    <row r="599" spans="1:16" hidden="1" x14ac:dyDescent="0.25">
      <c r="A599" s="7" t="s">
        <v>19</v>
      </c>
      <c r="B599" s="7" t="s">
        <v>651</v>
      </c>
      <c r="C599" s="8">
        <v>26391</v>
      </c>
      <c r="D599" s="7" t="s">
        <v>52</v>
      </c>
      <c r="E599" s="7" t="s">
        <v>81</v>
      </c>
      <c r="F599" s="7" t="s">
        <v>654</v>
      </c>
      <c r="G599" s="7" t="s">
        <v>18</v>
      </c>
      <c r="H599" s="7" t="s">
        <v>48</v>
      </c>
      <c r="I599" s="7" t="s">
        <v>712</v>
      </c>
      <c r="J599" s="7" t="s">
        <v>712</v>
      </c>
      <c r="K599" s="8">
        <v>6226707</v>
      </c>
      <c r="L599" s="8">
        <v>345848</v>
      </c>
      <c r="M599" s="8">
        <v>19</v>
      </c>
      <c r="N599" s="8">
        <v>1</v>
      </c>
      <c r="O599" s="8">
        <v>12</v>
      </c>
      <c r="P599" s="8"/>
    </row>
    <row r="600" spans="1:16" hidden="1" x14ac:dyDescent="0.25">
      <c r="A600" s="7" t="s">
        <v>19</v>
      </c>
      <c r="B600" s="7" t="s">
        <v>415</v>
      </c>
      <c r="C600" s="8">
        <v>26392</v>
      </c>
      <c r="D600" s="7" t="s">
        <v>28</v>
      </c>
      <c r="E600" s="7" t="s">
        <v>56</v>
      </c>
      <c r="F600" s="7" t="s">
        <v>162</v>
      </c>
      <c r="G600" s="7" t="s">
        <v>18</v>
      </c>
      <c r="H600" s="7" t="s">
        <v>48</v>
      </c>
      <c r="I600" s="7" t="s">
        <v>712</v>
      </c>
      <c r="J600" s="7" t="s">
        <v>712</v>
      </c>
      <c r="K600" s="8">
        <v>6260481</v>
      </c>
      <c r="L600" s="8">
        <v>337381</v>
      </c>
      <c r="M600" s="8">
        <v>19</v>
      </c>
      <c r="N600" s="8">
        <v>1</v>
      </c>
      <c r="O600" s="8">
        <v>0.38</v>
      </c>
      <c r="P600" s="8"/>
    </row>
    <row r="601" spans="1:16" hidden="1" x14ac:dyDescent="0.25">
      <c r="A601" s="7" t="s">
        <v>19</v>
      </c>
      <c r="B601" s="7" t="s">
        <v>415</v>
      </c>
      <c r="C601" s="8">
        <v>26393</v>
      </c>
      <c r="D601" s="7" t="s">
        <v>28</v>
      </c>
      <c r="E601" s="7" t="s">
        <v>29</v>
      </c>
      <c r="F601" s="7" t="s">
        <v>474</v>
      </c>
      <c r="G601" s="7" t="s">
        <v>18</v>
      </c>
      <c r="H601" s="7" t="s">
        <v>48</v>
      </c>
      <c r="I601" s="7" t="s">
        <v>712</v>
      </c>
      <c r="J601" s="7" t="s">
        <v>712</v>
      </c>
      <c r="K601" s="8">
        <v>6252230</v>
      </c>
      <c r="L601" s="8">
        <v>330101</v>
      </c>
      <c r="M601" s="8">
        <v>19</v>
      </c>
      <c r="N601" s="8">
        <v>1</v>
      </c>
      <c r="O601" s="8">
        <v>0.4</v>
      </c>
      <c r="P601" s="8"/>
    </row>
    <row r="602" spans="1:16" hidden="1" x14ac:dyDescent="0.25">
      <c r="A602" s="7" t="s">
        <v>37</v>
      </c>
      <c r="B602" s="7" t="s">
        <v>415</v>
      </c>
      <c r="C602" s="8">
        <v>26395</v>
      </c>
      <c r="D602" s="7" t="s">
        <v>28</v>
      </c>
      <c r="E602" s="7" t="s">
        <v>29</v>
      </c>
      <c r="F602" s="7" t="s">
        <v>461</v>
      </c>
      <c r="G602" s="7" t="s">
        <v>18</v>
      </c>
      <c r="H602" s="7" t="s">
        <v>24</v>
      </c>
      <c r="I602" s="7" t="s">
        <v>712</v>
      </c>
      <c r="J602" s="7" t="s">
        <v>712</v>
      </c>
      <c r="K602" s="8">
        <v>6258422</v>
      </c>
      <c r="L602" s="8">
        <v>347428</v>
      </c>
      <c r="M602" s="8">
        <v>19</v>
      </c>
      <c r="N602" s="8">
        <v>1</v>
      </c>
      <c r="O602" s="8">
        <v>1.2</v>
      </c>
      <c r="P602" s="8"/>
    </row>
    <row r="603" spans="1:16" hidden="1" x14ac:dyDescent="0.25">
      <c r="A603" s="7" t="s">
        <v>19</v>
      </c>
      <c r="B603" s="7" t="s">
        <v>415</v>
      </c>
      <c r="C603" s="8">
        <v>26396</v>
      </c>
      <c r="D603" s="7" t="s">
        <v>119</v>
      </c>
      <c r="E603" s="7" t="s">
        <v>196</v>
      </c>
      <c r="F603" s="7" t="s">
        <v>425</v>
      </c>
      <c r="G603" s="7" t="s">
        <v>43</v>
      </c>
      <c r="H603" s="7" t="s">
        <v>48</v>
      </c>
      <c r="I603" s="7" t="s">
        <v>712</v>
      </c>
      <c r="J603" s="7" t="s">
        <v>691</v>
      </c>
      <c r="K603" s="8">
        <v>5699452</v>
      </c>
      <c r="L603" s="8">
        <v>731154</v>
      </c>
      <c r="M603" s="8">
        <v>18</v>
      </c>
      <c r="N603" s="8">
        <v>1</v>
      </c>
      <c r="O603" s="8">
        <v>0.5</v>
      </c>
      <c r="P603" s="8"/>
    </row>
    <row r="604" spans="1:16" hidden="1" x14ac:dyDescent="0.25">
      <c r="A604" s="7" t="s">
        <v>19</v>
      </c>
      <c r="B604" s="7" t="s">
        <v>415</v>
      </c>
      <c r="C604" s="8">
        <v>26397</v>
      </c>
      <c r="D604" s="7" t="s">
        <v>28</v>
      </c>
      <c r="E604" s="7" t="s">
        <v>344</v>
      </c>
      <c r="F604" s="7" t="s">
        <v>475</v>
      </c>
      <c r="G604" s="7" t="s">
        <v>18</v>
      </c>
      <c r="H604" s="7" t="s">
        <v>48</v>
      </c>
      <c r="I604" s="7" t="s">
        <v>712</v>
      </c>
      <c r="J604" s="7" t="s">
        <v>712</v>
      </c>
      <c r="K604" s="8">
        <v>6265010</v>
      </c>
      <c r="L604" s="8">
        <v>295681</v>
      </c>
      <c r="M604" s="8">
        <v>19</v>
      </c>
      <c r="N604" s="8">
        <v>1</v>
      </c>
      <c r="O604" s="8">
        <v>0.4</v>
      </c>
      <c r="P604" s="8"/>
    </row>
    <row r="605" spans="1:16" hidden="1" x14ac:dyDescent="0.25">
      <c r="A605" s="7" t="s">
        <v>19</v>
      </c>
      <c r="B605" s="7" t="s">
        <v>415</v>
      </c>
      <c r="C605" s="8">
        <v>26398</v>
      </c>
      <c r="D605" s="7" t="s">
        <v>34</v>
      </c>
      <c r="E605" s="7" t="s">
        <v>35</v>
      </c>
      <c r="F605" s="7" t="s">
        <v>467</v>
      </c>
      <c r="G605" s="7" t="s">
        <v>43</v>
      </c>
      <c r="H605" s="7" t="s">
        <v>48</v>
      </c>
      <c r="I605" s="7" t="s">
        <v>712</v>
      </c>
      <c r="J605" s="7" t="s">
        <v>691</v>
      </c>
      <c r="K605" s="8">
        <v>5848420</v>
      </c>
      <c r="L605" s="8">
        <v>746154</v>
      </c>
      <c r="M605" s="8">
        <v>18</v>
      </c>
      <c r="N605" s="8">
        <v>1</v>
      </c>
      <c r="O605" s="8">
        <v>1</v>
      </c>
      <c r="P605" s="8"/>
    </row>
    <row r="606" spans="1:16" hidden="1" x14ac:dyDescent="0.25">
      <c r="A606" s="7" t="s">
        <v>37</v>
      </c>
      <c r="B606" s="7" t="s">
        <v>415</v>
      </c>
      <c r="C606" s="8">
        <v>26399</v>
      </c>
      <c r="D606" s="7" t="s">
        <v>28</v>
      </c>
      <c r="E606" s="7" t="s">
        <v>32</v>
      </c>
      <c r="F606" s="7" t="s">
        <v>147</v>
      </c>
      <c r="G606" s="7" t="s">
        <v>18</v>
      </c>
      <c r="H606" s="7" t="s">
        <v>24</v>
      </c>
      <c r="I606" s="7" t="s">
        <v>712</v>
      </c>
      <c r="J606" s="7" t="s">
        <v>712</v>
      </c>
      <c r="K606" s="8">
        <v>6273919</v>
      </c>
      <c r="L606" s="8">
        <v>338409</v>
      </c>
      <c r="M606" s="8">
        <v>19</v>
      </c>
      <c r="N606" s="8">
        <v>1</v>
      </c>
      <c r="O606" s="8">
        <v>0.1</v>
      </c>
      <c r="P606" s="8"/>
    </row>
    <row r="607" spans="1:16" hidden="1" x14ac:dyDescent="0.25">
      <c r="A607" s="7" t="s">
        <v>19</v>
      </c>
      <c r="B607" s="7" t="s">
        <v>415</v>
      </c>
      <c r="C607" s="8">
        <v>26400</v>
      </c>
      <c r="D607" s="7" t="s">
        <v>34</v>
      </c>
      <c r="E607" s="7" t="s">
        <v>35</v>
      </c>
      <c r="F607" s="7" t="s">
        <v>36</v>
      </c>
      <c r="G607" s="7" t="s">
        <v>43</v>
      </c>
      <c r="H607" s="7" t="s">
        <v>48</v>
      </c>
      <c r="I607" s="7" t="s">
        <v>712</v>
      </c>
      <c r="J607" s="7" t="s">
        <v>691</v>
      </c>
      <c r="K607" s="8">
        <v>5852372</v>
      </c>
      <c r="L607" s="8">
        <v>719354</v>
      </c>
      <c r="M607" s="8">
        <v>18</v>
      </c>
      <c r="N607" s="8">
        <v>1</v>
      </c>
      <c r="O607" s="8">
        <v>0.8</v>
      </c>
      <c r="P607" s="8"/>
    </row>
    <row r="608" spans="1:16" hidden="1" x14ac:dyDescent="0.25">
      <c r="A608" s="7" t="s">
        <v>19</v>
      </c>
      <c r="B608" s="7" t="s">
        <v>415</v>
      </c>
      <c r="C608" s="8">
        <v>26401</v>
      </c>
      <c r="D608" s="7" t="s">
        <v>28</v>
      </c>
      <c r="E608" s="7" t="s">
        <v>142</v>
      </c>
      <c r="F608" s="7" t="s">
        <v>433</v>
      </c>
      <c r="G608" s="7" t="s">
        <v>18</v>
      </c>
      <c r="H608" s="7" t="s">
        <v>48</v>
      </c>
      <c r="I608" s="7" t="s">
        <v>712</v>
      </c>
      <c r="J608" s="7" t="s">
        <v>712</v>
      </c>
      <c r="K608" s="8">
        <v>6282707</v>
      </c>
      <c r="L608" s="8">
        <v>333238</v>
      </c>
      <c r="M608" s="8">
        <v>19</v>
      </c>
      <c r="N608" s="8">
        <v>1</v>
      </c>
      <c r="O608" s="8">
        <v>0.4</v>
      </c>
      <c r="P608" s="8"/>
    </row>
    <row r="609" spans="1:16" hidden="1" x14ac:dyDescent="0.25">
      <c r="A609" s="7" t="s">
        <v>37</v>
      </c>
      <c r="B609" s="7" t="s">
        <v>415</v>
      </c>
      <c r="C609" s="8">
        <v>26402</v>
      </c>
      <c r="D609" s="7" t="s">
        <v>28</v>
      </c>
      <c r="E609" s="7" t="s">
        <v>29</v>
      </c>
      <c r="F609" s="7" t="s">
        <v>461</v>
      </c>
      <c r="G609" s="7" t="s">
        <v>18</v>
      </c>
      <c r="H609" s="7" t="s">
        <v>24</v>
      </c>
      <c r="I609" s="7" t="s">
        <v>712</v>
      </c>
      <c r="J609" s="7" t="s">
        <v>712</v>
      </c>
      <c r="K609" s="8">
        <v>6254997</v>
      </c>
      <c r="L609" s="8">
        <v>344343</v>
      </c>
      <c r="M609" s="8">
        <v>19</v>
      </c>
      <c r="N609" s="8">
        <v>1</v>
      </c>
      <c r="O609" s="8">
        <v>1.6</v>
      </c>
      <c r="P609" s="8"/>
    </row>
    <row r="610" spans="1:16" hidden="1" x14ac:dyDescent="0.25">
      <c r="A610" s="7" t="s">
        <v>19</v>
      </c>
      <c r="B610" s="7" t="s">
        <v>415</v>
      </c>
      <c r="C610" s="8">
        <v>26406</v>
      </c>
      <c r="D610" s="7" t="s">
        <v>28</v>
      </c>
      <c r="E610" s="7" t="s">
        <v>452</v>
      </c>
      <c r="F610" s="7" t="s">
        <v>452</v>
      </c>
      <c r="G610" s="7" t="s">
        <v>18</v>
      </c>
      <c r="H610" s="7" t="s">
        <v>48</v>
      </c>
      <c r="I610" s="7" t="s">
        <v>712</v>
      </c>
      <c r="J610" s="7" t="s">
        <v>691</v>
      </c>
      <c r="K610" s="8">
        <v>6308600</v>
      </c>
      <c r="L610" s="8">
        <v>330896</v>
      </c>
      <c r="M610" s="8">
        <v>19</v>
      </c>
      <c r="N610" s="8">
        <v>1</v>
      </c>
      <c r="O610" s="8">
        <v>0.97</v>
      </c>
      <c r="P610" s="8"/>
    </row>
    <row r="611" spans="1:16" hidden="1" x14ac:dyDescent="0.25">
      <c r="A611" s="7" t="s">
        <v>19</v>
      </c>
      <c r="B611" s="7" t="s">
        <v>415</v>
      </c>
      <c r="C611" s="8">
        <v>26407</v>
      </c>
      <c r="D611" s="7" t="s">
        <v>28</v>
      </c>
      <c r="E611" s="7" t="s">
        <v>56</v>
      </c>
      <c r="F611" s="7" t="s">
        <v>56</v>
      </c>
      <c r="G611" s="7" t="s">
        <v>18</v>
      </c>
      <c r="H611" s="7" t="s">
        <v>48</v>
      </c>
      <c r="I611" s="7" t="s">
        <v>712</v>
      </c>
      <c r="J611" s="7" t="s">
        <v>712</v>
      </c>
      <c r="K611" s="8">
        <v>6266369</v>
      </c>
      <c r="L611" s="8">
        <v>341271</v>
      </c>
      <c r="M611" s="8">
        <v>19</v>
      </c>
      <c r="N611" s="8">
        <v>1</v>
      </c>
      <c r="O611" s="8">
        <v>0.41</v>
      </c>
      <c r="P611" s="8"/>
    </row>
    <row r="612" spans="1:16" hidden="1" x14ac:dyDescent="0.25">
      <c r="A612" s="7" t="s">
        <v>37</v>
      </c>
      <c r="B612" s="7" t="s">
        <v>415</v>
      </c>
      <c r="C612" s="8">
        <v>26408</v>
      </c>
      <c r="D612" s="7" t="s">
        <v>28</v>
      </c>
      <c r="E612" s="7" t="s">
        <v>387</v>
      </c>
      <c r="F612" s="7" t="s">
        <v>435</v>
      </c>
      <c r="G612" s="7" t="s">
        <v>18</v>
      </c>
      <c r="H612" s="7" t="s">
        <v>24</v>
      </c>
      <c r="I612" s="7" t="s">
        <v>712</v>
      </c>
      <c r="J612" s="7" t="s">
        <v>712</v>
      </c>
      <c r="K612" s="8">
        <v>6305359</v>
      </c>
      <c r="L612" s="8">
        <v>327006</v>
      </c>
      <c r="M612" s="8">
        <v>19</v>
      </c>
      <c r="N612" s="8">
        <v>1</v>
      </c>
      <c r="O612" s="8">
        <v>0.3</v>
      </c>
      <c r="P612" s="8"/>
    </row>
    <row r="613" spans="1:16" hidden="1" x14ac:dyDescent="0.25">
      <c r="A613" s="7" t="s">
        <v>37</v>
      </c>
      <c r="B613" s="7" t="s">
        <v>124</v>
      </c>
      <c r="C613" s="8">
        <v>26409</v>
      </c>
      <c r="D613" s="7" t="s">
        <v>16</v>
      </c>
      <c r="E613" s="7" t="s">
        <v>137</v>
      </c>
      <c r="F613" s="7" t="s">
        <v>138</v>
      </c>
      <c r="G613" s="7" t="s">
        <v>18</v>
      </c>
      <c r="H613" s="7" t="s">
        <v>48</v>
      </c>
      <c r="I613" s="7" t="s">
        <v>712</v>
      </c>
      <c r="J613" s="7" t="s">
        <v>691</v>
      </c>
      <c r="K613" s="8">
        <v>6086424</v>
      </c>
      <c r="L613" s="8">
        <v>244489</v>
      </c>
      <c r="M613" s="8">
        <v>19</v>
      </c>
      <c r="N613" s="8">
        <v>1</v>
      </c>
      <c r="O613" s="8">
        <v>37.200000000000003</v>
      </c>
      <c r="P613" s="8"/>
    </row>
    <row r="614" spans="1:16" hidden="1" x14ac:dyDescent="0.25">
      <c r="A614" s="7" t="s">
        <v>37</v>
      </c>
      <c r="B614" s="7" t="s">
        <v>254</v>
      </c>
      <c r="C614" s="8">
        <v>26410</v>
      </c>
      <c r="D614" s="7" t="s">
        <v>16</v>
      </c>
      <c r="E614" s="7" t="s">
        <v>268</v>
      </c>
      <c r="F614" s="7" t="s">
        <v>282</v>
      </c>
      <c r="G614" s="7" t="s">
        <v>18</v>
      </c>
      <c r="H614" s="7" t="s">
        <v>109</v>
      </c>
      <c r="I614" s="7" t="s">
        <v>712</v>
      </c>
      <c r="J614" s="7" t="s">
        <v>691</v>
      </c>
      <c r="K614" s="8">
        <v>6136114</v>
      </c>
      <c r="L614" s="8">
        <v>316348</v>
      </c>
      <c r="M614" s="8">
        <v>19</v>
      </c>
      <c r="N614" s="8">
        <v>1</v>
      </c>
      <c r="O614" s="8">
        <v>3</v>
      </c>
      <c r="P614" s="8"/>
    </row>
    <row r="615" spans="1:16" hidden="1" x14ac:dyDescent="0.25">
      <c r="A615" s="7" t="s">
        <v>19</v>
      </c>
      <c r="B615" s="7" t="s">
        <v>415</v>
      </c>
      <c r="C615" s="8">
        <v>26411</v>
      </c>
      <c r="D615" s="7" t="s">
        <v>28</v>
      </c>
      <c r="E615" s="7" t="s">
        <v>146</v>
      </c>
      <c r="F615" s="7" t="s">
        <v>367</v>
      </c>
      <c r="G615" s="7" t="s">
        <v>18</v>
      </c>
      <c r="H615" s="7" t="s">
        <v>48</v>
      </c>
      <c r="I615" s="7" t="s">
        <v>712</v>
      </c>
      <c r="J615" s="7" t="s">
        <v>712</v>
      </c>
      <c r="K615" s="8">
        <v>6277536</v>
      </c>
      <c r="L615" s="8">
        <v>328574</v>
      </c>
      <c r="M615" s="8">
        <v>19</v>
      </c>
      <c r="N615" s="8">
        <v>1</v>
      </c>
      <c r="O615" s="8">
        <v>0.4</v>
      </c>
      <c r="P615" s="8"/>
    </row>
    <row r="616" spans="1:16" hidden="1" x14ac:dyDescent="0.25">
      <c r="A616" s="7" t="s">
        <v>19</v>
      </c>
      <c r="B616" s="7" t="s">
        <v>415</v>
      </c>
      <c r="C616" s="8">
        <v>26412</v>
      </c>
      <c r="D616" s="7" t="s">
        <v>28</v>
      </c>
      <c r="E616" s="7" t="s">
        <v>146</v>
      </c>
      <c r="F616" s="7" t="s">
        <v>367</v>
      </c>
      <c r="G616" s="7" t="s">
        <v>18</v>
      </c>
      <c r="H616" s="7" t="s">
        <v>48</v>
      </c>
      <c r="I616" s="7" t="s">
        <v>712</v>
      </c>
      <c r="J616" s="7" t="s">
        <v>712</v>
      </c>
      <c r="K616" s="8">
        <v>6277536</v>
      </c>
      <c r="L616" s="8">
        <v>328574</v>
      </c>
      <c r="M616" s="8">
        <v>19</v>
      </c>
      <c r="N616" s="8">
        <v>1</v>
      </c>
      <c r="O616" s="8">
        <v>0.4</v>
      </c>
      <c r="P616" s="8"/>
    </row>
    <row r="617" spans="1:16" hidden="1" x14ac:dyDescent="0.25">
      <c r="A617" s="7" t="s">
        <v>37</v>
      </c>
      <c r="B617" s="7" t="s">
        <v>124</v>
      </c>
      <c r="C617" s="8">
        <v>26413</v>
      </c>
      <c r="D617" s="7" t="s">
        <v>16</v>
      </c>
      <c r="E617" s="7" t="s">
        <v>127</v>
      </c>
      <c r="F617" s="7" t="s">
        <v>128</v>
      </c>
      <c r="G617" s="7" t="s">
        <v>18</v>
      </c>
      <c r="H617" s="7" t="s">
        <v>24</v>
      </c>
      <c r="I617" s="7" t="s">
        <v>712</v>
      </c>
      <c r="J617" s="7" t="s">
        <v>712</v>
      </c>
      <c r="K617" s="8">
        <v>6045420</v>
      </c>
      <c r="L617" s="8">
        <v>278098</v>
      </c>
      <c r="M617" s="8">
        <v>19</v>
      </c>
      <c r="N617" s="8">
        <v>1</v>
      </c>
      <c r="O617" s="8">
        <v>1.6</v>
      </c>
      <c r="P617" s="8"/>
    </row>
    <row r="618" spans="1:16" hidden="1" x14ac:dyDescent="0.25">
      <c r="A618" s="7" t="s">
        <v>19</v>
      </c>
      <c r="B618" s="7" t="s">
        <v>415</v>
      </c>
      <c r="C618" s="8">
        <v>26414</v>
      </c>
      <c r="D618" s="7" t="s">
        <v>28</v>
      </c>
      <c r="E618" s="7" t="s">
        <v>142</v>
      </c>
      <c r="F618" s="7" t="s">
        <v>433</v>
      </c>
      <c r="G618" s="7" t="s">
        <v>18</v>
      </c>
      <c r="H618" s="7" t="s">
        <v>48</v>
      </c>
      <c r="I618" s="7" t="s">
        <v>712</v>
      </c>
      <c r="J618" s="7" t="s">
        <v>712</v>
      </c>
      <c r="K618" s="8">
        <v>6282866</v>
      </c>
      <c r="L618" s="8">
        <v>333329</v>
      </c>
      <c r="M618" s="8">
        <v>19</v>
      </c>
      <c r="N618" s="8">
        <v>1</v>
      </c>
      <c r="O618" s="8">
        <v>0.4</v>
      </c>
      <c r="P618" s="8"/>
    </row>
    <row r="619" spans="1:16" hidden="1" x14ac:dyDescent="0.25">
      <c r="A619" s="7" t="s">
        <v>19</v>
      </c>
      <c r="B619" s="7" t="s">
        <v>415</v>
      </c>
      <c r="C619" s="8">
        <v>26416</v>
      </c>
      <c r="D619" s="7" t="s">
        <v>28</v>
      </c>
      <c r="E619" s="7" t="s">
        <v>32</v>
      </c>
      <c r="F619" s="7" t="s">
        <v>476</v>
      </c>
      <c r="G619" s="7" t="s">
        <v>18</v>
      </c>
      <c r="H619" s="7" t="s">
        <v>48</v>
      </c>
      <c r="I619" s="7" t="s">
        <v>712</v>
      </c>
      <c r="J619" s="7" t="s">
        <v>712</v>
      </c>
      <c r="K619" s="8">
        <v>6274320</v>
      </c>
      <c r="L619" s="8">
        <v>340081</v>
      </c>
      <c r="M619" s="8">
        <v>19</v>
      </c>
      <c r="N619" s="8">
        <v>1</v>
      </c>
      <c r="O619" s="8">
        <v>0.4</v>
      </c>
      <c r="P619" s="8"/>
    </row>
    <row r="620" spans="1:16" hidden="1" x14ac:dyDescent="0.25">
      <c r="A620" s="7" t="s">
        <v>19</v>
      </c>
      <c r="B620" s="7" t="s">
        <v>415</v>
      </c>
      <c r="C620" s="8">
        <v>26417</v>
      </c>
      <c r="D620" s="7" t="s">
        <v>28</v>
      </c>
      <c r="E620" s="7" t="s">
        <v>32</v>
      </c>
      <c r="F620" s="7" t="s">
        <v>476</v>
      </c>
      <c r="G620" s="7" t="s">
        <v>18</v>
      </c>
      <c r="H620" s="7" t="s">
        <v>48</v>
      </c>
      <c r="I620" s="7" t="s">
        <v>712</v>
      </c>
      <c r="J620" s="7" t="s">
        <v>712</v>
      </c>
      <c r="K620" s="8">
        <v>6274320</v>
      </c>
      <c r="L620" s="8">
        <v>340081</v>
      </c>
      <c r="M620" s="8">
        <v>19</v>
      </c>
      <c r="N620" s="8">
        <v>1</v>
      </c>
      <c r="O620" s="8">
        <v>0.4</v>
      </c>
      <c r="P620" s="8"/>
    </row>
    <row r="621" spans="1:16" hidden="1" x14ac:dyDescent="0.25">
      <c r="A621" s="7" t="s">
        <v>37</v>
      </c>
      <c r="B621" s="7" t="s">
        <v>124</v>
      </c>
      <c r="C621" s="8">
        <v>26418</v>
      </c>
      <c r="D621" s="7" t="s">
        <v>16</v>
      </c>
      <c r="E621" s="7" t="s">
        <v>137</v>
      </c>
      <c r="F621" s="7" t="s">
        <v>138</v>
      </c>
      <c r="G621" s="7" t="s">
        <v>18</v>
      </c>
      <c r="H621" s="7" t="s">
        <v>48</v>
      </c>
      <c r="I621" s="7" t="s">
        <v>712</v>
      </c>
      <c r="J621" s="7" t="s">
        <v>691</v>
      </c>
      <c r="K621" s="8">
        <v>6086565</v>
      </c>
      <c r="L621" s="8">
        <v>243731</v>
      </c>
      <c r="M621" s="8">
        <v>19</v>
      </c>
      <c r="N621" s="8">
        <v>1</v>
      </c>
      <c r="O621" s="8">
        <v>12</v>
      </c>
      <c r="P621" s="8"/>
    </row>
    <row r="622" spans="1:16" hidden="1" x14ac:dyDescent="0.25">
      <c r="A622" s="7" t="s">
        <v>19</v>
      </c>
      <c r="B622" s="7" t="s">
        <v>415</v>
      </c>
      <c r="C622" s="8">
        <v>26419</v>
      </c>
      <c r="D622" s="7" t="s">
        <v>28</v>
      </c>
      <c r="E622" s="7" t="s">
        <v>32</v>
      </c>
      <c r="F622" s="7" t="s">
        <v>476</v>
      </c>
      <c r="G622" s="7" t="s">
        <v>18</v>
      </c>
      <c r="H622" s="7" t="s">
        <v>48</v>
      </c>
      <c r="I622" s="7" t="s">
        <v>712</v>
      </c>
      <c r="J622" s="7" t="s">
        <v>712</v>
      </c>
      <c r="K622" s="8">
        <v>6274320</v>
      </c>
      <c r="L622" s="8">
        <v>340081</v>
      </c>
      <c r="M622" s="8">
        <v>19</v>
      </c>
      <c r="N622" s="8">
        <v>1</v>
      </c>
      <c r="O622" s="8">
        <v>0.4</v>
      </c>
      <c r="P622" s="8"/>
    </row>
    <row r="623" spans="1:16" hidden="1" x14ac:dyDescent="0.25">
      <c r="A623" s="7" t="s">
        <v>19</v>
      </c>
      <c r="B623" s="7" t="s">
        <v>415</v>
      </c>
      <c r="C623" s="8">
        <v>26420</v>
      </c>
      <c r="D623" s="7" t="s">
        <v>28</v>
      </c>
      <c r="E623" s="7" t="s">
        <v>32</v>
      </c>
      <c r="F623" s="7" t="s">
        <v>476</v>
      </c>
      <c r="G623" s="7" t="s">
        <v>18</v>
      </c>
      <c r="H623" s="7" t="s">
        <v>48</v>
      </c>
      <c r="I623" s="7" t="s">
        <v>712</v>
      </c>
      <c r="J623" s="7" t="s">
        <v>712</v>
      </c>
      <c r="K623" s="8">
        <v>6274320</v>
      </c>
      <c r="L623" s="8">
        <v>340081</v>
      </c>
      <c r="M623" s="8">
        <v>19</v>
      </c>
      <c r="N623" s="8">
        <v>1</v>
      </c>
      <c r="O623" s="8">
        <v>0.4</v>
      </c>
      <c r="P623" s="8"/>
    </row>
    <row r="624" spans="1:16" hidden="1" x14ac:dyDescent="0.25">
      <c r="A624" s="7" t="s">
        <v>19</v>
      </c>
      <c r="B624" s="7" t="s">
        <v>415</v>
      </c>
      <c r="C624" s="8">
        <v>26421</v>
      </c>
      <c r="D624" s="7" t="s">
        <v>28</v>
      </c>
      <c r="E624" s="7" t="s">
        <v>32</v>
      </c>
      <c r="F624" s="7" t="s">
        <v>476</v>
      </c>
      <c r="G624" s="7" t="s">
        <v>18</v>
      </c>
      <c r="H624" s="7" t="s">
        <v>48</v>
      </c>
      <c r="I624" s="7" t="s">
        <v>712</v>
      </c>
      <c r="J624" s="7" t="s">
        <v>712</v>
      </c>
      <c r="K624" s="8">
        <v>6274320</v>
      </c>
      <c r="L624" s="8">
        <v>340081</v>
      </c>
      <c r="M624" s="8">
        <v>19</v>
      </c>
      <c r="N624" s="8">
        <v>1</v>
      </c>
      <c r="O624" s="8">
        <v>0.4</v>
      </c>
      <c r="P624" s="8"/>
    </row>
    <row r="625" spans="1:16" hidden="1" x14ac:dyDescent="0.25">
      <c r="A625" s="7" t="s">
        <v>37</v>
      </c>
      <c r="B625" s="7" t="s">
        <v>415</v>
      </c>
      <c r="C625" s="8">
        <v>26422</v>
      </c>
      <c r="D625" s="7" t="s">
        <v>28</v>
      </c>
      <c r="E625" s="7" t="s">
        <v>159</v>
      </c>
      <c r="F625" s="7" t="s">
        <v>159</v>
      </c>
      <c r="G625" s="7" t="s">
        <v>18</v>
      </c>
      <c r="H625" s="7" t="s">
        <v>48</v>
      </c>
      <c r="I625" s="7" t="s">
        <v>712</v>
      </c>
      <c r="J625" s="7" t="s">
        <v>712</v>
      </c>
      <c r="K625" s="8">
        <v>6277649</v>
      </c>
      <c r="L625" s="8">
        <v>347257</v>
      </c>
      <c r="M625" s="8">
        <v>19</v>
      </c>
      <c r="N625" s="8">
        <v>1</v>
      </c>
      <c r="O625" s="8">
        <v>2.54</v>
      </c>
      <c r="P625" s="8"/>
    </row>
    <row r="626" spans="1:16" hidden="1" x14ac:dyDescent="0.25">
      <c r="A626" s="7" t="s">
        <v>19</v>
      </c>
      <c r="B626" s="7" t="s">
        <v>415</v>
      </c>
      <c r="C626" s="8">
        <v>26423</v>
      </c>
      <c r="D626" s="7" t="s">
        <v>28</v>
      </c>
      <c r="E626" s="7" t="s">
        <v>56</v>
      </c>
      <c r="F626" s="7" t="s">
        <v>56</v>
      </c>
      <c r="G626" s="7" t="s">
        <v>18</v>
      </c>
      <c r="H626" s="7" t="s">
        <v>48</v>
      </c>
      <c r="I626" s="7" t="s">
        <v>712</v>
      </c>
      <c r="J626" s="7" t="s">
        <v>691</v>
      </c>
      <c r="K626" s="8">
        <v>6267792</v>
      </c>
      <c r="L626" s="8">
        <v>342137</v>
      </c>
      <c r="M626" s="8">
        <v>19</v>
      </c>
      <c r="N626" s="8">
        <v>1</v>
      </c>
      <c r="O626" s="8">
        <v>0.37</v>
      </c>
      <c r="P626" s="8"/>
    </row>
    <row r="627" spans="1:16" hidden="1" x14ac:dyDescent="0.25">
      <c r="A627" s="7" t="s">
        <v>19</v>
      </c>
      <c r="B627" s="7" t="s">
        <v>415</v>
      </c>
      <c r="C627" s="8">
        <v>26424</v>
      </c>
      <c r="D627" s="7" t="s">
        <v>28</v>
      </c>
      <c r="E627" s="7" t="s">
        <v>56</v>
      </c>
      <c r="F627" s="7" t="s">
        <v>56</v>
      </c>
      <c r="G627" s="7" t="s">
        <v>18</v>
      </c>
      <c r="H627" s="7" t="s">
        <v>48</v>
      </c>
      <c r="I627" s="7" t="s">
        <v>712</v>
      </c>
      <c r="J627" s="7" t="s">
        <v>691</v>
      </c>
      <c r="K627" s="8">
        <v>6267792</v>
      </c>
      <c r="L627" s="8">
        <v>342137</v>
      </c>
      <c r="M627" s="8">
        <v>19</v>
      </c>
      <c r="N627" s="8">
        <v>1</v>
      </c>
      <c r="O627" s="8">
        <v>0.38</v>
      </c>
      <c r="P627" s="8"/>
    </row>
    <row r="628" spans="1:16" hidden="1" x14ac:dyDescent="0.25">
      <c r="A628" s="7" t="s">
        <v>37</v>
      </c>
      <c r="B628" s="7" t="s">
        <v>343</v>
      </c>
      <c r="C628" s="8">
        <v>26425</v>
      </c>
      <c r="D628" s="7" t="s">
        <v>52</v>
      </c>
      <c r="E628" s="7" t="s">
        <v>151</v>
      </c>
      <c r="F628" s="7" t="s">
        <v>151</v>
      </c>
      <c r="G628" s="7" t="s">
        <v>18</v>
      </c>
      <c r="H628" s="7" t="s">
        <v>24</v>
      </c>
      <c r="I628" s="7" t="s">
        <v>712</v>
      </c>
      <c r="J628" s="7" t="s">
        <v>712</v>
      </c>
      <c r="K628" s="8">
        <v>6198040</v>
      </c>
      <c r="L628" s="8">
        <v>324401</v>
      </c>
      <c r="M628" s="8">
        <v>19</v>
      </c>
      <c r="N628" s="8">
        <v>1</v>
      </c>
      <c r="O628" s="8">
        <v>6</v>
      </c>
      <c r="P628" s="8"/>
    </row>
    <row r="629" spans="1:16" hidden="1" x14ac:dyDescent="0.25">
      <c r="A629" s="7" t="s">
        <v>37</v>
      </c>
      <c r="B629" s="7" t="s">
        <v>343</v>
      </c>
      <c r="C629" s="8">
        <v>26427</v>
      </c>
      <c r="D629" s="7" t="s">
        <v>52</v>
      </c>
      <c r="E629" s="7" t="s">
        <v>151</v>
      </c>
      <c r="F629" s="7" t="s">
        <v>151</v>
      </c>
      <c r="G629" s="7" t="s">
        <v>18</v>
      </c>
      <c r="H629" s="7" t="s">
        <v>24</v>
      </c>
      <c r="I629" s="7" t="s">
        <v>712</v>
      </c>
      <c r="J629" s="7" t="s">
        <v>712</v>
      </c>
      <c r="K629" s="8">
        <v>6198065</v>
      </c>
      <c r="L629" s="8">
        <v>325688</v>
      </c>
      <c r="M629" s="8">
        <v>19</v>
      </c>
      <c r="N629" s="8">
        <v>1</v>
      </c>
      <c r="O629" s="8">
        <v>2.6</v>
      </c>
      <c r="P629" s="8"/>
    </row>
    <row r="630" spans="1:16" hidden="1" x14ac:dyDescent="0.25">
      <c r="A630" s="7" t="s">
        <v>37</v>
      </c>
      <c r="B630" s="7" t="s">
        <v>343</v>
      </c>
      <c r="C630" s="8">
        <v>26429</v>
      </c>
      <c r="D630" s="7" t="s">
        <v>52</v>
      </c>
      <c r="E630" s="7" t="s">
        <v>151</v>
      </c>
      <c r="F630" s="7" t="s">
        <v>151</v>
      </c>
      <c r="G630" s="7" t="s">
        <v>18</v>
      </c>
      <c r="H630" s="7" t="s">
        <v>24</v>
      </c>
      <c r="I630" s="7" t="s">
        <v>712</v>
      </c>
      <c r="J630" s="7" t="s">
        <v>712</v>
      </c>
      <c r="K630" s="8">
        <v>6198065</v>
      </c>
      <c r="L630" s="8">
        <v>325688</v>
      </c>
      <c r="M630" s="8">
        <v>19</v>
      </c>
      <c r="N630" s="8">
        <v>1</v>
      </c>
      <c r="O630" s="8">
        <v>4</v>
      </c>
      <c r="P630" s="8"/>
    </row>
    <row r="631" spans="1:16" hidden="1" x14ac:dyDescent="0.25">
      <c r="A631" s="7" t="s">
        <v>37</v>
      </c>
      <c r="B631" s="7" t="s">
        <v>343</v>
      </c>
      <c r="C631" s="8">
        <v>26431</v>
      </c>
      <c r="D631" s="7" t="s">
        <v>52</v>
      </c>
      <c r="E631" s="7" t="s">
        <v>151</v>
      </c>
      <c r="F631" s="7" t="s">
        <v>151</v>
      </c>
      <c r="G631" s="7" t="s">
        <v>18</v>
      </c>
      <c r="H631" s="7" t="s">
        <v>24</v>
      </c>
      <c r="I631" s="7" t="s">
        <v>712</v>
      </c>
      <c r="J631" s="7" t="s">
        <v>712</v>
      </c>
      <c r="K631" s="8">
        <v>6196711</v>
      </c>
      <c r="L631" s="8">
        <v>324983</v>
      </c>
      <c r="M631" s="8">
        <v>19</v>
      </c>
      <c r="N631" s="8">
        <v>1</v>
      </c>
      <c r="O631" s="8">
        <v>7.5</v>
      </c>
      <c r="P631" s="8"/>
    </row>
    <row r="632" spans="1:16" hidden="1" x14ac:dyDescent="0.25">
      <c r="A632" s="7" t="s">
        <v>37</v>
      </c>
      <c r="B632" s="7" t="s">
        <v>343</v>
      </c>
      <c r="C632" s="8">
        <v>26433</v>
      </c>
      <c r="D632" s="7" t="s">
        <v>52</v>
      </c>
      <c r="E632" s="7" t="s">
        <v>139</v>
      </c>
      <c r="F632" s="7" t="s">
        <v>81</v>
      </c>
      <c r="G632" s="7" t="s">
        <v>18</v>
      </c>
      <c r="H632" s="7" t="s">
        <v>48</v>
      </c>
      <c r="I632" s="7" t="s">
        <v>712</v>
      </c>
      <c r="J632" s="7" t="s">
        <v>712</v>
      </c>
      <c r="K632" s="8">
        <v>6228500</v>
      </c>
      <c r="L632" s="8">
        <v>345291</v>
      </c>
      <c r="M632" s="8">
        <v>19</v>
      </c>
      <c r="N632" s="8">
        <v>2</v>
      </c>
      <c r="O632" s="8">
        <v>20</v>
      </c>
      <c r="P632" s="8"/>
    </row>
    <row r="633" spans="1:16" hidden="1" x14ac:dyDescent="0.25">
      <c r="A633" s="7" t="s">
        <v>37</v>
      </c>
      <c r="B633" s="7" t="s">
        <v>343</v>
      </c>
      <c r="C633" s="8">
        <v>26434</v>
      </c>
      <c r="D633" s="7" t="s">
        <v>52</v>
      </c>
      <c r="E633" s="7" t="s">
        <v>141</v>
      </c>
      <c r="F633" s="7" t="s">
        <v>141</v>
      </c>
      <c r="G633" s="7" t="s">
        <v>18</v>
      </c>
      <c r="H633" s="7" t="s">
        <v>48</v>
      </c>
      <c r="I633" s="7" t="s">
        <v>712</v>
      </c>
      <c r="J633" s="7" t="s">
        <v>712</v>
      </c>
      <c r="K633" s="8">
        <v>6223958</v>
      </c>
      <c r="L633" s="8">
        <v>340373</v>
      </c>
      <c r="M633" s="8">
        <v>19</v>
      </c>
      <c r="N633" s="8">
        <v>4</v>
      </c>
      <c r="O633" s="8">
        <v>45.89</v>
      </c>
      <c r="P633" s="8"/>
    </row>
    <row r="634" spans="1:16" hidden="1" x14ac:dyDescent="0.25">
      <c r="A634" s="7" t="s">
        <v>37</v>
      </c>
      <c r="B634" s="7" t="s">
        <v>343</v>
      </c>
      <c r="C634" s="8">
        <v>26435</v>
      </c>
      <c r="D634" s="7" t="s">
        <v>52</v>
      </c>
      <c r="E634" s="7" t="s">
        <v>132</v>
      </c>
      <c r="F634" s="7" t="s">
        <v>133</v>
      </c>
      <c r="G634" s="7" t="s">
        <v>18</v>
      </c>
      <c r="H634" s="7" t="s">
        <v>48</v>
      </c>
      <c r="I634" s="7" t="s">
        <v>712</v>
      </c>
      <c r="J634" s="7" t="s">
        <v>712</v>
      </c>
      <c r="K634" s="8">
        <v>6215710</v>
      </c>
      <c r="L634" s="8">
        <v>346904</v>
      </c>
      <c r="M634" s="8">
        <v>19</v>
      </c>
      <c r="N634" s="8">
        <v>4</v>
      </c>
      <c r="O634" s="8">
        <v>48.48</v>
      </c>
      <c r="P634" s="8"/>
    </row>
    <row r="635" spans="1:16" hidden="1" x14ac:dyDescent="0.25">
      <c r="A635" s="7" t="s">
        <v>37</v>
      </c>
      <c r="B635" s="7" t="s">
        <v>343</v>
      </c>
      <c r="C635" s="8">
        <v>26436</v>
      </c>
      <c r="D635" s="7" t="s">
        <v>52</v>
      </c>
      <c r="E635" s="7" t="s">
        <v>53</v>
      </c>
      <c r="F635" s="7" t="s">
        <v>360</v>
      </c>
      <c r="G635" s="7" t="s">
        <v>18</v>
      </c>
      <c r="H635" s="7" t="s">
        <v>48</v>
      </c>
      <c r="I635" s="7" t="s">
        <v>712</v>
      </c>
      <c r="J635" s="7" t="s">
        <v>712</v>
      </c>
      <c r="K635" s="8">
        <v>6155366</v>
      </c>
      <c r="L635" s="8">
        <v>317724</v>
      </c>
      <c r="M635" s="8">
        <v>19</v>
      </c>
      <c r="N635" s="8">
        <v>3</v>
      </c>
      <c r="O635" s="8">
        <v>44</v>
      </c>
      <c r="P635" s="8"/>
    </row>
    <row r="636" spans="1:16" hidden="1" x14ac:dyDescent="0.25">
      <c r="A636" s="7" t="s">
        <v>37</v>
      </c>
      <c r="B636" s="7" t="s">
        <v>343</v>
      </c>
      <c r="C636" s="8">
        <v>26437</v>
      </c>
      <c r="D636" s="7" t="s">
        <v>52</v>
      </c>
      <c r="E636" s="7" t="s">
        <v>53</v>
      </c>
      <c r="F636" s="7" t="s">
        <v>360</v>
      </c>
      <c r="G636" s="7" t="s">
        <v>18</v>
      </c>
      <c r="H636" s="7" t="s">
        <v>48</v>
      </c>
      <c r="I636" s="7" t="s">
        <v>712</v>
      </c>
      <c r="J636" s="7" t="s">
        <v>712</v>
      </c>
      <c r="K636" s="8">
        <v>6155351</v>
      </c>
      <c r="L636" s="8">
        <v>318108</v>
      </c>
      <c r="M636" s="8">
        <v>19</v>
      </c>
      <c r="N636" s="8">
        <v>1</v>
      </c>
      <c r="O636" s="8">
        <v>19</v>
      </c>
      <c r="P636" s="8"/>
    </row>
    <row r="637" spans="1:16" hidden="1" x14ac:dyDescent="0.25">
      <c r="A637" s="7" t="s">
        <v>37</v>
      </c>
      <c r="B637" s="7" t="s">
        <v>343</v>
      </c>
      <c r="C637" s="8">
        <v>26438</v>
      </c>
      <c r="D637" s="7" t="s">
        <v>52</v>
      </c>
      <c r="E637" s="7" t="s">
        <v>53</v>
      </c>
      <c r="F637" s="7" t="s">
        <v>53</v>
      </c>
      <c r="G637" s="7" t="s">
        <v>18</v>
      </c>
      <c r="H637" s="7" t="s">
        <v>48</v>
      </c>
      <c r="I637" s="7" t="s">
        <v>712</v>
      </c>
      <c r="J637" s="7" t="s">
        <v>712</v>
      </c>
      <c r="K637" s="8">
        <v>6158088</v>
      </c>
      <c r="L637" s="8">
        <v>316273</v>
      </c>
      <c r="M637" s="8">
        <v>19</v>
      </c>
      <c r="N637" s="8">
        <v>1</v>
      </c>
      <c r="O637" s="8">
        <v>16.71</v>
      </c>
      <c r="P637" s="8"/>
    </row>
    <row r="638" spans="1:16" hidden="1" x14ac:dyDescent="0.25">
      <c r="A638" s="7" t="s">
        <v>37</v>
      </c>
      <c r="B638" s="7" t="s">
        <v>343</v>
      </c>
      <c r="C638" s="8">
        <v>26439</v>
      </c>
      <c r="D638" s="7" t="s">
        <v>52</v>
      </c>
      <c r="E638" s="7" t="s">
        <v>53</v>
      </c>
      <c r="F638" s="7" t="s">
        <v>53</v>
      </c>
      <c r="G638" s="7" t="s">
        <v>18</v>
      </c>
      <c r="H638" s="7" t="s">
        <v>48</v>
      </c>
      <c r="I638" s="7" t="s">
        <v>712</v>
      </c>
      <c r="J638" s="7" t="s">
        <v>712</v>
      </c>
      <c r="K638" s="8">
        <v>6158174</v>
      </c>
      <c r="L638" s="8">
        <v>315539</v>
      </c>
      <c r="M638" s="8">
        <v>19</v>
      </c>
      <c r="N638" s="8">
        <v>1</v>
      </c>
      <c r="O638" s="8">
        <v>14.89</v>
      </c>
      <c r="P638" s="8"/>
    </row>
    <row r="639" spans="1:16" hidden="1" x14ac:dyDescent="0.25">
      <c r="A639" s="7" t="s">
        <v>37</v>
      </c>
      <c r="B639" s="7" t="s">
        <v>343</v>
      </c>
      <c r="C639" s="8">
        <v>26440</v>
      </c>
      <c r="D639" s="7" t="s">
        <v>52</v>
      </c>
      <c r="E639" s="7" t="s">
        <v>53</v>
      </c>
      <c r="F639" s="7" t="s">
        <v>53</v>
      </c>
      <c r="G639" s="7" t="s">
        <v>18</v>
      </c>
      <c r="H639" s="7" t="s">
        <v>48</v>
      </c>
      <c r="I639" s="7" t="s">
        <v>712</v>
      </c>
      <c r="J639" s="7" t="s">
        <v>712</v>
      </c>
      <c r="K639" s="8">
        <v>6151958</v>
      </c>
      <c r="L639" s="8">
        <v>313378</v>
      </c>
      <c r="M639" s="8">
        <v>19</v>
      </c>
      <c r="N639" s="8">
        <v>1</v>
      </c>
      <c r="O639" s="8">
        <v>23.14</v>
      </c>
      <c r="P639" s="8"/>
    </row>
    <row r="640" spans="1:16" hidden="1" x14ac:dyDescent="0.25">
      <c r="A640" s="7" t="s">
        <v>37</v>
      </c>
      <c r="B640" s="7" t="s">
        <v>651</v>
      </c>
      <c r="C640" s="8">
        <v>26444</v>
      </c>
      <c r="D640" s="7" t="s">
        <v>16</v>
      </c>
      <c r="E640" s="7" t="s">
        <v>17</v>
      </c>
      <c r="F640" s="7" t="s">
        <v>431</v>
      </c>
      <c r="G640" s="7" t="s">
        <v>18</v>
      </c>
      <c r="H640" s="7" t="s">
        <v>48</v>
      </c>
      <c r="I640" s="7" t="s">
        <v>712</v>
      </c>
      <c r="J640" s="7" t="s">
        <v>691</v>
      </c>
      <c r="K640" s="8">
        <v>6064133</v>
      </c>
      <c r="L640" s="8">
        <v>276710</v>
      </c>
      <c r="M640" s="8">
        <v>19</v>
      </c>
      <c r="N640" s="8">
        <v>2</v>
      </c>
      <c r="O640" s="8">
        <v>15</v>
      </c>
      <c r="P640" s="8"/>
    </row>
    <row r="641" spans="1:16" hidden="1" x14ac:dyDescent="0.25">
      <c r="A641" s="7" t="s">
        <v>19</v>
      </c>
      <c r="B641" s="7" t="s">
        <v>41</v>
      </c>
      <c r="C641" s="8">
        <v>26447</v>
      </c>
      <c r="D641" s="7" t="s">
        <v>16</v>
      </c>
      <c r="E641" s="7" t="s">
        <v>46</v>
      </c>
      <c r="F641" s="7" t="s">
        <v>47</v>
      </c>
      <c r="G641" s="7" t="s">
        <v>18</v>
      </c>
      <c r="H641" s="7" t="s">
        <v>48</v>
      </c>
      <c r="I641" s="7" t="s">
        <v>712</v>
      </c>
      <c r="J641" s="7" t="s">
        <v>712</v>
      </c>
      <c r="K641" s="8">
        <v>6107947</v>
      </c>
      <c r="L641" s="8">
        <v>293335</v>
      </c>
      <c r="M641" s="8">
        <v>19</v>
      </c>
      <c r="N641" s="8">
        <v>2</v>
      </c>
      <c r="O641" s="8">
        <v>6.9</v>
      </c>
      <c r="P641" s="8"/>
    </row>
    <row r="642" spans="1:16" hidden="1" x14ac:dyDescent="0.25">
      <c r="A642" s="7" t="s">
        <v>37</v>
      </c>
      <c r="B642" s="7" t="s">
        <v>651</v>
      </c>
      <c r="C642" s="8">
        <v>26448</v>
      </c>
      <c r="D642" s="7" t="s">
        <v>16</v>
      </c>
      <c r="E642" s="7" t="s">
        <v>17</v>
      </c>
      <c r="F642" s="7" t="s">
        <v>431</v>
      </c>
      <c r="G642" s="7" t="s">
        <v>18</v>
      </c>
      <c r="H642" s="7" t="s">
        <v>48</v>
      </c>
      <c r="I642" s="7" t="s">
        <v>712</v>
      </c>
      <c r="J642" s="7" t="s">
        <v>691</v>
      </c>
      <c r="K642" s="8">
        <v>6063958</v>
      </c>
      <c r="L642" s="8">
        <v>275975</v>
      </c>
      <c r="M642" s="8">
        <v>19</v>
      </c>
      <c r="N642" s="8">
        <v>2</v>
      </c>
      <c r="O642" s="8">
        <v>11</v>
      </c>
      <c r="P642" s="8"/>
    </row>
    <row r="643" spans="1:16" hidden="1" x14ac:dyDescent="0.25">
      <c r="A643" s="7" t="s">
        <v>19</v>
      </c>
      <c r="B643" s="7" t="s">
        <v>41</v>
      </c>
      <c r="C643" s="8">
        <v>26450</v>
      </c>
      <c r="D643" s="7" t="s">
        <v>16</v>
      </c>
      <c r="E643" s="7" t="s">
        <v>50</v>
      </c>
      <c r="F643" s="7" t="s">
        <v>51</v>
      </c>
      <c r="G643" s="7" t="s">
        <v>18</v>
      </c>
      <c r="H643" s="7" t="s">
        <v>48</v>
      </c>
      <c r="I643" s="7" t="s">
        <v>712</v>
      </c>
      <c r="J643" s="7" t="s">
        <v>712</v>
      </c>
      <c r="K643" s="8">
        <v>6075726</v>
      </c>
      <c r="L643" s="8">
        <v>266026</v>
      </c>
      <c r="M643" s="8">
        <v>19</v>
      </c>
      <c r="N643" s="8">
        <v>3</v>
      </c>
      <c r="O643" s="8">
        <v>22.9</v>
      </c>
      <c r="P643" s="8"/>
    </row>
    <row r="644" spans="1:16" hidden="1" x14ac:dyDescent="0.25">
      <c r="A644" s="7" t="s">
        <v>19</v>
      </c>
      <c r="B644" s="7" t="s">
        <v>41</v>
      </c>
      <c r="C644" s="8">
        <v>26456</v>
      </c>
      <c r="D644" s="7" t="s">
        <v>52</v>
      </c>
      <c r="E644" s="7" t="s">
        <v>53</v>
      </c>
      <c r="F644" s="7" t="s">
        <v>54</v>
      </c>
      <c r="G644" s="7" t="s">
        <v>18</v>
      </c>
      <c r="H644" s="7" t="s">
        <v>48</v>
      </c>
      <c r="I644" s="7" t="s">
        <v>712</v>
      </c>
      <c r="J644" s="7" t="s">
        <v>712</v>
      </c>
      <c r="K644" s="8">
        <v>6150626</v>
      </c>
      <c r="L644" s="8">
        <v>316805</v>
      </c>
      <c r="M644" s="8">
        <v>19</v>
      </c>
      <c r="N644" s="8">
        <v>1</v>
      </c>
      <c r="O644" s="8">
        <v>6.1</v>
      </c>
      <c r="P644" s="8"/>
    </row>
    <row r="645" spans="1:16" hidden="1" x14ac:dyDescent="0.25">
      <c r="A645" s="7" t="s">
        <v>19</v>
      </c>
      <c r="B645" s="7" t="s">
        <v>41</v>
      </c>
      <c r="C645" s="8">
        <v>26457</v>
      </c>
      <c r="D645" s="7" t="s">
        <v>52</v>
      </c>
      <c r="E645" s="7" t="s">
        <v>53</v>
      </c>
      <c r="F645" s="7" t="s">
        <v>54</v>
      </c>
      <c r="G645" s="7" t="s">
        <v>18</v>
      </c>
      <c r="H645" s="7" t="s">
        <v>48</v>
      </c>
      <c r="I645" s="7" t="s">
        <v>712</v>
      </c>
      <c r="J645" s="7" t="s">
        <v>712</v>
      </c>
      <c r="K645" s="8">
        <v>6150505</v>
      </c>
      <c r="L645" s="8">
        <v>317001</v>
      </c>
      <c r="M645" s="8">
        <v>19</v>
      </c>
      <c r="N645" s="8">
        <v>1</v>
      </c>
      <c r="O645" s="8">
        <v>3.4</v>
      </c>
      <c r="P645" s="8"/>
    </row>
    <row r="646" spans="1:16" hidden="1" x14ac:dyDescent="0.25">
      <c r="A646" s="7" t="s">
        <v>19</v>
      </c>
      <c r="B646" s="7" t="s">
        <v>41</v>
      </c>
      <c r="C646" s="8">
        <v>26458</v>
      </c>
      <c r="D646" s="7" t="s">
        <v>52</v>
      </c>
      <c r="E646" s="7" t="s">
        <v>53</v>
      </c>
      <c r="F646" s="7" t="s">
        <v>54</v>
      </c>
      <c r="G646" s="7" t="s">
        <v>18</v>
      </c>
      <c r="H646" s="7" t="s">
        <v>48</v>
      </c>
      <c r="I646" s="7" t="s">
        <v>712</v>
      </c>
      <c r="J646" s="7" t="s">
        <v>712</v>
      </c>
      <c r="K646" s="8">
        <v>6150303</v>
      </c>
      <c r="L646" s="8">
        <v>316690</v>
      </c>
      <c r="M646" s="8">
        <v>19</v>
      </c>
      <c r="N646" s="8">
        <v>1</v>
      </c>
      <c r="O646" s="8">
        <v>9.5</v>
      </c>
      <c r="P646" s="8"/>
    </row>
    <row r="647" spans="1:16" hidden="1" x14ac:dyDescent="0.25">
      <c r="A647" s="7" t="s">
        <v>37</v>
      </c>
      <c r="B647" s="7" t="s">
        <v>343</v>
      </c>
      <c r="C647" s="8">
        <v>26470</v>
      </c>
      <c r="D647" s="7" t="s">
        <v>52</v>
      </c>
      <c r="E647" s="7" t="s">
        <v>141</v>
      </c>
      <c r="F647" s="7" t="s">
        <v>133</v>
      </c>
      <c r="G647" s="7" t="s">
        <v>18</v>
      </c>
      <c r="H647" s="7" t="s">
        <v>48</v>
      </c>
      <c r="I647" s="7" t="s">
        <v>712</v>
      </c>
      <c r="J647" s="7" t="s">
        <v>712</v>
      </c>
      <c r="K647" s="8">
        <v>6215914</v>
      </c>
      <c r="L647" s="8">
        <v>343614</v>
      </c>
      <c r="M647" s="8">
        <v>19</v>
      </c>
      <c r="N647" s="8">
        <v>1</v>
      </c>
      <c r="O647" s="8">
        <v>12</v>
      </c>
      <c r="P647" s="8"/>
    </row>
    <row r="648" spans="1:16" hidden="1" x14ac:dyDescent="0.25">
      <c r="A648" s="7" t="s">
        <v>37</v>
      </c>
      <c r="B648" s="7" t="s">
        <v>343</v>
      </c>
      <c r="C648" s="8">
        <v>26471</v>
      </c>
      <c r="D648" s="7" t="s">
        <v>52</v>
      </c>
      <c r="E648" s="7" t="s">
        <v>145</v>
      </c>
      <c r="F648" s="7" t="s">
        <v>374</v>
      </c>
      <c r="G648" s="7" t="s">
        <v>18</v>
      </c>
      <c r="H648" s="7" t="s">
        <v>48</v>
      </c>
      <c r="I648" s="7" t="s">
        <v>712</v>
      </c>
      <c r="J648" s="7" t="s">
        <v>712</v>
      </c>
      <c r="K648" s="8">
        <v>6175906</v>
      </c>
      <c r="L648" s="8">
        <v>318112</v>
      </c>
      <c r="M648" s="8">
        <v>19</v>
      </c>
      <c r="N648" s="8">
        <v>2</v>
      </c>
      <c r="O648" s="8">
        <v>17.46</v>
      </c>
      <c r="P648" s="8"/>
    </row>
    <row r="649" spans="1:16" hidden="1" x14ac:dyDescent="0.25">
      <c r="A649" s="7" t="s">
        <v>37</v>
      </c>
      <c r="B649" s="7" t="s">
        <v>343</v>
      </c>
      <c r="C649" s="8">
        <v>26472</v>
      </c>
      <c r="D649" s="7" t="s">
        <v>52</v>
      </c>
      <c r="E649" s="7" t="s">
        <v>375</v>
      </c>
      <c r="F649" s="7" t="s">
        <v>376</v>
      </c>
      <c r="G649" s="7" t="s">
        <v>18</v>
      </c>
      <c r="H649" s="7" t="s">
        <v>48</v>
      </c>
      <c r="I649" s="7" t="s">
        <v>712</v>
      </c>
      <c r="J649" s="7" t="s">
        <v>712</v>
      </c>
      <c r="K649" s="8">
        <v>6149511</v>
      </c>
      <c r="L649" s="8">
        <v>303288</v>
      </c>
      <c r="M649" s="8">
        <v>19</v>
      </c>
      <c r="N649" s="8">
        <v>4</v>
      </c>
      <c r="O649" s="8">
        <v>30</v>
      </c>
      <c r="P649" s="8"/>
    </row>
    <row r="650" spans="1:16" hidden="1" x14ac:dyDescent="0.25">
      <c r="A650" s="7" t="s">
        <v>37</v>
      </c>
      <c r="B650" s="7" t="s">
        <v>343</v>
      </c>
      <c r="C650" s="8">
        <v>26473</v>
      </c>
      <c r="D650" s="7" t="s">
        <v>52</v>
      </c>
      <c r="E650" s="7" t="s">
        <v>153</v>
      </c>
      <c r="F650" s="7" t="s">
        <v>377</v>
      </c>
      <c r="G650" s="7" t="s">
        <v>18</v>
      </c>
      <c r="H650" s="7" t="s">
        <v>48</v>
      </c>
      <c r="I650" s="7" t="s">
        <v>712</v>
      </c>
      <c r="J650" s="7" t="s">
        <v>712</v>
      </c>
      <c r="K650" s="8">
        <v>6199021</v>
      </c>
      <c r="L650" s="8">
        <v>336793</v>
      </c>
      <c r="M650" s="8">
        <v>19</v>
      </c>
      <c r="N650" s="8">
        <v>2</v>
      </c>
      <c r="O650" s="8">
        <v>48</v>
      </c>
      <c r="P650" s="8"/>
    </row>
    <row r="651" spans="1:16" hidden="1" x14ac:dyDescent="0.25">
      <c r="A651" s="7" t="s">
        <v>37</v>
      </c>
      <c r="B651" s="7" t="s">
        <v>343</v>
      </c>
      <c r="C651" s="8">
        <v>26474</v>
      </c>
      <c r="D651" s="7" t="s">
        <v>52</v>
      </c>
      <c r="E651" s="7" t="s">
        <v>141</v>
      </c>
      <c r="F651" s="7" t="s">
        <v>141</v>
      </c>
      <c r="G651" s="7" t="s">
        <v>18</v>
      </c>
      <c r="H651" s="7" t="s">
        <v>48</v>
      </c>
      <c r="I651" s="7" t="s">
        <v>712</v>
      </c>
      <c r="J651" s="7" t="s">
        <v>712</v>
      </c>
      <c r="K651" s="8">
        <v>6214948</v>
      </c>
      <c r="L651" s="8">
        <v>344570</v>
      </c>
      <c r="M651" s="8">
        <v>19</v>
      </c>
      <c r="N651" s="8">
        <v>5</v>
      </c>
      <c r="O651" s="8">
        <v>72.86</v>
      </c>
      <c r="P651" s="8"/>
    </row>
    <row r="652" spans="1:16" hidden="1" x14ac:dyDescent="0.25">
      <c r="A652" s="7" t="s">
        <v>37</v>
      </c>
      <c r="B652" s="7" t="s">
        <v>343</v>
      </c>
      <c r="C652" s="8">
        <v>26475</v>
      </c>
      <c r="D652" s="7" t="s">
        <v>52</v>
      </c>
      <c r="E652" s="7" t="s">
        <v>53</v>
      </c>
      <c r="F652" s="7" t="s">
        <v>53</v>
      </c>
      <c r="G652" s="7" t="s">
        <v>18</v>
      </c>
      <c r="H652" s="7" t="s">
        <v>48</v>
      </c>
      <c r="I652" s="7" t="s">
        <v>712</v>
      </c>
      <c r="J652" s="7" t="s">
        <v>712</v>
      </c>
      <c r="K652" s="8">
        <v>6155920</v>
      </c>
      <c r="L652" s="8">
        <v>316456</v>
      </c>
      <c r="M652" s="8">
        <v>19</v>
      </c>
      <c r="N652" s="8">
        <v>6</v>
      </c>
      <c r="O652" s="8">
        <v>40</v>
      </c>
      <c r="P652" s="8"/>
    </row>
    <row r="653" spans="1:16" hidden="1" x14ac:dyDescent="0.25">
      <c r="A653" s="7" t="s">
        <v>37</v>
      </c>
      <c r="B653" s="7" t="s">
        <v>343</v>
      </c>
      <c r="C653" s="8">
        <v>26476</v>
      </c>
      <c r="D653" s="7" t="s">
        <v>52</v>
      </c>
      <c r="E653" s="7" t="s">
        <v>141</v>
      </c>
      <c r="F653" s="7" t="s">
        <v>141</v>
      </c>
      <c r="G653" s="7" t="s">
        <v>18</v>
      </c>
      <c r="H653" s="7" t="s">
        <v>48</v>
      </c>
      <c r="I653" s="7" t="s">
        <v>712</v>
      </c>
      <c r="J653" s="7" t="s">
        <v>712</v>
      </c>
      <c r="K653" s="8">
        <v>6234983</v>
      </c>
      <c r="L653" s="8">
        <v>340557</v>
      </c>
      <c r="M653" s="8">
        <v>19</v>
      </c>
      <c r="N653" s="8">
        <v>1</v>
      </c>
      <c r="O653" s="8">
        <v>18</v>
      </c>
      <c r="P653" s="8"/>
    </row>
    <row r="654" spans="1:16" hidden="1" x14ac:dyDescent="0.25">
      <c r="A654" s="7" t="s">
        <v>37</v>
      </c>
      <c r="B654" s="7" t="s">
        <v>343</v>
      </c>
      <c r="C654" s="8">
        <v>26477</v>
      </c>
      <c r="D654" s="7" t="s">
        <v>28</v>
      </c>
      <c r="E654" s="7" t="s">
        <v>56</v>
      </c>
      <c r="F654" s="7" t="s">
        <v>378</v>
      </c>
      <c r="G654" s="7" t="s">
        <v>18</v>
      </c>
      <c r="H654" s="7" t="s">
        <v>48</v>
      </c>
      <c r="I654" s="7" t="s">
        <v>712</v>
      </c>
      <c r="J654" s="7" t="s">
        <v>712</v>
      </c>
      <c r="K654" s="8">
        <v>6261629</v>
      </c>
      <c r="L654" s="8">
        <v>332943</v>
      </c>
      <c r="M654" s="8">
        <v>19</v>
      </c>
      <c r="N654" s="8">
        <v>1</v>
      </c>
      <c r="O654" s="8">
        <v>16</v>
      </c>
      <c r="P654" s="8"/>
    </row>
    <row r="655" spans="1:16" hidden="1" x14ac:dyDescent="0.25">
      <c r="A655" s="7" t="s">
        <v>37</v>
      </c>
      <c r="B655" s="7" t="s">
        <v>343</v>
      </c>
      <c r="C655" s="8">
        <v>26478</v>
      </c>
      <c r="D655" s="7" t="s">
        <v>28</v>
      </c>
      <c r="E655" s="7" t="s">
        <v>344</v>
      </c>
      <c r="F655" s="7" t="s">
        <v>345</v>
      </c>
      <c r="G655" s="7" t="s">
        <v>18</v>
      </c>
      <c r="H655" s="7" t="s">
        <v>48</v>
      </c>
      <c r="I655" s="7" t="s">
        <v>712</v>
      </c>
      <c r="J655" s="7" t="s">
        <v>712</v>
      </c>
      <c r="K655" s="8">
        <v>6276241</v>
      </c>
      <c r="L655" s="8">
        <v>298304</v>
      </c>
      <c r="M655" s="8">
        <v>19</v>
      </c>
      <c r="N655" s="8">
        <v>1</v>
      </c>
      <c r="O655" s="8">
        <v>10.5</v>
      </c>
      <c r="P655" s="8"/>
    </row>
    <row r="656" spans="1:16" hidden="1" x14ac:dyDescent="0.25">
      <c r="A656" s="7" t="s">
        <v>37</v>
      </c>
      <c r="B656" s="7" t="s">
        <v>343</v>
      </c>
      <c r="C656" s="8">
        <v>26479</v>
      </c>
      <c r="D656" s="7" t="s">
        <v>28</v>
      </c>
      <c r="E656" s="7" t="s">
        <v>142</v>
      </c>
      <c r="F656" s="7" t="s">
        <v>379</v>
      </c>
      <c r="G656" s="7" t="s">
        <v>18</v>
      </c>
      <c r="H656" s="7" t="s">
        <v>48</v>
      </c>
      <c r="I656" s="7" t="s">
        <v>712</v>
      </c>
      <c r="J656" s="7" t="s">
        <v>712</v>
      </c>
      <c r="K656" s="8">
        <v>6278351</v>
      </c>
      <c r="L656" s="8">
        <v>333436</v>
      </c>
      <c r="M656" s="8">
        <v>19</v>
      </c>
      <c r="N656" s="8">
        <v>2</v>
      </c>
      <c r="O656" s="8">
        <v>22</v>
      </c>
      <c r="P656" s="8"/>
    </row>
    <row r="657" spans="1:16" hidden="1" x14ac:dyDescent="0.25">
      <c r="A657" s="7" t="s">
        <v>37</v>
      </c>
      <c r="B657" s="7" t="s">
        <v>343</v>
      </c>
      <c r="C657" s="8">
        <v>26480</v>
      </c>
      <c r="D657" s="7" t="s">
        <v>28</v>
      </c>
      <c r="E657" s="7" t="s">
        <v>29</v>
      </c>
      <c r="F657" s="7" t="s">
        <v>29</v>
      </c>
      <c r="G657" s="7" t="s">
        <v>18</v>
      </c>
      <c r="H657" s="7" t="s">
        <v>48</v>
      </c>
      <c r="I657" s="7" t="s">
        <v>712</v>
      </c>
      <c r="J657" s="7" t="s">
        <v>712</v>
      </c>
      <c r="K657" s="8">
        <v>6260582</v>
      </c>
      <c r="L657" s="8">
        <v>341611</v>
      </c>
      <c r="M657" s="8">
        <v>19</v>
      </c>
      <c r="N657" s="8">
        <v>1</v>
      </c>
      <c r="O657" s="8">
        <v>12</v>
      </c>
      <c r="P657" s="8"/>
    </row>
    <row r="658" spans="1:16" hidden="1" x14ac:dyDescent="0.25">
      <c r="A658" s="7" t="s">
        <v>37</v>
      </c>
      <c r="B658" s="7" t="s">
        <v>343</v>
      </c>
      <c r="C658" s="8">
        <v>26481</v>
      </c>
      <c r="D658" s="7" t="s">
        <v>28</v>
      </c>
      <c r="E658" s="7" t="s">
        <v>56</v>
      </c>
      <c r="F658" s="7" t="s">
        <v>56</v>
      </c>
      <c r="G658" s="7" t="s">
        <v>18</v>
      </c>
      <c r="H658" s="7" t="s">
        <v>48</v>
      </c>
      <c r="I658" s="7" t="s">
        <v>712</v>
      </c>
      <c r="J658" s="7" t="s">
        <v>712</v>
      </c>
      <c r="K658" s="8">
        <v>6267725</v>
      </c>
      <c r="L658" s="8">
        <v>340880</v>
      </c>
      <c r="M658" s="8">
        <v>19</v>
      </c>
      <c r="N658" s="8">
        <v>3</v>
      </c>
      <c r="O658" s="8">
        <v>22</v>
      </c>
      <c r="P658" s="8"/>
    </row>
    <row r="659" spans="1:16" hidden="1" x14ac:dyDescent="0.25">
      <c r="A659" s="7" t="s">
        <v>37</v>
      </c>
      <c r="B659" s="7" t="s">
        <v>343</v>
      </c>
      <c r="C659" s="8">
        <v>26482</v>
      </c>
      <c r="D659" s="7" t="s">
        <v>28</v>
      </c>
      <c r="E659" s="7" t="s">
        <v>32</v>
      </c>
      <c r="F659" s="7" t="s">
        <v>33</v>
      </c>
      <c r="G659" s="7" t="s">
        <v>18</v>
      </c>
      <c r="H659" s="7" t="s">
        <v>48</v>
      </c>
      <c r="I659" s="7" t="s">
        <v>712</v>
      </c>
      <c r="J659" s="7" t="s">
        <v>691</v>
      </c>
      <c r="K659" s="8">
        <v>6275551</v>
      </c>
      <c r="L659" s="8">
        <v>343164</v>
      </c>
      <c r="M659" s="8">
        <v>19</v>
      </c>
      <c r="N659" s="8">
        <v>2</v>
      </c>
      <c r="O659" s="8">
        <v>17</v>
      </c>
      <c r="P659" s="8"/>
    </row>
    <row r="660" spans="1:16" hidden="1" x14ac:dyDescent="0.25">
      <c r="A660" s="7" t="s">
        <v>37</v>
      </c>
      <c r="B660" s="7" t="s">
        <v>270</v>
      </c>
      <c r="C660" s="8">
        <v>26483</v>
      </c>
      <c r="D660" s="7" t="s">
        <v>28</v>
      </c>
      <c r="E660" s="7" t="s">
        <v>146</v>
      </c>
      <c r="F660" s="7" t="s">
        <v>603</v>
      </c>
      <c r="G660" s="7" t="s">
        <v>18</v>
      </c>
      <c r="H660" s="7" t="s">
        <v>24</v>
      </c>
      <c r="I660" s="7" t="s">
        <v>712</v>
      </c>
      <c r="J660" s="7" t="s">
        <v>712</v>
      </c>
      <c r="K660" s="8">
        <v>6275589</v>
      </c>
      <c r="L660" s="8">
        <v>323954</v>
      </c>
      <c r="M660" s="8">
        <v>19</v>
      </c>
      <c r="N660" s="8">
        <v>1</v>
      </c>
      <c r="O660" s="8">
        <v>0.4</v>
      </c>
      <c r="P660" s="8"/>
    </row>
    <row r="661" spans="1:16" hidden="1" x14ac:dyDescent="0.25">
      <c r="A661" s="7" t="s">
        <v>37</v>
      </c>
      <c r="B661" s="7" t="s">
        <v>270</v>
      </c>
      <c r="C661" s="8">
        <v>26484</v>
      </c>
      <c r="D661" s="7" t="s">
        <v>21</v>
      </c>
      <c r="E661" s="7" t="s">
        <v>342</v>
      </c>
      <c r="F661" s="7" t="s">
        <v>22</v>
      </c>
      <c r="G661" s="7" t="s">
        <v>18</v>
      </c>
      <c r="H661" s="7" t="s">
        <v>24</v>
      </c>
      <c r="I661" s="7" t="s">
        <v>712</v>
      </c>
      <c r="J661" s="7" t="s">
        <v>712</v>
      </c>
      <c r="K661" s="8">
        <v>6377026</v>
      </c>
      <c r="L661" s="8">
        <v>292618</v>
      </c>
      <c r="M661" s="8">
        <v>19</v>
      </c>
      <c r="N661" s="8">
        <v>1</v>
      </c>
      <c r="O661" s="8">
        <v>7.5</v>
      </c>
      <c r="P661" s="8"/>
    </row>
    <row r="662" spans="1:16" hidden="1" x14ac:dyDescent="0.25">
      <c r="A662" s="7" t="s">
        <v>37</v>
      </c>
      <c r="B662" s="7" t="s">
        <v>343</v>
      </c>
      <c r="C662" s="8">
        <v>26486</v>
      </c>
      <c r="D662" s="7" t="s">
        <v>28</v>
      </c>
      <c r="E662" s="7" t="s">
        <v>135</v>
      </c>
      <c r="F662" s="7" t="s">
        <v>32</v>
      </c>
      <c r="G662" s="7" t="s">
        <v>18</v>
      </c>
      <c r="H662" s="7" t="s">
        <v>48</v>
      </c>
      <c r="I662" s="7" t="s">
        <v>712</v>
      </c>
      <c r="J662" s="7" t="s">
        <v>712</v>
      </c>
      <c r="K662" s="8">
        <v>6280652</v>
      </c>
      <c r="L662" s="8">
        <v>347861</v>
      </c>
      <c r="M662" s="8">
        <v>19</v>
      </c>
      <c r="N662" s="8">
        <v>1</v>
      </c>
      <c r="O662" s="8">
        <v>18</v>
      </c>
      <c r="P662" s="8"/>
    </row>
    <row r="663" spans="1:16" hidden="1" x14ac:dyDescent="0.25">
      <c r="A663" s="7" t="s">
        <v>37</v>
      </c>
      <c r="B663" s="7" t="s">
        <v>343</v>
      </c>
      <c r="C663" s="8">
        <v>26487</v>
      </c>
      <c r="D663" s="7" t="s">
        <v>28</v>
      </c>
      <c r="E663" s="7" t="s">
        <v>29</v>
      </c>
      <c r="F663" s="7" t="s">
        <v>162</v>
      </c>
      <c r="G663" s="7" t="s">
        <v>18</v>
      </c>
      <c r="H663" s="7" t="s">
        <v>48</v>
      </c>
      <c r="I663" s="7" t="s">
        <v>712</v>
      </c>
      <c r="J663" s="7" t="s">
        <v>691</v>
      </c>
      <c r="K663" s="8">
        <v>6256365</v>
      </c>
      <c r="L663" s="8">
        <v>334541</v>
      </c>
      <c r="M663" s="8">
        <v>19</v>
      </c>
      <c r="N663" s="8">
        <v>1</v>
      </c>
      <c r="O663" s="8">
        <v>11</v>
      </c>
      <c r="P663" s="8"/>
    </row>
    <row r="664" spans="1:16" hidden="1" x14ac:dyDescent="0.25">
      <c r="A664" s="7" t="s">
        <v>37</v>
      </c>
      <c r="B664" s="7" t="s">
        <v>343</v>
      </c>
      <c r="C664" s="8">
        <v>26494</v>
      </c>
      <c r="D664" s="7" t="s">
        <v>28</v>
      </c>
      <c r="E664" s="7" t="s">
        <v>32</v>
      </c>
      <c r="F664" s="7" t="s">
        <v>32</v>
      </c>
      <c r="G664" s="7" t="s">
        <v>18</v>
      </c>
      <c r="H664" s="7" t="s">
        <v>24</v>
      </c>
      <c r="I664" s="7" t="s">
        <v>712</v>
      </c>
      <c r="J664" s="7" t="s">
        <v>712</v>
      </c>
      <c r="K664" s="8">
        <v>6279113</v>
      </c>
      <c r="L664" s="8">
        <v>344354</v>
      </c>
      <c r="M664" s="8">
        <v>19</v>
      </c>
      <c r="N664" s="8">
        <v>1</v>
      </c>
      <c r="O664" s="8">
        <v>8</v>
      </c>
      <c r="P664" s="8"/>
    </row>
    <row r="665" spans="1:16" hidden="1" x14ac:dyDescent="0.25">
      <c r="A665" s="7" t="s">
        <v>37</v>
      </c>
      <c r="B665" s="7" t="s">
        <v>651</v>
      </c>
      <c r="C665" s="8">
        <v>26496</v>
      </c>
      <c r="D665" s="7" t="s">
        <v>16</v>
      </c>
      <c r="E665" s="7" t="s">
        <v>17</v>
      </c>
      <c r="F665" s="7" t="s">
        <v>55</v>
      </c>
      <c r="G665" s="7" t="s">
        <v>18</v>
      </c>
      <c r="H665" s="7" t="s">
        <v>48</v>
      </c>
      <c r="I665" s="7" t="s">
        <v>712</v>
      </c>
      <c r="J665" s="7" t="s">
        <v>691</v>
      </c>
      <c r="K665" s="8">
        <v>6064979</v>
      </c>
      <c r="L665" s="8">
        <v>280434</v>
      </c>
      <c r="M665" s="8">
        <v>19</v>
      </c>
      <c r="N665" s="8">
        <v>3</v>
      </c>
      <c r="O665" s="8">
        <v>13</v>
      </c>
      <c r="P665" s="8"/>
    </row>
    <row r="666" spans="1:16" hidden="1" x14ac:dyDescent="0.25">
      <c r="A666" s="7" t="s">
        <v>37</v>
      </c>
      <c r="B666" s="7" t="s">
        <v>415</v>
      </c>
      <c r="C666" s="8">
        <v>26497</v>
      </c>
      <c r="D666" s="7" t="s">
        <v>28</v>
      </c>
      <c r="E666" s="7" t="s">
        <v>29</v>
      </c>
      <c r="F666" s="7" t="s">
        <v>477</v>
      </c>
      <c r="G666" s="7" t="s">
        <v>18</v>
      </c>
      <c r="H666" s="7" t="s">
        <v>24</v>
      </c>
      <c r="I666" s="7" t="s">
        <v>712</v>
      </c>
      <c r="J666" s="7" t="s">
        <v>712</v>
      </c>
      <c r="K666" s="8">
        <v>6250186</v>
      </c>
      <c r="L666" s="8">
        <v>346693</v>
      </c>
      <c r="M666" s="8">
        <v>19</v>
      </c>
      <c r="N666" s="8">
        <v>1</v>
      </c>
      <c r="O666" s="8">
        <v>1.05</v>
      </c>
      <c r="P666" s="8"/>
    </row>
    <row r="667" spans="1:16" hidden="1" x14ac:dyDescent="0.25">
      <c r="A667" s="7" t="s">
        <v>19</v>
      </c>
      <c r="B667" s="7" t="s">
        <v>415</v>
      </c>
      <c r="C667" s="8">
        <v>26500</v>
      </c>
      <c r="D667" s="7" t="s">
        <v>28</v>
      </c>
      <c r="E667" s="7" t="s">
        <v>146</v>
      </c>
      <c r="F667" s="7" t="s">
        <v>146</v>
      </c>
      <c r="G667" s="7" t="s">
        <v>18</v>
      </c>
      <c r="H667" s="7" t="s">
        <v>48</v>
      </c>
      <c r="I667" s="7" t="s">
        <v>712</v>
      </c>
      <c r="J667" s="7" t="s">
        <v>712</v>
      </c>
      <c r="K667" s="8">
        <v>6277346</v>
      </c>
      <c r="L667" s="8">
        <v>328884</v>
      </c>
      <c r="M667" s="8">
        <v>19</v>
      </c>
      <c r="N667" s="8">
        <v>1</v>
      </c>
      <c r="O667" s="8">
        <v>0.41</v>
      </c>
      <c r="P667" s="8"/>
    </row>
    <row r="668" spans="1:16" hidden="1" x14ac:dyDescent="0.25">
      <c r="A668" s="7" t="s">
        <v>37</v>
      </c>
      <c r="B668" s="7" t="s">
        <v>415</v>
      </c>
      <c r="C668" s="8">
        <v>26502</v>
      </c>
      <c r="D668" s="7" t="s">
        <v>28</v>
      </c>
      <c r="E668" s="7" t="s">
        <v>29</v>
      </c>
      <c r="F668" s="7" t="s">
        <v>477</v>
      </c>
      <c r="G668" s="7" t="s">
        <v>18</v>
      </c>
      <c r="H668" s="7" t="s">
        <v>24</v>
      </c>
      <c r="I668" s="7" t="s">
        <v>712</v>
      </c>
      <c r="J668" s="7" t="s">
        <v>712</v>
      </c>
      <c r="K668" s="8">
        <v>6251230</v>
      </c>
      <c r="L668" s="8">
        <v>346957</v>
      </c>
      <c r="M668" s="8">
        <v>19</v>
      </c>
      <c r="N668" s="8">
        <v>1</v>
      </c>
      <c r="O668" s="8">
        <v>0.95</v>
      </c>
      <c r="P668" s="8"/>
    </row>
    <row r="669" spans="1:16" hidden="1" x14ac:dyDescent="0.25">
      <c r="A669" s="7" t="s">
        <v>19</v>
      </c>
      <c r="B669" s="7" t="s">
        <v>415</v>
      </c>
      <c r="C669" s="8">
        <v>26503</v>
      </c>
      <c r="D669" s="7" t="s">
        <v>28</v>
      </c>
      <c r="E669" s="7" t="s">
        <v>146</v>
      </c>
      <c r="F669" s="7" t="s">
        <v>146</v>
      </c>
      <c r="G669" s="7" t="s">
        <v>18</v>
      </c>
      <c r="H669" s="7" t="s">
        <v>48</v>
      </c>
      <c r="I669" s="7" t="s">
        <v>712</v>
      </c>
      <c r="J669" s="7" t="s">
        <v>712</v>
      </c>
      <c r="K669" s="8">
        <v>6277346</v>
      </c>
      <c r="L669" s="8">
        <v>328884</v>
      </c>
      <c r="M669" s="8">
        <v>19</v>
      </c>
      <c r="N669" s="8">
        <v>1</v>
      </c>
      <c r="O669" s="8">
        <v>0.36</v>
      </c>
      <c r="P669" s="8"/>
    </row>
    <row r="670" spans="1:16" hidden="1" x14ac:dyDescent="0.25">
      <c r="A670" s="7" t="s">
        <v>37</v>
      </c>
      <c r="B670" s="7" t="s">
        <v>651</v>
      </c>
      <c r="C670" s="8">
        <v>26505</v>
      </c>
      <c r="D670" s="7" t="s">
        <v>16</v>
      </c>
      <c r="E670" s="7" t="s">
        <v>17</v>
      </c>
      <c r="F670" s="7" t="s">
        <v>431</v>
      </c>
      <c r="G670" s="7" t="s">
        <v>18</v>
      </c>
      <c r="H670" s="7" t="s">
        <v>48</v>
      </c>
      <c r="I670" s="7" t="s">
        <v>712</v>
      </c>
      <c r="J670" s="7" t="s">
        <v>691</v>
      </c>
      <c r="K670" s="8">
        <v>6064241</v>
      </c>
      <c r="L670" s="8">
        <v>275702</v>
      </c>
      <c r="M670" s="8">
        <v>19</v>
      </c>
      <c r="N670" s="8">
        <v>2</v>
      </c>
      <c r="O670" s="8">
        <v>25</v>
      </c>
      <c r="P670" s="8"/>
    </row>
    <row r="671" spans="1:16" hidden="1" x14ac:dyDescent="0.25">
      <c r="A671" s="7" t="s">
        <v>37</v>
      </c>
      <c r="B671" s="7" t="s">
        <v>415</v>
      </c>
      <c r="C671" s="8">
        <v>26506</v>
      </c>
      <c r="D671" s="7" t="s">
        <v>28</v>
      </c>
      <c r="E671" s="7" t="s">
        <v>29</v>
      </c>
      <c r="F671" s="7" t="s">
        <v>478</v>
      </c>
      <c r="G671" s="7" t="s">
        <v>18</v>
      </c>
      <c r="H671" s="7" t="s">
        <v>24</v>
      </c>
      <c r="I671" s="7" t="s">
        <v>712</v>
      </c>
      <c r="J671" s="7" t="s">
        <v>712</v>
      </c>
      <c r="K671" s="8">
        <v>6255551</v>
      </c>
      <c r="L671" s="8">
        <v>319769</v>
      </c>
      <c r="M671" s="8">
        <v>19</v>
      </c>
      <c r="N671" s="8">
        <v>1</v>
      </c>
      <c r="O671" s="8">
        <v>7.0000000000000007E-2</v>
      </c>
      <c r="P671" s="8"/>
    </row>
    <row r="672" spans="1:16" hidden="1" x14ac:dyDescent="0.25">
      <c r="A672" s="7" t="s">
        <v>37</v>
      </c>
      <c r="B672" s="7" t="s">
        <v>415</v>
      </c>
      <c r="C672" s="8">
        <v>26509</v>
      </c>
      <c r="D672" s="7" t="s">
        <v>28</v>
      </c>
      <c r="E672" s="7" t="s">
        <v>32</v>
      </c>
      <c r="F672" s="7" t="s">
        <v>147</v>
      </c>
      <c r="G672" s="7" t="s">
        <v>18</v>
      </c>
      <c r="H672" s="7" t="s">
        <v>24</v>
      </c>
      <c r="I672" s="7" t="s">
        <v>712</v>
      </c>
      <c r="J672" s="7" t="s">
        <v>712</v>
      </c>
      <c r="K672" s="8">
        <v>6265686</v>
      </c>
      <c r="L672" s="8">
        <v>334447</v>
      </c>
      <c r="M672" s="8">
        <v>19</v>
      </c>
      <c r="N672" s="8">
        <v>1</v>
      </c>
      <c r="O672" s="8">
        <v>1.63</v>
      </c>
      <c r="P672" s="8"/>
    </row>
    <row r="673" spans="1:16" hidden="1" x14ac:dyDescent="0.25">
      <c r="A673" s="7" t="s">
        <v>14</v>
      </c>
      <c r="B673" s="7" t="s">
        <v>270</v>
      </c>
      <c r="C673" s="8">
        <v>26510</v>
      </c>
      <c r="D673" s="7" t="s">
        <v>52</v>
      </c>
      <c r="E673" s="7" t="s">
        <v>139</v>
      </c>
      <c r="F673" s="7" t="s">
        <v>139</v>
      </c>
      <c r="G673" s="7" t="s">
        <v>18</v>
      </c>
      <c r="H673" s="7" t="s">
        <v>689</v>
      </c>
      <c r="I673" s="7" t="s">
        <v>712</v>
      </c>
      <c r="J673" s="7" t="s">
        <v>712</v>
      </c>
      <c r="K673" s="8">
        <v>6225010</v>
      </c>
      <c r="L673" s="8">
        <v>339646</v>
      </c>
      <c r="M673" s="8">
        <v>19</v>
      </c>
      <c r="N673" s="8">
        <v>1</v>
      </c>
      <c r="O673" s="8">
        <v>0.12</v>
      </c>
      <c r="P673" s="8"/>
    </row>
    <row r="674" spans="1:16" hidden="1" x14ac:dyDescent="0.25">
      <c r="A674" s="7" t="s">
        <v>37</v>
      </c>
      <c r="B674" s="7" t="s">
        <v>415</v>
      </c>
      <c r="C674" s="8">
        <v>26511</v>
      </c>
      <c r="D674" s="7" t="s">
        <v>28</v>
      </c>
      <c r="E674" s="7" t="s">
        <v>387</v>
      </c>
      <c r="F674" s="7" t="s">
        <v>387</v>
      </c>
      <c r="G674" s="7" t="s">
        <v>18</v>
      </c>
      <c r="H674" s="7" t="s">
        <v>24</v>
      </c>
      <c r="I674" s="7" t="s">
        <v>712</v>
      </c>
      <c r="J674" s="7" t="s">
        <v>712</v>
      </c>
      <c r="K674" s="8">
        <v>6306352</v>
      </c>
      <c r="L674" s="8">
        <v>331614</v>
      </c>
      <c r="M674" s="8">
        <v>19</v>
      </c>
      <c r="N674" s="8">
        <v>1</v>
      </c>
      <c r="O674" s="8">
        <v>0.9</v>
      </c>
      <c r="P674" s="8"/>
    </row>
    <row r="675" spans="1:16" hidden="1" x14ac:dyDescent="0.25">
      <c r="A675" s="7" t="s">
        <v>19</v>
      </c>
      <c r="B675" s="7" t="s">
        <v>270</v>
      </c>
      <c r="C675" s="8">
        <v>26512</v>
      </c>
      <c r="D675" s="7" t="s">
        <v>52</v>
      </c>
      <c r="E675" s="7" t="s">
        <v>53</v>
      </c>
      <c r="F675" s="7" t="s">
        <v>419</v>
      </c>
      <c r="G675" s="7" t="s">
        <v>18</v>
      </c>
      <c r="H675" s="7" t="s">
        <v>48</v>
      </c>
      <c r="I675" s="7" t="s">
        <v>712</v>
      </c>
      <c r="J675" s="7" t="s">
        <v>712</v>
      </c>
      <c r="K675" s="8">
        <v>6152788</v>
      </c>
      <c r="L675" s="8">
        <v>319566</v>
      </c>
      <c r="M675" s="8">
        <v>19</v>
      </c>
      <c r="N675" s="8">
        <v>1</v>
      </c>
      <c r="O675" s="8">
        <v>8</v>
      </c>
      <c r="P675" s="8"/>
    </row>
    <row r="676" spans="1:16" hidden="1" x14ac:dyDescent="0.25">
      <c r="A676" s="7" t="s">
        <v>19</v>
      </c>
      <c r="B676" s="7" t="s">
        <v>651</v>
      </c>
      <c r="C676" s="8">
        <v>26513</v>
      </c>
      <c r="D676" s="7" t="s">
        <v>16</v>
      </c>
      <c r="E676" s="7" t="s">
        <v>17</v>
      </c>
      <c r="F676" s="7" t="s">
        <v>400</v>
      </c>
      <c r="G676" s="7" t="s">
        <v>18</v>
      </c>
      <c r="H676" s="7" t="s">
        <v>48</v>
      </c>
      <c r="I676" s="7" t="s">
        <v>712</v>
      </c>
      <c r="J676" s="7" t="s">
        <v>691</v>
      </c>
      <c r="K676" s="8">
        <v>6069737</v>
      </c>
      <c r="L676" s="8">
        <v>272755</v>
      </c>
      <c r="M676" s="8">
        <v>19</v>
      </c>
      <c r="N676" s="8">
        <v>3</v>
      </c>
      <c r="O676" s="8">
        <v>20</v>
      </c>
      <c r="P676" s="8"/>
    </row>
    <row r="677" spans="1:16" hidden="1" x14ac:dyDescent="0.25">
      <c r="A677" s="7" t="s">
        <v>19</v>
      </c>
      <c r="B677" s="7" t="s">
        <v>270</v>
      </c>
      <c r="C677" s="8">
        <v>26520</v>
      </c>
      <c r="D677" s="7" t="s">
        <v>52</v>
      </c>
      <c r="E677" s="7" t="s">
        <v>53</v>
      </c>
      <c r="F677" s="7" t="s">
        <v>419</v>
      </c>
      <c r="G677" s="7" t="s">
        <v>18</v>
      </c>
      <c r="H677" s="7" t="s">
        <v>48</v>
      </c>
      <c r="I677" s="7" t="s">
        <v>712</v>
      </c>
      <c r="J677" s="7" t="s">
        <v>712</v>
      </c>
      <c r="K677" s="8">
        <v>6153342</v>
      </c>
      <c r="L677" s="8">
        <v>314561</v>
      </c>
      <c r="M677" s="8">
        <v>19</v>
      </c>
      <c r="N677" s="8">
        <v>1</v>
      </c>
      <c r="O677" s="8">
        <v>12</v>
      </c>
      <c r="P677" s="8"/>
    </row>
    <row r="678" spans="1:16" hidden="1" x14ac:dyDescent="0.25">
      <c r="A678" s="7" t="s">
        <v>37</v>
      </c>
      <c r="B678" s="7" t="s">
        <v>651</v>
      </c>
      <c r="C678" s="8">
        <v>26521</v>
      </c>
      <c r="D678" s="7" t="s">
        <v>16</v>
      </c>
      <c r="E678" s="7" t="s">
        <v>50</v>
      </c>
      <c r="F678" s="7" t="s">
        <v>396</v>
      </c>
      <c r="G678" s="7" t="s">
        <v>18</v>
      </c>
      <c r="H678" s="7" t="s">
        <v>48</v>
      </c>
      <c r="I678" s="7" t="s">
        <v>712</v>
      </c>
      <c r="J678" s="7" t="s">
        <v>691</v>
      </c>
      <c r="K678" s="8">
        <v>6072449</v>
      </c>
      <c r="L678" s="8">
        <v>267260</v>
      </c>
      <c r="M678" s="8">
        <v>19</v>
      </c>
      <c r="N678" s="8">
        <v>1</v>
      </c>
      <c r="O678" s="8">
        <v>14</v>
      </c>
      <c r="P678" s="8"/>
    </row>
    <row r="679" spans="1:16" hidden="1" x14ac:dyDescent="0.25">
      <c r="A679" s="7" t="s">
        <v>37</v>
      </c>
      <c r="B679" s="7" t="s">
        <v>124</v>
      </c>
      <c r="C679" s="8">
        <v>26525</v>
      </c>
      <c r="D679" s="7" t="s">
        <v>16</v>
      </c>
      <c r="E679" s="7" t="s">
        <v>127</v>
      </c>
      <c r="F679" s="7" t="s">
        <v>130</v>
      </c>
      <c r="G679" s="7" t="s">
        <v>18</v>
      </c>
      <c r="H679" s="7" t="s">
        <v>24</v>
      </c>
      <c r="I679" s="7" t="s">
        <v>712</v>
      </c>
      <c r="J679" s="7" t="s">
        <v>712</v>
      </c>
      <c r="K679" s="8">
        <v>6050719</v>
      </c>
      <c r="L679" s="8">
        <v>279132</v>
      </c>
      <c r="M679" s="8">
        <v>19</v>
      </c>
      <c r="N679" s="8">
        <v>1</v>
      </c>
      <c r="O679" s="8">
        <v>10.6</v>
      </c>
      <c r="P679" s="8"/>
    </row>
    <row r="680" spans="1:16" hidden="1" x14ac:dyDescent="0.25">
      <c r="A680" s="7" t="s">
        <v>19</v>
      </c>
      <c r="B680" s="7" t="s">
        <v>415</v>
      </c>
      <c r="C680" s="8">
        <v>26527</v>
      </c>
      <c r="D680" s="7" t="s">
        <v>119</v>
      </c>
      <c r="E680" s="7" t="s">
        <v>196</v>
      </c>
      <c r="F680" s="7" t="s">
        <v>425</v>
      </c>
      <c r="G680" s="7" t="s">
        <v>43</v>
      </c>
      <c r="H680" s="7" t="s">
        <v>48</v>
      </c>
      <c r="I680" s="7" t="s">
        <v>712</v>
      </c>
      <c r="J680" s="7" t="s">
        <v>691</v>
      </c>
      <c r="K680" s="8">
        <v>5698623</v>
      </c>
      <c r="L680" s="8">
        <v>732002</v>
      </c>
      <c r="M680" s="8">
        <v>18</v>
      </c>
      <c r="N680" s="8">
        <v>1</v>
      </c>
      <c r="O680" s="8">
        <v>0.5</v>
      </c>
      <c r="P680" s="8"/>
    </row>
    <row r="681" spans="1:16" hidden="1" x14ac:dyDescent="0.25">
      <c r="A681" s="7" t="s">
        <v>19</v>
      </c>
      <c r="B681" s="7" t="s">
        <v>270</v>
      </c>
      <c r="C681" s="8">
        <v>26529</v>
      </c>
      <c r="D681" s="7" t="s">
        <v>52</v>
      </c>
      <c r="E681" s="7" t="s">
        <v>53</v>
      </c>
      <c r="F681" s="7" t="s">
        <v>419</v>
      </c>
      <c r="G681" s="7" t="s">
        <v>18</v>
      </c>
      <c r="H681" s="7" t="s">
        <v>48</v>
      </c>
      <c r="I681" s="7" t="s">
        <v>712</v>
      </c>
      <c r="J681" s="7" t="s">
        <v>712</v>
      </c>
      <c r="K681" s="8">
        <v>6152381</v>
      </c>
      <c r="L681" s="8">
        <v>312923</v>
      </c>
      <c r="M681" s="8">
        <v>19</v>
      </c>
      <c r="N681" s="8">
        <v>1</v>
      </c>
      <c r="O681" s="8">
        <v>10</v>
      </c>
      <c r="P681" s="8"/>
    </row>
    <row r="682" spans="1:16" hidden="1" x14ac:dyDescent="0.25">
      <c r="A682" s="7" t="s">
        <v>19</v>
      </c>
      <c r="B682" s="7" t="s">
        <v>415</v>
      </c>
      <c r="C682" s="8">
        <v>26530</v>
      </c>
      <c r="D682" s="7" t="s">
        <v>119</v>
      </c>
      <c r="E682" s="7" t="s">
        <v>196</v>
      </c>
      <c r="F682" s="7" t="s">
        <v>425</v>
      </c>
      <c r="G682" s="7" t="s">
        <v>43</v>
      </c>
      <c r="H682" s="7" t="s">
        <v>48</v>
      </c>
      <c r="I682" s="7" t="s">
        <v>712</v>
      </c>
      <c r="J682" s="7" t="s">
        <v>691</v>
      </c>
      <c r="K682" s="8">
        <v>5697645</v>
      </c>
      <c r="L682" s="8">
        <v>732130</v>
      </c>
      <c r="M682" s="8">
        <v>18</v>
      </c>
      <c r="N682" s="8">
        <v>1</v>
      </c>
      <c r="O682" s="8">
        <v>0.5</v>
      </c>
      <c r="P682" s="8"/>
    </row>
    <row r="683" spans="1:16" hidden="1" x14ac:dyDescent="0.25">
      <c r="A683" s="7" t="s">
        <v>37</v>
      </c>
      <c r="B683" s="7" t="s">
        <v>92</v>
      </c>
      <c r="C683" s="8">
        <v>26533</v>
      </c>
      <c r="D683" s="7" t="s">
        <v>34</v>
      </c>
      <c r="E683" s="7" t="s">
        <v>35</v>
      </c>
      <c r="F683" s="7" t="s">
        <v>110</v>
      </c>
      <c r="G683" s="7" t="s">
        <v>43</v>
      </c>
      <c r="H683" s="7" t="s">
        <v>48</v>
      </c>
      <c r="I683" s="7" t="s">
        <v>712</v>
      </c>
      <c r="J683" s="7" t="s">
        <v>712</v>
      </c>
      <c r="K683" s="8">
        <v>5842756</v>
      </c>
      <c r="L683" s="8">
        <v>737831</v>
      </c>
      <c r="M683" s="8">
        <v>18</v>
      </c>
      <c r="N683" s="8">
        <v>1</v>
      </c>
      <c r="O683" s="8">
        <v>20</v>
      </c>
      <c r="P683" s="8"/>
    </row>
    <row r="684" spans="1:16" hidden="1" x14ac:dyDescent="0.25">
      <c r="A684" s="7" t="s">
        <v>37</v>
      </c>
      <c r="B684" s="7" t="s">
        <v>92</v>
      </c>
      <c r="C684" s="8">
        <v>26534</v>
      </c>
      <c r="D684" s="7" t="s">
        <v>34</v>
      </c>
      <c r="E684" s="7" t="s">
        <v>35</v>
      </c>
      <c r="F684" s="7" t="s">
        <v>111</v>
      </c>
      <c r="G684" s="7" t="s">
        <v>43</v>
      </c>
      <c r="H684" s="7" t="s">
        <v>109</v>
      </c>
      <c r="I684" s="7" t="s">
        <v>712</v>
      </c>
      <c r="J684" s="7" t="s">
        <v>691</v>
      </c>
      <c r="K684" s="8">
        <v>5883368</v>
      </c>
      <c r="L684" s="8">
        <v>733336</v>
      </c>
      <c r="M684" s="8">
        <v>18</v>
      </c>
      <c r="N684" s="8">
        <v>1</v>
      </c>
      <c r="O684" s="8">
        <v>2</v>
      </c>
      <c r="P684" s="8"/>
    </row>
    <row r="685" spans="1:16" hidden="1" x14ac:dyDescent="0.25">
      <c r="A685" s="7" t="s">
        <v>14</v>
      </c>
      <c r="B685" s="7" t="s">
        <v>558</v>
      </c>
      <c r="C685" s="8">
        <v>26535</v>
      </c>
      <c r="D685" s="7" t="s">
        <v>52</v>
      </c>
      <c r="E685" s="7" t="s">
        <v>44</v>
      </c>
      <c r="F685" s="7" t="s">
        <v>44</v>
      </c>
      <c r="G685" s="7" t="s">
        <v>18</v>
      </c>
      <c r="H685" s="7" t="s">
        <v>689</v>
      </c>
      <c r="I685" s="7" t="s">
        <v>690</v>
      </c>
      <c r="J685" s="7" t="s">
        <v>690</v>
      </c>
      <c r="K685" s="8">
        <v>6225646</v>
      </c>
      <c r="L685" s="8">
        <v>345785</v>
      </c>
      <c r="M685" s="8">
        <v>19</v>
      </c>
      <c r="N685" s="8">
        <v>1</v>
      </c>
      <c r="O685" s="8">
        <v>0.83</v>
      </c>
      <c r="P685" s="8"/>
    </row>
    <row r="686" spans="1:16" hidden="1" x14ac:dyDescent="0.25">
      <c r="A686" s="7" t="s">
        <v>19</v>
      </c>
      <c r="B686" s="7" t="s">
        <v>270</v>
      </c>
      <c r="C686" s="8">
        <v>26537</v>
      </c>
      <c r="D686" s="7" t="s">
        <v>52</v>
      </c>
      <c r="E686" s="7" t="s">
        <v>273</v>
      </c>
      <c r="F686" s="7" t="s">
        <v>437</v>
      </c>
      <c r="G686" s="7" t="s">
        <v>18</v>
      </c>
      <c r="H686" s="7" t="s">
        <v>48</v>
      </c>
      <c r="I686" s="7" t="s">
        <v>712</v>
      </c>
      <c r="J686" s="7" t="s">
        <v>691</v>
      </c>
      <c r="K686" s="8">
        <v>6165443</v>
      </c>
      <c r="L686" s="8">
        <v>289425</v>
      </c>
      <c r="M686" s="8">
        <v>19</v>
      </c>
      <c r="N686" s="8">
        <v>3</v>
      </c>
      <c r="O686" s="8">
        <v>80</v>
      </c>
      <c r="P686" s="8"/>
    </row>
    <row r="687" spans="1:16" hidden="1" x14ac:dyDescent="0.25">
      <c r="A687" s="7" t="s">
        <v>19</v>
      </c>
      <c r="B687" s="7" t="s">
        <v>270</v>
      </c>
      <c r="C687" s="8">
        <v>26538</v>
      </c>
      <c r="D687" s="7" t="s">
        <v>52</v>
      </c>
      <c r="E687" s="7" t="s">
        <v>53</v>
      </c>
      <c r="F687" s="7" t="s">
        <v>419</v>
      </c>
      <c r="G687" s="7" t="s">
        <v>18</v>
      </c>
      <c r="H687" s="7" t="s">
        <v>48</v>
      </c>
      <c r="I687" s="7" t="s">
        <v>712</v>
      </c>
      <c r="J687" s="7" t="s">
        <v>712</v>
      </c>
      <c r="K687" s="8">
        <v>6153810</v>
      </c>
      <c r="L687" s="8">
        <v>314964</v>
      </c>
      <c r="M687" s="8">
        <v>19</v>
      </c>
      <c r="N687" s="8">
        <v>2</v>
      </c>
      <c r="O687" s="8">
        <v>12</v>
      </c>
      <c r="P687" s="8"/>
    </row>
    <row r="688" spans="1:16" hidden="1" x14ac:dyDescent="0.25">
      <c r="A688" s="7" t="s">
        <v>19</v>
      </c>
      <c r="B688" s="7" t="s">
        <v>270</v>
      </c>
      <c r="C688" s="8">
        <v>26546</v>
      </c>
      <c r="D688" s="7" t="s">
        <v>16</v>
      </c>
      <c r="E688" s="7" t="s">
        <v>171</v>
      </c>
      <c r="F688" s="7" t="s">
        <v>604</v>
      </c>
      <c r="G688" s="7" t="s">
        <v>18</v>
      </c>
      <c r="H688" s="7" t="s">
        <v>48</v>
      </c>
      <c r="I688" s="7" t="s">
        <v>712</v>
      </c>
      <c r="J688" s="7" t="s">
        <v>712</v>
      </c>
      <c r="K688" s="8">
        <v>6010312</v>
      </c>
      <c r="L688" s="8">
        <v>246185</v>
      </c>
      <c r="M688" s="8">
        <v>19</v>
      </c>
      <c r="N688" s="8">
        <v>4</v>
      </c>
      <c r="O688" s="8">
        <v>27.5</v>
      </c>
      <c r="P688" s="8"/>
    </row>
    <row r="689" spans="1:16" hidden="1" x14ac:dyDescent="0.25">
      <c r="A689" s="7" t="s">
        <v>19</v>
      </c>
      <c r="B689" s="7" t="s">
        <v>415</v>
      </c>
      <c r="C689" s="8">
        <v>26548</v>
      </c>
      <c r="D689" s="7" t="s">
        <v>28</v>
      </c>
      <c r="E689" s="7" t="s">
        <v>56</v>
      </c>
      <c r="F689" s="7" t="s">
        <v>56</v>
      </c>
      <c r="G689" s="7" t="s">
        <v>18</v>
      </c>
      <c r="H689" s="7" t="s">
        <v>48</v>
      </c>
      <c r="I689" s="7" t="s">
        <v>712</v>
      </c>
      <c r="J689" s="7" t="s">
        <v>712</v>
      </c>
      <c r="K689" s="8">
        <v>6266068</v>
      </c>
      <c r="L689" s="8">
        <v>341148</v>
      </c>
      <c r="M689" s="8">
        <v>19</v>
      </c>
      <c r="N689" s="8">
        <v>1</v>
      </c>
      <c r="O689" s="8">
        <v>0.41</v>
      </c>
      <c r="P689" s="8"/>
    </row>
    <row r="690" spans="1:16" hidden="1" x14ac:dyDescent="0.25">
      <c r="A690" s="7" t="s">
        <v>37</v>
      </c>
      <c r="B690" s="7" t="s">
        <v>254</v>
      </c>
      <c r="C690" s="8">
        <v>26550</v>
      </c>
      <c r="D690" s="7" t="s">
        <v>52</v>
      </c>
      <c r="E690" s="7" t="s">
        <v>145</v>
      </c>
      <c r="F690" s="7" t="s">
        <v>283</v>
      </c>
      <c r="G690" s="7" t="s">
        <v>18</v>
      </c>
      <c r="H690" s="7" t="s">
        <v>48</v>
      </c>
      <c r="I690" s="7" t="s">
        <v>712</v>
      </c>
      <c r="J690" s="7" t="s">
        <v>691</v>
      </c>
      <c r="K690" s="8">
        <v>6170288</v>
      </c>
      <c r="L690" s="8">
        <v>315576</v>
      </c>
      <c r="M690" s="8">
        <v>19</v>
      </c>
      <c r="N690" s="8">
        <v>3</v>
      </c>
      <c r="O690" s="8">
        <v>16</v>
      </c>
      <c r="P690" s="8"/>
    </row>
    <row r="691" spans="1:16" hidden="1" x14ac:dyDescent="0.25">
      <c r="A691" s="7" t="s">
        <v>19</v>
      </c>
      <c r="B691" s="7" t="s">
        <v>415</v>
      </c>
      <c r="C691" s="8">
        <v>26551</v>
      </c>
      <c r="D691" s="7" t="s">
        <v>28</v>
      </c>
      <c r="E691" s="7" t="s">
        <v>53</v>
      </c>
      <c r="F691" s="7" t="s">
        <v>53</v>
      </c>
      <c r="G691" s="7" t="s">
        <v>18</v>
      </c>
      <c r="H691" s="7" t="s">
        <v>48</v>
      </c>
      <c r="I691" s="7" t="s">
        <v>712</v>
      </c>
      <c r="J691" s="7" t="s">
        <v>712</v>
      </c>
      <c r="K691" s="8">
        <v>6280193</v>
      </c>
      <c r="L691" s="8">
        <v>330208</v>
      </c>
      <c r="M691" s="8">
        <v>19</v>
      </c>
      <c r="N691" s="8">
        <v>1</v>
      </c>
      <c r="O691" s="8">
        <v>0.4</v>
      </c>
      <c r="P691" s="8"/>
    </row>
    <row r="692" spans="1:16" hidden="1" x14ac:dyDescent="0.25">
      <c r="A692" s="7" t="s">
        <v>37</v>
      </c>
      <c r="B692" s="7" t="s">
        <v>415</v>
      </c>
      <c r="C692" s="8">
        <v>26554</v>
      </c>
      <c r="D692" s="7" t="s">
        <v>28</v>
      </c>
      <c r="E692" s="7" t="s">
        <v>29</v>
      </c>
      <c r="F692" s="7" t="s">
        <v>477</v>
      </c>
      <c r="G692" s="7" t="s">
        <v>18</v>
      </c>
      <c r="H692" s="7" t="s">
        <v>24</v>
      </c>
      <c r="I692" s="7" t="s">
        <v>712</v>
      </c>
      <c r="J692" s="7" t="s">
        <v>712</v>
      </c>
      <c r="K692" s="8">
        <v>6250463</v>
      </c>
      <c r="L692" s="8">
        <v>347060</v>
      </c>
      <c r="M692" s="8">
        <v>19</v>
      </c>
      <c r="N692" s="8">
        <v>1</v>
      </c>
      <c r="O692" s="8">
        <v>0.98</v>
      </c>
      <c r="P692" s="8"/>
    </row>
    <row r="693" spans="1:16" hidden="1" x14ac:dyDescent="0.25">
      <c r="A693" s="7" t="s">
        <v>19</v>
      </c>
      <c r="B693" s="7" t="s">
        <v>651</v>
      </c>
      <c r="C693" s="8">
        <v>26555</v>
      </c>
      <c r="D693" s="7" t="s">
        <v>52</v>
      </c>
      <c r="E693" s="7" t="s">
        <v>141</v>
      </c>
      <c r="F693" s="7" t="s">
        <v>655</v>
      </c>
      <c r="G693" s="7" t="s">
        <v>18</v>
      </c>
      <c r="H693" s="7" t="s">
        <v>48</v>
      </c>
      <c r="I693" s="7" t="s">
        <v>712</v>
      </c>
      <c r="J693" s="7" t="s">
        <v>691</v>
      </c>
      <c r="K693" s="8">
        <v>6222162</v>
      </c>
      <c r="L693" s="8">
        <v>340410</v>
      </c>
      <c r="M693" s="8">
        <v>19</v>
      </c>
      <c r="N693" s="8">
        <v>1</v>
      </c>
      <c r="O693" s="8">
        <v>15</v>
      </c>
      <c r="P693" s="8"/>
    </row>
    <row r="694" spans="1:16" hidden="1" x14ac:dyDescent="0.25">
      <c r="A694" s="7" t="s">
        <v>14</v>
      </c>
      <c r="B694" s="7" t="s">
        <v>415</v>
      </c>
      <c r="C694" s="8">
        <v>26556</v>
      </c>
      <c r="D694" s="7" t="s">
        <v>28</v>
      </c>
      <c r="E694" s="7" t="s">
        <v>56</v>
      </c>
      <c r="F694" s="7" t="s">
        <v>162</v>
      </c>
      <c r="G694" s="7" t="s">
        <v>18</v>
      </c>
      <c r="H694" s="7" t="s">
        <v>689</v>
      </c>
      <c r="I694" s="7" t="s">
        <v>712</v>
      </c>
      <c r="J694" s="7" t="s">
        <v>712</v>
      </c>
      <c r="K694" s="8">
        <v>6259349</v>
      </c>
      <c r="L694" s="8">
        <v>332650</v>
      </c>
      <c r="M694" s="8">
        <v>19</v>
      </c>
      <c r="N694" s="8">
        <v>1</v>
      </c>
      <c r="O694" s="8">
        <v>2</v>
      </c>
      <c r="P694" s="8"/>
    </row>
    <row r="695" spans="1:16" hidden="1" x14ac:dyDescent="0.25">
      <c r="A695" s="7" t="s">
        <v>37</v>
      </c>
      <c r="B695" s="7" t="s">
        <v>415</v>
      </c>
      <c r="C695" s="8">
        <v>26557</v>
      </c>
      <c r="D695" s="7" t="s">
        <v>28</v>
      </c>
      <c r="E695" s="7" t="s">
        <v>29</v>
      </c>
      <c r="F695" s="7" t="s">
        <v>477</v>
      </c>
      <c r="G695" s="7" t="s">
        <v>18</v>
      </c>
      <c r="H695" s="7" t="s">
        <v>24</v>
      </c>
      <c r="I695" s="7" t="s">
        <v>712</v>
      </c>
      <c r="J695" s="7" t="s">
        <v>712</v>
      </c>
      <c r="K695" s="8">
        <v>6251246</v>
      </c>
      <c r="L695" s="8">
        <v>346734</v>
      </c>
      <c r="M695" s="8">
        <v>19</v>
      </c>
      <c r="N695" s="8">
        <v>1</v>
      </c>
      <c r="O695" s="8">
        <v>1.04</v>
      </c>
      <c r="P695" s="8"/>
    </row>
    <row r="696" spans="1:16" hidden="1" x14ac:dyDescent="0.25">
      <c r="A696" s="7" t="s">
        <v>37</v>
      </c>
      <c r="B696" s="7" t="s">
        <v>254</v>
      </c>
      <c r="C696" s="8">
        <v>26560</v>
      </c>
      <c r="D696" s="7" t="s">
        <v>52</v>
      </c>
      <c r="E696" s="7" t="s">
        <v>145</v>
      </c>
      <c r="F696" s="7" t="s">
        <v>247</v>
      </c>
      <c r="G696" s="7" t="s">
        <v>18</v>
      </c>
      <c r="H696" s="7" t="s">
        <v>48</v>
      </c>
      <c r="I696" s="7" t="s">
        <v>712</v>
      </c>
      <c r="J696" s="7" t="s">
        <v>712</v>
      </c>
      <c r="K696" s="8">
        <v>6170390</v>
      </c>
      <c r="L696" s="8">
        <v>325439</v>
      </c>
      <c r="M696" s="8">
        <v>19</v>
      </c>
      <c r="N696" s="8">
        <v>1</v>
      </c>
      <c r="O696" s="8">
        <v>9</v>
      </c>
      <c r="P696" s="8"/>
    </row>
    <row r="697" spans="1:16" hidden="1" x14ac:dyDescent="0.25">
      <c r="A697" s="7" t="s">
        <v>37</v>
      </c>
      <c r="B697" s="7" t="s">
        <v>254</v>
      </c>
      <c r="C697" s="8">
        <v>26561</v>
      </c>
      <c r="D697" s="7" t="s">
        <v>16</v>
      </c>
      <c r="E697" s="7" t="s">
        <v>268</v>
      </c>
      <c r="F697" s="7" t="s">
        <v>282</v>
      </c>
      <c r="G697" s="7" t="s">
        <v>18</v>
      </c>
      <c r="H697" s="7" t="s">
        <v>24</v>
      </c>
      <c r="I697" s="7" t="s">
        <v>712</v>
      </c>
      <c r="J697" s="7" t="s">
        <v>712</v>
      </c>
      <c r="K697" s="8">
        <v>6133667</v>
      </c>
      <c r="L697" s="8">
        <v>311313</v>
      </c>
      <c r="M697" s="8">
        <v>19</v>
      </c>
      <c r="N697" s="8">
        <v>1</v>
      </c>
      <c r="O697" s="8">
        <v>0.4</v>
      </c>
      <c r="P697" s="8"/>
    </row>
    <row r="698" spans="1:16" hidden="1" x14ac:dyDescent="0.25">
      <c r="A698" s="7" t="s">
        <v>14</v>
      </c>
      <c r="B698" s="7" t="s">
        <v>415</v>
      </c>
      <c r="C698" s="8">
        <v>26562</v>
      </c>
      <c r="D698" s="7" t="s">
        <v>28</v>
      </c>
      <c r="E698" s="7" t="s">
        <v>56</v>
      </c>
      <c r="F698" s="7" t="s">
        <v>162</v>
      </c>
      <c r="G698" s="7" t="s">
        <v>18</v>
      </c>
      <c r="H698" s="7" t="s">
        <v>689</v>
      </c>
      <c r="I698" s="7" t="s">
        <v>712</v>
      </c>
      <c r="J698" s="7" t="s">
        <v>712</v>
      </c>
      <c r="K698" s="8">
        <v>6259479</v>
      </c>
      <c r="L698" s="8">
        <v>332363</v>
      </c>
      <c r="M698" s="8">
        <v>19</v>
      </c>
      <c r="N698" s="8">
        <v>1</v>
      </c>
      <c r="O698" s="8">
        <v>2.08</v>
      </c>
      <c r="P698" s="8"/>
    </row>
    <row r="699" spans="1:16" hidden="1" x14ac:dyDescent="0.25">
      <c r="A699" s="7" t="s">
        <v>37</v>
      </c>
      <c r="B699" s="7" t="s">
        <v>651</v>
      </c>
      <c r="C699" s="8">
        <v>26565</v>
      </c>
      <c r="D699" s="7" t="s">
        <v>52</v>
      </c>
      <c r="E699" s="7" t="s">
        <v>81</v>
      </c>
      <c r="F699" s="7" t="s">
        <v>390</v>
      </c>
      <c r="G699" s="7" t="s">
        <v>18</v>
      </c>
      <c r="H699" s="7" t="s">
        <v>48</v>
      </c>
      <c r="I699" s="7" t="s">
        <v>712</v>
      </c>
      <c r="J699" s="7" t="s">
        <v>691</v>
      </c>
      <c r="K699" s="8">
        <v>6222100</v>
      </c>
      <c r="L699" s="8">
        <v>345095</v>
      </c>
      <c r="M699" s="8">
        <v>19</v>
      </c>
      <c r="N699" s="8">
        <v>3</v>
      </c>
      <c r="O699" s="8">
        <v>39</v>
      </c>
      <c r="P699" s="8"/>
    </row>
    <row r="700" spans="1:16" hidden="1" x14ac:dyDescent="0.25">
      <c r="A700" s="7" t="s">
        <v>19</v>
      </c>
      <c r="B700" s="7" t="s">
        <v>415</v>
      </c>
      <c r="C700" s="8">
        <v>26566</v>
      </c>
      <c r="D700" s="7" t="s">
        <v>28</v>
      </c>
      <c r="E700" s="7" t="s">
        <v>56</v>
      </c>
      <c r="F700" s="7" t="s">
        <v>162</v>
      </c>
      <c r="G700" s="7" t="s">
        <v>18</v>
      </c>
      <c r="H700" s="7" t="s">
        <v>48</v>
      </c>
      <c r="I700" s="7" t="s">
        <v>712</v>
      </c>
      <c r="J700" s="7" t="s">
        <v>712</v>
      </c>
      <c r="K700" s="8">
        <v>6260632</v>
      </c>
      <c r="L700" s="8">
        <v>337381</v>
      </c>
      <c r="M700" s="8">
        <v>19</v>
      </c>
      <c r="N700" s="8">
        <v>1</v>
      </c>
      <c r="O700" s="8">
        <v>0.4</v>
      </c>
      <c r="P700" s="8"/>
    </row>
    <row r="701" spans="1:16" hidden="1" x14ac:dyDescent="0.25">
      <c r="A701" s="7" t="s">
        <v>37</v>
      </c>
      <c r="B701" s="7" t="s">
        <v>254</v>
      </c>
      <c r="C701" s="8">
        <v>26568</v>
      </c>
      <c r="D701" s="7" t="s">
        <v>52</v>
      </c>
      <c r="E701" s="7" t="s">
        <v>132</v>
      </c>
      <c r="F701" s="7" t="s">
        <v>133</v>
      </c>
      <c r="G701" s="7" t="s">
        <v>18</v>
      </c>
      <c r="H701" s="7" t="s">
        <v>48</v>
      </c>
      <c r="I701" s="7" t="s">
        <v>712</v>
      </c>
      <c r="J701" s="7" t="s">
        <v>691</v>
      </c>
      <c r="K701" s="8">
        <v>6217828</v>
      </c>
      <c r="L701" s="8">
        <v>344607</v>
      </c>
      <c r="M701" s="8">
        <v>19</v>
      </c>
      <c r="N701" s="8">
        <v>1</v>
      </c>
      <c r="O701" s="8">
        <v>6.5</v>
      </c>
      <c r="P701" s="8"/>
    </row>
    <row r="702" spans="1:16" hidden="1" x14ac:dyDescent="0.25">
      <c r="A702" s="7" t="s">
        <v>37</v>
      </c>
      <c r="B702" s="7" t="s">
        <v>415</v>
      </c>
      <c r="C702" s="8">
        <v>26569</v>
      </c>
      <c r="D702" s="7" t="s">
        <v>28</v>
      </c>
      <c r="E702" s="7" t="s">
        <v>146</v>
      </c>
      <c r="F702" s="7" t="s">
        <v>479</v>
      </c>
      <c r="G702" s="7" t="s">
        <v>18</v>
      </c>
      <c r="H702" s="7" t="s">
        <v>24</v>
      </c>
      <c r="I702" s="7" t="s">
        <v>712</v>
      </c>
      <c r="J702" s="7" t="s">
        <v>712</v>
      </c>
      <c r="K702" s="8">
        <v>6275340</v>
      </c>
      <c r="L702" s="8">
        <v>321676</v>
      </c>
      <c r="M702" s="8">
        <v>19</v>
      </c>
      <c r="N702" s="8">
        <v>1</v>
      </c>
      <c r="O702" s="8">
        <v>1</v>
      </c>
      <c r="P702" s="8"/>
    </row>
    <row r="703" spans="1:16" hidden="1" x14ac:dyDescent="0.25">
      <c r="A703" s="7" t="s">
        <v>14</v>
      </c>
      <c r="B703" s="7" t="s">
        <v>415</v>
      </c>
      <c r="C703" s="8">
        <v>26570</v>
      </c>
      <c r="D703" s="7" t="s">
        <v>28</v>
      </c>
      <c r="E703" s="7" t="s">
        <v>56</v>
      </c>
      <c r="F703" s="7" t="s">
        <v>162</v>
      </c>
      <c r="G703" s="7" t="s">
        <v>18</v>
      </c>
      <c r="H703" s="7" t="s">
        <v>689</v>
      </c>
      <c r="I703" s="7" t="s">
        <v>712</v>
      </c>
      <c r="J703" s="7" t="s">
        <v>712</v>
      </c>
      <c r="K703" s="8">
        <v>6259292</v>
      </c>
      <c r="L703" s="8">
        <v>332384</v>
      </c>
      <c r="M703" s="8">
        <v>19</v>
      </c>
      <c r="N703" s="8">
        <v>1</v>
      </c>
      <c r="O703" s="8">
        <v>0.16</v>
      </c>
      <c r="P703" s="8"/>
    </row>
    <row r="704" spans="1:16" hidden="1" x14ac:dyDescent="0.25">
      <c r="A704" s="7" t="s">
        <v>19</v>
      </c>
      <c r="B704" s="7" t="s">
        <v>415</v>
      </c>
      <c r="C704" s="8">
        <v>26572</v>
      </c>
      <c r="D704" s="7" t="s">
        <v>28</v>
      </c>
      <c r="E704" s="7" t="s">
        <v>29</v>
      </c>
      <c r="F704" s="7" t="s">
        <v>480</v>
      </c>
      <c r="G704" s="7" t="s">
        <v>18</v>
      </c>
      <c r="H704" s="7" t="s">
        <v>48</v>
      </c>
      <c r="I704" s="7" t="s">
        <v>712</v>
      </c>
      <c r="J704" s="7" t="s">
        <v>691</v>
      </c>
      <c r="K704" s="8">
        <v>6248350</v>
      </c>
      <c r="L704" s="8">
        <v>339290</v>
      </c>
      <c r="M704" s="8">
        <v>19</v>
      </c>
      <c r="N704" s="8">
        <v>1</v>
      </c>
      <c r="O704" s="8">
        <v>0.36</v>
      </c>
      <c r="P704" s="8"/>
    </row>
    <row r="705" spans="1:16" hidden="1" x14ac:dyDescent="0.25">
      <c r="A705" s="7" t="s">
        <v>14</v>
      </c>
      <c r="B705" s="7" t="s">
        <v>415</v>
      </c>
      <c r="C705" s="8">
        <v>26573</v>
      </c>
      <c r="D705" s="7" t="s">
        <v>28</v>
      </c>
      <c r="E705" s="7" t="s">
        <v>56</v>
      </c>
      <c r="F705" s="7" t="s">
        <v>162</v>
      </c>
      <c r="G705" s="7" t="s">
        <v>18</v>
      </c>
      <c r="H705" s="7" t="s">
        <v>689</v>
      </c>
      <c r="I705" s="7" t="s">
        <v>712</v>
      </c>
      <c r="J705" s="7" t="s">
        <v>712</v>
      </c>
      <c r="K705" s="8">
        <v>6259285</v>
      </c>
      <c r="L705" s="8">
        <v>332731</v>
      </c>
      <c r="M705" s="8">
        <v>19</v>
      </c>
      <c r="N705" s="8">
        <v>1</v>
      </c>
      <c r="O705" s="8">
        <v>1.92</v>
      </c>
      <c r="P705" s="8"/>
    </row>
    <row r="706" spans="1:16" hidden="1" x14ac:dyDescent="0.25">
      <c r="A706" s="7" t="s">
        <v>37</v>
      </c>
      <c r="B706" s="7" t="s">
        <v>254</v>
      </c>
      <c r="C706" s="8">
        <v>26575</v>
      </c>
      <c r="D706" s="7" t="s">
        <v>16</v>
      </c>
      <c r="E706" s="7" t="s">
        <v>268</v>
      </c>
      <c r="F706" s="7" t="s">
        <v>284</v>
      </c>
      <c r="G706" s="7" t="s">
        <v>18</v>
      </c>
      <c r="H706" s="7" t="s">
        <v>48</v>
      </c>
      <c r="I706" s="7" t="s">
        <v>712</v>
      </c>
      <c r="J706" s="7" t="s">
        <v>712</v>
      </c>
      <c r="K706" s="8">
        <v>6132974</v>
      </c>
      <c r="L706" s="8">
        <v>314518</v>
      </c>
      <c r="M706" s="8">
        <v>19</v>
      </c>
      <c r="N706" s="8">
        <v>1</v>
      </c>
      <c r="O706" s="8">
        <v>2.7</v>
      </c>
      <c r="P706" s="8"/>
    </row>
    <row r="707" spans="1:16" hidden="1" x14ac:dyDescent="0.25">
      <c r="A707" s="7" t="s">
        <v>19</v>
      </c>
      <c r="B707" s="7" t="s">
        <v>651</v>
      </c>
      <c r="C707" s="8">
        <v>26576</v>
      </c>
      <c r="D707" s="7" t="s">
        <v>52</v>
      </c>
      <c r="E707" s="7" t="s">
        <v>141</v>
      </c>
      <c r="F707" s="7" t="s">
        <v>656</v>
      </c>
      <c r="G707" s="7" t="s">
        <v>18</v>
      </c>
      <c r="H707" s="7" t="s">
        <v>48</v>
      </c>
      <c r="I707" s="7" t="s">
        <v>712</v>
      </c>
      <c r="J707" s="7" t="s">
        <v>712</v>
      </c>
      <c r="K707" s="8">
        <v>6220801</v>
      </c>
      <c r="L707" s="8">
        <v>338944</v>
      </c>
      <c r="M707" s="8">
        <v>19</v>
      </c>
      <c r="N707" s="8">
        <v>4</v>
      </c>
      <c r="O707" s="8">
        <v>33</v>
      </c>
      <c r="P707" s="8"/>
    </row>
    <row r="708" spans="1:16" hidden="1" x14ac:dyDescent="0.25">
      <c r="A708" s="7" t="s">
        <v>37</v>
      </c>
      <c r="B708" s="7" t="s">
        <v>415</v>
      </c>
      <c r="C708" s="8">
        <v>26579</v>
      </c>
      <c r="D708" s="7" t="s">
        <v>28</v>
      </c>
      <c r="E708" s="7" t="s">
        <v>344</v>
      </c>
      <c r="F708" s="7" t="s">
        <v>481</v>
      </c>
      <c r="G708" s="7" t="s">
        <v>18</v>
      </c>
      <c r="H708" s="7" t="s">
        <v>24</v>
      </c>
      <c r="I708" s="7" t="s">
        <v>712</v>
      </c>
      <c r="J708" s="7" t="s">
        <v>712</v>
      </c>
      <c r="K708" s="8">
        <v>6275375</v>
      </c>
      <c r="L708" s="8">
        <v>287109</v>
      </c>
      <c r="M708" s="8">
        <v>19</v>
      </c>
      <c r="N708" s="8">
        <v>1</v>
      </c>
      <c r="O708" s="8">
        <v>0.95</v>
      </c>
      <c r="P708" s="8"/>
    </row>
    <row r="709" spans="1:16" hidden="1" x14ac:dyDescent="0.25">
      <c r="A709" s="7" t="s">
        <v>19</v>
      </c>
      <c r="B709" s="7" t="s">
        <v>415</v>
      </c>
      <c r="C709" s="8">
        <v>26580</v>
      </c>
      <c r="D709" s="7" t="s">
        <v>28</v>
      </c>
      <c r="E709" s="7" t="s">
        <v>32</v>
      </c>
      <c r="F709" s="7" t="s">
        <v>32</v>
      </c>
      <c r="G709" s="7" t="s">
        <v>18</v>
      </c>
      <c r="H709" s="7" t="s">
        <v>48</v>
      </c>
      <c r="I709" s="7" t="s">
        <v>712</v>
      </c>
      <c r="J709" s="7" t="s">
        <v>712</v>
      </c>
      <c r="K709" s="8">
        <v>6275855</v>
      </c>
      <c r="L709" s="8">
        <v>343776</v>
      </c>
      <c r="M709" s="8">
        <v>19</v>
      </c>
      <c r="N709" s="8">
        <v>1</v>
      </c>
      <c r="O709" s="8">
        <v>0.46</v>
      </c>
      <c r="P709" s="8"/>
    </row>
    <row r="710" spans="1:16" hidden="1" x14ac:dyDescent="0.25">
      <c r="A710" s="7" t="s">
        <v>37</v>
      </c>
      <c r="B710" s="7" t="s">
        <v>254</v>
      </c>
      <c r="C710" s="8">
        <v>26583</v>
      </c>
      <c r="D710" s="7" t="s">
        <v>16</v>
      </c>
      <c r="E710" s="7" t="s">
        <v>268</v>
      </c>
      <c r="F710" s="7" t="s">
        <v>282</v>
      </c>
      <c r="G710" s="7" t="s">
        <v>18</v>
      </c>
      <c r="H710" s="7" t="s">
        <v>48</v>
      </c>
      <c r="I710" s="7" t="s">
        <v>712</v>
      </c>
      <c r="J710" s="7" t="s">
        <v>691</v>
      </c>
      <c r="K710" s="8">
        <v>6132453</v>
      </c>
      <c r="L710" s="8">
        <v>314602</v>
      </c>
      <c r="M710" s="8">
        <v>19</v>
      </c>
      <c r="N710" s="8">
        <v>2</v>
      </c>
      <c r="O710" s="8">
        <v>2.7</v>
      </c>
      <c r="P710" s="8"/>
    </row>
    <row r="711" spans="1:16" hidden="1" x14ac:dyDescent="0.25">
      <c r="A711" s="7" t="s">
        <v>19</v>
      </c>
      <c r="B711" s="7" t="s">
        <v>415</v>
      </c>
      <c r="C711" s="8">
        <v>26584</v>
      </c>
      <c r="D711" s="7" t="s">
        <v>28</v>
      </c>
      <c r="E711" s="7" t="s">
        <v>32</v>
      </c>
      <c r="F711" s="7" t="s">
        <v>32</v>
      </c>
      <c r="G711" s="7" t="s">
        <v>18</v>
      </c>
      <c r="H711" s="7" t="s">
        <v>48</v>
      </c>
      <c r="I711" s="7" t="s">
        <v>712</v>
      </c>
      <c r="J711" s="7" t="s">
        <v>712</v>
      </c>
      <c r="K711" s="8">
        <v>6275855</v>
      </c>
      <c r="L711" s="8">
        <v>343776</v>
      </c>
      <c r="M711" s="8">
        <v>19</v>
      </c>
      <c r="N711" s="8">
        <v>1</v>
      </c>
      <c r="O711" s="8">
        <v>0.46</v>
      </c>
      <c r="P711" s="8"/>
    </row>
    <row r="712" spans="1:16" hidden="1" x14ac:dyDescent="0.25">
      <c r="A712" s="7" t="s">
        <v>37</v>
      </c>
      <c r="B712" s="7" t="s">
        <v>254</v>
      </c>
      <c r="C712" s="8">
        <v>26592</v>
      </c>
      <c r="D712" s="7" t="s">
        <v>52</v>
      </c>
      <c r="E712" s="7" t="s">
        <v>132</v>
      </c>
      <c r="F712" s="7" t="s">
        <v>22</v>
      </c>
      <c r="G712" s="7" t="s">
        <v>18</v>
      </c>
      <c r="H712" s="7" t="s">
        <v>48</v>
      </c>
      <c r="I712" s="7" t="s">
        <v>712</v>
      </c>
      <c r="J712" s="7" t="s">
        <v>691</v>
      </c>
      <c r="K712" s="8">
        <v>6214752</v>
      </c>
      <c r="L712" s="8">
        <v>347113</v>
      </c>
      <c r="M712" s="8">
        <v>19</v>
      </c>
      <c r="N712" s="8">
        <v>4</v>
      </c>
      <c r="O712" s="8">
        <v>40</v>
      </c>
      <c r="P712" s="8"/>
    </row>
    <row r="713" spans="1:16" hidden="1" x14ac:dyDescent="0.25">
      <c r="A713" s="7" t="s">
        <v>19</v>
      </c>
      <c r="B713" s="7" t="s">
        <v>415</v>
      </c>
      <c r="C713" s="8">
        <v>26595</v>
      </c>
      <c r="D713" s="7" t="s">
        <v>28</v>
      </c>
      <c r="E713" s="7" t="s">
        <v>32</v>
      </c>
      <c r="F713" s="7" t="s">
        <v>33</v>
      </c>
      <c r="G713" s="7" t="s">
        <v>18</v>
      </c>
      <c r="H713" s="7" t="s">
        <v>48</v>
      </c>
      <c r="I713" s="7" t="s">
        <v>712</v>
      </c>
      <c r="J713" s="7" t="s">
        <v>691</v>
      </c>
      <c r="K713" s="8">
        <v>6275613</v>
      </c>
      <c r="L713" s="8">
        <v>340362</v>
      </c>
      <c r="M713" s="8">
        <v>19</v>
      </c>
      <c r="N713" s="8">
        <v>1</v>
      </c>
      <c r="O713" s="8">
        <v>0.4</v>
      </c>
      <c r="P713" s="8"/>
    </row>
    <row r="714" spans="1:16" hidden="1" x14ac:dyDescent="0.25">
      <c r="A714" s="7" t="s">
        <v>19</v>
      </c>
      <c r="B714" s="7" t="s">
        <v>415</v>
      </c>
      <c r="C714" s="8">
        <v>26597</v>
      </c>
      <c r="D714" s="7" t="s">
        <v>28</v>
      </c>
      <c r="E714" s="7" t="s">
        <v>29</v>
      </c>
      <c r="F714" s="7" t="s">
        <v>29</v>
      </c>
      <c r="G714" s="7" t="s">
        <v>18</v>
      </c>
      <c r="H714" s="7" t="s">
        <v>48</v>
      </c>
      <c r="I714" s="7" t="s">
        <v>712</v>
      </c>
      <c r="J714" s="7" t="s">
        <v>712</v>
      </c>
      <c r="K714" s="8">
        <v>6256911</v>
      </c>
      <c r="L714" s="8">
        <v>342414</v>
      </c>
      <c r="M714" s="8">
        <v>19</v>
      </c>
      <c r="N714" s="8">
        <v>1</v>
      </c>
      <c r="O714" s="8">
        <v>0.43</v>
      </c>
      <c r="P714" s="8"/>
    </row>
    <row r="715" spans="1:16" hidden="1" x14ac:dyDescent="0.25">
      <c r="A715" s="7" t="s">
        <v>37</v>
      </c>
      <c r="B715" s="7" t="s">
        <v>254</v>
      </c>
      <c r="C715" s="8">
        <v>26598</v>
      </c>
      <c r="D715" s="7" t="s">
        <v>52</v>
      </c>
      <c r="E715" s="7" t="s">
        <v>145</v>
      </c>
      <c r="F715" s="7" t="s">
        <v>247</v>
      </c>
      <c r="G715" s="7" t="s">
        <v>18</v>
      </c>
      <c r="H715" s="7" t="s">
        <v>48</v>
      </c>
      <c r="I715" s="7" t="s">
        <v>712</v>
      </c>
      <c r="J715" s="7" t="s">
        <v>712</v>
      </c>
      <c r="K715" s="8">
        <v>6168726</v>
      </c>
      <c r="L715" s="8">
        <v>321742</v>
      </c>
      <c r="M715" s="8">
        <v>19</v>
      </c>
      <c r="N715" s="8">
        <v>1</v>
      </c>
      <c r="O715" s="8">
        <v>4.5999999999999996</v>
      </c>
      <c r="P715" s="8"/>
    </row>
    <row r="716" spans="1:16" hidden="1" x14ac:dyDescent="0.25">
      <c r="A716" s="7" t="s">
        <v>19</v>
      </c>
      <c r="B716" s="7" t="s">
        <v>415</v>
      </c>
      <c r="C716" s="8">
        <v>26599</v>
      </c>
      <c r="D716" s="7" t="s">
        <v>28</v>
      </c>
      <c r="E716" s="7" t="s">
        <v>32</v>
      </c>
      <c r="F716" s="7" t="s">
        <v>147</v>
      </c>
      <c r="G716" s="7" t="s">
        <v>18</v>
      </c>
      <c r="H716" s="7" t="s">
        <v>48</v>
      </c>
      <c r="I716" s="7" t="s">
        <v>712</v>
      </c>
      <c r="J716" s="7" t="s">
        <v>712</v>
      </c>
      <c r="K716" s="8">
        <v>6269376</v>
      </c>
      <c r="L716" s="8">
        <v>329225</v>
      </c>
      <c r="M716" s="8">
        <v>19</v>
      </c>
      <c r="N716" s="8">
        <v>1</v>
      </c>
      <c r="O716" s="8">
        <v>0.39</v>
      </c>
      <c r="P716" s="8"/>
    </row>
    <row r="717" spans="1:16" hidden="1" x14ac:dyDescent="0.25">
      <c r="A717" s="7" t="s">
        <v>19</v>
      </c>
      <c r="B717" s="7" t="s">
        <v>415</v>
      </c>
      <c r="C717" s="8">
        <v>26601</v>
      </c>
      <c r="D717" s="7" t="s">
        <v>28</v>
      </c>
      <c r="E717" s="7" t="s">
        <v>32</v>
      </c>
      <c r="F717" s="7" t="s">
        <v>147</v>
      </c>
      <c r="G717" s="7" t="s">
        <v>18</v>
      </c>
      <c r="H717" s="7" t="s">
        <v>48</v>
      </c>
      <c r="I717" s="7" t="s">
        <v>712</v>
      </c>
      <c r="J717" s="7" t="s">
        <v>712</v>
      </c>
      <c r="K717" s="8">
        <v>6269376</v>
      </c>
      <c r="L717" s="8">
        <v>329225</v>
      </c>
      <c r="M717" s="8">
        <v>19</v>
      </c>
      <c r="N717" s="8">
        <v>1</v>
      </c>
      <c r="O717" s="8">
        <v>0.39</v>
      </c>
      <c r="P717" s="8"/>
    </row>
    <row r="718" spans="1:16" hidden="1" x14ac:dyDescent="0.25">
      <c r="A718" s="7" t="s">
        <v>37</v>
      </c>
      <c r="B718" s="7" t="s">
        <v>415</v>
      </c>
      <c r="C718" s="8">
        <v>26602</v>
      </c>
      <c r="D718" s="7" t="s">
        <v>52</v>
      </c>
      <c r="E718" s="7" t="s">
        <v>53</v>
      </c>
      <c r="F718" s="7" t="s">
        <v>53</v>
      </c>
      <c r="G718" s="7" t="s">
        <v>18</v>
      </c>
      <c r="H718" s="7" t="s">
        <v>48</v>
      </c>
      <c r="I718" s="7" t="s">
        <v>712</v>
      </c>
      <c r="J718" s="7" t="s">
        <v>691</v>
      </c>
      <c r="K718" s="8">
        <v>6147846</v>
      </c>
      <c r="L718" s="8">
        <v>311764</v>
      </c>
      <c r="M718" s="8">
        <v>19</v>
      </c>
      <c r="N718" s="8">
        <v>1</v>
      </c>
      <c r="O718" s="8">
        <v>5</v>
      </c>
      <c r="P718" s="8"/>
    </row>
    <row r="719" spans="1:16" hidden="1" x14ac:dyDescent="0.25">
      <c r="A719" s="7" t="s">
        <v>19</v>
      </c>
      <c r="B719" s="7" t="s">
        <v>415</v>
      </c>
      <c r="C719" s="8">
        <v>26603</v>
      </c>
      <c r="D719" s="7" t="s">
        <v>28</v>
      </c>
      <c r="E719" s="7" t="s">
        <v>32</v>
      </c>
      <c r="F719" s="7" t="s">
        <v>147</v>
      </c>
      <c r="G719" s="7" t="s">
        <v>18</v>
      </c>
      <c r="H719" s="7" t="s">
        <v>48</v>
      </c>
      <c r="I719" s="7" t="s">
        <v>712</v>
      </c>
      <c r="J719" s="7" t="s">
        <v>712</v>
      </c>
      <c r="K719" s="8">
        <v>6269376</v>
      </c>
      <c r="L719" s="8">
        <v>329225</v>
      </c>
      <c r="M719" s="8">
        <v>19</v>
      </c>
      <c r="N719" s="8">
        <v>1</v>
      </c>
      <c r="O719" s="8">
        <v>0.39</v>
      </c>
      <c r="P719" s="8"/>
    </row>
    <row r="720" spans="1:16" hidden="1" x14ac:dyDescent="0.25">
      <c r="A720" s="7" t="s">
        <v>37</v>
      </c>
      <c r="B720" s="7" t="s">
        <v>254</v>
      </c>
      <c r="C720" s="8">
        <v>26605</v>
      </c>
      <c r="D720" s="7" t="s">
        <v>16</v>
      </c>
      <c r="E720" s="7" t="s">
        <v>268</v>
      </c>
      <c r="F720" s="7" t="s">
        <v>282</v>
      </c>
      <c r="G720" s="7" t="s">
        <v>18</v>
      </c>
      <c r="H720" s="7" t="s">
        <v>24</v>
      </c>
      <c r="I720" s="7" t="s">
        <v>712</v>
      </c>
      <c r="J720" s="7" t="s">
        <v>712</v>
      </c>
      <c r="K720" s="8">
        <v>6136566</v>
      </c>
      <c r="L720" s="8">
        <v>316580</v>
      </c>
      <c r="M720" s="8">
        <v>19</v>
      </c>
      <c r="N720" s="8">
        <v>1</v>
      </c>
      <c r="O720" s="8">
        <v>3.7</v>
      </c>
      <c r="P720" s="8"/>
    </row>
    <row r="721" spans="1:16" hidden="1" x14ac:dyDescent="0.25">
      <c r="A721" s="7" t="s">
        <v>19</v>
      </c>
      <c r="B721" s="7" t="s">
        <v>415</v>
      </c>
      <c r="C721" s="8">
        <v>26607</v>
      </c>
      <c r="D721" s="7" t="s">
        <v>28</v>
      </c>
      <c r="E721" s="7" t="s">
        <v>393</v>
      </c>
      <c r="F721" s="7" t="s">
        <v>393</v>
      </c>
      <c r="G721" s="7" t="s">
        <v>18</v>
      </c>
      <c r="H721" s="7" t="s">
        <v>48</v>
      </c>
      <c r="I721" s="7" t="s">
        <v>712</v>
      </c>
      <c r="J721" s="7" t="s">
        <v>712</v>
      </c>
      <c r="K721" s="8">
        <v>6268940</v>
      </c>
      <c r="L721" s="8">
        <v>307147</v>
      </c>
      <c r="M721" s="8">
        <v>19</v>
      </c>
      <c r="N721" s="8">
        <v>1</v>
      </c>
      <c r="O721" s="8">
        <v>2.5</v>
      </c>
      <c r="P721" s="8"/>
    </row>
    <row r="722" spans="1:16" hidden="1" x14ac:dyDescent="0.25">
      <c r="A722" s="7" t="s">
        <v>19</v>
      </c>
      <c r="B722" s="7" t="s">
        <v>415</v>
      </c>
      <c r="C722" s="8">
        <v>26608</v>
      </c>
      <c r="D722" s="7" t="s">
        <v>28</v>
      </c>
      <c r="E722" s="7" t="s">
        <v>142</v>
      </c>
      <c r="F722" s="7" t="s">
        <v>142</v>
      </c>
      <c r="G722" s="7" t="s">
        <v>18</v>
      </c>
      <c r="H722" s="7" t="s">
        <v>48</v>
      </c>
      <c r="I722" s="7" t="s">
        <v>712</v>
      </c>
      <c r="J722" s="7" t="s">
        <v>712</v>
      </c>
      <c r="K722" s="8">
        <v>6277789</v>
      </c>
      <c r="L722" s="8">
        <v>333791</v>
      </c>
      <c r="M722" s="8">
        <v>19</v>
      </c>
      <c r="N722" s="8">
        <v>1</v>
      </c>
      <c r="O722" s="8">
        <v>0.4</v>
      </c>
      <c r="P722" s="8"/>
    </row>
    <row r="723" spans="1:16" hidden="1" x14ac:dyDescent="0.25">
      <c r="A723" s="7" t="s">
        <v>37</v>
      </c>
      <c r="B723" s="7" t="s">
        <v>415</v>
      </c>
      <c r="C723" s="8">
        <v>26609</v>
      </c>
      <c r="D723" s="7" t="s">
        <v>28</v>
      </c>
      <c r="E723" s="7" t="s">
        <v>447</v>
      </c>
      <c r="F723" s="7" t="s">
        <v>390</v>
      </c>
      <c r="G723" s="7" t="s">
        <v>18</v>
      </c>
      <c r="H723" s="7" t="s">
        <v>24</v>
      </c>
      <c r="I723" s="7" t="s">
        <v>712</v>
      </c>
      <c r="J723" s="7" t="s">
        <v>712</v>
      </c>
      <c r="K723" s="8">
        <v>6301706</v>
      </c>
      <c r="L723" s="8">
        <v>335607</v>
      </c>
      <c r="M723" s="8">
        <v>19</v>
      </c>
      <c r="N723" s="8">
        <v>1</v>
      </c>
      <c r="O723" s="8">
        <v>0.16</v>
      </c>
      <c r="P723" s="8"/>
    </row>
    <row r="724" spans="1:16" hidden="1" x14ac:dyDescent="0.25">
      <c r="A724" s="7" t="s">
        <v>37</v>
      </c>
      <c r="B724" s="7" t="s">
        <v>415</v>
      </c>
      <c r="C724" s="8">
        <v>26610</v>
      </c>
      <c r="D724" s="7" t="s">
        <v>28</v>
      </c>
      <c r="E724" s="7" t="s">
        <v>452</v>
      </c>
      <c r="F724" s="7" t="s">
        <v>453</v>
      </c>
      <c r="G724" s="7" t="s">
        <v>18</v>
      </c>
      <c r="H724" s="7" t="s">
        <v>24</v>
      </c>
      <c r="I724" s="7" t="s">
        <v>712</v>
      </c>
      <c r="J724" s="7" t="s">
        <v>712</v>
      </c>
      <c r="K724" s="8">
        <v>6306952</v>
      </c>
      <c r="L724" s="8">
        <v>329473</v>
      </c>
      <c r="M724" s="8">
        <v>19</v>
      </c>
      <c r="N724" s="8">
        <v>1</v>
      </c>
      <c r="O724" s="8">
        <v>0.2</v>
      </c>
      <c r="P724" s="8"/>
    </row>
    <row r="725" spans="1:16" hidden="1" x14ac:dyDescent="0.25">
      <c r="A725" s="7" t="s">
        <v>14</v>
      </c>
      <c r="B725" s="7" t="s">
        <v>556</v>
      </c>
      <c r="C725" s="8">
        <v>26612</v>
      </c>
      <c r="D725" s="7" t="s">
        <v>119</v>
      </c>
      <c r="E725" s="7" t="s">
        <v>175</v>
      </c>
      <c r="F725" s="7" t="s">
        <v>557</v>
      </c>
      <c r="G725" s="7" t="s">
        <v>43</v>
      </c>
      <c r="H725" s="7" t="s">
        <v>689</v>
      </c>
      <c r="I725" s="7" t="s">
        <v>712</v>
      </c>
      <c r="J725" s="7" t="s">
        <v>712</v>
      </c>
      <c r="K725" s="8">
        <v>5717073</v>
      </c>
      <c r="L725" s="8">
        <v>718961</v>
      </c>
      <c r="M725" s="8">
        <v>18</v>
      </c>
      <c r="N725" s="8">
        <v>1</v>
      </c>
      <c r="O725" s="8">
        <v>0.43</v>
      </c>
      <c r="P725" s="8"/>
    </row>
    <row r="726" spans="1:16" hidden="1" x14ac:dyDescent="0.25">
      <c r="A726" s="7" t="s">
        <v>37</v>
      </c>
      <c r="B726" s="7" t="s">
        <v>415</v>
      </c>
      <c r="C726" s="8">
        <v>26613</v>
      </c>
      <c r="D726" s="7" t="s">
        <v>28</v>
      </c>
      <c r="E726" s="7" t="s">
        <v>29</v>
      </c>
      <c r="F726" s="7" t="s">
        <v>461</v>
      </c>
      <c r="G726" s="7" t="s">
        <v>18</v>
      </c>
      <c r="H726" s="7" t="s">
        <v>24</v>
      </c>
      <c r="I726" s="7" t="s">
        <v>712</v>
      </c>
      <c r="J726" s="7" t="s">
        <v>712</v>
      </c>
      <c r="K726" s="8">
        <v>6258402</v>
      </c>
      <c r="L726" s="8">
        <v>347121</v>
      </c>
      <c r="M726" s="8">
        <v>19</v>
      </c>
      <c r="N726" s="8">
        <v>1</v>
      </c>
      <c r="O726" s="8">
        <v>0.93</v>
      </c>
      <c r="P726" s="8"/>
    </row>
    <row r="727" spans="1:16" hidden="1" x14ac:dyDescent="0.25">
      <c r="A727" s="7" t="s">
        <v>37</v>
      </c>
      <c r="B727" s="7" t="s">
        <v>415</v>
      </c>
      <c r="C727" s="8">
        <v>26615</v>
      </c>
      <c r="D727" s="7" t="s">
        <v>28</v>
      </c>
      <c r="E727" s="7" t="s">
        <v>482</v>
      </c>
      <c r="F727" s="7" t="s">
        <v>482</v>
      </c>
      <c r="G727" s="7" t="s">
        <v>18</v>
      </c>
      <c r="H727" s="7" t="s">
        <v>24</v>
      </c>
      <c r="I727" s="7" t="s">
        <v>712</v>
      </c>
      <c r="J727" s="7" t="s">
        <v>712</v>
      </c>
      <c r="K727" s="8">
        <v>6307100</v>
      </c>
      <c r="L727" s="8">
        <v>345822</v>
      </c>
      <c r="M727" s="8">
        <v>19</v>
      </c>
      <c r="N727" s="8">
        <v>1</v>
      </c>
      <c r="O727" s="8">
        <v>1</v>
      </c>
      <c r="P727" s="8"/>
    </row>
    <row r="728" spans="1:16" hidden="1" x14ac:dyDescent="0.25">
      <c r="A728" s="7" t="s">
        <v>37</v>
      </c>
      <c r="B728" s="7" t="s">
        <v>415</v>
      </c>
      <c r="C728" s="8">
        <v>26616</v>
      </c>
      <c r="D728" s="7" t="s">
        <v>28</v>
      </c>
      <c r="E728" s="7" t="s">
        <v>483</v>
      </c>
      <c r="F728" s="7" t="s">
        <v>484</v>
      </c>
      <c r="G728" s="7" t="s">
        <v>18</v>
      </c>
      <c r="H728" s="7" t="s">
        <v>24</v>
      </c>
      <c r="I728" s="7" t="s">
        <v>712</v>
      </c>
      <c r="J728" s="7" t="s">
        <v>712</v>
      </c>
      <c r="K728" s="8">
        <v>6323786</v>
      </c>
      <c r="L728" s="8">
        <v>340618</v>
      </c>
      <c r="M728" s="8">
        <v>19</v>
      </c>
      <c r="N728" s="8">
        <v>1</v>
      </c>
      <c r="O728" s="8">
        <v>0.95</v>
      </c>
      <c r="P728" s="8"/>
    </row>
    <row r="729" spans="1:16" hidden="1" x14ac:dyDescent="0.25">
      <c r="A729" s="7" t="s">
        <v>19</v>
      </c>
      <c r="B729" s="7" t="s">
        <v>415</v>
      </c>
      <c r="C729" s="8">
        <v>26617</v>
      </c>
      <c r="D729" s="7" t="s">
        <v>28</v>
      </c>
      <c r="E729" s="7" t="s">
        <v>29</v>
      </c>
      <c r="F729" s="7" t="s">
        <v>351</v>
      </c>
      <c r="G729" s="7" t="s">
        <v>18</v>
      </c>
      <c r="H729" s="7" t="s">
        <v>48</v>
      </c>
      <c r="I729" s="7" t="s">
        <v>712</v>
      </c>
      <c r="J729" s="7" t="s">
        <v>712</v>
      </c>
      <c r="K729" s="8">
        <v>6252522</v>
      </c>
      <c r="L729" s="8">
        <v>338536</v>
      </c>
      <c r="M729" s="8">
        <v>19</v>
      </c>
      <c r="N729" s="8">
        <v>1</v>
      </c>
      <c r="O729" s="8">
        <v>0.41</v>
      </c>
      <c r="P729" s="8"/>
    </row>
    <row r="730" spans="1:16" hidden="1" x14ac:dyDescent="0.25">
      <c r="A730" s="7" t="s">
        <v>37</v>
      </c>
      <c r="B730" s="7" t="s">
        <v>124</v>
      </c>
      <c r="C730" s="8">
        <v>26631</v>
      </c>
      <c r="D730" s="7" t="s">
        <v>52</v>
      </c>
      <c r="E730" s="7" t="s">
        <v>53</v>
      </c>
      <c r="F730" s="7" t="s">
        <v>53</v>
      </c>
      <c r="G730" s="7" t="s">
        <v>18</v>
      </c>
      <c r="H730" s="7" t="s">
        <v>48</v>
      </c>
      <c r="I730" s="7" t="s">
        <v>712</v>
      </c>
      <c r="J730" s="7" t="s">
        <v>691</v>
      </c>
      <c r="K730" s="8">
        <v>6158149</v>
      </c>
      <c r="L730" s="8">
        <v>312228</v>
      </c>
      <c r="M730" s="8">
        <v>19</v>
      </c>
      <c r="N730" s="8">
        <v>1</v>
      </c>
      <c r="O730" s="8">
        <v>14.3</v>
      </c>
      <c r="P730" s="8"/>
    </row>
    <row r="731" spans="1:16" hidden="1" x14ac:dyDescent="0.25">
      <c r="A731" s="7" t="s">
        <v>37</v>
      </c>
      <c r="B731" s="7" t="s">
        <v>343</v>
      </c>
      <c r="C731" s="8">
        <v>26632</v>
      </c>
      <c r="D731" s="7" t="s">
        <v>52</v>
      </c>
      <c r="E731" s="7" t="s">
        <v>336</v>
      </c>
      <c r="F731" s="7" t="s">
        <v>336</v>
      </c>
      <c r="G731" s="7" t="s">
        <v>18</v>
      </c>
      <c r="H731" s="7" t="s">
        <v>24</v>
      </c>
      <c r="I731" s="7" t="s">
        <v>712</v>
      </c>
      <c r="J731" s="7" t="s">
        <v>712</v>
      </c>
      <c r="K731" s="8">
        <v>6200301</v>
      </c>
      <c r="L731" s="8">
        <v>291736</v>
      </c>
      <c r="M731" s="8">
        <v>19</v>
      </c>
      <c r="N731" s="8">
        <v>1</v>
      </c>
      <c r="O731" s="8">
        <v>7.5</v>
      </c>
      <c r="P731" s="8"/>
    </row>
    <row r="732" spans="1:16" hidden="1" x14ac:dyDescent="0.25">
      <c r="A732" s="7" t="s">
        <v>14</v>
      </c>
      <c r="B732" s="7" t="s">
        <v>415</v>
      </c>
      <c r="C732" s="8">
        <v>26633</v>
      </c>
      <c r="D732" s="7" t="s">
        <v>28</v>
      </c>
      <c r="E732" s="7" t="s">
        <v>56</v>
      </c>
      <c r="F732" s="7" t="s">
        <v>162</v>
      </c>
      <c r="G732" s="7" t="s">
        <v>18</v>
      </c>
      <c r="H732" s="7" t="s">
        <v>689</v>
      </c>
      <c r="I732" s="7" t="s">
        <v>712</v>
      </c>
      <c r="J732" s="7" t="s">
        <v>712</v>
      </c>
      <c r="K732" s="8">
        <v>6258776</v>
      </c>
      <c r="L732" s="8">
        <v>332484</v>
      </c>
      <c r="M732" s="8">
        <v>19</v>
      </c>
      <c r="N732" s="8">
        <v>1</v>
      </c>
      <c r="O732" s="8">
        <v>0.17</v>
      </c>
      <c r="P732" s="8"/>
    </row>
    <row r="733" spans="1:16" hidden="1" x14ac:dyDescent="0.25">
      <c r="A733" s="7" t="s">
        <v>37</v>
      </c>
      <c r="B733" s="7" t="s">
        <v>415</v>
      </c>
      <c r="C733" s="8">
        <v>26634</v>
      </c>
      <c r="D733" s="7" t="s">
        <v>52</v>
      </c>
      <c r="E733" s="7" t="s">
        <v>81</v>
      </c>
      <c r="F733" s="7" t="s">
        <v>427</v>
      </c>
      <c r="G733" s="7" t="s">
        <v>18</v>
      </c>
      <c r="H733" s="7" t="s">
        <v>48</v>
      </c>
      <c r="I733" s="7" t="s">
        <v>712</v>
      </c>
      <c r="J733" s="7" t="s">
        <v>712</v>
      </c>
      <c r="K733" s="8">
        <v>6236903</v>
      </c>
      <c r="L733" s="8">
        <v>345747</v>
      </c>
      <c r="M733" s="8">
        <v>19</v>
      </c>
      <c r="N733" s="8">
        <v>1</v>
      </c>
      <c r="O733" s="8">
        <v>9.66</v>
      </c>
      <c r="P733" s="8"/>
    </row>
    <row r="734" spans="1:16" hidden="1" x14ac:dyDescent="0.25">
      <c r="A734" s="7" t="s">
        <v>37</v>
      </c>
      <c r="B734" s="7" t="s">
        <v>415</v>
      </c>
      <c r="C734" s="8">
        <v>26635</v>
      </c>
      <c r="D734" s="7" t="s">
        <v>52</v>
      </c>
      <c r="E734" s="7" t="s">
        <v>81</v>
      </c>
      <c r="F734" s="7" t="s">
        <v>427</v>
      </c>
      <c r="G734" s="7" t="s">
        <v>18</v>
      </c>
      <c r="H734" s="7" t="s">
        <v>48</v>
      </c>
      <c r="I734" s="7" t="s">
        <v>712</v>
      </c>
      <c r="J734" s="7" t="s">
        <v>712</v>
      </c>
      <c r="K734" s="8">
        <v>6236903</v>
      </c>
      <c r="L734" s="8">
        <v>345747</v>
      </c>
      <c r="M734" s="8">
        <v>19</v>
      </c>
      <c r="N734" s="8">
        <v>1</v>
      </c>
      <c r="O734" s="8">
        <v>8.31</v>
      </c>
      <c r="P734" s="8"/>
    </row>
    <row r="735" spans="1:16" hidden="1" x14ac:dyDescent="0.25">
      <c r="A735" s="7" t="s">
        <v>37</v>
      </c>
      <c r="B735" s="7" t="s">
        <v>343</v>
      </c>
      <c r="C735" s="8">
        <v>26636</v>
      </c>
      <c r="D735" s="7" t="s">
        <v>52</v>
      </c>
      <c r="E735" s="7" t="s">
        <v>336</v>
      </c>
      <c r="F735" s="7" t="s">
        <v>336</v>
      </c>
      <c r="G735" s="7" t="s">
        <v>18</v>
      </c>
      <c r="H735" s="7" t="s">
        <v>109</v>
      </c>
      <c r="I735" s="7" t="s">
        <v>712</v>
      </c>
      <c r="J735" s="7" t="s">
        <v>691</v>
      </c>
      <c r="K735" s="8">
        <v>6200301</v>
      </c>
      <c r="L735" s="8">
        <v>291736</v>
      </c>
      <c r="M735" s="8">
        <v>19</v>
      </c>
      <c r="N735" s="8">
        <v>1</v>
      </c>
      <c r="O735" s="8">
        <v>7.5</v>
      </c>
      <c r="P735" s="8"/>
    </row>
    <row r="736" spans="1:16" hidden="1" x14ac:dyDescent="0.25">
      <c r="A736" s="7" t="s">
        <v>37</v>
      </c>
      <c r="B736" s="7" t="s">
        <v>38</v>
      </c>
      <c r="C736" s="8">
        <v>26637</v>
      </c>
      <c r="D736" s="7" t="s">
        <v>28</v>
      </c>
      <c r="E736" s="7" t="s">
        <v>39</v>
      </c>
      <c r="F736" s="7" t="s">
        <v>39</v>
      </c>
      <c r="G736" s="7" t="s">
        <v>18</v>
      </c>
      <c r="H736" s="7" t="s">
        <v>24</v>
      </c>
      <c r="I736" s="7" t="s">
        <v>712</v>
      </c>
      <c r="J736" s="7" t="s">
        <v>712</v>
      </c>
      <c r="K736" s="8">
        <v>6292944</v>
      </c>
      <c r="L736" s="8">
        <v>306303</v>
      </c>
      <c r="M736" s="8">
        <v>19</v>
      </c>
      <c r="N736" s="8">
        <v>1</v>
      </c>
      <c r="O736" s="8">
        <v>0.8</v>
      </c>
      <c r="P736" s="8"/>
    </row>
    <row r="737" spans="1:16" hidden="1" x14ac:dyDescent="0.25">
      <c r="A737" s="7" t="s">
        <v>19</v>
      </c>
      <c r="B737" s="7" t="s">
        <v>415</v>
      </c>
      <c r="C737" s="8">
        <v>26638</v>
      </c>
      <c r="D737" s="7" t="s">
        <v>28</v>
      </c>
      <c r="E737" s="7" t="s">
        <v>29</v>
      </c>
      <c r="F737" s="7" t="s">
        <v>485</v>
      </c>
      <c r="G737" s="7" t="s">
        <v>18</v>
      </c>
      <c r="H737" s="7" t="s">
        <v>48</v>
      </c>
      <c r="I737" s="7" t="s">
        <v>712</v>
      </c>
      <c r="J737" s="7" t="s">
        <v>712</v>
      </c>
      <c r="K737" s="8">
        <v>6256999</v>
      </c>
      <c r="L737" s="8">
        <v>341937</v>
      </c>
      <c r="M737" s="8">
        <v>19</v>
      </c>
      <c r="N737" s="8">
        <v>1</v>
      </c>
      <c r="O737" s="8">
        <v>0.4</v>
      </c>
      <c r="P737" s="8"/>
    </row>
    <row r="738" spans="1:16" hidden="1" x14ac:dyDescent="0.25">
      <c r="A738" s="7" t="s">
        <v>37</v>
      </c>
      <c r="B738" s="7" t="s">
        <v>415</v>
      </c>
      <c r="C738" s="8">
        <v>26639</v>
      </c>
      <c r="D738" s="7" t="s">
        <v>28</v>
      </c>
      <c r="E738" s="7" t="s">
        <v>166</v>
      </c>
      <c r="F738" s="7" t="s">
        <v>363</v>
      </c>
      <c r="G738" s="7" t="s">
        <v>18</v>
      </c>
      <c r="H738" s="7" t="s">
        <v>24</v>
      </c>
      <c r="I738" s="7" t="s">
        <v>712</v>
      </c>
      <c r="J738" s="7" t="s">
        <v>712</v>
      </c>
      <c r="K738" s="8">
        <v>6266326</v>
      </c>
      <c r="L738" s="8">
        <v>325291</v>
      </c>
      <c r="M738" s="8">
        <v>19</v>
      </c>
      <c r="N738" s="8">
        <v>1</v>
      </c>
      <c r="O738" s="8">
        <v>1.6</v>
      </c>
      <c r="P738" s="8"/>
    </row>
    <row r="739" spans="1:16" hidden="1" x14ac:dyDescent="0.25">
      <c r="A739" s="7" t="s">
        <v>37</v>
      </c>
      <c r="B739" s="7" t="s">
        <v>415</v>
      </c>
      <c r="C739" s="8">
        <v>26643</v>
      </c>
      <c r="D739" s="7" t="s">
        <v>52</v>
      </c>
      <c r="E739" s="7" t="s">
        <v>53</v>
      </c>
      <c r="F739" s="7" t="s">
        <v>63</v>
      </c>
      <c r="G739" s="7" t="s">
        <v>18</v>
      </c>
      <c r="H739" s="7" t="s">
        <v>48</v>
      </c>
      <c r="I739" s="7" t="s">
        <v>712</v>
      </c>
      <c r="J739" s="7" t="s">
        <v>691</v>
      </c>
      <c r="K739" s="8">
        <v>6145318</v>
      </c>
      <c r="L739" s="8">
        <v>319102</v>
      </c>
      <c r="M739" s="8">
        <v>19</v>
      </c>
      <c r="N739" s="8">
        <v>1</v>
      </c>
      <c r="O739" s="8">
        <v>12.5</v>
      </c>
      <c r="P739" s="8"/>
    </row>
    <row r="740" spans="1:16" hidden="1" x14ac:dyDescent="0.25">
      <c r="A740" s="7" t="s">
        <v>37</v>
      </c>
      <c r="B740" s="7" t="s">
        <v>651</v>
      </c>
      <c r="C740" s="8">
        <v>26644</v>
      </c>
      <c r="D740" s="7" t="s">
        <v>16</v>
      </c>
      <c r="E740" s="7" t="s">
        <v>17</v>
      </c>
      <c r="F740" s="7" t="s">
        <v>555</v>
      </c>
      <c r="G740" s="7" t="s">
        <v>18</v>
      </c>
      <c r="H740" s="7" t="s">
        <v>48</v>
      </c>
      <c r="I740" s="7" t="s">
        <v>712</v>
      </c>
      <c r="J740" s="7" t="s">
        <v>712</v>
      </c>
      <c r="K740" s="8">
        <v>6062042</v>
      </c>
      <c r="L740" s="8">
        <v>277920</v>
      </c>
      <c r="M740" s="8">
        <v>19</v>
      </c>
      <c r="N740" s="8">
        <v>5</v>
      </c>
      <c r="O740" s="8">
        <v>71</v>
      </c>
      <c r="P740" s="8"/>
    </row>
    <row r="741" spans="1:16" hidden="1" x14ac:dyDescent="0.25">
      <c r="A741" s="7" t="s">
        <v>37</v>
      </c>
      <c r="B741" s="7" t="s">
        <v>415</v>
      </c>
      <c r="C741" s="8">
        <v>26647</v>
      </c>
      <c r="D741" s="7" t="s">
        <v>28</v>
      </c>
      <c r="E741" s="7" t="s">
        <v>56</v>
      </c>
      <c r="F741" s="7" t="s">
        <v>162</v>
      </c>
      <c r="G741" s="7" t="s">
        <v>18</v>
      </c>
      <c r="H741" s="7" t="s">
        <v>24</v>
      </c>
      <c r="I741" s="7" t="s">
        <v>712</v>
      </c>
      <c r="J741" s="7" t="s">
        <v>712</v>
      </c>
      <c r="K741" s="8">
        <v>6257165</v>
      </c>
      <c r="L741" s="8">
        <v>334357</v>
      </c>
      <c r="M741" s="8">
        <v>19</v>
      </c>
      <c r="N741" s="8">
        <v>1</v>
      </c>
      <c r="O741" s="8">
        <v>0.98</v>
      </c>
      <c r="P741" s="8"/>
    </row>
    <row r="742" spans="1:16" hidden="1" x14ac:dyDescent="0.25">
      <c r="A742" s="7" t="s">
        <v>37</v>
      </c>
      <c r="B742" s="7" t="s">
        <v>415</v>
      </c>
      <c r="C742" s="8">
        <v>26648</v>
      </c>
      <c r="D742" s="7" t="s">
        <v>28</v>
      </c>
      <c r="E742" s="7" t="s">
        <v>56</v>
      </c>
      <c r="F742" s="7" t="s">
        <v>162</v>
      </c>
      <c r="G742" s="7" t="s">
        <v>18</v>
      </c>
      <c r="H742" s="7" t="s">
        <v>24</v>
      </c>
      <c r="I742" s="7" t="s">
        <v>712</v>
      </c>
      <c r="J742" s="7" t="s">
        <v>712</v>
      </c>
      <c r="K742" s="8">
        <v>6257391</v>
      </c>
      <c r="L742" s="8">
        <v>334102</v>
      </c>
      <c r="M742" s="8">
        <v>19</v>
      </c>
      <c r="N742" s="8">
        <v>1</v>
      </c>
      <c r="O742" s="8">
        <v>0.98</v>
      </c>
      <c r="P742" s="8"/>
    </row>
    <row r="743" spans="1:16" hidden="1" x14ac:dyDescent="0.25">
      <c r="A743" s="7" t="s">
        <v>37</v>
      </c>
      <c r="B743" s="7" t="s">
        <v>415</v>
      </c>
      <c r="C743" s="8">
        <v>26652</v>
      </c>
      <c r="D743" s="7" t="s">
        <v>28</v>
      </c>
      <c r="E743" s="7" t="s">
        <v>452</v>
      </c>
      <c r="F743" s="7" t="s">
        <v>453</v>
      </c>
      <c r="G743" s="7" t="s">
        <v>18</v>
      </c>
      <c r="H743" s="7" t="s">
        <v>24</v>
      </c>
      <c r="I743" s="7" t="s">
        <v>712</v>
      </c>
      <c r="J743" s="7" t="s">
        <v>712</v>
      </c>
      <c r="K743" s="8">
        <v>6306980</v>
      </c>
      <c r="L743" s="8">
        <v>329218</v>
      </c>
      <c r="M743" s="8">
        <v>19</v>
      </c>
      <c r="N743" s="8">
        <v>1</v>
      </c>
      <c r="O743" s="8">
        <v>0.16</v>
      </c>
      <c r="P743" s="8"/>
    </row>
    <row r="744" spans="1:16" hidden="1" x14ac:dyDescent="0.25">
      <c r="A744" s="7" t="s">
        <v>37</v>
      </c>
      <c r="B744" s="7" t="s">
        <v>415</v>
      </c>
      <c r="C744" s="8">
        <v>26653</v>
      </c>
      <c r="D744" s="7" t="s">
        <v>28</v>
      </c>
      <c r="E744" s="7" t="s">
        <v>387</v>
      </c>
      <c r="F744" s="7" t="s">
        <v>435</v>
      </c>
      <c r="G744" s="7" t="s">
        <v>18</v>
      </c>
      <c r="H744" s="7" t="s">
        <v>24</v>
      </c>
      <c r="I744" s="7" t="s">
        <v>712</v>
      </c>
      <c r="J744" s="7" t="s">
        <v>712</v>
      </c>
      <c r="K744" s="8">
        <v>6304064</v>
      </c>
      <c r="L744" s="8">
        <v>326607</v>
      </c>
      <c r="M744" s="8">
        <v>19</v>
      </c>
      <c r="N744" s="8">
        <v>1</v>
      </c>
      <c r="O744" s="8">
        <v>0.14000000000000001</v>
      </c>
      <c r="P744" s="8"/>
    </row>
    <row r="745" spans="1:16" hidden="1" x14ac:dyDescent="0.25">
      <c r="A745" s="7" t="s">
        <v>19</v>
      </c>
      <c r="B745" s="7" t="s">
        <v>415</v>
      </c>
      <c r="C745" s="8">
        <v>26656</v>
      </c>
      <c r="D745" s="7" t="s">
        <v>28</v>
      </c>
      <c r="E745" s="7" t="s">
        <v>387</v>
      </c>
      <c r="F745" s="7" t="s">
        <v>435</v>
      </c>
      <c r="G745" s="7" t="s">
        <v>18</v>
      </c>
      <c r="H745" s="7" t="s">
        <v>48</v>
      </c>
      <c r="I745" s="7" t="s">
        <v>712</v>
      </c>
      <c r="J745" s="7" t="s">
        <v>712</v>
      </c>
      <c r="K745" s="8">
        <v>6302296</v>
      </c>
      <c r="L745" s="8">
        <v>327294</v>
      </c>
      <c r="M745" s="8">
        <v>19</v>
      </c>
      <c r="N745" s="8">
        <v>1</v>
      </c>
      <c r="O745" s="8">
        <v>0.4</v>
      </c>
      <c r="P745" s="8"/>
    </row>
    <row r="746" spans="1:16" hidden="1" x14ac:dyDescent="0.25">
      <c r="A746" s="7" t="s">
        <v>37</v>
      </c>
      <c r="B746" s="7" t="s">
        <v>415</v>
      </c>
      <c r="C746" s="8">
        <v>26658</v>
      </c>
      <c r="D746" s="7" t="s">
        <v>28</v>
      </c>
      <c r="E746" s="7" t="s">
        <v>387</v>
      </c>
      <c r="F746" s="7" t="s">
        <v>435</v>
      </c>
      <c r="G746" s="7" t="s">
        <v>18</v>
      </c>
      <c r="H746" s="7" t="s">
        <v>24</v>
      </c>
      <c r="I746" s="7" t="s">
        <v>712</v>
      </c>
      <c r="J746" s="7" t="s">
        <v>712</v>
      </c>
      <c r="K746" s="8">
        <v>6302116</v>
      </c>
      <c r="L746" s="8">
        <v>326980</v>
      </c>
      <c r="M746" s="8">
        <v>19</v>
      </c>
      <c r="N746" s="8">
        <v>1</v>
      </c>
      <c r="O746" s="8">
        <v>0.22</v>
      </c>
      <c r="P746" s="8"/>
    </row>
    <row r="747" spans="1:16" hidden="1" x14ac:dyDescent="0.25">
      <c r="A747" s="7" t="s">
        <v>19</v>
      </c>
      <c r="B747" s="7" t="s">
        <v>415</v>
      </c>
      <c r="C747" s="8">
        <v>26659</v>
      </c>
      <c r="D747" s="7" t="s">
        <v>28</v>
      </c>
      <c r="E747" s="7" t="s">
        <v>32</v>
      </c>
      <c r="F747" s="7" t="s">
        <v>450</v>
      </c>
      <c r="G747" s="7" t="s">
        <v>18</v>
      </c>
      <c r="H747" s="7" t="s">
        <v>48</v>
      </c>
      <c r="I747" s="7" t="s">
        <v>712</v>
      </c>
      <c r="J747" s="7" t="s">
        <v>691</v>
      </c>
      <c r="K747" s="8">
        <v>6279874</v>
      </c>
      <c r="L747" s="8">
        <v>339539</v>
      </c>
      <c r="M747" s="8">
        <v>19</v>
      </c>
      <c r="N747" s="8">
        <v>1</v>
      </c>
      <c r="O747" s="8">
        <v>0.32</v>
      </c>
      <c r="P747" s="8"/>
    </row>
    <row r="748" spans="1:16" hidden="1" x14ac:dyDescent="0.25">
      <c r="A748" s="7" t="s">
        <v>37</v>
      </c>
      <c r="B748" s="7" t="s">
        <v>415</v>
      </c>
      <c r="C748" s="8">
        <v>26660</v>
      </c>
      <c r="D748" s="7" t="s">
        <v>52</v>
      </c>
      <c r="E748" s="7" t="s">
        <v>139</v>
      </c>
      <c r="F748" s="7" t="s">
        <v>139</v>
      </c>
      <c r="G748" s="7" t="s">
        <v>18</v>
      </c>
      <c r="H748" s="7" t="s">
        <v>48</v>
      </c>
      <c r="I748" s="7" t="s">
        <v>712</v>
      </c>
      <c r="J748" s="7" t="s">
        <v>712</v>
      </c>
      <c r="K748" s="8">
        <v>6233366</v>
      </c>
      <c r="L748" s="8">
        <v>341658</v>
      </c>
      <c r="M748" s="8">
        <v>19</v>
      </c>
      <c r="N748" s="8">
        <v>3</v>
      </c>
      <c r="O748" s="8">
        <v>24.67</v>
      </c>
      <c r="P748" s="8"/>
    </row>
    <row r="749" spans="1:16" hidden="1" x14ac:dyDescent="0.25">
      <c r="A749" s="7" t="s">
        <v>19</v>
      </c>
      <c r="B749" s="7" t="s">
        <v>415</v>
      </c>
      <c r="C749" s="8">
        <v>26661</v>
      </c>
      <c r="D749" s="7" t="s">
        <v>28</v>
      </c>
      <c r="E749" s="7" t="s">
        <v>56</v>
      </c>
      <c r="F749" s="7" t="s">
        <v>57</v>
      </c>
      <c r="G749" s="7" t="s">
        <v>18</v>
      </c>
      <c r="H749" s="7" t="s">
        <v>48</v>
      </c>
      <c r="I749" s="7" t="s">
        <v>712</v>
      </c>
      <c r="J749" s="7" t="s">
        <v>712</v>
      </c>
      <c r="K749" s="8">
        <v>6305555</v>
      </c>
      <c r="L749" s="8">
        <v>331790</v>
      </c>
      <c r="M749" s="8">
        <v>19</v>
      </c>
      <c r="N749" s="8">
        <v>1</v>
      </c>
      <c r="O749" s="8">
        <v>0.4</v>
      </c>
      <c r="P749" s="8"/>
    </row>
    <row r="750" spans="1:16" hidden="1" x14ac:dyDescent="0.25">
      <c r="A750" s="7" t="s">
        <v>19</v>
      </c>
      <c r="B750" s="7" t="s">
        <v>124</v>
      </c>
      <c r="C750" s="8">
        <v>26662</v>
      </c>
      <c r="D750" s="7" t="s">
        <v>52</v>
      </c>
      <c r="E750" s="7" t="s">
        <v>139</v>
      </c>
      <c r="F750" s="7" t="s">
        <v>140</v>
      </c>
      <c r="G750" s="7" t="s">
        <v>18</v>
      </c>
      <c r="H750" s="7" t="s">
        <v>48</v>
      </c>
      <c r="I750" s="7" t="s">
        <v>712</v>
      </c>
      <c r="J750" s="7" t="s">
        <v>691</v>
      </c>
      <c r="K750" s="8">
        <v>6226773</v>
      </c>
      <c r="L750" s="8">
        <v>342575</v>
      </c>
      <c r="M750" s="8">
        <v>19</v>
      </c>
      <c r="N750" s="8">
        <v>1</v>
      </c>
      <c r="O750" s="8">
        <v>6</v>
      </c>
      <c r="P750" s="8"/>
    </row>
    <row r="751" spans="1:16" hidden="1" x14ac:dyDescent="0.25">
      <c r="A751" s="7" t="s">
        <v>37</v>
      </c>
      <c r="B751" s="7" t="s">
        <v>651</v>
      </c>
      <c r="C751" s="8">
        <v>26664</v>
      </c>
      <c r="D751" s="7" t="s">
        <v>16</v>
      </c>
      <c r="E751" s="7" t="s">
        <v>17</v>
      </c>
      <c r="F751" s="7" t="s">
        <v>266</v>
      </c>
      <c r="G751" s="7" t="s">
        <v>18</v>
      </c>
      <c r="H751" s="7" t="s">
        <v>48</v>
      </c>
      <c r="I751" s="7" t="s">
        <v>712</v>
      </c>
      <c r="J751" s="7" t="s">
        <v>712</v>
      </c>
      <c r="K751" s="8">
        <v>6061661</v>
      </c>
      <c r="L751" s="8">
        <v>277298</v>
      </c>
      <c r="M751" s="8">
        <v>19</v>
      </c>
      <c r="N751" s="8">
        <v>3</v>
      </c>
      <c r="O751" s="8">
        <v>33</v>
      </c>
      <c r="P751" s="8"/>
    </row>
    <row r="752" spans="1:16" hidden="1" x14ac:dyDescent="0.25">
      <c r="A752" s="7" t="s">
        <v>19</v>
      </c>
      <c r="B752" s="7" t="s">
        <v>124</v>
      </c>
      <c r="C752" s="8">
        <v>26665</v>
      </c>
      <c r="D752" s="7" t="s">
        <v>52</v>
      </c>
      <c r="E752" s="7" t="s">
        <v>141</v>
      </c>
      <c r="F752" s="7" t="s">
        <v>141</v>
      </c>
      <c r="G752" s="7" t="s">
        <v>18</v>
      </c>
      <c r="H752" s="7" t="s">
        <v>48</v>
      </c>
      <c r="I752" s="7" t="s">
        <v>712</v>
      </c>
      <c r="J752" s="7" t="s">
        <v>691</v>
      </c>
      <c r="K752" s="8">
        <v>6216737</v>
      </c>
      <c r="L752" s="8">
        <v>336763</v>
      </c>
      <c r="M752" s="8">
        <v>19</v>
      </c>
      <c r="N752" s="8">
        <v>1</v>
      </c>
      <c r="O752" s="8">
        <v>11</v>
      </c>
      <c r="P752" s="8"/>
    </row>
    <row r="753" spans="1:16" hidden="1" x14ac:dyDescent="0.25">
      <c r="A753" s="7" t="s">
        <v>37</v>
      </c>
      <c r="B753" s="7" t="s">
        <v>651</v>
      </c>
      <c r="C753" s="8">
        <v>26666</v>
      </c>
      <c r="D753" s="7" t="s">
        <v>16</v>
      </c>
      <c r="E753" s="7" t="s">
        <v>17</v>
      </c>
      <c r="F753" s="7" t="s">
        <v>657</v>
      </c>
      <c r="G753" s="7" t="s">
        <v>18</v>
      </c>
      <c r="H753" s="7" t="s">
        <v>48</v>
      </c>
      <c r="I753" s="7" t="s">
        <v>712</v>
      </c>
      <c r="J753" s="7" t="s">
        <v>691</v>
      </c>
      <c r="K753" s="8">
        <v>6060074</v>
      </c>
      <c r="L753" s="8">
        <v>279515</v>
      </c>
      <c r="M753" s="8">
        <v>19</v>
      </c>
      <c r="N753" s="8">
        <v>1</v>
      </c>
      <c r="O753" s="8">
        <v>4</v>
      </c>
      <c r="P753" s="8"/>
    </row>
    <row r="754" spans="1:16" hidden="1" x14ac:dyDescent="0.25">
      <c r="A754" s="7" t="s">
        <v>19</v>
      </c>
      <c r="B754" s="7" t="s">
        <v>415</v>
      </c>
      <c r="C754" s="8">
        <v>26668</v>
      </c>
      <c r="D754" s="7" t="s">
        <v>28</v>
      </c>
      <c r="E754" s="7" t="s">
        <v>29</v>
      </c>
      <c r="F754" s="7" t="s">
        <v>29</v>
      </c>
      <c r="G754" s="7" t="s">
        <v>18</v>
      </c>
      <c r="H754" s="7" t="s">
        <v>48</v>
      </c>
      <c r="I754" s="7" t="s">
        <v>712</v>
      </c>
      <c r="J754" s="7" t="s">
        <v>691</v>
      </c>
      <c r="K754" s="8">
        <v>6256903</v>
      </c>
      <c r="L754" s="8">
        <v>342574</v>
      </c>
      <c r="M754" s="8">
        <v>19</v>
      </c>
      <c r="N754" s="8">
        <v>1</v>
      </c>
      <c r="O754" s="8">
        <v>0.46</v>
      </c>
      <c r="P754" s="8"/>
    </row>
    <row r="755" spans="1:16" hidden="1" x14ac:dyDescent="0.25">
      <c r="A755" s="7" t="s">
        <v>19</v>
      </c>
      <c r="B755" s="7" t="s">
        <v>124</v>
      </c>
      <c r="C755" s="8">
        <v>26670</v>
      </c>
      <c r="D755" s="7" t="s">
        <v>52</v>
      </c>
      <c r="E755" s="7" t="s">
        <v>139</v>
      </c>
      <c r="F755" s="7" t="s">
        <v>139</v>
      </c>
      <c r="G755" s="7" t="s">
        <v>18</v>
      </c>
      <c r="H755" s="7" t="s">
        <v>48</v>
      </c>
      <c r="I755" s="7" t="s">
        <v>712</v>
      </c>
      <c r="J755" s="7" t="s">
        <v>691</v>
      </c>
      <c r="K755" s="8">
        <v>6226963</v>
      </c>
      <c r="L755" s="8">
        <v>341992</v>
      </c>
      <c r="M755" s="8">
        <v>19</v>
      </c>
      <c r="N755" s="8">
        <v>1</v>
      </c>
      <c r="O755" s="8">
        <v>12.1</v>
      </c>
      <c r="P755" s="8"/>
    </row>
    <row r="756" spans="1:16" hidden="1" x14ac:dyDescent="0.25">
      <c r="A756" s="7" t="s">
        <v>19</v>
      </c>
      <c r="B756" s="7" t="s">
        <v>124</v>
      </c>
      <c r="C756" s="8">
        <v>26671</v>
      </c>
      <c r="D756" s="7" t="s">
        <v>52</v>
      </c>
      <c r="E756" s="7" t="s">
        <v>139</v>
      </c>
      <c r="F756" s="7" t="s">
        <v>140</v>
      </c>
      <c r="G756" s="7" t="s">
        <v>18</v>
      </c>
      <c r="H756" s="7" t="s">
        <v>48</v>
      </c>
      <c r="I756" s="7" t="s">
        <v>712</v>
      </c>
      <c r="J756" s="7" t="s">
        <v>691</v>
      </c>
      <c r="K756" s="8">
        <v>6225879</v>
      </c>
      <c r="L756" s="8">
        <v>342592</v>
      </c>
      <c r="M756" s="8">
        <v>19</v>
      </c>
      <c r="N756" s="8">
        <v>1</v>
      </c>
      <c r="O756" s="8">
        <v>21</v>
      </c>
      <c r="P756" s="8"/>
    </row>
    <row r="757" spans="1:16" hidden="1" x14ac:dyDescent="0.25">
      <c r="A757" s="7" t="s">
        <v>19</v>
      </c>
      <c r="B757" s="7" t="s">
        <v>415</v>
      </c>
      <c r="C757" s="8">
        <v>26672</v>
      </c>
      <c r="D757" s="7" t="s">
        <v>28</v>
      </c>
      <c r="E757" s="7" t="s">
        <v>447</v>
      </c>
      <c r="F757" s="7" t="s">
        <v>390</v>
      </c>
      <c r="G757" s="7" t="s">
        <v>18</v>
      </c>
      <c r="H757" s="7" t="s">
        <v>48</v>
      </c>
      <c r="I757" s="7" t="s">
        <v>712</v>
      </c>
      <c r="J757" s="7" t="s">
        <v>712</v>
      </c>
      <c r="K757" s="8">
        <v>6302564</v>
      </c>
      <c r="L757" s="8">
        <v>335400</v>
      </c>
      <c r="M757" s="8">
        <v>19</v>
      </c>
      <c r="N757" s="8">
        <v>1</v>
      </c>
      <c r="O757" s="8">
        <v>0.38</v>
      </c>
      <c r="P757" s="8"/>
    </row>
    <row r="758" spans="1:16" hidden="1" x14ac:dyDescent="0.25">
      <c r="A758" s="7" t="s">
        <v>37</v>
      </c>
      <c r="B758" s="7" t="s">
        <v>415</v>
      </c>
      <c r="C758" s="8">
        <v>26674</v>
      </c>
      <c r="D758" s="7" t="s">
        <v>28</v>
      </c>
      <c r="E758" s="7" t="s">
        <v>364</v>
      </c>
      <c r="F758" s="7" t="s">
        <v>364</v>
      </c>
      <c r="G758" s="7" t="s">
        <v>18</v>
      </c>
      <c r="H758" s="7" t="s">
        <v>24</v>
      </c>
      <c r="I758" s="7" t="s">
        <v>712</v>
      </c>
      <c r="J758" s="7" t="s">
        <v>712</v>
      </c>
      <c r="K758" s="8">
        <v>6271521</v>
      </c>
      <c r="L758" s="8">
        <v>320258</v>
      </c>
      <c r="M758" s="8">
        <v>19</v>
      </c>
      <c r="N758" s="8">
        <v>1</v>
      </c>
      <c r="O758" s="8">
        <v>6</v>
      </c>
      <c r="P758" s="8"/>
    </row>
    <row r="759" spans="1:16" hidden="1" x14ac:dyDescent="0.25">
      <c r="A759" s="7" t="s">
        <v>19</v>
      </c>
      <c r="B759" s="7" t="s">
        <v>124</v>
      </c>
      <c r="C759" s="8">
        <v>26675</v>
      </c>
      <c r="D759" s="7" t="s">
        <v>52</v>
      </c>
      <c r="E759" s="7" t="s">
        <v>53</v>
      </c>
      <c r="F759" s="7" t="s">
        <v>53</v>
      </c>
      <c r="G759" s="7" t="s">
        <v>18</v>
      </c>
      <c r="H759" s="7" t="s">
        <v>48</v>
      </c>
      <c r="I759" s="7" t="s">
        <v>712</v>
      </c>
      <c r="J759" s="7" t="s">
        <v>712</v>
      </c>
      <c r="K759" s="8">
        <v>6155402</v>
      </c>
      <c r="L759" s="8">
        <v>314439</v>
      </c>
      <c r="M759" s="8">
        <v>19</v>
      </c>
      <c r="N759" s="8">
        <v>1</v>
      </c>
      <c r="O759" s="8">
        <v>10</v>
      </c>
      <c r="P759" s="8"/>
    </row>
    <row r="760" spans="1:16" hidden="1" x14ac:dyDescent="0.25">
      <c r="A760" s="7" t="s">
        <v>37</v>
      </c>
      <c r="B760" s="7" t="s">
        <v>343</v>
      </c>
      <c r="C760" s="8">
        <v>26677</v>
      </c>
      <c r="D760" s="7" t="s">
        <v>16</v>
      </c>
      <c r="E760" s="7" t="s">
        <v>17</v>
      </c>
      <c r="F760" s="7" t="s">
        <v>165</v>
      </c>
      <c r="G760" s="7" t="s">
        <v>18</v>
      </c>
      <c r="H760" s="7" t="s">
        <v>24</v>
      </c>
      <c r="I760" s="7" t="s">
        <v>712</v>
      </c>
      <c r="J760" s="7" t="s">
        <v>712</v>
      </c>
      <c r="K760" s="8">
        <v>6073550</v>
      </c>
      <c r="L760" s="8">
        <v>274661</v>
      </c>
      <c r="M760" s="8">
        <v>19</v>
      </c>
      <c r="N760" s="8">
        <v>1</v>
      </c>
      <c r="O760" s="8">
        <v>3.6</v>
      </c>
      <c r="P760" s="8"/>
    </row>
    <row r="761" spans="1:16" hidden="1" x14ac:dyDescent="0.25">
      <c r="A761" s="7" t="s">
        <v>37</v>
      </c>
      <c r="B761" s="7" t="s">
        <v>254</v>
      </c>
      <c r="C761" s="8">
        <v>26678</v>
      </c>
      <c r="D761" s="7" t="s">
        <v>16</v>
      </c>
      <c r="E761" s="7" t="s">
        <v>268</v>
      </c>
      <c r="F761" s="7" t="s">
        <v>268</v>
      </c>
      <c r="G761" s="7" t="s">
        <v>18</v>
      </c>
      <c r="H761" s="7" t="s">
        <v>48</v>
      </c>
      <c r="I761" s="7" t="s">
        <v>712</v>
      </c>
      <c r="J761" s="7" t="s">
        <v>691</v>
      </c>
      <c r="K761" s="8">
        <v>6133967</v>
      </c>
      <c r="L761" s="8">
        <v>316002</v>
      </c>
      <c r="M761" s="8">
        <v>19</v>
      </c>
      <c r="N761" s="8">
        <v>4</v>
      </c>
      <c r="O761" s="8">
        <v>50</v>
      </c>
      <c r="P761" s="8"/>
    </row>
    <row r="762" spans="1:16" hidden="1" x14ac:dyDescent="0.25">
      <c r="A762" s="7" t="s">
        <v>37</v>
      </c>
      <c r="B762" s="7" t="s">
        <v>343</v>
      </c>
      <c r="C762" s="8">
        <v>26681</v>
      </c>
      <c r="D762" s="7" t="s">
        <v>16</v>
      </c>
      <c r="E762" s="7" t="s">
        <v>17</v>
      </c>
      <c r="F762" s="7" t="s">
        <v>55</v>
      </c>
      <c r="G762" s="7" t="s">
        <v>18</v>
      </c>
      <c r="H762" s="7" t="s">
        <v>24</v>
      </c>
      <c r="I762" s="7" t="s">
        <v>712</v>
      </c>
      <c r="J762" s="7" t="s">
        <v>712</v>
      </c>
      <c r="K762" s="8">
        <v>6066961</v>
      </c>
      <c r="L762" s="8">
        <v>280696</v>
      </c>
      <c r="M762" s="8">
        <v>19</v>
      </c>
      <c r="N762" s="8">
        <v>1</v>
      </c>
      <c r="O762" s="8">
        <v>3</v>
      </c>
      <c r="P762" s="8"/>
    </row>
    <row r="763" spans="1:16" hidden="1" x14ac:dyDescent="0.25">
      <c r="A763" s="7" t="s">
        <v>37</v>
      </c>
      <c r="B763" s="7" t="s">
        <v>254</v>
      </c>
      <c r="C763" s="8">
        <v>26682</v>
      </c>
      <c r="D763" s="7" t="s">
        <v>52</v>
      </c>
      <c r="E763" s="7" t="s">
        <v>53</v>
      </c>
      <c r="F763" s="7" t="s">
        <v>269</v>
      </c>
      <c r="G763" s="7" t="s">
        <v>18</v>
      </c>
      <c r="H763" s="7" t="s">
        <v>48</v>
      </c>
      <c r="I763" s="7" t="s">
        <v>712</v>
      </c>
      <c r="J763" s="7" t="s">
        <v>691</v>
      </c>
      <c r="K763" s="8">
        <v>6150616</v>
      </c>
      <c r="L763" s="8">
        <v>312592</v>
      </c>
      <c r="M763" s="8">
        <v>19</v>
      </c>
      <c r="N763" s="8">
        <v>2</v>
      </c>
      <c r="O763" s="8">
        <v>30</v>
      </c>
      <c r="P763" s="8"/>
    </row>
    <row r="764" spans="1:16" hidden="1" x14ac:dyDescent="0.25">
      <c r="A764" s="7" t="s">
        <v>19</v>
      </c>
      <c r="B764" s="7" t="s">
        <v>41</v>
      </c>
      <c r="C764" s="8">
        <v>26685</v>
      </c>
      <c r="D764" s="7" t="s">
        <v>52</v>
      </c>
      <c r="E764" s="7" t="s">
        <v>53</v>
      </c>
      <c r="F764" s="7" t="s">
        <v>55</v>
      </c>
      <c r="G764" s="7" t="s">
        <v>18</v>
      </c>
      <c r="H764" s="7" t="s">
        <v>48</v>
      </c>
      <c r="I764" s="7" t="s">
        <v>712</v>
      </c>
      <c r="J764" s="7" t="s">
        <v>712</v>
      </c>
      <c r="K764" s="8">
        <v>6158478</v>
      </c>
      <c r="L764" s="8">
        <v>317112</v>
      </c>
      <c r="M764" s="8">
        <v>19</v>
      </c>
      <c r="N764" s="8">
        <v>1</v>
      </c>
      <c r="O764" s="8">
        <v>10</v>
      </c>
      <c r="P764" s="8"/>
    </row>
    <row r="765" spans="1:16" hidden="1" x14ac:dyDescent="0.25">
      <c r="A765" s="7" t="s">
        <v>37</v>
      </c>
      <c r="B765" s="7" t="s">
        <v>343</v>
      </c>
      <c r="C765" s="8">
        <v>26686</v>
      </c>
      <c r="D765" s="7" t="s">
        <v>16</v>
      </c>
      <c r="E765" s="7" t="s">
        <v>17</v>
      </c>
      <c r="F765" s="7" t="s">
        <v>380</v>
      </c>
      <c r="G765" s="7" t="s">
        <v>18</v>
      </c>
      <c r="H765" s="7" t="s">
        <v>24</v>
      </c>
      <c r="I765" s="7" t="s">
        <v>712</v>
      </c>
      <c r="J765" s="7" t="s">
        <v>712</v>
      </c>
      <c r="K765" s="8">
        <v>6057955</v>
      </c>
      <c r="L765" s="8">
        <v>284900</v>
      </c>
      <c r="M765" s="8">
        <v>19</v>
      </c>
      <c r="N765" s="8">
        <v>1</v>
      </c>
      <c r="O765" s="8">
        <v>0.4</v>
      </c>
      <c r="P765" s="8"/>
    </row>
    <row r="766" spans="1:16" hidden="1" x14ac:dyDescent="0.25">
      <c r="A766" s="7" t="s">
        <v>37</v>
      </c>
      <c r="B766" s="7" t="s">
        <v>343</v>
      </c>
      <c r="C766" s="8">
        <v>26687</v>
      </c>
      <c r="D766" s="7" t="s">
        <v>16</v>
      </c>
      <c r="E766" s="7" t="s">
        <v>17</v>
      </c>
      <c r="F766" s="7" t="s">
        <v>55</v>
      </c>
      <c r="G766" s="7" t="s">
        <v>18</v>
      </c>
      <c r="H766" s="7" t="s">
        <v>24</v>
      </c>
      <c r="I766" s="7" t="s">
        <v>712</v>
      </c>
      <c r="J766" s="7" t="s">
        <v>712</v>
      </c>
      <c r="K766" s="8">
        <v>6062598</v>
      </c>
      <c r="L766" s="8">
        <v>282182</v>
      </c>
      <c r="M766" s="8">
        <v>19</v>
      </c>
      <c r="N766" s="8">
        <v>1</v>
      </c>
      <c r="O766" s="8">
        <v>1.7</v>
      </c>
      <c r="P766" s="8"/>
    </row>
    <row r="767" spans="1:16" hidden="1" x14ac:dyDescent="0.25">
      <c r="A767" s="7" t="s">
        <v>37</v>
      </c>
      <c r="B767" s="7" t="s">
        <v>254</v>
      </c>
      <c r="C767" s="8">
        <v>26688</v>
      </c>
      <c r="D767" s="7" t="s">
        <v>52</v>
      </c>
      <c r="E767" s="7" t="s">
        <v>53</v>
      </c>
      <c r="F767" s="7" t="s">
        <v>269</v>
      </c>
      <c r="G767" s="7" t="s">
        <v>18</v>
      </c>
      <c r="H767" s="7" t="s">
        <v>48</v>
      </c>
      <c r="I767" s="7" t="s">
        <v>712</v>
      </c>
      <c r="J767" s="7" t="s">
        <v>712</v>
      </c>
      <c r="K767" s="8">
        <v>6154479</v>
      </c>
      <c r="L767" s="8">
        <v>313531</v>
      </c>
      <c r="M767" s="8">
        <v>19</v>
      </c>
      <c r="N767" s="8">
        <v>1</v>
      </c>
      <c r="O767" s="8">
        <v>6</v>
      </c>
      <c r="P767" s="8"/>
    </row>
    <row r="768" spans="1:16" hidden="1" x14ac:dyDescent="0.25">
      <c r="A768" s="7" t="s">
        <v>37</v>
      </c>
      <c r="B768" s="7" t="s">
        <v>254</v>
      </c>
      <c r="C768" s="8">
        <v>26692</v>
      </c>
      <c r="D768" s="7" t="s">
        <v>52</v>
      </c>
      <c r="E768" s="7" t="s">
        <v>53</v>
      </c>
      <c r="F768" s="7" t="s">
        <v>53</v>
      </c>
      <c r="G768" s="7" t="s">
        <v>18</v>
      </c>
      <c r="H768" s="7" t="s">
        <v>48</v>
      </c>
      <c r="I768" s="7" t="s">
        <v>712</v>
      </c>
      <c r="J768" s="7" t="s">
        <v>712</v>
      </c>
      <c r="K768" s="8">
        <v>6154073</v>
      </c>
      <c r="L768" s="8">
        <v>313815</v>
      </c>
      <c r="M768" s="8">
        <v>19</v>
      </c>
      <c r="N768" s="8">
        <v>1</v>
      </c>
      <c r="O768" s="8">
        <v>5</v>
      </c>
      <c r="P768" s="8"/>
    </row>
    <row r="769" spans="1:16" hidden="1" x14ac:dyDescent="0.25">
      <c r="A769" s="7" t="s">
        <v>19</v>
      </c>
      <c r="B769" s="7" t="s">
        <v>343</v>
      </c>
      <c r="C769" s="8">
        <v>26693</v>
      </c>
      <c r="D769" s="7" t="s">
        <v>16</v>
      </c>
      <c r="E769" s="7" t="s">
        <v>17</v>
      </c>
      <c r="F769" s="7" t="s">
        <v>55</v>
      </c>
      <c r="G769" s="7" t="s">
        <v>18</v>
      </c>
      <c r="H769" s="7" t="s">
        <v>24</v>
      </c>
      <c r="I769" s="7" t="s">
        <v>712</v>
      </c>
      <c r="J769" s="7" t="s">
        <v>712</v>
      </c>
      <c r="K769" s="8">
        <v>6070720</v>
      </c>
      <c r="L769" s="8">
        <v>282968</v>
      </c>
      <c r="M769" s="8">
        <v>19</v>
      </c>
      <c r="N769" s="8">
        <v>1</v>
      </c>
      <c r="O769" s="8">
        <v>1.4</v>
      </c>
      <c r="P769" s="8"/>
    </row>
    <row r="770" spans="1:16" hidden="1" x14ac:dyDescent="0.25">
      <c r="A770" s="7" t="s">
        <v>37</v>
      </c>
      <c r="B770" s="7" t="s">
        <v>254</v>
      </c>
      <c r="C770" s="8">
        <v>26696</v>
      </c>
      <c r="D770" s="7" t="s">
        <v>52</v>
      </c>
      <c r="E770" s="7" t="s">
        <v>145</v>
      </c>
      <c r="F770" s="7" t="s">
        <v>247</v>
      </c>
      <c r="G770" s="7" t="s">
        <v>18</v>
      </c>
      <c r="H770" s="7" t="s">
        <v>48</v>
      </c>
      <c r="I770" s="7" t="s">
        <v>712</v>
      </c>
      <c r="J770" s="7" t="s">
        <v>712</v>
      </c>
      <c r="K770" s="8">
        <v>6169486</v>
      </c>
      <c r="L770" s="8">
        <v>323398</v>
      </c>
      <c r="M770" s="8">
        <v>19</v>
      </c>
      <c r="N770" s="8">
        <v>1</v>
      </c>
      <c r="O770" s="8">
        <v>16</v>
      </c>
      <c r="P770" s="8"/>
    </row>
    <row r="771" spans="1:16" hidden="1" x14ac:dyDescent="0.25">
      <c r="A771" s="7" t="s">
        <v>37</v>
      </c>
      <c r="B771" s="7" t="s">
        <v>343</v>
      </c>
      <c r="C771" s="8">
        <v>26697</v>
      </c>
      <c r="D771" s="7" t="s">
        <v>16</v>
      </c>
      <c r="E771" s="7" t="s">
        <v>17</v>
      </c>
      <c r="F771" s="7" t="s">
        <v>55</v>
      </c>
      <c r="G771" s="7" t="s">
        <v>18</v>
      </c>
      <c r="H771" s="7" t="s">
        <v>24</v>
      </c>
      <c r="I771" s="7" t="s">
        <v>712</v>
      </c>
      <c r="J771" s="7" t="s">
        <v>712</v>
      </c>
      <c r="K771" s="8">
        <v>6069537</v>
      </c>
      <c r="L771" s="8">
        <v>284354</v>
      </c>
      <c r="M771" s="8">
        <v>19</v>
      </c>
      <c r="N771" s="8">
        <v>1</v>
      </c>
      <c r="O771" s="8">
        <v>0.7</v>
      </c>
      <c r="P771" s="8"/>
    </row>
    <row r="772" spans="1:16" hidden="1" x14ac:dyDescent="0.25">
      <c r="A772" s="7" t="s">
        <v>37</v>
      </c>
      <c r="B772" s="7" t="s">
        <v>254</v>
      </c>
      <c r="C772" s="8">
        <v>26703</v>
      </c>
      <c r="D772" s="7" t="s">
        <v>16</v>
      </c>
      <c r="E772" s="7" t="s">
        <v>268</v>
      </c>
      <c r="F772" s="7" t="s">
        <v>285</v>
      </c>
      <c r="G772" s="7" t="s">
        <v>18</v>
      </c>
      <c r="H772" s="7" t="s">
        <v>48</v>
      </c>
      <c r="I772" s="7" t="s">
        <v>712</v>
      </c>
      <c r="J772" s="7" t="s">
        <v>691</v>
      </c>
      <c r="K772" s="8">
        <v>6135388</v>
      </c>
      <c r="L772" s="8">
        <v>311364</v>
      </c>
      <c r="M772" s="8">
        <v>19</v>
      </c>
      <c r="N772" s="8">
        <v>2</v>
      </c>
      <c r="O772" s="8">
        <v>40</v>
      </c>
      <c r="P772" s="8"/>
    </row>
    <row r="773" spans="1:16" hidden="1" x14ac:dyDescent="0.25">
      <c r="A773" s="7" t="s">
        <v>19</v>
      </c>
      <c r="B773" s="7" t="s">
        <v>41</v>
      </c>
      <c r="C773" s="8">
        <v>26704</v>
      </c>
      <c r="D773" s="7" t="s">
        <v>52</v>
      </c>
      <c r="E773" s="7" t="s">
        <v>53</v>
      </c>
      <c r="F773" s="7" t="s">
        <v>55</v>
      </c>
      <c r="G773" s="7" t="s">
        <v>18</v>
      </c>
      <c r="H773" s="7" t="s">
        <v>48</v>
      </c>
      <c r="I773" s="7" t="s">
        <v>712</v>
      </c>
      <c r="J773" s="7" t="s">
        <v>712</v>
      </c>
      <c r="K773" s="8">
        <v>6157592</v>
      </c>
      <c r="L773" s="8">
        <v>316964</v>
      </c>
      <c r="M773" s="8">
        <v>19</v>
      </c>
      <c r="N773" s="8">
        <v>1</v>
      </c>
      <c r="O773" s="8">
        <v>8</v>
      </c>
      <c r="P773" s="8"/>
    </row>
    <row r="774" spans="1:16" hidden="1" x14ac:dyDescent="0.25">
      <c r="A774" s="7" t="s">
        <v>14</v>
      </c>
      <c r="B774" s="7" t="s">
        <v>415</v>
      </c>
      <c r="C774" s="8">
        <v>26706</v>
      </c>
      <c r="D774" s="7" t="s">
        <v>28</v>
      </c>
      <c r="E774" s="7" t="s">
        <v>29</v>
      </c>
      <c r="F774" s="7" t="s">
        <v>104</v>
      </c>
      <c r="G774" s="7" t="s">
        <v>18</v>
      </c>
      <c r="H774" s="7" t="s">
        <v>689</v>
      </c>
      <c r="I774" s="7" t="s">
        <v>712</v>
      </c>
      <c r="J774" s="7" t="s">
        <v>712</v>
      </c>
      <c r="K774" s="8">
        <v>6253403</v>
      </c>
      <c r="L774" s="8">
        <v>343094</v>
      </c>
      <c r="M774" s="8">
        <v>19</v>
      </c>
      <c r="N774" s="8">
        <v>1</v>
      </c>
      <c r="O774" s="8">
        <v>0.25</v>
      </c>
      <c r="P774" s="8"/>
    </row>
    <row r="775" spans="1:16" hidden="1" x14ac:dyDescent="0.25">
      <c r="A775" s="7" t="s">
        <v>19</v>
      </c>
      <c r="B775" s="7" t="s">
        <v>415</v>
      </c>
      <c r="C775" s="8">
        <v>26708</v>
      </c>
      <c r="D775" s="7" t="s">
        <v>52</v>
      </c>
      <c r="E775" s="7" t="s">
        <v>159</v>
      </c>
      <c r="F775" s="7" t="s">
        <v>160</v>
      </c>
      <c r="G775" s="7" t="s">
        <v>18</v>
      </c>
      <c r="H775" s="7" t="s">
        <v>48</v>
      </c>
      <c r="I775" s="7" t="s">
        <v>712</v>
      </c>
      <c r="J775" s="7" t="s">
        <v>712</v>
      </c>
      <c r="K775" s="8">
        <v>6238256</v>
      </c>
      <c r="L775" s="8">
        <v>345187</v>
      </c>
      <c r="M775" s="8">
        <v>19</v>
      </c>
      <c r="N775" s="8">
        <v>1</v>
      </c>
      <c r="O775" s="8">
        <v>5.98</v>
      </c>
      <c r="P775" s="8"/>
    </row>
    <row r="776" spans="1:16" hidden="1" x14ac:dyDescent="0.25">
      <c r="A776" s="7" t="s">
        <v>14</v>
      </c>
      <c r="B776" s="7" t="s">
        <v>415</v>
      </c>
      <c r="C776" s="8">
        <v>26709</v>
      </c>
      <c r="D776" s="7" t="s">
        <v>28</v>
      </c>
      <c r="E776" s="7" t="s">
        <v>29</v>
      </c>
      <c r="F776" s="7" t="s">
        <v>30</v>
      </c>
      <c r="G776" s="7" t="s">
        <v>18</v>
      </c>
      <c r="H776" s="7" t="s">
        <v>689</v>
      </c>
      <c r="I776" s="7" t="s">
        <v>712</v>
      </c>
      <c r="J776" s="7" t="s">
        <v>712</v>
      </c>
      <c r="K776" s="8">
        <v>6254252</v>
      </c>
      <c r="L776" s="8">
        <v>344202</v>
      </c>
      <c r="M776" s="8">
        <v>19</v>
      </c>
      <c r="N776" s="8">
        <v>2</v>
      </c>
      <c r="O776" s="8">
        <v>1.05</v>
      </c>
      <c r="P776" s="8"/>
    </row>
    <row r="777" spans="1:16" hidden="1" x14ac:dyDescent="0.25">
      <c r="A777" s="7" t="s">
        <v>19</v>
      </c>
      <c r="B777" s="7" t="s">
        <v>270</v>
      </c>
      <c r="C777" s="8">
        <v>26714</v>
      </c>
      <c r="D777" s="7" t="s">
        <v>28</v>
      </c>
      <c r="E777" s="7" t="s">
        <v>56</v>
      </c>
      <c r="F777" s="7" t="s">
        <v>605</v>
      </c>
      <c r="G777" s="7" t="s">
        <v>18</v>
      </c>
      <c r="H777" s="7" t="s">
        <v>48</v>
      </c>
      <c r="I777" s="7" t="s">
        <v>712</v>
      </c>
      <c r="J777" s="7" t="s">
        <v>691</v>
      </c>
      <c r="K777" s="8">
        <v>6260890</v>
      </c>
      <c r="L777" s="8">
        <v>330354</v>
      </c>
      <c r="M777" s="8">
        <v>19</v>
      </c>
      <c r="N777" s="8">
        <v>1</v>
      </c>
      <c r="O777" s="8">
        <v>8</v>
      </c>
      <c r="P777" s="8"/>
    </row>
    <row r="778" spans="1:16" hidden="1" x14ac:dyDescent="0.25">
      <c r="A778" s="7" t="s">
        <v>19</v>
      </c>
      <c r="B778" s="7" t="s">
        <v>270</v>
      </c>
      <c r="C778" s="8">
        <v>26716</v>
      </c>
      <c r="D778" s="7" t="s">
        <v>16</v>
      </c>
      <c r="E778" s="7" t="s">
        <v>337</v>
      </c>
      <c r="F778" s="7" t="s">
        <v>606</v>
      </c>
      <c r="G778" s="7" t="s">
        <v>18</v>
      </c>
      <c r="H778" s="7" t="s">
        <v>48</v>
      </c>
      <c r="I778" s="7" t="s">
        <v>712</v>
      </c>
      <c r="J778" s="7" t="s">
        <v>712</v>
      </c>
      <c r="K778" s="8">
        <v>6126008</v>
      </c>
      <c r="L778" s="8">
        <v>312400</v>
      </c>
      <c r="M778" s="8">
        <v>19</v>
      </c>
      <c r="N778" s="8">
        <v>5</v>
      </c>
      <c r="O778" s="8">
        <v>26.42</v>
      </c>
      <c r="P778" s="8"/>
    </row>
    <row r="779" spans="1:16" hidden="1" x14ac:dyDescent="0.25">
      <c r="A779" s="7" t="s">
        <v>37</v>
      </c>
      <c r="B779" s="7" t="s">
        <v>254</v>
      </c>
      <c r="C779" s="8">
        <v>26717</v>
      </c>
      <c r="D779" s="7" t="s">
        <v>52</v>
      </c>
      <c r="E779" s="7" t="s">
        <v>145</v>
      </c>
      <c r="F779" s="7" t="s">
        <v>145</v>
      </c>
      <c r="G779" s="7" t="s">
        <v>18</v>
      </c>
      <c r="H779" s="7" t="s">
        <v>48</v>
      </c>
      <c r="I779" s="7" t="s">
        <v>712</v>
      </c>
      <c r="J779" s="7" t="s">
        <v>691</v>
      </c>
      <c r="K779" s="8">
        <v>6170668</v>
      </c>
      <c r="L779" s="8">
        <v>319791</v>
      </c>
      <c r="M779" s="8">
        <v>19</v>
      </c>
      <c r="N779" s="8">
        <v>4</v>
      </c>
      <c r="O779" s="8">
        <v>41</v>
      </c>
      <c r="P779" s="8"/>
    </row>
    <row r="780" spans="1:16" hidden="1" x14ac:dyDescent="0.25">
      <c r="A780" s="7" t="s">
        <v>19</v>
      </c>
      <c r="B780" s="7" t="s">
        <v>270</v>
      </c>
      <c r="C780" s="8">
        <v>26718</v>
      </c>
      <c r="D780" s="7" t="s">
        <v>16</v>
      </c>
      <c r="E780" s="7" t="s">
        <v>155</v>
      </c>
      <c r="F780" s="7" t="s">
        <v>337</v>
      </c>
      <c r="G780" s="7" t="s">
        <v>18</v>
      </c>
      <c r="H780" s="7" t="s">
        <v>48</v>
      </c>
      <c r="I780" s="7" t="s">
        <v>712</v>
      </c>
      <c r="J780" s="7" t="s">
        <v>691</v>
      </c>
      <c r="K780" s="8">
        <v>6123166</v>
      </c>
      <c r="L780" s="8">
        <v>311904</v>
      </c>
      <c r="M780" s="8">
        <v>19</v>
      </c>
      <c r="N780" s="8">
        <v>2</v>
      </c>
      <c r="O780" s="8">
        <v>16</v>
      </c>
      <c r="P780" s="8"/>
    </row>
    <row r="781" spans="1:16" hidden="1" x14ac:dyDescent="0.25">
      <c r="A781" s="7" t="s">
        <v>19</v>
      </c>
      <c r="B781" s="7" t="s">
        <v>254</v>
      </c>
      <c r="C781" s="8">
        <v>26719</v>
      </c>
      <c r="D781" s="7" t="s">
        <v>52</v>
      </c>
      <c r="E781" s="7" t="s">
        <v>286</v>
      </c>
      <c r="F781" s="7" t="s">
        <v>287</v>
      </c>
      <c r="G781" s="7" t="s">
        <v>18</v>
      </c>
      <c r="H781" s="7" t="s">
        <v>48</v>
      </c>
      <c r="I781" s="7" t="s">
        <v>712</v>
      </c>
      <c r="J781" s="7" t="s">
        <v>712</v>
      </c>
      <c r="K781" s="8">
        <v>6168339</v>
      </c>
      <c r="L781" s="8">
        <v>305795</v>
      </c>
      <c r="M781" s="8">
        <v>19</v>
      </c>
      <c r="N781" s="8">
        <v>1</v>
      </c>
      <c r="O781" s="8">
        <v>20</v>
      </c>
      <c r="P781" s="8"/>
    </row>
    <row r="782" spans="1:16" hidden="1" x14ac:dyDescent="0.25">
      <c r="A782" s="7" t="s">
        <v>37</v>
      </c>
      <c r="B782" s="7" t="s">
        <v>415</v>
      </c>
      <c r="C782" s="8">
        <v>26720</v>
      </c>
      <c r="D782" s="7" t="s">
        <v>28</v>
      </c>
      <c r="E782" s="7" t="s">
        <v>387</v>
      </c>
      <c r="F782" s="7" t="s">
        <v>435</v>
      </c>
      <c r="G782" s="7" t="s">
        <v>18</v>
      </c>
      <c r="H782" s="7" t="s">
        <v>24</v>
      </c>
      <c r="I782" s="7" t="s">
        <v>712</v>
      </c>
      <c r="J782" s="7" t="s">
        <v>712</v>
      </c>
      <c r="K782" s="8">
        <v>6303722</v>
      </c>
      <c r="L782" s="8">
        <v>326617</v>
      </c>
      <c r="M782" s="8">
        <v>19</v>
      </c>
      <c r="N782" s="8">
        <v>1</v>
      </c>
      <c r="O782" s="8">
        <v>0.25</v>
      </c>
      <c r="P782" s="8"/>
    </row>
    <row r="783" spans="1:16" hidden="1" x14ac:dyDescent="0.25">
      <c r="A783" s="7" t="s">
        <v>37</v>
      </c>
      <c r="B783" s="7" t="s">
        <v>415</v>
      </c>
      <c r="C783" s="8">
        <v>26721</v>
      </c>
      <c r="D783" s="7" t="s">
        <v>28</v>
      </c>
      <c r="E783" s="7" t="s">
        <v>387</v>
      </c>
      <c r="F783" s="7" t="s">
        <v>435</v>
      </c>
      <c r="G783" s="7" t="s">
        <v>18</v>
      </c>
      <c r="H783" s="7" t="s">
        <v>24</v>
      </c>
      <c r="I783" s="7" t="s">
        <v>712</v>
      </c>
      <c r="J783" s="7" t="s">
        <v>712</v>
      </c>
      <c r="K783" s="8">
        <v>6302788</v>
      </c>
      <c r="L783" s="8">
        <v>327739</v>
      </c>
      <c r="M783" s="8">
        <v>19</v>
      </c>
      <c r="N783" s="8">
        <v>1</v>
      </c>
      <c r="O783" s="8">
        <v>0.22</v>
      </c>
      <c r="P783" s="8"/>
    </row>
    <row r="784" spans="1:16" hidden="1" x14ac:dyDescent="0.25">
      <c r="A784" s="7" t="s">
        <v>19</v>
      </c>
      <c r="B784" s="7" t="s">
        <v>270</v>
      </c>
      <c r="C784" s="8">
        <v>26722</v>
      </c>
      <c r="D784" s="7" t="s">
        <v>16</v>
      </c>
      <c r="E784" s="7" t="s">
        <v>268</v>
      </c>
      <c r="F784" s="7" t="s">
        <v>282</v>
      </c>
      <c r="G784" s="7" t="s">
        <v>18</v>
      </c>
      <c r="H784" s="7" t="s">
        <v>48</v>
      </c>
      <c r="I784" s="7" t="s">
        <v>712</v>
      </c>
      <c r="J784" s="7" t="s">
        <v>691</v>
      </c>
      <c r="K784" s="8">
        <v>6130339</v>
      </c>
      <c r="L784" s="8">
        <v>318623</v>
      </c>
      <c r="M784" s="8">
        <v>19</v>
      </c>
      <c r="N784" s="8">
        <v>4</v>
      </c>
      <c r="O784" s="8">
        <v>32</v>
      </c>
      <c r="P784" s="8"/>
    </row>
    <row r="785" spans="1:16" hidden="1" x14ac:dyDescent="0.25">
      <c r="A785" s="7" t="s">
        <v>37</v>
      </c>
      <c r="B785" s="7" t="s">
        <v>415</v>
      </c>
      <c r="C785" s="8">
        <v>26723</v>
      </c>
      <c r="D785" s="7" t="s">
        <v>28</v>
      </c>
      <c r="E785" s="7" t="s">
        <v>146</v>
      </c>
      <c r="F785" s="7" t="s">
        <v>146</v>
      </c>
      <c r="G785" s="7" t="s">
        <v>18</v>
      </c>
      <c r="H785" s="7" t="s">
        <v>24</v>
      </c>
      <c r="I785" s="7" t="s">
        <v>712</v>
      </c>
      <c r="J785" s="7" t="s">
        <v>712</v>
      </c>
      <c r="K785" s="8">
        <v>6272944</v>
      </c>
      <c r="L785" s="8">
        <v>323264</v>
      </c>
      <c r="M785" s="8">
        <v>19</v>
      </c>
      <c r="N785" s="8">
        <v>1</v>
      </c>
      <c r="O785" s="8">
        <v>1.1000000000000001</v>
      </c>
      <c r="P785" s="8"/>
    </row>
    <row r="786" spans="1:16" hidden="1" x14ac:dyDescent="0.25">
      <c r="A786" s="7" t="s">
        <v>37</v>
      </c>
      <c r="B786" s="7" t="s">
        <v>254</v>
      </c>
      <c r="C786" s="8">
        <v>26724</v>
      </c>
      <c r="D786" s="7" t="s">
        <v>52</v>
      </c>
      <c r="E786" s="7" t="s">
        <v>145</v>
      </c>
      <c r="F786" s="7" t="s">
        <v>248</v>
      </c>
      <c r="G786" s="7" t="s">
        <v>18</v>
      </c>
      <c r="H786" s="7" t="s">
        <v>48</v>
      </c>
      <c r="I786" s="7" t="s">
        <v>712</v>
      </c>
      <c r="J786" s="7" t="s">
        <v>691</v>
      </c>
      <c r="K786" s="8">
        <v>6164194</v>
      </c>
      <c r="L786" s="8">
        <v>325052</v>
      </c>
      <c r="M786" s="8">
        <v>19</v>
      </c>
      <c r="N786" s="8">
        <v>1</v>
      </c>
      <c r="O786" s="8">
        <v>8</v>
      </c>
      <c r="P786" s="8"/>
    </row>
    <row r="787" spans="1:16" hidden="1" x14ac:dyDescent="0.25">
      <c r="A787" s="7" t="s">
        <v>37</v>
      </c>
      <c r="B787" s="7" t="s">
        <v>415</v>
      </c>
      <c r="C787" s="8">
        <v>26725</v>
      </c>
      <c r="D787" s="7" t="s">
        <v>28</v>
      </c>
      <c r="E787" s="7" t="s">
        <v>393</v>
      </c>
      <c r="F787" s="7" t="s">
        <v>486</v>
      </c>
      <c r="G787" s="7" t="s">
        <v>18</v>
      </c>
      <c r="H787" s="7" t="s">
        <v>24</v>
      </c>
      <c r="I787" s="7" t="s">
        <v>712</v>
      </c>
      <c r="J787" s="7" t="s">
        <v>712</v>
      </c>
      <c r="K787" s="8">
        <v>6267530</v>
      </c>
      <c r="L787" s="8">
        <v>307720</v>
      </c>
      <c r="M787" s="8">
        <v>19</v>
      </c>
      <c r="N787" s="8">
        <v>1</v>
      </c>
      <c r="O787" s="8">
        <v>0.96</v>
      </c>
      <c r="P787" s="8"/>
    </row>
    <row r="788" spans="1:16" hidden="1" x14ac:dyDescent="0.25">
      <c r="A788" s="7" t="s">
        <v>19</v>
      </c>
      <c r="B788" s="7" t="s">
        <v>415</v>
      </c>
      <c r="C788" s="8">
        <v>26726</v>
      </c>
      <c r="D788" s="7" t="s">
        <v>28</v>
      </c>
      <c r="E788" s="7" t="s">
        <v>56</v>
      </c>
      <c r="F788" s="7" t="s">
        <v>162</v>
      </c>
      <c r="G788" s="7" t="s">
        <v>18</v>
      </c>
      <c r="H788" s="7" t="s">
        <v>48</v>
      </c>
      <c r="I788" s="7" t="s">
        <v>712</v>
      </c>
      <c r="J788" s="7" t="s">
        <v>712</v>
      </c>
      <c r="K788" s="8">
        <v>6260332</v>
      </c>
      <c r="L788" s="8">
        <v>337367</v>
      </c>
      <c r="M788" s="8">
        <v>19</v>
      </c>
      <c r="N788" s="8">
        <v>1</v>
      </c>
      <c r="O788" s="8">
        <v>0.35</v>
      </c>
      <c r="P788" s="8"/>
    </row>
    <row r="789" spans="1:16" hidden="1" x14ac:dyDescent="0.25">
      <c r="A789" s="7" t="s">
        <v>37</v>
      </c>
      <c r="B789" s="7" t="s">
        <v>415</v>
      </c>
      <c r="C789" s="8">
        <v>26727</v>
      </c>
      <c r="D789" s="7" t="s">
        <v>28</v>
      </c>
      <c r="E789" s="7" t="s">
        <v>56</v>
      </c>
      <c r="F789" s="7" t="s">
        <v>162</v>
      </c>
      <c r="G789" s="7" t="s">
        <v>18</v>
      </c>
      <c r="H789" s="7" t="s">
        <v>24</v>
      </c>
      <c r="I789" s="7" t="s">
        <v>712</v>
      </c>
      <c r="J789" s="7" t="s">
        <v>712</v>
      </c>
      <c r="K789" s="8">
        <v>6261923</v>
      </c>
      <c r="L789" s="8">
        <v>337311</v>
      </c>
      <c r="M789" s="8">
        <v>19</v>
      </c>
      <c r="N789" s="8">
        <v>1</v>
      </c>
      <c r="O789" s="8">
        <v>0.17</v>
      </c>
      <c r="P789" s="8"/>
    </row>
    <row r="790" spans="1:16" hidden="1" x14ac:dyDescent="0.25">
      <c r="A790" s="7" t="s">
        <v>37</v>
      </c>
      <c r="B790" s="7" t="s">
        <v>415</v>
      </c>
      <c r="C790" s="8">
        <v>26729</v>
      </c>
      <c r="D790" s="7" t="s">
        <v>28</v>
      </c>
      <c r="E790" s="7" t="s">
        <v>146</v>
      </c>
      <c r="F790" s="7" t="s">
        <v>487</v>
      </c>
      <c r="G790" s="7" t="s">
        <v>18</v>
      </c>
      <c r="H790" s="7" t="s">
        <v>24</v>
      </c>
      <c r="I790" s="7" t="s">
        <v>712</v>
      </c>
      <c r="J790" s="7" t="s">
        <v>712</v>
      </c>
      <c r="K790" s="8">
        <v>6268478</v>
      </c>
      <c r="L790" s="8">
        <v>318090</v>
      </c>
      <c r="M790" s="8">
        <v>19</v>
      </c>
      <c r="N790" s="8">
        <v>1</v>
      </c>
      <c r="O790" s="8">
        <v>1.6</v>
      </c>
      <c r="P790" s="8"/>
    </row>
    <row r="791" spans="1:16" hidden="1" x14ac:dyDescent="0.25">
      <c r="A791" s="7" t="s">
        <v>37</v>
      </c>
      <c r="B791" s="7" t="s">
        <v>415</v>
      </c>
      <c r="C791" s="8">
        <v>26730</v>
      </c>
      <c r="D791" s="7" t="s">
        <v>28</v>
      </c>
      <c r="E791" s="7" t="s">
        <v>387</v>
      </c>
      <c r="F791" s="7" t="s">
        <v>435</v>
      </c>
      <c r="G791" s="7" t="s">
        <v>18</v>
      </c>
      <c r="H791" s="7" t="s">
        <v>24</v>
      </c>
      <c r="I791" s="7" t="s">
        <v>712</v>
      </c>
      <c r="J791" s="7" t="s">
        <v>712</v>
      </c>
      <c r="K791" s="8">
        <v>6305997</v>
      </c>
      <c r="L791" s="8">
        <v>330987</v>
      </c>
      <c r="M791" s="8">
        <v>19</v>
      </c>
      <c r="N791" s="8">
        <v>1</v>
      </c>
      <c r="O791" s="8">
        <v>0.98</v>
      </c>
      <c r="P791" s="8"/>
    </row>
    <row r="792" spans="1:16" hidden="1" x14ac:dyDescent="0.25">
      <c r="A792" s="7" t="s">
        <v>37</v>
      </c>
      <c r="B792" s="7" t="s">
        <v>415</v>
      </c>
      <c r="C792" s="8">
        <v>26731</v>
      </c>
      <c r="D792" s="7" t="s">
        <v>28</v>
      </c>
      <c r="E792" s="7" t="s">
        <v>146</v>
      </c>
      <c r="F792" s="7" t="s">
        <v>146</v>
      </c>
      <c r="G792" s="7" t="s">
        <v>18</v>
      </c>
      <c r="H792" s="7" t="s">
        <v>24</v>
      </c>
      <c r="I792" s="7" t="s">
        <v>712</v>
      </c>
      <c r="J792" s="7" t="s">
        <v>712</v>
      </c>
      <c r="K792" s="8">
        <v>6271284</v>
      </c>
      <c r="L792" s="8">
        <v>320816</v>
      </c>
      <c r="M792" s="8">
        <v>19</v>
      </c>
      <c r="N792" s="8">
        <v>1</v>
      </c>
      <c r="O792" s="8">
        <v>1.1000000000000001</v>
      </c>
      <c r="P792" s="8"/>
    </row>
    <row r="793" spans="1:16" hidden="1" x14ac:dyDescent="0.25">
      <c r="A793" s="7" t="s">
        <v>37</v>
      </c>
      <c r="B793" s="7" t="s">
        <v>254</v>
      </c>
      <c r="C793" s="8">
        <v>26732</v>
      </c>
      <c r="D793" s="7" t="s">
        <v>52</v>
      </c>
      <c r="E793" s="7" t="s">
        <v>141</v>
      </c>
      <c r="F793" s="7" t="s">
        <v>272</v>
      </c>
      <c r="G793" s="7" t="s">
        <v>18</v>
      </c>
      <c r="H793" s="7" t="s">
        <v>48</v>
      </c>
      <c r="I793" s="7" t="s">
        <v>712</v>
      </c>
      <c r="J793" s="7" t="s">
        <v>691</v>
      </c>
      <c r="K793" s="8">
        <v>6222618</v>
      </c>
      <c r="L793" s="8">
        <v>333827</v>
      </c>
      <c r="M793" s="8">
        <v>19</v>
      </c>
      <c r="N793" s="8">
        <v>2</v>
      </c>
      <c r="O793" s="8">
        <v>15</v>
      </c>
      <c r="P793" s="8"/>
    </row>
    <row r="794" spans="1:16" hidden="1" x14ac:dyDescent="0.25">
      <c r="A794" s="7" t="s">
        <v>37</v>
      </c>
      <c r="B794" s="7" t="s">
        <v>415</v>
      </c>
      <c r="C794" s="8">
        <v>26733</v>
      </c>
      <c r="D794" s="7" t="s">
        <v>28</v>
      </c>
      <c r="E794" s="7" t="s">
        <v>482</v>
      </c>
      <c r="F794" s="7" t="s">
        <v>482</v>
      </c>
      <c r="G794" s="7" t="s">
        <v>18</v>
      </c>
      <c r="H794" s="7" t="s">
        <v>109</v>
      </c>
      <c r="I794" s="7" t="s">
        <v>712</v>
      </c>
      <c r="J794" s="7" t="s">
        <v>691</v>
      </c>
      <c r="K794" s="8">
        <v>6308369</v>
      </c>
      <c r="L794" s="8">
        <v>340634</v>
      </c>
      <c r="M794" s="8">
        <v>19</v>
      </c>
      <c r="N794" s="8">
        <v>1</v>
      </c>
      <c r="O794" s="8">
        <v>5.4</v>
      </c>
      <c r="P794" s="8"/>
    </row>
    <row r="795" spans="1:16" hidden="1" x14ac:dyDescent="0.25">
      <c r="A795" s="7" t="s">
        <v>37</v>
      </c>
      <c r="B795" s="7" t="s">
        <v>254</v>
      </c>
      <c r="C795" s="8">
        <v>26734</v>
      </c>
      <c r="D795" s="7" t="s">
        <v>52</v>
      </c>
      <c r="E795" s="7" t="s">
        <v>141</v>
      </c>
      <c r="F795" s="7" t="s">
        <v>272</v>
      </c>
      <c r="G795" s="7" t="s">
        <v>18</v>
      </c>
      <c r="H795" s="7" t="s">
        <v>48</v>
      </c>
      <c r="I795" s="7" t="s">
        <v>712</v>
      </c>
      <c r="J795" s="7" t="s">
        <v>712</v>
      </c>
      <c r="K795" s="8">
        <v>6222568</v>
      </c>
      <c r="L795" s="8">
        <v>337826</v>
      </c>
      <c r="M795" s="8">
        <v>19</v>
      </c>
      <c r="N795" s="8">
        <v>1</v>
      </c>
      <c r="O795" s="8">
        <v>6.2</v>
      </c>
      <c r="P795" s="8"/>
    </row>
    <row r="796" spans="1:16" hidden="1" x14ac:dyDescent="0.25">
      <c r="A796" s="7" t="s">
        <v>37</v>
      </c>
      <c r="B796" s="7" t="s">
        <v>254</v>
      </c>
      <c r="C796" s="8">
        <v>26735</v>
      </c>
      <c r="D796" s="7" t="s">
        <v>16</v>
      </c>
      <c r="E796" s="7" t="s">
        <v>268</v>
      </c>
      <c r="F796" s="7" t="s">
        <v>276</v>
      </c>
      <c r="G796" s="7" t="s">
        <v>18</v>
      </c>
      <c r="H796" s="7" t="s">
        <v>48</v>
      </c>
      <c r="I796" s="7" t="s">
        <v>712</v>
      </c>
      <c r="J796" s="7" t="s">
        <v>712</v>
      </c>
      <c r="K796" s="8">
        <v>6138552</v>
      </c>
      <c r="L796" s="8">
        <v>319710</v>
      </c>
      <c r="M796" s="8">
        <v>19</v>
      </c>
      <c r="N796" s="8">
        <v>1</v>
      </c>
      <c r="O796" s="8">
        <v>16</v>
      </c>
      <c r="P796" s="8"/>
    </row>
    <row r="797" spans="1:16" hidden="1" x14ac:dyDescent="0.25">
      <c r="A797" s="7" t="s">
        <v>37</v>
      </c>
      <c r="B797" s="7" t="s">
        <v>254</v>
      </c>
      <c r="C797" s="8">
        <v>26738</v>
      </c>
      <c r="D797" s="7" t="s">
        <v>16</v>
      </c>
      <c r="E797" s="7" t="s">
        <v>268</v>
      </c>
      <c r="F797" s="7" t="s">
        <v>282</v>
      </c>
      <c r="G797" s="7" t="s">
        <v>18</v>
      </c>
      <c r="H797" s="7" t="s">
        <v>48</v>
      </c>
      <c r="I797" s="7" t="s">
        <v>712</v>
      </c>
      <c r="J797" s="7" t="s">
        <v>691</v>
      </c>
      <c r="K797" s="8">
        <v>6133726</v>
      </c>
      <c r="L797" s="8">
        <v>316557</v>
      </c>
      <c r="M797" s="8">
        <v>19</v>
      </c>
      <c r="N797" s="8">
        <v>1</v>
      </c>
      <c r="O797" s="8">
        <v>15</v>
      </c>
      <c r="P797" s="8"/>
    </row>
    <row r="798" spans="1:16" hidden="1" x14ac:dyDescent="0.25">
      <c r="A798" s="7" t="s">
        <v>19</v>
      </c>
      <c r="B798" s="7" t="s">
        <v>124</v>
      </c>
      <c r="C798" s="8">
        <v>26740</v>
      </c>
      <c r="D798" s="7" t="s">
        <v>28</v>
      </c>
      <c r="E798" s="7" t="s">
        <v>142</v>
      </c>
      <c r="F798" s="7" t="s">
        <v>143</v>
      </c>
      <c r="G798" s="7" t="s">
        <v>18</v>
      </c>
      <c r="H798" s="7" t="s">
        <v>24</v>
      </c>
      <c r="I798" s="7" t="s">
        <v>712</v>
      </c>
      <c r="J798" s="7" t="s">
        <v>712</v>
      </c>
      <c r="K798" s="8">
        <v>6285780</v>
      </c>
      <c r="L798" s="8">
        <v>339515</v>
      </c>
      <c r="M798" s="8">
        <v>19</v>
      </c>
      <c r="N798" s="8">
        <v>1</v>
      </c>
      <c r="O798" s="8">
        <v>1.56</v>
      </c>
      <c r="P798" s="8"/>
    </row>
    <row r="799" spans="1:16" hidden="1" x14ac:dyDescent="0.25">
      <c r="A799" s="7" t="s">
        <v>37</v>
      </c>
      <c r="B799" s="7" t="s">
        <v>254</v>
      </c>
      <c r="C799" s="8">
        <v>26741</v>
      </c>
      <c r="D799" s="7" t="s">
        <v>16</v>
      </c>
      <c r="E799" s="7" t="s">
        <v>268</v>
      </c>
      <c r="F799" s="7" t="s">
        <v>282</v>
      </c>
      <c r="G799" s="7" t="s">
        <v>18</v>
      </c>
      <c r="H799" s="7" t="s">
        <v>48</v>
      </c>
      <c r="I799" s="7" t="s">
        <v>712</v>
      </c>
      <c r="J799" s="7" t="s">
        <v>691</v>
      </c>
      <c r="K799" s="8">
        <v>6134660</v>
      </c>
      <c r="L799" s="8">
        <v>316278</v>
      </c>
      <c r="M799" s="8">
        <v>19</v>
      </c>
      <c r="N799" s="8">
        <v>1</v>
      </c>
      <c r="O799" s="8">
        <v>4</v>
      </c>
      <c r="P799" s="8"/>
    </row>
    <row r="800" spans="1:16" hidden="1" x14ac:dyDescent="0.25">
      <c r="A800" s="7" t="s">
        <v>37</v>
      </c>
      <c r="B800" s="7" t="s">
        <v>254</v>
      </c>
      <c r="C800" s="8">
        <v>26744</v>
      </c>
      <c r="D800" s="7" t="s">
        <v>16</v>
      </c>
      <c r="E800" s="7" t="s">
        <v>268</v>
      </c>
      <c r="F800" s="7" t="s">
        <v>276</v>
      </c>
      <c r="G800" s="7" t="s">
        <v>18</v>
      </c>
      <c r="H800" s="7" t="s">
        <v>48</v>
      </c>
      <c r="I800" s="7" t="s">
        <v>712</v>
      </c>
      <c r="J800" s="7" t="s">
        <v>712</v>
      </c>
      <c r="K800" s="8">
        <v>6138307</v>
      </c>
      <c r="L800" s="8">
        <v>319714</v>
      </c>
      <c r="M800" s="8">
        <v>19</v>
      </c>
      <c r="N800" s="8">
        <v>4</v>
      </c>
      <c r="O800" s="8">
        <v>40</v>
      </c>
      <c r="P800" s="8"/>
    </row>
    <row r="801" spans="1:16" hidden="1" x14ac:dyDescent="0.25">
      <c r="A801" s="7" t="s">
        <v>37</v>
      </c>
      <c r="B801" s="7" t="s">
        <v>415</v>
      </c>
      <c r="C801" s="8">
        <v>26747</v>
      </c>
      <c r="D801" s="7" t="s">
        <v>28</v>
      </c>
      <c r="E801" s="7" t="s">
        <v>142</v>
      </c>
      <c r="F801" s="7" t="s">
        <v>142</v>
      </c>
      <c r="G801" s="7" t="s">
        <v>18</v>
      </c>
      <c r="H801" s="7" t="s">
        <v>24</v>
      </c>
      <c r="I801" s="7" t="s">
        <v>712</v>
      </c>
      <c r="J801" s="7" t="s">
        <v>712</v>
      </c>
      <c r="K801" s="8">
        <v>6277649</v>
      </c>
      <c r="L801" s="8">
        <v>332152</v>
      </c>
      <c r="M801" s="8">
        <v>19</v>
      </c>
      <c r="N801" s="8">
        <v>1</v>
      </c>
      <c r="O801" s="8">
        <v>1.64</v>
      </c>
      <c r="P801" s="8"/>
    </row>
    <row r="802" spans="1:16" hidden="1" x14ac:dyDescent="0.25">
      <c r="A802" s="7" t="s">
        <v>37</v>
      </c>
      <c r="B802" s="7" t="s">
        <v>415</v>
      </c>
      <c r="C802" s="8">
        <v>26748</v>
      </c>
      <c r="D802" s="7" t="s">
        <v>28</v>
      </c>
      <c r="E802" s="7" t="s">
        <v>44</v>
      </c>
      <c r="F802" s="7" t="s">
        <v>488</v>
      </c>
      <c r="G802" s="7" t="s">
        <v>18</v>
      </c>
      <c r="H802" s="7" t="s">
        <v>24</v>
      </c>
      <c r="I802" s="7" t="s">
        <v>712</v>
      </c>
      <c r="J802" s="7" t="s">
        <v>712</v>
      </c>
      <c r="K802" s="8">
        <v>6277240</v>
      </c>
      <c r="L802" s="8">
        <v>355263</v>
      </c>
      <c r="M802" s="8">
        <v>19</v>
      </c>
      <c r="N802" s="8">
        <v>1</v>
      </c>
      <c r="O802" s="8">
        <v>1.1000000000000001</v>
      </c>
      <c r="P802" s="8"/>
    </row>
    <row r="803" spans="1:16" hidden="1" x14ac:dyDescent="0.25">
      <c r="A803" s="7" t="s">
        <v>37</v>
      </c>
      <c r="B803" s="7" t="s">
        <v>415</v>
      </c>
      <c r="C803" s="8">
        <v>26749</v>
      </c>
      <c r="D803" s="7" t="s">
        <v>52</v>
      </c>
      <c r="E803" s="7" t="s">
        <v>81</v>
      </c>
      <c r="F803" s="7" t="s">
        <v>81</v>
      </c>
      <c r="G803" s="7" t="s">
        <v>18</v>
      </c>
      <c r="H803" s="7" t="s">
        <v>48</v>
      </c>
      <c r="I803" s="7" t="s">
        <v>712</v>
      </c>
      <c r="J803" s="7" t="s">
        <v>691</v>
      </c>
      <c r="K803" s="8">
        <v>6224399</v>
      </c>
      <c r="L803" s="8">
        <v>348912</v>
      </c>
      <c r="M803" s="8">
        <v>19</v>
      </c>
      <c r="N803" s="8">
        <v>1</v>
      </c>
      <c r="O803" s="8">
        <v>4.3499999999999996</v>
      </c>
      <c r="P803" s="8"/>
    </row>
    <row r="804" spans="1:16" hidden="1" x14ac:dyDescent="0.25">
      <c r="A804" s="7" t="s">
        <v>37</v>
      </c>
      <c r="B804" s="7" t="s">
        <v>415</v>
      </c>
      <c r="C804" s="8">
        <v>26750</v>
      </c>
      <c r="D804" s="7" t="s">
        <v>28</v>
      </c>
      <c r="E804" s="7" t="s">
        <v>387</v>
      </c>
      <c r="F804" s="7" t="s">
        <v>435</v>
      </c>
      <c r="G804" s="7" t="s">
        <v>18</v>
      </c>
      <c r="H804" s="7" t="s">
        <v>24</v>
      </c>
      <c r="I804" s="7" t="s">
        <v>712</v>
      </c>
      <c r="J804" s="7" t="s">
        <v>712</v>
      </c>
      <c r="K804" s="8">
        <v>6303082</v>
      </c>
      <c r="L804" s="8">
        <v>327822</v>
      </c>
      <c r="M804" s="8">
        <v>19</v>
      </c>
      <c r="N804" s="8">
        <v>1</v>
      </c>
      <c r="O804" s="8">
        <v>0.04</v>
      </c>
      <c r="P804" s="8"/>
    </row>
    <row r="805" spans="1:16" hidden="1" x14ac:dyDescent="0.25">
      <c r="A805" s="7" t="s">
        <v>37</v>
      </c>
      <c r="B805" s="7" t="s">
        <v>254</v>
      </c>
      <c r="C805" s="8">
        <v>26754</v>
      </c>
      <c r="D805" s="7" t="s">
        <v>21</v>
      </c>
      <c r="E805" s="7" t="s">
        <v>22</v>
      </c>
      <c r="F805" s="7" t="s">
        <v>288</v>
      </c>
      <c r="G805" s="7" t="s">
        <v>18</v>
      </c>
      <c r="H805" s="7" t="s">
        <v>24</v>
      </c>
      <c r="I805" s="7" t="s">
        <v>712</v>
      </c>
      <c r="J805" s="7" t="s">
        <v>712</v>
      </c>
      <c r="K805" s="8">
        <v>6375234</v>
      </c>
      <c r="L805" s="8">
        <v>295006</v>
      </c>
      <c r="M805" s="8">
        <v>19</v>
      </c>
      <c r="N805" s="8">
        <v>1</v>
      </c>
      <c r="O805" s="8">
        <v>5.2</v>
      </c>
      <c r="P805" s="8"/>
    </row>
    <row r="806" spans="1:16" hidden="1" x14ac:dyDescent="0.25">
      <c r="A806" s="7" t="s">
        <v>37</v>
      </c>
      <c r="B806" s="7" t="s">
        <v>415</v>
      </c>
      <c r="C806" s="8">
        <v>26757</v>
      </c>
      <c r="D806" s="7" t="s">
        <v>28</v>
      </c>
      <c r="E806" s="7" t="s">
        <v>387</v>
      </c>
      <c r="F806" s="7" t="s">
        <v>435</v>
      </c>
      <c r="G806" s="7" t="s">
        <v>18</v>
      </c>
      <c r="H806" s="7" t="s">
        <v>24</v>
      </c>
      <c r="I806" s="7" t="s">
        <v>712</v>
      </c>
      <c r="J806" s="7" t="s">
        <v>712</v>
      </c>
      <c r="K806" s="8">
        <v>6303379</v>
      </c>
      <c r="L806" s="8">
        <v>326647</v>
      </c>
      <c r="M806" s="8">
        <v>19</v>
      </c>
      <c r="N806" s="8">
        <v>1</v>
      </c>
      <c r="O806" s="8">
        <v>0.24</v>
      </c>
      <c r="P806" s="8"/>
    </row>
    <row r="807" spans="1:16" hidden="1" x14ac:dyDescent="0.25">
      <c r="A807" s="7" t="s">
        <v>19</v>
      </c>
      <c r="B807" s="7" t="s">
        <v>651</v>
      </c>
      <c r="C807" s="8">
        <v>26769</v>
      </c>
      <c r="D807" s="7" t="s">
        <v>52</v>
      </c>
      <c r="E807" s="7" t="s">
        <v>139</v>
      </c>
      <c r="F807" s="7" t="s">
        <v>654</v>
      </c>
      <c r="G807" s="7" t="s">
        <v>18</v>
      </c>
      <c r="H807" s="7" t="s">
        <v>48</v>
      </c>
      <c r="I807" s="7" t="s">
        <v>712</v>
      </c>
      <c r="J807" s="7" t="s">
        <v>712</v>
      </c>
      <c r="K807" s="8">
        <v>6226833</v>
      </c>
      <c r="L807" s="8">
        <v>345895</v>
      </c>
      <c r="M807" s="8">
        <v>19</v>
      </c>
      <c r="N807" s="8">
        <v>1</v>
      </c>
      <c r="O807" s="8">
        <v>3</v>
      </c>
      <c r="P807" s="8"/>
    </row>
    <row r="808" spans="1:16" hidden="1" x14ac:dyDescent="0.25">
      <c r="A808" s="7" t="s">
        <v>19</v>
      </c>
      <c r="B808" s="7" t="s">
        <v>651</v>
      </c>
      <c r="C808" s="8">
        <v>26770</v>
      </c>
      <c r="D808" s="7" t="s">
        <v>52</v>
      </c>
      <c r="E808" s="7" t="s">
        <v>81</v>
      </c>
      <c r="F808" s="7" t="s">
        <v>101</v>
      </c>
      <c r="G808" s="7" t="s">
        <v>18</v>
      </c>
      <c r="H808" s="7" t="s">
        <v>48</v>
      </c>
      <c r="I808" s="7" t="s">
        <v>712</v>
      </c>
      <c r="J808" s="7" t="s">
        <v>712</v>
      </c>
      <c r="K808" s="8">
        <v>6226735</v>
      </c>
      <c r="L808" s="8">
        <v>346151</v>
      </c>
      <c r="M808" s="8">
        <v>19</v>
      </c>
      <c r="N808" s="8">
        <v>1</v>
      </c>
      <c r="O808" s="8">
        <v>8.5</v>
      </c>
      <c r="P808" s="8"/>
    </row>
    <row r="809" spans="1:16" hidden="1" x14ac:dyDescent="0.25">
      <c r="A809" s="7" t="s">
        <v>19</v>
      </c>
      <c r="B809" s="7" t="s">
        <v>124</v>
      </c>
      <c r="C809" s="8">
        <v>26771</v>
      </c>
      <c r="D809" s="7" t="s">
        <v>16</v>
      </c>
      <c r="E809" s="7" t="s">
        <v>46</v>
      </c>
      <c r="F809" s="7" t="s">
        <v>46</v>
      </c>
      <c r="G809" s="7" t="s">
        <v>18</v>
      </c>
      <c r="H809" s="7" t="s">
        <v>48</v>
      </c>
      <c r="I809" s="7" t="s">
        <v>712</v>
      </c>
      <c r="J809" s="7" t="s">
        <v>712</v>
      </c>
      <c r="K809" s="8">
        <v>6115011</v>
      </c>
      <c r="L809" s="8">
        <v>289471</v>
      </c>
      <c r="M809" s="8">
        <v>19</v>
      </c>
      <c r="N809" s="8">
        <v>1</v>
      </c>
      <c r="O809" s="8">
        <v>1.6</v>
      </c>
      <c r="P809" s="8"/>
    </row>
    <row r="810" spans="1:16" hidden="1" x14ac:dyDescent="0.25">
      <c r="A810" s="7" t="s">
        <v>14</v>
      </c>
      <c r="B810" s="7" t="s">
        <v>415</v>
      </c>
      <c r="C810" s="8">
        <v>26772</v>
      </c>
      <c r="D810" s="7" t="s">
        <v>28</v>
      </c>
      <c r="E810" s="7" t="s">
        <v>56</v>
      </c>
      <c r="F810" s="7" t="s">
        <v>162</v>
      </c>
      <c r="G810" s="7" t="s">
        <v>18</v>
      </c>
      <c r="H810" s="7" t="s">
        <v>689</v>
      </c>
      <c r="I810" s="7" t="s">
        <v>712</v>
      </c>
      <c r="J810" s="7" t="s">
        <v>712</v>
      </c>
      <c r="K810" s="8">
        <v>6258724</v>
      </c>
      <c r="L810" s="8">
        <v>332498</v>
      </c>
      <c r="M810" s="8">
        <v>19</v>
      </c>
      <c r="N810" s="8">
        <v>1</v>
      </c>
      <c r="O810" s="8">
        <v>0.34</v>
      </c>
      <c r="P810" s="8"/>
    </row>
    <row r="811" spans="1:16" hidden="1" x14ac:dyDescent="0.25">
      <c r="A811" s="7" t="s">
        <v>37</v>
      </c>
      <c r="B811" s="7" t="s">
        <v>254</v>
      </c>
      <c r="C811" s="8">
        <v>26779</v>
      </c>
      <c r="D811" s="7" t="s">
        <v>16</v>
      </c>
      <c r="E811" s="7" t="s">
        <v>17</v>
      </c>
      <c r="F811" s="7" t="s">
        <v>55</v>
      </c>
      <c r="G811" s="7" t="s">
        <v>18</v>
      </c>
      <c r="H811" s="7" t="s">
        <v>24</v>
      </c>
      <c r="I811" s="7" t="s">
        <v>712</v>
      </c>
      <c r="J811" s="7" t="s">
        <v>712</v>
      </c>
      <c r="K811" s="8">
        <v>6063144</v>
      </c>
      <c r="L811" s="8">
        <v>280208</v>
      </c>
      <c r="M811" s="8">
        <v>19</v>
      </c>
      <c r="N811" s="8">
        <v>1</v>
      </c>
      <c r="O811" s="8">
        <v>6.9</v>
      </c>
      <c r="P811" s="8"/>
    </row>
    <row r="812" spans="1:16" hidden="1" x14ac:dyDescent="0.25">
      <c r="A812" s="7" t="s">
        <v>37</v>
      </c>
      <c r="B812" s="7" t="s">
        <v>254</v>
      </c>
      <c r="C812" s="8">
        <v>26781</v>
      </c>
      <c r="D812" s="7" t="s">
        <v>16</v>
      </c>
      <c r="E812" s="7" t="s">
        <v>46</v>
      </c>
      <c r="F812" s="7" t="s">
        <v>46</v>
      </c>
      <c r="G812" s="7" t="s">
        <v>18</v>
      </c>
      <c r="H812" s="7" t="s">
        <v>48</v>
      </c>
      <c r="I812" s="7" t="s">
        <v>712</v>
      </c>
      <c r="J812" s="7" t="s">
        <v>691</v>
      </c>
      <c r="K812" s="8">
        <v>6111974</v>
      </c>
      <c r="L812" s="8">
        <v>289633</v>
      </c>
      <c r="M812" s="8">
        <v>19</v>
      </c>
      <c r="N812" s="8">
        <v>1</v>
      </c>
      <c r="O812" s="8">
        <v>8.5</v>
      </c>
      <c r="P812" s="8"/>
    </row>
    <row r="813" spans="1:16" hidden="1" x14ac:dyDescent="0.25">
      <c r="A813" s="7" t="s">
        <v>19</v>
      </c>
      <c r="B813" s="7" t="s">
        <v>415</v>
      </c>
      <c r="C813" s="8">
        <v>26782</v>
      </c>
      <c r="D813" s="7" t="s">
        <v>16</v>
      </c>
      <c r="E813" s="7" t="s">
        <v>337</v>
      </c>
      <c r="F813" s="7" t="s">
        <v>337</v>
      </c>
      <c r="G813" s="7" t="s">
        <v>18</v>
      </c>
      <c r="H813" s="7" t="s">
        <v>48</v>
      </c>
      <c r="I813" s="7" t="s">
        <v>712</v>
      </c>
      <c r="J813" s="7" t="s">
        <v>691</v>
      </c>
      <c r="K813" s="8">
        <v>6121553</v>
      </c>
      <c r="L813" s="8">
        <v>312991</v>
      </c>
      <c r="M813" s="8">
        <v>19</v>
      </c>
      <c r="N813" s="8">
        <v>2</v>
      </c>
      <c r="O813" s="8">
        <v>15.39</v>
      </c>
      <c r="P813" s="8"/>
    </row>
    <row r="814" spans="1:16" hidden="1" x14ac:dyDescent="0.25">
      <c r="A814" s="7" t="s">
        <v>37</v>
      </c>
      <c r="B814" s="7" t="s">
        <v>254</v>
      </c>
      <c r="C814" s="8">
        <v>26784</v>
      </c>
      <c r="D814" s="7" t="s">
        <v>16</v>
      </c>
      <c r="E814" s="7" t="s">
        <v>155</v>
      </c>
      <c r="F814" s="7" t="s">
        <v>289</v>
      </c>
      <c r="G814" s="7" t="s">
        <v>18</v>
      </c>
      <c r="H814" s="7" t="s">
        <v>48</v>
      </c>
      <c r="I814" s="7" t="s">
        <v>712</v>
      </c>
      <c r="J814" s="7" t="s">
        <v>691</v>
      </c>
      <c r="K814" s="8">
        <v>6124374</v>
      </c>
      <c r="L814" s="8">
        <v>299701</v>
      </c>
      <c r="M814" s="8">
        <v>19</v>
      </c>
      <c r="N814" s="8">
        <v>1</v>
      </c>
      <c r="O814" s="8">
        <v>6</v>
      </c>
      <c r="P814" s="8"/>
    </row>
    <row r="815" spans="1:16" hidden="1" x14ac:dyDescent="0.25">
      <c r="A815" s="7" t="s">
        <v>37</v>
      </c>
      <c r="B815" s="7" t="s">
        <v>254</v>
      </c>
      <c r="C815" s="8">
        <v>26785</v>
      </c>
      <c r="D815" s="7" t="s">
        <v>16</v>
      </c>
      <c r="E815" s="7" t="s">
        <v>17</v>
      </c>
      <c r="F815" s="7" t="s">
        <v>164</v>
      </c>
      <c r="G815" s="7" t="s">
        <v>18</v>
      </c>
      <c r="H815" s="7" t="s">
        <v>24</v>
      </c>
      <c r="I815" s="7" t="s">
        <v>712</v>
      </c>
      <c r="J815" s="7" t="s">
        <v>712</v>
      </c>
      <c r="K815" s="8">
        <v>6073688</v>
      </c>
      <c r="L815" s="8">
        <v>288215</v>
      </c>
      <c r="M815" s="8">
        <v>19</v>
      </c>
      <c r="N815" s="8">
        <v>2</v>
      </c>
      <c r="O815" s="8">
        <v>4.5999999999999996</v>
      </c>
      <c r="P815" s="8"/>
    </row>
    <row r="816" spans="1:16" hidden="1" x14ac:dyDescent="0.25">
      <c r="A816" s="7" t="s">
        <v>19</v>
      </c>
      <c r="B816" s="7" t="s">
        <v>415</v>
      </c>
      <c r="C816" s="8">
        <v>26786</v>
      </c>
      <c r="D816" s="7" t="s">
        <v>52</v>
      </c>
      <c r="E816" s="7" t="s">
        <v>141</v>
      </c>
      <c r="F816" s="7" t="s">
        <v>141</v>
      </c>
      <c r="G816" s="7" t="s">
        <v>18</v>
      </c>
      <c r="H816" s="7" t="s">
        <v>48</v>
      </c>
      <c r="I816" s="7" t="s">
        <v>712</v>
      </c>
      <c r="J816" s="7" t="s">
        <v>691</v>
      </c>
      <c r="K816" s="8">
        <v>6218131</v>
      </c>
      <c r="L816" s="8">
        <v>345162</v>
      </c>
      <c r="M816" s="8">
        <v>19</v>
      </c>
      <c r="N816" s="8">
        <v>1</v>
      </c>
      <c r="O816" s="8">
        <v>9.92</v>
      </c>
      <c r="P816" s="8"/>
    </row>
    <row r="817" spans="1:16" hidden="1" x14ac:dyDescent="0.25">
      <c r="A817" s="7" t="s">
        <v>37</v>
      </c>
      <c r="B817" s="7" t="s">
        <v>254</v>
      </c>
      <c r="C817" s="8">
        <v>26788</v>
      </c>
      <c r="D817" s="7" t="s">
        <v>16</v>
      </c>
      <c r="E817" s="7" t="s">
        <v>60</v>
      </c>
      <c r="F817" s="7" t="s">
        <v>290</v>
      </c>
      <c r="G817" s="7" t="s">
        <v>18</v>
      </c>
      <c r="H817" s="7" t="s">
        <v>48</v>
      </c>
      <c r="I817" s="7" t="s">
        <v>712</v>
      </c>
      <c r="J817" s="7" t="s">
        <v>712</v>
      </c>
      <c r="K817" s="8">
        <v>6082257</v>
      </c>
      <c r="L817" s="8">
        <v>281207</v>
      </c>
      <c r="M817" s="8">
        <v>19</v>
      </c>
      <c r="N817" s="8">
        <v>1</v>
      </c>
      <c r="O817" s="8">
        <v>7</v>
      </c>
      <c r="P817" s="8"/>
    </row>
    <row r="818" spans="1:16" hidden="1" x14ac:dyDescent="0.25">
      <c r="A818" s="7" t="s">
        <v>37</v>
      </c>
      <c r="B818" s="7" t="s">
        <v>254</v>
      </c>
      <c r="C818" s="8">
        <v>26791</v>
      </c>
      <c r="D818" s="7" t="s">
        <v>21</v>
      </c>
      <c r="E818" s="7" t="s">
        <v>278</v>
      </c>
      <c r="F818" s="7" t="s">
        <v>279</v>
      </c>
      <c r="G818" s="7" t="s">
        <v>18</v>
      </c>
      <c r="H818" s="7" t="s">
        <v>24</v>
      </c>
      <c r="I818" s="7" t="s">
        <v>712</v>
      </c>
      <c r="J818" s="7" t="s">
        <v>712</v>
      </c>
      <c r="K818" s="8">
        <v>6365478</v>
      </c>
      <c r="L818" s="8">
        <v>310834</v>
      </c>
      <c r="M818" s="8">
        <v>19</v>
      </c>
      <c r="N818" s="8">
        <v>1</v>
      </c>
      <c r="O818" s="8">
        <v>0.8</v>
      </c>
      <c r="P818" s="8"/>
    </row>
    <row r="819" spans="1:16" hidden="1" x14ac:dyDescent="0.25">
      <c r="A819" s="7" t="s">
        <v>14</v>
      </c>
      <c r="B819" s="7" t="s">
        <v>415</v>
      </c>
      <c r="C819" s="8">
        <v>26792</v>
      </c>
      <c r="D819" s="7" t="s">
        <v>28</v>
      </c>
      <c r="E819" s="7" t="s">
        <v>56</v>
      </c>
      <c r="F819" s="7" t="s">
        <v>162</v>
      </c>
      <c r="G819" s="7" t="s">
        <v>18</v>
      </c>
      <c r="H819" s="7" t="s">
        <v>689</v>
      </c>
      <c r="I819" s="7" t="s">
        <v>712</v>
      </c>
      <c r="J819" s="7" t="s">
        <v>712</v>
      </c>
      <c r="K819" s="8">
        <v>6260357</v>
      </c>
      <c r="L819" s="8">
        <v>332818</v>
      </c>
      <c r="M819" s="8">
        <v>19</v>
      </c>
      <c r="N819" s="8">
        <v>1</v>
      </c>
      <c r="O819" s="8">
        <v>0.01</v>
      </c>
      <c r="P819" s="8"/>
    </row>
    <row r="820" spans="1:16" hidden="1" x14ac:dyDescent="0.25">
      <c r="A820" s="7" t="s">
        <v>37</v>
      </c>
      <c r="B820" s="7" t="s">
        <v>254</v>
      </c>
      <c r="C820" s="8">
        <v>26794</v>
      </c>
      <c r="D820" s="7" t="s">
        <v>16</v>
      </c>
      <c r="E820" s="7" t="s">
        <v>17</v>
      </c>
      <c r="F820" s="7" t="s">
        <v>260</v>
      </c>
      <c r="G820" s="7" t="s">
        <v>18</v>
      </c>
      <c r="H820" s="7" t="s">
        <v>48</v>
      </c>
      <c r="I820" s="7" t="s">
        <v>712</v>
      </c>
      <c r="J820" s="7" t="s">
        <v>691</v>
      </c>
      <c r="K820" s="8">
        <v>6057879</v>
      </c>
      <c r="L820" s="8">
        <v>283375</v>
      </c>
      <c r="M820" s="8">
        <v>19</v>
      </c>
      <c r="N820" s="8">
        <v>1</v>
      </c>
      <c r="O820" s="8">
        <v>2.1</v>
      </c>
      <c r="P820" s="8"/>
    </row>
    <row r="821" spans="1:16" hidden="1" x14ac:dyDescent="0.25">
      <c r="A821" s="7" t="s">
        <v>37</v>
      </c>
      <c r="B821" s="7" t="s">
        <v>254</v>
      </c>
      <c r="C821" s="8">
        <v>26804</v>
      </c>
      <c r="D821" s="7" t="s">
        <v>16</v>
      </c>
      <c r="E821" s="7" t="s">
        <v>17</v>
      </c>
      <c r="F821" s="7" t="s">
        <v>260</v>
      </c>
      <c r="G821" s="7" t="s">
        <v>18</v>
      </c>
      <c r="H821" s="7" t="s">
        <v>48</v>
      </c>
      <c r="I821" s="7" t="s">
        <v>712</v>
      </c>
      <c r="J821" s="7" t="s">
        <v>712</v>
      </c>
      <c r="K821" s="8">
        <v>6058338</v>
      </c>
      <c r="L821" s="8">
        <v>283371</v>
      </c>
      <c r="M821" s="8">
        <v>19</v>
      </c>
      <c r="N821" s="8">
        <v>1</v>
      </c>
      <c r="O821" s="8">
        <v>2</v>
      </c>
      <c r="P821" s="8"/>
    </row>
    <row r="822" spans="1:16" hidden="1" x14ac:dyDescent="0.25">
      <c r="A822" s="7" t="s">
        <v>37</v>
      </c>
      <c r="B822" s="7" t="s">
        <v>254</v>
      </c>
      <c r="C822" s="8">
        <v>26805</v>
      </c>
      <c r="D822" s="7" t="s">
        <v>16</v>
      </c>
      <c r="E822" s="7" t="s">
        <v>50</v>
      </c>
      <c r="F822" s="7" t="s">
        <v>50</v>
      </c>
      <c r="G822" s="7" t="s">
        <v>18</v>
      </c>
      <c r="H822" s="7" t="s">
        <v>24</v>
      </c>
      <c r="I822" s="7" t="s">
        <v>712</v>
      </c>
      <c r="J822" s="7" t="s">
        <v>712</v>
      </c>
      <c r="K822" s="8">
        <v>6073549</v>
      </c>
      <c r="L822" s="8">
        <v>261862</v>
      </c>
      <c r="M822" s="8">
        <v>19</v>
      </c>
      <c r="N822" s="8">
        <v>1</v>
      </c>
      <c r="O822" s="8">
        <v>3.2</v>
      </c>
      <c r="P822" s="8"/>
    </row>
    <row r="823" spans="1:16" hidden="1" x14ac:dyDescent="0.25">
      <c r="A823" s="7" t="s">
        <v>37</v>
      </c>
      <c r="B823" s="7" t="s">
        <v>343</v>
      </c>
      <c r="C823" s="8">
        <v>26808</v>
      </c>
      <c r="D823" s="7" t="s">
        <v>28</v>
      </c>
      <c r="E823" s="7" t="s">
        <v>32</v>
      </c>
      <c r="F823" s="7" t="s">
        <v>33</v>
      </c>
      <c r="G823" s="7" t="s">
        <v>18</v>
      </c>
      <c r="H823" s="7" t="s">
        <v>48</v>
      </c>
      <c r="I823" s="7" t="s">
        <v>712</v>
      </c>
      <c r="J823" s="7" t="s">
        <v>712</v>
      </c>
      <c r="K823" s="8">
        <v>6277642</v>
      </c>
      <c r="L823" s="8">
        <v>343647</v>
      </c>
      <c r="M823" s="8">
        <v>19</v>
      </c>
      <c r="N823" s="8">
        <v>3</v>
      </c>
      <c r="O823" s="8">
        <v>67</v>
      </c>
      <c r="P823" s="8"/>
    </row>
    <row r="824" spans="1:16" hidden="1" x14ac:dyDescent="0.25">
      <c r="A824" s="7" t="s">
        <v>37</v>
      </c>
      <c r="B824" s="7" t="s">
        <v>343</v>
      </c>
      <c r="C824" s="8">
        <v>26809</v>
      </c>
      <c r="D824" s="7" t="s">
        <v>28</v>
      </c>
      <c r="E824" s="7" t="s">
        <v>56</v>
      </c>
      <c r="F824" s="7" t="s">
        <v>350</v>
      </c>
      <c r="G824" s="7" t="s">
        <v>18</v>
      </c>
      <c r="H824" s="7" t="s">
        <v>48</v>
      </c>
      <c r="I824" s="7" t="s">
        <v>712</v>
      </c>
      <c r="J824" s="7" t="s">
        <v>712</v>
      </c>
      <c r="K824" s="8">
        <v>6262969</v>
      </c>
      <c r="L824" s="8">
        <v>342855</v>
      </c>
      <c r="M824" s="8">
        <v>19</v>
      </c>
      <c r="N824" s="8">
        <v>3</v>
      </c>
      <c r="O824" s="8">
        <v>20</v>
      </c>
      <c r="P824" s="8"/>
    </row>
    <row r="825" spans="1:16" hidden="1" x14ac:dyDescent="0.25">
      <c r="A825" s="7" t="s">
        <v>37</v>
      </c>
      <c r="B825" s="7" t="s">
        <v>415</v>
      </c>
      <c r="C825" s="8">
        <v>26814</v>
      </c>
      <c r="D825" s="7" t="s">
        <v>52</v>
      </c>
      <c r="E825" s="7" t="s">
        <v>53</v>
      </c>
      <c r="F825" s="7" t="s">
        <v>419</v>
      </c>
      <c r="G825" s="7" t="s">
        <v>18</v>
      </c>
      <c r="H825" s="7" t="s">
        <v>48</v>
      </c>
      <c r="I825" s="7" t="s">
        <v>712</v>
      </c>
      <c r="J825" s="7" t="s">
        <v>691</v>
      </c>
      <c r="K825" s="8">
        <v>6153297</v>
      </c>
      <c r="L825" s="8">
        <v>313865</v>
      </c>
      <c r="M825" s="8">
        <v>19</v>
      </c>
      <c r="N825" s="8">
        <v>1</v>
      </c>
      <c r="O825" s="8">
        <v>9</v>
      </c>
      <c r="P825" s="8"/>
    </row>
    <row r="826" spans="1:16" hidden="1" x14ac:dyDescent="0.25">
      <c r="A826" s="7" t="s">
        <v>19</v>
      </c>
      <c r="B826" s="7" t="s">
        <v>415</v>
      </c>
      <c r="C826" s="8">
        <v>26816</v>
      </c>
      <c r="D826" s="7" t="s">
        <v>52</v>
      </c>
      <c r="E826" s="7" t="s">
        <v>53</v>
      </c>
      <c r="F826" s="7" t="s">
        <v>420</v>
      </c>
      <c r="G826" s="7" t="s">
        <v>18</v>
      </c>
      <c r="H826" s="7" t="s">
        <v>48</v>
      </c>
      <c r="I826" s="7" t="s">
        <v>712</v>
      </c>
      <c r="J826" s="7" t="s">
        <v>712</v>
      </c>
      <c r="K826" s="8">
        <v>6157795</v>
      </c>
      <c r="L826" s="8">
        <v>319218</v>
      </c>
      <c r="M826" s="8">
        <v>19</v>
      </c>
      <c r="N826" s="8">
        <v>1</v>
      </c>
      <c r="O826" s="8">
        <v>7</v>
      </c>
      <c r="P826" s="8"/>
    </row>
    <row r="827" spans="1:16" hidden="1" x14ac:dyDescent="0.25">
      <c r="A827" s="7" t="s">
        <v>37</v>
      </c>
      <c r="B827" s="7" t="s">
        <v>254</v>
      </c>
      <c r="C827" s="8">
        <v>26819</v>
      </c>
      <c r="D827" s="7" t="s">
        <v>16</v>
      </c>
      <c r="E827" s="7" t="s">
        <v>268</v>
      </c>
      <c r="F827" s="7" t="s">
        <v>282</v>
      </c>
      <c r="G827" s="7" t="s">
        <v>18</v>
      </c>
      <c r="H827" s="7" t="s">
        <v>109</v>
      </c>
      <c r="I827" s="7" t="s">
        <v>712</v>
      </c>
      <c r="J827" s="7" t="s">
        <v>691</v>
      </c>
      <c r="K827" s="8">
        <v>6131345</v>
      </c>
      <c r="L827" s="8">
        <v>318641</v>
      </c>
      <c r="M827" s="8">
        <v>19</v>
      </c>
      <c r="N827" s="8">
        <v>1</v>
      </c>
      <c r="O827" s="8">
        <v>0.7</v>
      </c>
      <c r="P827" s="8"/>
    </row>
    <row r="828" spans="1:16" hidden="1" x14ac:dyDescent="0.25">
      <c r="A828" s="7" t="s">
        <v>37</v>
      </c>
      <c r="B828" s="7" t="s">
        <v>254</v>
      </c>
      <c r="C828" s="8">
        <v>26827</v>
      </c>
      <c r="D828" s="7" t="s">
        <v>16</v>
      </c>
      <c r="E828" s="7" t="s">
        <v>268</v>
      </c>
      <c r="F828" s="7" t="s">
        <v>282</v>
      </c>
      <c r="G828" s="7" t="s">
        <v>18</v>
      </c>
      <c r="H828" s="7" t="s">
        <v>24</v>
      </c>
      <c r="I828" s="7" t="s">
        <v>712</v>
      </c>
      <c r="J828" s="7" t="s">
        <v>712</v>
      </c>
      <c r="K828" s="8">
        <v>6131345</v>
      </c>
      <c r="L828" s="8">
        <v>318641</v>
      </c>
      <c r="M828" s="8">
        <v>19</v>
      </c>
      <c r="N828" s="8">
        <v>1</v>
      </c>
      <c r="O828" s="8">
        <v>0.7</v>
      </c>
      <c r="P828" s="8"/>
    </row>
    <row r="829" spans="1:16" hidden="1" x14ac:dyDescent="0.25">
      <c r="A829" s="7" t="s">
        <v>19</v>
      </c>
      <c r="B829" s="7" t="s">
        <v>270</v>
      </c>
      <c r="C829" s="8">
        <v>26832</v>
      </c>
      <c r="D829" s="7" t="s">
        <v>16</v>
      </c>
      <c r="E829" s="7" t="s">
        <v>337</v>
      </c>
      <c r="F829" s="7" t="s">
        <v>606</v>
      </c>
      <c r="G829" s="7" t="s">
        <v>18</v>
      </c>
      <c r="H829" s="7" t="s">
        <v>48</v>
      </c>
      <c r="I829" s="7" t="s">
        <v>712</v>
      </c>
      <c r="J829" s="7" t="s">
        <v>712</v>
      </c>
      <c r="K829" s="8">
        <v>6126825</v>
      </c>
      <c r="L829" s="8">
        <v>312703</v>
      </c>
      <c r="M829" s="8">
        <v>19</v>
      </c>
      <c r="N829" s="8">
        <v>5</v>
      </c>
      <c r="O829" s="8">
        <v>17.32</v>
      </c>
      <c r="P829" s="8"/>
    </row>
    <row r="830" spans="1:16" hidden="1" x14ac:dyDescent="0.25">
      <c r="A830" s="7" t="s">
        <v>19</v>
      </c>
      <c r="B830" s="7" t="s">
        <v>270</v>
      </c>
      <c r="C830" s="8">
        <v>26833</v>
      </c>
      <c r="D830" s="7" t="s">
        <v>16</v>
      </c>
      <c r="E830" s="7" t="s">
        <v>337</v>
      </c>
      <c r="F830" s="7" t="s">
        <v>606</v>
      </c>
      <c r="G830" s="7" t="s">
        <v>18</v>
      </c>
      <c r="H830" s="7" t="s">
        <v>48</v>
      </c>
      <c r="I830" s="7" t="s">
        <v>712</v>
      </c>
      <c r="J830" s="7" t="s">
        <v>712</v>
      </c>
      <c r="K830" s="8">
        <v>6125347</v>
      </c>
      <c r="L830" s="8">
        <v>312400</v>
      </c>
      <c r="M830" s="8">
        <v>19</v>
      </c>
      <c r="N830" s="8">
        <v>5</v>
      </c>
      <c r="O830" s="8">
        <v>37.9</v>
      </c>
      <c r="P830" s="8"/>
    </row>
    <row r="831" spans="1:16" hidden="1" x14ac:dyDescent="0.25">
      <c r="A831" s="7" t="s">
        <v>37</v>
      </c>
      <c r="B831" s="7" t="s">
        <v>254</v>
      </c>
      <c r="C831" s="8">
        <v>26834</v>
      </c>
      <c r="D831" s="7" t="s">
        <v>16</v>
      </c>
      <c r="E831" s="7" t="s">
        <v>50</v>
      </c>
      <c r="F831" s="7" t="s">
        <v>257</v>
      </c>
      <c r="G831" s="7" t="s">
        <v>18</v>
      </c>
      <c r="H831" s="7" t="s">
        <v>48</v>
      </c>
      <c r="I831" s="7" t="s">
        <v>712</v>
      </c>
      <c r="J831" s="7" t="s">
        <v>712</v>
      </c>
      <c r="K831" s="8">
        <v>6078719</v>
      </c>
      <c r="L831" s="8">
        <v>265663</v>
      </c>
      <c r="M831" s="8">
        <v>19</v>
      </c>
      <c r="N831" s="8">
        <v>1</v>
      </c>
      <c r="O831" s="8">
        <v>2.7</v>
      </c>
      <c r="P831" s="8"/>
    </row>
    <row r="832" spans="1:16" hidden="1" x14ac:dyDescent="0.25">
      <c r="A832" s="7" t="s">
        <v>19</v>
      </c>
      <c r="B832" s="7" t="s">
        <v>415</v>
      </c>
      <c r="C832" s="8">
        <v>26836</v>
      </c>
      <c r="D832" s="7" t="s">
        <v>52</v>
      </c>
      <c r="E832" s="7" t="s">
        <v>139</v>
      </c>
      <c r="F832" s="7" t="s">
        <v>469</v>
      </c>
      <c r="G832" s="7" t="s">
        <v>18</v>
      </c>
      <c r="H832" s="7" t="s">
        <v>48</v>
      </c>
      <c r="I832" s="7" t="s">
        <v>712</v>
      </c>
      <c r="J832" s="7" t="s">
        <v>691</v>
      </c>
      <c r="K832" s="8">
        <v>6224116</v>
      </c>
      <c r="L832" s="8">
        <v>343001</v>
      </c>
      <c r="M832" s="8">
        <v>19</v>
      </c>
      <c r="N832" s="8">
        <v>1</v>
      </c>
      <c r="O832" s="8">
        <v>6.48</v>
      </c>
      <c r="P832" s="8"/>
    </row>
    <row r="833" spans="1:16" hidden="1" x14ac:dyDescent="0.25">
      <c r="A833" s="7" t="s">
        <v>37</v>
      </c>
      <c r="B833" s="7" t="s">
        <v>270</v>
      </c>
      <c r="C833" s="8">
        <v>26839</v>
      </c>
      <c r="D833" s="7" t="s">
        <v>21</v>
      </c>
      <c r="E833" s="7" t="s">
        <v>584</v>
      </c>
      <c r="F833" s="7" t="s">
        <v>607</v>
      </c>
      <c r="G833" s="7" t="s">
        <v>18</v>
      </c>
      <c r="H833" s="7" t="s">
        <v>24</v>
      </c>
      <c r="I833" s="7" t="s">
        <v>712</v>
      </c>
      <c r="J833" s="7" t="s">
        <v>712</v>
      </c>
      <c r="K833" s="8">
        <v>6378926</v>
      </c>
      <c r="L833" s="8">
        <v>318337</v>
      </c>
      <c r="M833" s="8">
        <v>19</v>
      </c>
      <c r="N833" s="8">
        <v>1</v>
      </c>
      <c r="O833" s="8">
        <v>5.5</v>
      </c>
      <c r="P833" s="8"/>
    </row>
    <row r="834" spans="1:16" hidden="1" x14ac:dyDescent="0.25">
      <c r="A834" s="7" t="s">
        <v>19</v>
      </c>
      <c r="B834" s="7" t="s">
        <v>124</v>
      </c>
      <c r="C834" s="8">
        <v>26840</v>
      </c>
      <c r="D834" s="7" t="s">
        <v>16</v>
      </c>
      <c r="E834" s="7" t="s">
        <v>72</v>
      </c>
      <c r="F834" s="7" t="s">
        <v>46</v>
      </c>
      <c r="G834" s="7" t="s">
        <v>18</v>
      </c>
      <c r="H834" s="7" t="s">
        <v>48</v>
      </c>
      <c r="I834" s="7" t="s">
        <v>712</v>
      </c>
      <c r="J834" s="7" t="s">
        <v>691</v>
      </c>
      <c r="K834" s="8">
        <v>6104977</v>
      </c>
      <c r="L834" s="8">
        <v>293948</v>
      </c>
      <c r="M834" s="8">
        <v>19</v>
      </c>
      <c r="N834" s="8">
        <v>1</v>
      </c>
      <c r="O834" s="8">
        <v>11.5</v>
      </c>
      <c r="P834" s="8"/>
    </row>
    <row r="835" spans="1:16" hidden="1" x14ac:dyDescent="0.25">
      <c r="A835" s="7" t="s">
        <v>19</v>
      </c>
      <c r="B835" s="7" t="s">
        <v>270</v>
      </c>
      <c r="C835" s="8">
        <v>26842</v>
      </c>
      <c r="D835" s="7" t="s">
        <v>52</v>
      </c>
      <c r="E835" s="7" t="s">
        <v>273</v>
      </c>
      <c r="F835" s="7" t="s">
        <v>582</v>
      </c>
      <c r="G835" s="7" t="s">
        <v>18</v>
      </c>
      <c r="H835" s="7" t="s">
        <v>48</v>
      </c>
      <c r="I835" s="7" t="s">
        <v>712</v>
      </c>
      <c r="J835" s="7" t="s">
        <v>712</v>
      </c>
      <c r="K835" s="8">
        <v>6161144</v>
      </c>
      <c r="L835" s="8">
        <v>294958</v>
      </c>
      <c r="M835" s="8">
        <v>19</v>
      </c>
      <c r="N835" s="8">
        <v>1</v>
      </c>
      <c r="O835" s="8">
        <v>5.2</v>
      </c>
      <c r="P835" s="8"/>
    </row>
    <row r="836" spans="1:16" hidden="1" x14ac:dyDescent="0.25">
      <c r="A836" s="7" t="s">
        <v>37</v>
      </c>
      <c r="B836" s="7" t="s">
        <v>415</v>
      </c>
      <c r="C836" s="8">
        <v>26843</v>
      </c>
      <c r="D836" s="7" t="s">
        <v>52</v>
      </c>
      <c r="E836" s="7" t="s">
        <v>81</v>
      </c>
      <c r="F836" s="7" t="s">
        <v>427</v>
      </c>
      <c r="G836" s="7" t="s">
        <v>18</v>
      </c>
      <c r="H836" s="7" t="s">
        <v>48</v>
      </c>
      <c r="I836" s="7" t="s">
        <v>712</v>
      </c>
      <c r="J836" s="7" t="s">
        <v>712</v>
      </c>
      <c r="K836" s="8">
        <v>6236903</v>
      </c>
      <c r="L836" s="8">
        <v>345747</v>
      </c>
      <c r="M836" s="8">
        <v>19</v>
      </c>
      <c r="N836" s="8">
        <v>1</v>
      </c>
      <c r="O836" s="8">
        <v>14.3</v>
      </c>
      <c r="P836" s="8"/>
    </row>
    <row r="837" spans="1:16" hidden="1" x14ac:dyDescent="0.25">
      <c r="A837" s="7" t="s">
        <v>19</v>
      </c>
      <c r="B837" s="7" t="s">
        <v>415</v>
      </c>
      <c r="C837" s="8">
        <v>26845</v>
      </c>
      <c r="D837" s="7" t="s">
        <v>52</v>
      </c>
      <c r="E837" s="7" t="s">
        <v>84</v>
      </c>
      <c r="F837" s="7" t="s">
        <v>84</v>
      </c>
      <c r="G837" s="7" t="s">
        <v>18</v>
      </c>
      <c r="H837" s="7" t="s">
        <v>48</v>
      </c>
      <c r="I837" s="7" t="s">
        <v>712</v>
      </c>
      <c r="J837" s="7" t="s">
        <v>691</v>
      </c>
      <c r="K837" s="8">
        <v>6165261</v>
      </c>
      <c r="L837" s="8">
        <v>290133</v>
      </c>
      <c r="M837" s="8">
        <v>19</v>
      </c>
      <c r="N837" s="8">
        <v>5</v>
      </c>
      <c r="O837" s="8">
        <v>52.3</v>
      </c>
      <c r="P837" s="8"/>
    </row>
    <row r="838" spans="1:16" hidden="1" x14ac:dyDescent="0.25">
      <c r="A838" s="7" t="s">
        <v>19</v>
      </c>
      <c r="B838" s="7" t="s">
        <v>415</v>
      </c>
      <c r="C838" s="8">
        <v>26846</v>
      </c>
      <c r="D838" s="7" t="s">
        <v>52</v>
      </c>
      <c r="E838" s="7" t="s">
        <v>139</v>
      </c>
      <c r="F838" s="7" t="s">
        <v>140</v>
      </c>
      <c r="G838" s="7" t="s">
        <v>18</v>
      </c>
      <c r="H838" s="7" t="s">
        <v>48</v>
      </c>
      <c r="I838" s="7" t="s">
        <v>712</v>
      </c>
      <c r="J838" s="7" t="s">
        <v>691</v>
      </c>
      <c r="K838" s="8">
        <v>6224116</v>
      </c>
      <c r="L838" s="8">
        <v>343001</v>
      </c>
      <c r="M838" s="8">
        <v>19</v>
      </c>
      <c r="N838" s="8">
        <v>1</v>
      </c>
      <c r="O838" s="8">
        <v>1</v>
      </c>
      <c r="P838" s="8"/>
    </row>
    <row r="839" spans="1:16" hidden="1" x14ac:dyDescent="0.25">
      <c r="A839" s="7" t="s">
        <v>19</v>
      </c>
      <c r="B839" s="7" t="s">
        <v>124</v>
      </c>
      <c r="C839" s="8">
        <v>26858</v>
      </c>
      <c r="D839" s="7" t="s">
        <v>16</v>
      </c>
      <c r="E839" s="7" t="s">
        <v>46</v>
      </c>
      <c r="F839" s="7" t="s">
        <v>46</v>
      </c>
      <c r="G839" s="7" t="s">
        <v>18</v>
      </c>
      <c r="H839" s="7" t="s">
        <v>48</v>
      </c>
      <c r="I839" s="7" t="s">
        <v>712</v>
      </c>
      <c r="J839" s="7" t="s">
        <v>712</v>
      </c>
      <c r="K839" s="8">
        <v>6114460</v>
      </c>
      <c r="L839" s="8">
        <v>289516</v>
      </c>
      <c r="M839" s="8">
        <v>19</v>
      </c>
      <c r="N839" s="8">
        <v>1</v>
      </c>
      <c r="O839" s="8">
        <v>6.4</v>
      </c>
      <c r="P839" s="8"/>
    </row>
    <row r="840" spans="1:16" hidden="1" x14ac:dyDescent="0.25">
      <c r="A840" s="7" t="s">
        <v>37</v>
      </c>
      <c r="B840" s="7" t="s">
        <v>254</v>
      </c>
      <c r="C840" s="8">
        <v>26862</v>
      </c>
      <c r="D840" s="7" t="s">
        <v>16</v>
      </c>
      <c r="E840" s="7" t="s">
        <v>46</v>
      </c>
      <c r="F840" s="7" t="s">
        <v>46</v>
      </c>
      <c r="G840" s="7" t="s">
        <v>18</v>
      </c>
      <c r="H840" s="7" t="s">
        <v>48</v>
      </c>
      <c r="I840" s="7" t="s">
        <v>712</v>
      </c>
      <c r="J840" s="7" t="s">
        <v>691</v>
      </c>
      <c r="K840" s="8">
        <v>6112268</v>
      </c>
      <c r="L840" s="8">
        <v>291200</v>
      </c>
      <c r="M840" s="8">
        <v>19</v>
      </c>
      <c r="N840" s="8">
        <v>1</v>
      </c>
      <c r="O840" s="8">
        <v>2.7</v>
      </c>
      <c r="P840" s="8"/>
    </row>
    <row r="841" spans="1:16" hidden="1" x14ac:dyDescent="0.25">
      <c r="A841" s="7" t="s">
        <v>37</v>
      </c>
      <c r="B841" s="7" t="s">
        <v>343</v>
      </c>
      <c r="C841" s="8">
        <v>26873</v>
      </c>
      <c r="D841" s="7" t="s">
        <v>28</v>
      </c>
      <c r="E841" s="7" t="s">
        <v>29</v>
      </c>
      <c r="F841" s="7" t="s">
        <v>352</v>
      </c>
      <c r="G841" s="7" t="s">
        <v>18</v>
      </c>
      <c r="H841" s="7" t="s">
        <v>48</v>
      </c>
      <c r="I841" s="7" t="s">
        <v>712</v>
      </c>
      <c r="J841" s="7" t="s">
        <v>691</v>
      </c>
      <c r="K841" s="8">
        <v>6245871</v>
      </c>
      <c r="L841" s="8">
        <v>339062</v>
      </c>
      <c r="M841" s="8">
        <v>19</v>
      </c>
      <c r="N841" s="8">
        <v>1</v>
      </c>
      <c r="O841" s="8">
        <v>0.4</v>
      </c>
      <c r="P841" s="8"/>
    </row>
    <row r="842" spans="1:16" hidden="1" x14ac:dyDescent="0.25">
      <c r="A842" s="7" t="s">
        <v>37</v>
      </c>
      <c r="B842" s="7" t="s">
        <v>254</v>
      </c>
      <c r="C842" s="8">
        <v>26874</v>
      </c>
      <c r="D842" s="7" t="s">
        <v>16</v>
      </c>
      <c r="E842" s="7" t="s">
        <v>17</v>
      </c>
      <c r="F842" s="7" t="s">
        <v>291</v>
      </c>
      <c r="G842" s="7" t="s">
        <v>18</v>
      </c>
      <c r="H842" s="7" t="s">
        <v>48</v>
      </c>
      <c r="I842" s="7" t="s">
        <v>712</v>
      </c>
      <c r="J842" s="7" t="s">
        <v>691</v>
      </c>
      <c r="K842" s="8">
        <v>6061949</v>
      </c>
      <c r="L842" s="8">
        <v>281898</v>
      </c>
      <c r="M842" s="8">
        <v>19</v>
      </c>
      <c r="N842" s="8">
        <v>1</v>
      </c>
      <c r="O842" s="8">
        <v>2.7</v>
      </c>
      <c r="P842" s="8"/>
    </row>
    <row r="843" spans="1:16" hidden="1" x14ac:dyDescent="0.25">
      <c r="A843" s="7" t="s">
        <v>37</v>
      </c>
      <c r="B843" s="7" t="s">
        <v>343</v>
      </c>
      <c r="C843" s="8">
        <v>26875</v>
      </c>
      <c r="D843" s="7" t="s">
        <v>28</v>
      </c>
      <c r="E843" s="7" t="s">
        <v>29</v>
      </c>
      <c r="F843" s="7" t="s">
        <v>352</v>
      </c>
      <c r="G843" s="7" t="s">
        <v>18</v>
      </c>
      <c r="H843" s="7" t="s">
        <v>48</v>
      </c>
      <c r="I843" s="7" t="s">
        <v>712</v>
      </c>
      <c r="J843" s="7" t="s">
        <v>691</v>
      </c>
      <c r="K843" s="8">
        <v>6246835</v>
      </c>
      <c r="L843" s="8">
        <v>338213</v>
      </c>
      <c r="M843" s="8">
        <v>19</v>
      </c>
      <c r="N843" s="8">
        <v>1</v>
      </c>
      <c r="O843" s="8">
        <v>0.2</v>
      </c>
      <c r="P843" s="8"/>
    </row>
    <row r="844" spans="1:16" hidden="1" x14ac:dyDescent="0.25">
      <c r="A844" s="7" t="s">
        <v>37</v>
      </c>
      <c r="B844" s="7" t="s">
        <v>254</v>
      </c>
      <c r="C844" s="8">
        <v>26876</v>
      </c>
      <c r="D844" s="7" t="s">
        <v>16</v>
      </c>
      <c r="E844" s="7" t="s">
        <v>17</v>
      </c>
      <c r="F844" s="7" t="s">
        <v>291</v>
      </c>
      <c r="G844" s="7" t="s">
        <v>18</v>
      </c>
      <c r="H844" s="7" t="s">
        <v>48</v>
      </c>
      <c r="I844" s="7" t="s">
        <v>712</v>
      </c>
      <c r="J844" s="7" t="s">
        <v>691</v>
      </c>
      <c r="K844" s="8">
        <v>6061846</v>
      </c>
      <c r="L844" s="8">
        <v>281880</v>
      </c>
      <c r="M844" s="8">
        <v>19</v>
      </c>
      <c r="N844" s="8">
        <v>1</v>
      </c>
      <c r="O844" s="8">
        <v>2.7</v>
      </c>
      <c r="P844" s="8"/>
    </row>
    <row r="845" spans="1:16" hidden="1" x14ac:dyDescent="0.25">
      <c r="A845" s="7" t="s">
        <v>19</v>
      </c>
      <c r="B845" s="7" t="s">
        <v>270</v>
      </c>
      <c r="C845" s="8">
        <v>26879</v>
      </c>
      <c r="D845" s="7" t="s">
        <v>21</v>
      </c>
      <c r="E845" s="7" t="s">
        <v>280</v>
      </c>
      <c r="F845" s="7" t="s">
        <v>280</v>
      </c>
      <c r="G845" s="7" t="s">
        <v>18</v>
      </c>
      <c r="H845" s="7" t="s">
        <v>24</v>
      </c>
      <c r="I845" s="7" t="s">
        <v>712</v>
      </c>
      <c r="J845" s="7" t="s">
        <v>712</v>
      </c>
      <c r="K845" s="8">
        <v>6363472</v>
      </c>
      <c r="L845" s="8">
        <v>319125</v>
      </c>
      <c r="M845" s="8">
        <v>19</v>
      </c>
      <c r="N845" s="8">
        <v>1</v>
      </c>
      <c r="O845" s="8">
        <v>1.2</v>
      </c>
      <c r="P845" s="8"/>
    </row>
    <row r="846" spans="1:16" hidden="1" x14ac:dyDescent="0.25">
      <c r="A846" s="7" t="s">
        <v>37</v>
      </c>
      <c r="B846" s="7" t="s">
        <v>343</v>
      </c>
      <c r="C846" s="8">
        <v>26881</v>
      </c>
      <c r="D846" s="7" t="s">
        <v>52</v>
      </c>
      <c r="E846" s="7" t="s">
        <v>151</v>
      </c>
      <c r="F846" s="7" t="s">
        <v>151</v>
      </c>
      <c r="G846" s="7" t="s">
        <v>18</v>
      </c>
      <c r="H846" s="7" t="s">
        <v>24</v>
      </c>
      <c r="I846" s="7" t="s">
        <v>712</v>
      </c>
      <c r="J846" s="7" t="s">
        <v>712</v>
      </c>
      <c r="K846" s="8">
        <v>6197671</v>
      </c>
      <c r="L846" s="8">
        <v>332646</v>
      </c>
      <c r="M846" s="8">
        <v>19</v>
      </c>
      <c r="N846" s="8">
        <v>1</v>
      </c>
      <c r="O846" s="8">
        <v>2</v>
      </c>
      <c r="P846" s="8"/>
    </row>
    <row r="847" spans="1:16" hidden="1" x14ac:dyDescent="0.25">
      <c r="A847" s="7" t="s">
        <v>37</v>
      </c>
      <c r="B847" s="7" t="s">
        <v>343</v>
      </c>
      <c r="C847" s="8">
        <v>26883</v>
      </c>
      <c r="D847" s="7" t="s">
        <v>52</v>
      </c>
      <c r="E847" s="7" t="s">
        <v>151</v>
      </c>
      <c r="F847" s="7" t="s">
        <v>151</v>
      </c>
      <c r="G847" s="7" t="s">
        <v>18</v>
      </c>
      <c r="H847" s="7" t="s">
        <v>109</v>
      </c>
      <c r="I847" s="7" t="s">
        <v>712</v>
      </c>
      <c r="J847" s="7" t="s">
        <v>691</v>
      </c>
      <c r="K847" s="8">
        <v>6197671</v>
      </c>
      <c r="L847" s="8">
        <v>332646</v>
      </c>
      <c r="M847" s="8">
        <v>19</v>
      </c>
      <c r="N847" s="8">
        <v>1</v>
      </c>
      <c r="O847" s="8">
        <v>2</v>
      </c>
      <c r="P847" s="8"/>
    </row>
    <row r="848" spans="1:16" hidden="1" x14ac:dyDescent="0.25">
      <c r="A848" s="7" t="s">
        <v>37</v>
      </c>
      <c r="B848" s="7" t="s">
        <v>343</v>
      </c>
      <c r="C848" s="8">
        <v>26885</v>
      </c>
      <c r="D848" s="7" t="s">
        <v>16</v>
      </c>
      <c r="E848" s="7" t="s">
        <v>17</v>
      </c>
      <c r="F848" s="7" t="s">
        <v>17</v>
      </c>
      <c r="G848" s="7" t="s">
        <v>18</v>
      </c>
      <c r="H848" s="7" t="s">
        <v>48</v>
      </c>
      <c r="I848" s="7" t="s">
        <v>712</v>
      </c>
      <c r="J848" s="7" t="s">
        <v>712</v>
      </c>
      <c r="K848" s="8">
        <v>6066054</v>
      </c>
      <c r="L848" s="8">
        <v>276997</v>
      </c>
      <c r="M848" s="8">
        <v>19</v>
      </c>
      <c r="N848" s="8">
        <v>1</v>
      </c>
      <c r="O848" s="8">
        <v>25</v>
      </c>
      <c r="P848" s="8"/>
    </row>
    <row r="849" spans="1:16" hidden="1" x14ac:dyDescent="0.25">
      <c r="A849" s="7" t="s">
        <v>37</v>
      </c>
      <c r="B849" s="7" t="s">
        <v>343</v>
      </c>
      <c r="C849" s="8">
        <v>26887</v>
      </c>
      <c r="D849" s="7" t="s">
        <v>16</v>
      </c>
      <c r="E849" s="7" t="s">
        <v>127</v>
      </c>
      <c r="F849" s="7" t="s">
        <v>381</v>
      </c>
      <c r="G849" s="7" t="s">
        <v>18</v>
      </c>
      <c r="H849" s="7" t="s">
        <v>48</v>
      </c>
      <c r="I849" s="7" t="s">
        <v>712</v>
      </c>
      <c r="J849" s="7" t="s">
        <v>712</v>
      </c>
      <c r="K849" s="8">
        <v>6046609</v>
      </c>
      <c r="L849" s="8">
        <v>280896</v>
      </c>
      <c r="M849" s="8">
        <v>19</v>
      </c>
      <c r="N849" s="8">
        <v>2</v>
      </c>
      <c r="O849" s="8">
        <v>11</v>
      </c>
      <c r="P849" s="8"/>
    </row>
    <row r="850" spans="1:16" hidden="1" x14ac:dyDescent="0.25">
      <c r="A850" s="7" t="s">
        <v>37</v>
      </c>
      <c r="B850" s="7" t="s">
        <v>343</v>
      </c>
      <c r="C850" s="8">
        <v>26889</v>
      </c>
      <c r="D850" s="7" t="s">
        <v>16</v>
      </c>
      <c r="E850" s="7" t="s">
        <v>17</v>
      </c>
      <c r="F850" s="7" t="s">
        <v>17</v>
      </c>
      <c r="G850" s="7" t="s">
        <v>18</v>
      </c>
      <c r="H850" s="7" t="s">
        <v>48</v>
      </c>
      <c r="I850" s="7" t="s">
        <v>712</v>
      </c>
      <c r="J850" s="7" t="s">
        <v>712</v>
      </c>
      <c r="K850" s="8">
        <v>6065814</v>
      </c>
      <c r="L850" s="8">
        <v>277293</v>
      </c>
      <c r="M850" s="8">
        <v>19</v>
      </c>
      <c r="N850" s="8">
        <v>1</v>
      </c>
      <c r="O850" s="8">
        <v>25</v>
      </c>
      <c r="P850" s="8"/>
    </row>
    <row r="851" spans="1:16" hidden="1" x14ac:dyDescent="0.25">
      <c r="A851" s="7" t="s">
        <v>37</v>
      </c>
      <c r="B851" s="7" t="s">
        <v>254</v>
      </c>
      <c r="C851" s="8">
        <v>26892</v>
      </c>
      <c r="D851" s="7" t="s">
        <v>16</v>
      </c>
      <c r="E851" s="7" t="s">
        <v>292</v>
      </c>
      <c r="F851" s="7" t="s">
        <v>292</v>
      </c>
      <c r="G851" s="7" t="s">
        <v>18</v>
      </c>
      <c r="H851" s="7" t="s">
        <v>24</v>
      </c>
      <c r="I851" s="7" t="s">
        <v>712</v>
      </c>
      <c r="J851" s="7" t="s">
        <v>712</v>
      </c>
      <c r="K851" s="8">
        <v>6092874</v>
      </c>
      <c r="L851" s="8">
        <v>274699</v>
      </c>
      <c r="M851" s="8">
        <v>19</v>
      </c>
      <c r="N851" s="8">
        <v>1</v>
      </c>
      <c r="O851" s="8">
        <v>0.9</v>
      </c>
      <c r="P851" s="8"/>
    </row>
    <row r="852" spans="1:16" hidden="1" x14ac:dyDescent="0.25">
      <c r="A852" s="7" t="s">
        <v>37</v>
      </c>
      <c r="B852" s="7" t="s">
        <v>343</v>
      </c>
      <c r="C852" s="8">
        <v>26893</v>
      </c>
      <c r="D852" s="7" t="s">
        <v>16</v>
      </c>
      <c r="E852" s="7" t="s">
        <v>169</v>
      </c>
      <c r="F852" s="7" t="s">
        <v>169</v>
      </c>
      <c r="G852" s="7" t="s">
        <v>18</v>
      </c>
      <c r="H852" s="7" t="s">
        <v>48</v>
      </c>
      <c r="I852" s="7" t="s">
        <v>712</v>
      </c>
      <c r="J852" s="7" t="s">
        <v>712</v>
      </c>
      <c r="K852" s="8">
        <v>6026124</v>
      </c>
      <c r="L852" s="8">
        <v>273157</v>
      </c>
      <c r="M852" s="8">
        <v>19</v>
      </c>
      <c r="N852" s="8">
        <v>1</v>
      </c>
      <c r="O852" s="8">
        <v>30</v>
      </c>
      <c r="P852" s="8"/>
    </row>
    <row r="853" spans="1:16" hidden="1" x14ac:dyDescent="0.25">
      <c r="A853" s="7" t="s">
        <v>37</v>
      </c>
      <c r="B853" s="7" t="s">
        <v>343</v>
      </c>
      <c r="C853" s="8">
        <v>26895</v>
      </c>
      <c r="D853" s="7" t="s">
        <v>16</v>
      </c>
      <c r="E853" s="7" t="s">
        <v>169</v>
      </c>
      <c r="F853" s="7" t="s">
        <v>169</v>
      </c>
      <c r="G853" s="7" t="s">
        <v>18</v>
      </c>
      <c r="H853" s="7" t="s">
        <v>48</v>
      </c>
      <c r="I853" s="7" t="s">
        <v>712</v>
      </c>
      <c r="J853" s="7" t="s">
        <v>712</v>
      </c>
      <c r="K853" s="8">
        <v>6025870</v>
      </c>
      <c r="L853" s="8">
        <v>272831</v>
      </c>
      <c r="M853" s="8">
        <v>19</v>
      </c>
      <c r="N853" s="8">
        <v>1</v>
      </c>
      <c r="O853" s="8">
        <v>30</v>
      </c>
      <c r="P853" s="8"/>
    </row>
    <row r="854" spans="1:16" hidden="1" x14ac:dyDescent="0.25">
      <c r="A854" s="7" t="s">
        <v>37</v>
      </c>
      <c r="B854" s="7" t="s">
        <v>343</v>
      </c>
      <c r="C854" s="8">
        <v>26897</v>
      </c>
      <c r="D854" s="7" t="s">
        <v>16</v>
      </c>
      <c r="E854" s="7" t="s">
        <v>127</v>
      </c>
      <c r="F854" s="7" t="s">
        <v>381</v>
      </c>
      <c r="G854" s="7" t="s">
        <v>18</v>
      </c>
      <c r="H854" s="7" t="s">
        <v>48</v>
      </c>
      <c r="I854" s="7" t="s">
        <v>712</v>
      </c>
      <c r="J854" s="7" t="s">
        <v>712</v>
      </c>
      <c r="K854" s="8">
        <v>6046697</v>
      </c>
      <c r="L854" s="8">
        <v>280417</v>
      </c>
      <c r="M854" s="8">
        <v>19</v>
      </c>
      <c r="N854" s="8">
        <v>4</v>
      </c>
      <c r="O854" s="8">
        <v>21.99</v>
      </c>
      <c r="P854" s="8"/>
    </row>
    <row r="855" spans="1:16" hidden="1" x14ac:dyDescent="0.25">
      <c r="A855" s="7" t="s">
        <v>19</v>
      </c>
      <c r="B855" s="7" t="s">
        <v>415</v>
      </c>
      <c r="C855" s="8">
        <v>26904</v>
      </c>
      <c r="D855" s="7" t="s">
        <v>28</v>
      </c>
      <c r="E855" s="7" t="s">
        <v>447</v>
      </c>
      <c r="F855" s="7" t="s">
        <v>390</v>
      </c>
      <c r="G855" s="7" t="s">
        <v>18</v>
      </c>
      <c r="H855" s="7" t="s">
        <v>48</v>
      </c>
      <c r="I855" s="7" t="s">
        <v>712</v>
      </c>
      <c r="J855" s="7" t="s">
        <v>712</v>
      </c>
      <c r="K855" s="8">
        <v>6301853</v>
      </c>
      <c r="L855" s="8">
        <v>336031</v>
      </c>
      <c r="M855" s="8">
        <v>19</v>
      </c>
      <c r="N855" s="8">
        <v>1</v>
      </c>
      <c r="O855" s="8">
        <v>0.39</v>
      </c>
      <c r="P855" s="8"/>
    </row>
    <row r="856" spans="1:16" hidden="1" x14ac:dyDescent="0.25">
      <c r="A856" s="7" t="s">
        <v>19</v>
      </c>
      <c r="B856" s="7" t="s">
        <v>415</v>
      </c>
      <c r="C856" s="8">
        <v>26905</v>
      </c>
      <c r="D856" s="7" t="s">
        <v>28</v>
      </c>
      <c r="E856" s="7" t="s">
        <v>29</v>
      </c>
      <c r="F856" s="7" t="s">
        <v>466</v>
      </c>
      <c r="G856" s="7" t="s">
        <v>18</v>
      </c>
      <c r="H856" s="7" t="s">
        <v>48</v>
      </c>
      <c r="I856" s="7" t="s">
        <v>712</v>
      </c>
      <c r="J856" s="7" t="s">
        <v>712</v>
      </c>
      <c r="K856" s="8">
        <v>6258928</v>
      </c>
      <c r="L856" s="8">
        <v>346544</v>
      </c>
      <c r="M856" s="8">
        <v>19</v>
      </c>
      <c r="N856" s="8">
        <v>1</v>
      </c>
      <c r="O856" s="8">
        <v>0.4</v>
      </c>
      <c r="P856" s="8"/>
    </row>
    <row r="857" spans="1:16" hidden="1" x14ac:dyDescent="0.25">
      <c r="A857" s="7" t="s">
        <v>19</v>
      </c>
      <c r="B857" s="7" t="s">
        <v>415</v>
      </c>
      <c r="C857" s="8">
        <v>26907</v>
      </c>
      <c r="D857" s="7" t="s">
        <v>28</v>
      </c>
      <c r="E857" s="7" t="s">
        <v>32</v>
      </c>
      <c r="F857" s="7" t="s">
        <v>147</v>
      </c>
      <c r="G857" s="7" t="s">
        <v>18</v>
      </c>
      <c r="H857" s="7" t="s">
        <v>48</v>
      </c>
      <c r="I857" s="7" t="s">
        <v>712</v>
      </c>
      <c r="J857" s="7" t="s">
        <v>712</v>
      </c>
      <c r="K857" s="8">
        <v>6270991</v>
      </c>
      <c r="L857" s="8">
        <v>335630</v>
      </c>
      <c r="M857" s="8">
        <v>19</v>
      </c>
      <c r="N857" s="8">
        <v>1</v>
      </c>
      <c r="O857" s="8">
        <v>0.39</v>
      </c>
      <c r="P857" s="8"/>
    </row>
    <row r="858" spans="1:16" hidden="1" x14ac:dyDescent="0.25">
      <c r="A858" s="7" t="s">
        <v>37</v>
      </c>
      <c r="B858" s="7" t="s">
        <v>415</v>
      </c>
      <c r="C858" s="8">
        <v>26909</v>
      </c>
      <c r="D858" s="7" t="s">
        <v>28</v>
      </c>
      <c r="E858" s="7" t="s">
        <v>29</v>
      </c>
      <c r="F858" s="7" t="s">
        <v>478</v>
      </c>
      <c r="G858" s="7" t="s">
        <v>18</v>
      </c>
      <c r="H858" s="7" t="s">
        <v>24</v>
      </c>
      <c r="I858" s="7" t="s">
        <v>712</v>
      </c>
      <c r="J858" s="7" t="s">
        <v>712</v>
      </c>
      <c r="K858" s="8">
        <v>6255754</v>
      </c>
      <c r="L858" s="8">
        <v>320083</v>
      </c>
      <c r="M858" s="8">
        <v>19</v>
      </c>
      <c r="N858" s="8">
        <v>1</v>
      </c>
      <c r="O858" s="8">
        <v>0.14000000000000001</v>
      </c>
      <c r="P858" s="8"/>
    </row>
    <row r="859" spans="1:16" hidden="1" x14ac:dyDescent="0.25">
      <c r="A859" s="7" t="s">
        <v>19</v>
      </c>
      <c r="B859" s="7" t="s">
        <v>415</v>
      </c>
      <c r="C859" s="8">
        <v>26910</v>
      </c>
      <c r="D859" s="7" t="s">
        <v>28</v>
      </c>
      <c r="E859" s="7" t="s">
        <v>32</v>
      </c>
      <c r="F859" s="7" t="s">
        <v>471</v>
      </c>
      <c r="G859" s="7" t="s">
        <v>18</v>
      </c>
      <c r="H859" s="7" t="s">
        <v>48</v>
      </c>
      <c r="I859" s="7" t="s">
        <v>712</v>
      </c>
      <c r="J859" s="7" t="s">
        <v>712</v>
      </c>
      <c r="K859" s="8">
        <v>6277958</v>
      </c>
      <c r="L859" s="8">
        <v>345654</v>
      </c>
      <c r="M859" s="8">
        <v>19</v>
      </c>
      <c r="N859" s="8">
        <v>1</v>
      </c>
      <c r="O859" s="8">
        <v>2.5099999999999998</v>
      </c>
      <c r="P859" s="8"/>
    </row>
    <row r="860" spans="1:16" hidden="1" x14ac:dyDescent="0.25">
      <c r="A860" s="7" t="s">
        <v>37</v>
      </c>
      <c r="B860" s="7" t="s">
        <v>415</v>
      </c>
      <c r="C860" s="8">
        <v>26911</v>
      </c>
      <c r="D860" s="7" t="s">
        <v>28</v>
      </c>
      <c r="E860" s="7" t="s">
        <v>29</v>
      </c>
      <c r="F860" s="7" t="s">
        <v>30</v>
      </c>
      <c r="G860" s="7" t="s">
        <v>18</v>
      </c>
      <c r="H860" s="7" t="s">
        <v>24</v>
      </c>
      <c r="I860" s="7" t="s">
        <v>712</v>
      </c>
      <c r="J860" s="7" t="s">
        <v>712</v>
      </c>
      <c r="K860" s="8">
        <v>6254714</v>
      </c>
      <c r="L860" s="8">
        <v>344957</v>
      </c>
      <c r="M860" s="8">
        <v>19</v>
      </c>
      <c r="N860" s="8">
        <v>1</v>
      </c>
      <c r="O860" s="8">
        <v>1.05</v>
      </c>
      <c r="P860" s="8"/>
    </row>
    <row r="861" spans="1:16" hidden="1" x14ac:dyDescent="0.25">
      <c r="A861" s="7" t="s">
        <v>37</v>
      </c>
      <c r="B861" s="7" t="s">
        <v>415</v>
      </c>
      <c r="C861" s="8">
        <v>26915</v>
      </c>
      <c r="D861" s="7" t="s">
        <v>28</v>
      </c>
      <c r="E861" s="7" t="s">
        <v>56</v>
      </c>
      <c r="F861" s="7" t="s">
        <v>162</v>
      </c>
      <c r="G861" s="7" t="s">
        <v>18</v>
      </c>
      <c r="H861" s="7" t="s">
        <v>24</v>
      </c>
      <c r="I861" s="7" t="s">
        <v>712</v>
      </c>
      <c r="J861" s="7" t="s">
        <v>712</v>
      </c>
      <c r="K861" s="8">
        <v>6261657</v>
      </c>
      <c r="L861" s="8">
        <v>337273</v>
      </c>
      <c r="M861" s="8">
        <v>19</v>
      </c>
      <c r="N861" s="8">
        <v>1</v>
      </c>
      <c r="O861" s="8">
        <v>0.09</v>
      </c>
      <c r="P861" s="8"/>
    </row>
    <row r="862" spans="1:16" hidden="1" x14ac:dyDescent="0.25">
      <c r="A862" s="7" t="s">
        <v>37</v>
      </c>
      <c r="B862" s="7" t="s">
        <v>415</v>
      </c>
      <c r="C862" s="8">
        <v>26917</v>
      </c>
      <c r="D862" s="7" t="s">
        <v>28</v>
      </c>
      <c r="E862" s="7" t="s">
        <v>29</v>
      </c>
      <c r="F862" s="7" t="s">
        <v>478</v>
      </c>
      <c r="G862" s="7" t="s">
        <v>18</v>
      </c>
      <c r="H862" s="7" t="s">
        <v>24</v>
      </c>
      <c r="I862" s="7" t="s">
        <v>712</v>
      </c>
      <c r="J862" s="7" t="s">
        <v>712</v>
      </c>
      <c r="K862" s="8">
        <v>6255609</v>
      </c>
      <c r="L862" s="8">
        <v>320785</v>
      </c>
      <c r="M862" s="8">
        <v>19</v>
      </c>
      <c r="N862" s="8">
        <v>1</v>
      </c>
      <c r="O862" s="8">
        <v>0.2</v>
      </c>
      <c r="P862" s="8"/>
    </row>
    <row r="863" spans="1:16" hidden="1" x14ac:dyDescent="0.25">
      <c r="A863" s="7" t="s">
        <v>37</v>
      </c>
      <c r="B863" s="7" t="s">
        <v>415</v>
      </c>
      <c r="C863" s="8">
        <v>26918</v>
      </c>
      <c r="D863" s="7" t="s">
        <v>28</v>
      </c>
      <c r="E863" s="7" t="s">
        <v>56</v>
      </c>
      <c r="F863" s="7" t="s">
        <v>439</v>
      </c>
      <c r="G863" s="7" t="s">
        <v>18</v>
      </c>
      <c r="H863" s="7" t="s">
        <v>24</v>
      </c>
      <c r="I863" s="7" t="s">
        <v>712</v>
      </c>
      <c r="J863" s="7" t="s">
        <v>712</v>
      </c>
      <c r="K863" s="8">
        <v>6261962</v>
      </c>
      <c r="L863" s="8">
        <v>335328</v>
      </c>
      <c r="M863" s="8">
        <v>19</v>
      </c>
      <c r="N863" s="8">
        <v>1</v>
      </c>
      <c r="O863" s="8">
        <v>0.23</v>
      </c>
      <c r="P863" s="8"/>
    </row>
    <row r="864" spans="1:16" hidden="1" x14ac:dyDescent="0.25">
      <c r="A864" s="7" t="s">
        <v>14</v>
      </c>
      <c r="B864" s="7" t="s">
        <v>343</v>
      </c>
      <c r="C864" s="8">
        <v>26920</v>
      </c>
      <c r="D864" s="7" t="s">
        <v>52</v>
      </c>
      <c r="E864" s="7" t="s">
        <v>155</v>
      </c>
      <c r="F864" s="7" t="s">
        <v>356</v>
      </c>
      <c r="G864" s="7" t="s">
        <v>18</v>
      </c>
      <c r="H864" s="7" t="s">
        <v>689</v>
      </c>
      <c r="I864" s="7" t="s">
        <v>712</v>
      </c>
      <c r="J864" s="7" t="s">
        <v>712</v>
      </c>
      <c r="K864" s="8">
        <v>6227610</v>
      </c>
      <c r="L864" s="8">
        <v>343354</v>
      </c>
      <c r="M864" s="8">
        <v>19</v>
      </c>
      <c r="N864" s="8">
        <v>1</v>
      </c>
      <c r="O864" s="8">
        <v>1</v>
      </c>
      <c r="P864" s="8"/>
    </row>
    <row r="865" spans="1:16" hidden="1" x14ac:dyDescent="0.25">
      <c r="A865" s="7" t="s">
        <v>37</v>
      </c>
      <c r="B865" s="7" t="s">
        <v>343</v>
      </c>
      <c r="C865" s="8">
        <v>26921</v>
      </c>
      <c r="D865" s="7" t="s">
        <v>52</v>
      </c>
      <c r="E865" s="7" t="s">
        <v>151</v>
      </c>
      <c r="F865" s="7" t="s">
        <v>151</v>
      </c>
      <c r="G865" s="7" t="s">
        <v>18</v>
      </c>
      <c r="H865" s="7" t="s">
        <v>24</v>
      </c>
      <c r="I865" s="7" t="s">
        <v>712</v>
      </c>
      <c r="J865" s="7" t="s">
        <v>712</v>
      </c>
      <c r="K865" s="8">
        <v>6198216</v>
      </c>
      <c r="L865" s="8">
        <v>332661</v>
      </c>
      <c r="M865" s="8">
        <v>19</v>
      </c>
      <c r="N865" s="8">
        <v>1</v>
      </c>
      <c r="O865" s="8">
        <v>1.7</v>
      </c>
      <c r="P865" s="8"/>
    </row>
    <row r="866" spans="1:16" hidden="1" x14ac:dyDescent="0.25">
      <c r="A866" s="7" t="s">
        <v>37</v>
      </c>
      <c r="B866" s="7" t="s">
        <v>415</v>
      </c>
      <c r="C866" s="8">
        <v>26925</v>
      </c>
      <c r="D866" s="7" t="s">
        <v>28</v>
      </c>
      <c r="E866" s="7" t="s">
        <v>364</v>
      </c>
      <c r="F866" s="7" t="s">
        <v>489</v>
      </c>
      <c r="G866" s="7" t="s">
        <v>18</v>
      </c>
      <c r="H866" s="7" t="s">
        <v>109</v>
      </c>
      <c r="I866" s="7" t="s">
        <v>712</v>
      </c>
      <c r="J866" s="7" t="s">
        <v>691</v>
      </c>
      <c r="K866" s="8">
        <v>6294999</v>
      </c>
      <c r="L866" s="8">
        <v>335558</v>
      </c>
      <c r="M866" s="8">
        <v>19</v>
      </c>
      <c r="N866" s="8">
        <v>1</v>
      </c>
      <c r="O866" s="8">
        <v>8.2200000000000006</v>
      </c>
      <c r="P866" s="8"/>
    </row>
    <row r="867" spans="1:16" hidden="1" x14ac:dyDescent="0.25">
      <c r="A867" s="7" t="s">
        <v>37</v>
      </c>
      <c r="B867" s="7" t="s">
        <v>651</v>
      </c>
      <c r="C867" s="8">
        <v>26927</v>
      </c>
      <c r="D867" s="7" t="s">
        <v>52</v>
      </c>
      <c r="E867" s="7" t="s">
        <v>139</v>
      </c>
      <c r="F867" s="7" t="s">
        <v>652</v>
      </c>
      <c r="G867" s="7" t="s">
        <v>18</v>
      </c>
      <c r="H867" s="7" t="s">
        <v>48</v>
      </c>
      <c r="I867" s="7" t="s">
        <v>712</v>
      </c>
      <c r="J867" s="7" t="s">
        <v>691</v>
      </c>
      <c r="K867" s="8">
        <v>6226526</v>
      </c>
      <c r="L867" s="8">
        <v>335525</v>
      </c>
      <c r="M867" s="8">
        <v>19</v>
      </c>
      <c r="N867" s="8">
        <v>2</v>
      </c>
      <c r="O867" s="8">
        <v>30</v>
      </c>
      <c r="P867" s="8"/>
    </row>
    <row r="868" spans="1:16" hidden="1" x14ac:dyDescent="0.25">
      <c r="A868" s="7" t="s">
        <v>37</v>
      </c>
      <c r="B868" s="7" t="s">
        <v>254</v>
      </c>
      <c r="C868" s="8">
        <v>26928</v>
      </c>
      <c r="D868" s="7" t="s">
        <v>16</v>
      </c>
      <c r="E868" s="7" t="s">
        <v>72</v>
      </c>
      <c r="F868" s="7" t="s">
        <v>265</v>
      </c>
      <c r="G868" s="7" t="s">
        <v>18</v>
      </c>
      <c r="H868" s="7" t="s">
        <v>24</v>
      </c>
      <c r="I868" s="7" t="s">
        <v>712</v>
      </c>
      <c r="J868" s="7" t="s">
        <v>712</v>
      </c>
      <c r="K868" s="8">
        <v>6097957</v>
      </c>
      <c r="L868" s="8">
        <v>297659</v>
      </c>
      <c r="M868" s="8">
        <v>19</v>
      </c>
      <c r="N868" s="8">
        <v>1</v>
      </c>
      <c r="O868" s="8">
        <v>6.7</v>
      </c>
      <c r="P868" s="8"/>
    </row>
    <row r="869" spans="1:16" hidden="1" x14ac:dyDescent="0.25">
      <c r="A869" s="7" t="s">
        <v>37</v>
      </c>
      <c r="B869" s="7" t="s">
        <v>343</v>
      </c>
      <c r="C869" s="8">
        <v>26932</v>
      </c>
      <c r="D869" s="7" t="s">
        <v>28</v>
      </c>
      <c r="E869" s="7" t="s">
        <v>29</v>
      </c>
      <c r="F869" s="7" t="s">
        <v>352</v>
      </c>
      <c r="G869" s="7" t="s">
        <v>18</v>
      </c>
      <c r="H869" s="7" t="s">
        <v>48</v>
      </c>
      <c r="I869" s="7" t="s">
        <v>712</v>
      </c>
      <c r="J869" s="7" t="s">
        <v>712</v>
      </c>
      <c r="K869" s="8">
        <v>6246218</v>
      </c>
      <c r="L869" s="8">
        <v>338234</v>
      </c>
      <c r="M869" s="8">
        <v>19</v>
      </c>
      <c r="N869" s="8">
        <v>1</v>
      </c>
      <c r="O869" s="8">
        <v>0.25</v>
      </c>
      <c r="P869" s="8"/>
    </row>
    <row r="870" spans="1:16" hidden="1" x14ac:dyDescent="0.25">
      <c r="A870" s="7" t="s">
        <v>14</v>
      </c>
      <c r="B870" s="7" t="s">
        <v>415</v>
      </c>
      <c r="C870" s="8">
        <v>26934</v>
      </c>
      <c r="D870" s="7" t="s">
        <v>28</v>
      </c>
      <c r="E870" s="7" t="s">
        <v>56</v>
      </c>
      <c r="F870" s="7" t="s">
        <v>162</v>
      </c>
      <c r="G870" s="7" t="s">
        <v>18</v>
      </c>
      <c r="H870" s="7" t="s">
        <v>689</v>
      </c>
      <c r="I870" s="7" t="s">
        <v>712</v>
      </c>
      <c r="J870" s="7" t="s">
        <v>712</v>
      </c>
      <c r="K870" s="8">
        <v>6260456</v>
      </c>
      <c r="L870" s="8">
        <v>333025</v>
      </c>
      <c r="M870" s="8">
        <v>19</v>
      </c>
      <c r="N870" s="8">
        <v>1</v>
      </c>
      <c r="O870" s="8">
        <v>0.83</v>
      </c>
      <c r="P870" s="8"/>
    </row>
    <row r="871" spans="1:16" hidden="1" x14ac:dyDescent="0.25">
      <c r="A871" s="7" t="s">
        <v>14</v>
      </c>
      <c r="B871" s="7" t="s">
        <v>415</v>
      </c>
      <c r="C871" s="8">
        <v>26937</v>
      </c>
      <c r="D871" s="7" t="s">
        <v>28</v>
      </c>
      <c r="E871" s="7" t="s">
        <v>56</v>
      </c>
      <c r="F871" s="7" t="s">
        <v>378</v>
      </c>
      <c r="G871" s="7" t="s">
        <v>18</v>
      </c>
      <c r="H871" s="7" t="s">
        <v>689</v>
      </c>
      <c r="I871" s="7" t="s">
        <v>712</v>
      </c>
      <c r="J871" s="7" t="s">
        <v>712</v>
      </c>
      <c r="K871" s="8">
        <v>6259904</v>
      </c>
      <c r="L871" s="8">
        <v>331132</v>
      </c>
      <c r="M871" s="8">
        <v>19</v>
      </c>
      <c r="N871" s="8">
        <v>1</v>
      </c>
      <c r="O871" s="8">
        <v>0.83</v>
      </c>
      <c r="P871" s="8"/>
    </row>
    <row r="872" spans="1:16" hidden="1" x14ac:dyDescent="0.25">
      <c r="A872" s="7" t="s">
        <v>14</v>
      </c>
      <c r="B872" s="7" t="s">
        <v>415</v>
      </c>
      <c r="C872" s="8">
        <v>26938</v>
      </c>
      <c r="D872" s="7" t="s">
        <v>28</v>
      </c>
      <c r="E872" s="7" t="s">
        <v>56</v>
      </c>
      <c r="F872" s="7" t="s">
        <v>378</v>
      </c>
      <c r="G872" s="7" t="s">
        <v>18</v>
      </c>
      <c r="H872" s="7" t="s">
        <v>689</v>
      </c>
      <c r="I872" s="7" t="s">
        <v>712</v>
      </c>
      <c r="J872" s="7" t="s">
        <v>712</v>
      </c>
      <c r="K872" s="8">
        <v>6259722</v>
      </c>
      <c r="L872" s="8">
        <v>331121</v>
      </c>
      <c r="M872" s="8">
        <v>19</v>
      </c>
      <c r="N872" s="8">
        <v>1</v>
      </c>
      <c r="O872" s="8">
        <v>0.26</v>
      </c>
      <c r="P872" s="8"/>
    </row>
    <row r="873" spans="1:16" hidden="1" x14ac:dyDescent="0.25">
      <c r="A873" s="7" t="s">
        <v>14</v>
      </c>
      <c r="B873" s="7" t="s">
        <v>415</v>
      </c>
      <c r="C873" s="8">
        <v>26939</v>
      </c>
      <c r="D873" s="7" t="s">
        <v>28</v>
      </c>
      <c r="E873" s="7" t="s">
        <v>56</v>
      </c>
      <c r="F873" s="7" t="s">
        <v>162</v>
      </c>
      <c r="G873" s="7" t="s">
        <v>18</v>
      </c>
      <c r="H873" s="7" t="s">
        <v>689</v>
      </c>
      <c r="I873" s="7" t="s">
        <v>712</v>
      </c>
      <c r="J873" s="7" t="s">
        <v>712</v>
      </c>
      <c r="K873" s="8">
        <v>6260608</v>
      </c>
      <c r="L873" s="8">
        <v>332882</v>
      </c>
      <c r="M873" s="8">
        <v>19</v>
      </c>
      <c r="N873" s="8">
        <v>1</v>
      </c>
      <c r="O873" s="8">
        <v>0.77</v>
      </c>
      <c r="P873" s="8"/>
    </row>
    <row r="874" spans="1:16" hidden="1" x14ac:dyDescent="0.25">
      <c r="A874" s="7" t="s">
        <v>19</v>
      </c>
      <c r="B874" s="7" t="s">
        <v>270</v>
      </c>
      <c r="C874" s="8">
        <v>26940</v>
      </c>
      <c r="D874" s="7" t="s">
        <v>16</v>
      </c>
      <c r="E874" s="7" t="s">
        <v>137</v>
      </c>
      <c r="F874" s="7" t="s">
        <v>608</v>
      </c>
      <c r="G874" s="7" t="s">
        <v>18</v>
      </c>
      <c r="H874" s="7" t="s">
        <v>48</v>
      </c>
      <c r="I874" s="7" t="s">
        <v>712</v>
      </c>
      <c r="J874" s="7" t="s">
        <v>691</v>
      </c>
      <c r="K874" s="8">
        <v>6089035</v>
      </c>
      <c r="L874" s="8">
        <v>248468</v>
      </c>
      <c r="M874" s="8">
        <v>19</v>
      </c>
      <c r="N874" s="8">
        <v>1</v>
      </c>
      <c r="O874" s="8">
        <v>30</v>
      </c>
      <c r="P874" s="8"/>
    </row>
    <row r="875" spans="1:16" hidden="1" x14ac:dyDescent="0.25">
      <c r="A875" s="7" t="s">
        <v>37</v>
      </c>
      <c r="B875" s="7" t="s">
        <v>254</v>
      </c>
      <c r="C875" s="8">
        <v>26943</v>
      </c>
      <c r="D875" s="7" t="s">
        <v>16</v>
      </c>
      <c r="E875" s="7" t="s">
        <v>155</v>
      </c>
      <c r="F875" s="7" t="s">
        <v>289</v>
      </c>
      <c r="G875" s="7" t="s">
        <v>18</v>
      </c>
      <c r="H875" s="7" t="s">
        <v>24</v>
      </c>
      <c r="I875" s="7" t="s">
        <v>712</v>
      </c>
      <c r="J875" s="7" t="s">
        <v>712</v>
      </c>
      <c r="K875" s="8">
        <v>6116542</v>
      </c>
      <c r="L875" s="8">
        <v>305741</v>
      </c>
      <c r="M875" s="8">
        <v>19</v>
      </c>
      <c r="N875" s="8">
        <v>1</v>
      </c>
      <c r="O875" s="8">
        <v>6</v>
      </c>
      <c r="P875" s="8"/>
    </row>
    <row r="876" spans="1:16" hidden="1" x14ac:dyDescent="0.25">
      <c r="A876" s="7" t="s">
        <v>37</v>
      </c>
      <c r="B876" s="7" t="s">
        <v>343</v>
      </c>
      <c r="C876" s="8">
        <v>26947</v>
      </c>
      <c r="D876" s="7" t="s">
        <v>52</v>
      </c>
      <c r="E876" s="7" t="s">
        <v>151</v>
      </c>
      <c r="F876" s="7" t="s">
        <v>151</v>
      </c>
      <c r="G876" s="7" t="s">
        <v>18</v>
      </c>
      <c r="H876" s="7" t="s">
        <v>109</v>
      </c>
      <c r="I876" s="7" t="s">
        <v>712</v>
      </c>
      <c r="J876" s="7" t="s">
        <v>691</v>
      </c>
      <c r="K876" s="8">
        <v>6198216</v>
      </c>
      <c r="L876" s="8">
        <v>332661</v>
      </c>
      <c r="M876" s="8">
        <v>19</v>
      </c>
      <c r="N876" s="8">
        <v>1</v>
      </c>
      <c r="O876" s="8">
        <v>1.7</v>
      </c>
      <c r="P876" s="8"/>
    </row>
    <row r="877" spans="1:16" hidden="1" x14ac:dyDescent="0.25">
      <c r="A877" s="7" t="s">
        <v>37</v>
      </c>
      <c r="B877" s="7" t="s">
        <v>343</v>
      </c>
      <c r="C877" s="8">
        <v>26950</v>
      </c>
      <c r="D877" s="7" t="s">
        <v>52</v>
      </c>
      <c r="E877" s="7" t="s">
        <v>153</v>
      </c>
      <c r="F877" s="7" t="s">
        <v>153</v>
      </c>
      <c r="G877" s="7" t="s">
        <v>18</v>
      </c>
      <c r="H877" s="7" t="s">
        <v>24</v>
      </c>
      <c r="I877" s="7" t="s">
        <v>712</v>
      </c>
      <c r="J877" s="7" t="s">
        <v>712</v>
      </c>
      <c r="K877" s="8">
        <v>6199568</v>
      </c>
      <c r="L877" s="8">
        <v>342022</v>
      </c>
      <c r="M877" s="8">
        <v>19</v>
      </c>
      <c r="N877" s="8">
        <v>1</v>
      </c>
      <c r="O877" s="8">
        <v>2</v>
      </c>
      <c r="P877" s="8"/>
    </row>
    <row r="878" spans="1:16" hidden="1" x14ac:dyDescent="0.25">
      <c r="A878" s="7" t="s">
        <v>37</v>
      </c>
      <c r="B878" s="7" t="s">
        <v>343</v>
      </c>
      <c r="C878" s="8">
        <v>26954</v>
      </c>
      <c r="D878" s="7" t="s">
        <v>52</v>
      </c>
      <c r="E878" s="7" t="s">
        <v>153</v>
      </c>
      <c r="F878" s="7" t="s">
        <v>153</v>
      </c>
      <c r="G878" s="7" t="s">
        <v>18</v>
      </c>
      <c r="H878" s="7" t="s">
        <v>109</v>
      </c>
      <c r="I878" s="7" t="s">
        <v>712</v>
      </c>
      <c r="J878" s="7" t="s">
        <v>691</v>
      </c>
      <c r="K878" s="8">
        <v>6199568</v>
      </c>
      <c r="L878" s="8">
        <v>342022</v>
      </c>
      <c r="M878" s="8">
        <v>19</v>
      </c>
      <c r="N878" s="8">
        <v>1</v>
      </c>
      <c r="O878" s="8">
        <v>2</v>
      </c>
      <c r="P878" s="8"/>
    </row>
    <row r="879" spans="1:16" hidden="1" x14ac:dyDescent="0.25">
      <c r="A879" s="7" t="s">
        <v>37</v>
      </c>
      <c r="B879" s="7" t="s">
        <v>254</v>
      </c>
      <c r="C879" s="8">
        <v>26962</v>
      </c>
      <c r="D879" s="7" t="s">
        <v>16</v>
      </c>
      <c r="E879" s="7" t="s">
        <v>17</v>
      </c>
      <c r="F879" s="7" t="s">
        <v>293</v>
      </c>
      <c r="G879" s="7" t="s">
        <v>18</v>
      </c>
      <c r="H879" s="7" t="s">
        <v>48</v>
      </c>
      <c r="I879" s="7" t="s">
        <v>712</v>
      </c>
      <c r="J879" s="7" t="s">
        <v>691</v>
      </c>
      <c r="K879" s="8">
        <v>6071197</v>
      </c>
      <c r="L879" s="8">
        <v>279768</v>
      </c>
      <c r="M879" s="8">
        <v>19</v>
      </c>
      <c r="N879" s="8">
        <v>1</v>
      </c>
      <c r="O879" s="8">
        <v>2.7</v>
      </c>
      <c r="P879" s="8"/>
    </row>
    <row r="880" spans="1:16" hidden="1" x14ac:dyDescent="0.25">
      <c r="A880" s="7" t="s">
        <v>37</v>
      </c>
      <c r="B880" s="7" t="s">
        <v>343</v>
      </c>
      <c r="C880" s="8">
        <v>26963</v>
      </c>
      <c r="D880" s="7" t="s">
        <v>52</v>
      </c>
      <c r="E880" s="7" t="s">
        <v>153</v>
      </c>
      <c r="F880" s="7" t="s">
        <v>153</v>
      </c>
      <c r="G880" s="7" t="s">
        <v>18</v>
      </c>
      <c r="H880" s="7" t="s">
        <v>24</v>
      </c>
      <c r="I880" s="7" t="s">
        <v>712</v>
      </c>
      <c r="J880" s="7" t="s">
        <v>712</v>
      </c>
      <c r="K880" s="8">
        <v>6204082</v>
      </c>
      <c r="L880" s="8">
        <v>339049</v>
      </c>
      <c r="M880" s="8">
        <v>19</v>
      </c>
      <c r="N880" s="8">
        <v>1</v>
      </c>
      <c r="O880" s="8">
        <v>6</v>
      </c>
      <c r="P880" s="8"/>
    </row>
    <row r="881" spans="1:16" hidden="1" x14ac:dyDescent="0.25">
      <c r="A881" s="7" t="s">
        <v>37</v>
      </c>
      <c r="B881" s="7" t="s">
        <v>254</v>
      </c>
      <c r="C881" s="8">
        <v>26964</v>
      </c>
      <c r="D881" s="7" t="s">
        <v>16</v>
      </c>
      <c r="E881" s="7" t="s">
        <v>17</v>
      </c>
      <c r="F881" s="7" t="s">
        <v>293</v>
      </c>
      <c r="G881" s="7" t="s">
        <v>18</v>
      </c>
      <c r="H881" s="7" t="s">
        <v>48</v>
      </c>
      <c r="I881" s="7" t="s">
        <v>712</v>
      </c>
      <c r="J881" s="7" t="s">
        <v>691</v>
      </c>
      <c r="K881" s="8">
        <v>6070904</v>
      </c>
      <c r="L881" s="8">
        <v>280112</v>
      </c>
      <c r="M881" s="8">
        <v>19</v>
      </c>
      <c r="N881" s="8">
        <v>1</v>
      </c>
      <c r="O881" s="8">
        <v>2.7</v>
      </c>
      <c r="P881" s="8"/>
    </row>
    <row r="882" spans="1:16" hidden="1" x14ac:dyDescent="0.25">
      <c r="A882" s="7" t="s">
        <v>37</v>
      </c>
      <c r="B882" s="7" t="s">
        <v>254</v>
      </c>
      <c r="C882" s="8">
        <v>26967</v>
      </c>
      <c r="D882" s="7" t="s">
        <v>16</v>
      </c>
      <c r="E882" s="7" t="s">
        <v>17</v>
      </c>
      <c r="F882" s="7" t="s">
        <v>294</v>
      </c>
      <c r="G882" s="7" t="s">
        <v>18</v>
      </c>
      <c r="H882" s="7" t="s">
        <v>48</v>
      </c>
      <c r="I882" s="7" t="s">
        <v>712</v>
      </c>
      <c r="J882" s="7" t="s">
        <v>691</v>
      </c>
      <c r="K882" s="8">
        <v>6073178</v>
      </c>
      <c r="L882" s="8">
        <v>279576</v>
      </c>
      <c r="M882" s="8">
        <v>19</v>
      </c>
      <c r="N882" s="8">
        <v>1</v>
      </c>
      <c r="O882" s="8">
        <v>2.7</v>
      </c>
      <c r="P882" s="8"/>
    </row>
    <row r="883" spans="1:16" hidden="1" x14ac:dyDescent="0.25">
      <c r="A883" s="7" t="s">
        <v>37</v>
      </c>
      <c r="B883" s="7" t="s">
        <v>343</v>
      </c>
      <c r="C883" s="8">
        <v>26968</v>
      </c>
      <c r="D883" s="7" t="s">
        <v>28</v>
      </c>
      <c r="E883" s="7" t="s">
        <v>344</v>
      </c>
      <c r="F883" s="7" t="s">
        <v>345</v>
      </c>
      <c r="G883" s="7" t="s">
        <v>18</v>
      </c>
      <c r="H883" s="7" t="s">
        <v>48</v>
      </c>
      <c r="I883" s="7" t="s">
        <v>712</v>
      </c>
      <c r="J883" s="7" t="s">
        <v>712</v>
      </c>
      <c r="K883" s="8">
        <v>6275452</v>
      </c>
      <c r="L883" s="8">
        <v>297433</v>
      </c>
      <c r="M883" s="8">
        <v>19</v>
      </c>
      <c r="N883" s="8">
        <v>3</v>
      </c>
      <c r="O883" s="8">
        <v>39</v>
      </c>
      <c r="P883" s="8"/>
    </row>
    <row r="884" spans="1:16" hidden="1" x14ac:dyDescent="0.25">
      <c r="A884" s="7" t="s">
        <v>37</v>
      </c>
      <c r="B884" s="7" t="s">
        <v>254</v>
      </c>
      <c r="C884" s="8">
        <v>26969</v>
      </c>
      <c r="D884" s="7" t="s">
        <v>16</v>
      </c>
      <c r="E884" s="7" t="s">
        <v>72</v>
      </c>
      <c r="F884" s="7" t="s">
        <v>295</v>
      </c>
      <c r="G884" s="7" t="s">
        <v>18</v>
      </c>
      <c r="H884" s="7" t="s">
        <v>24</v>
      </c>
      <c r="I884" s="7" t="s">
        <v>712</v>
      </c>
      <c r="J884" s="7" t="s">
        <v>712</v>
      </c>
      <c r="K884" s="8">
        <v>6099159</v>
      </c>
      <c r="L884" s="8">
        <v>283240</v>
      </c>
      <c r="M884" s="8">
        <v>19</v>
      </c>
      <c r="N884" s="8">
        <v>1</v>
      </c>
      <c r="O884" s="8">
        <v>0.7</v>
      </c>
      <c r="P884" s="8"/>
    </row>
    <row r="885" spans="1:16" hidden="1" x14ac:dyDescent="0.25">
      <c r="A885" s="7" t="s">
        <v>37</v>
      </c>
      <c r="B885" s="7" t="s">
        <v>343</v>
      </c>
      <c r="C885" s="8">
        <v>26970</v>
      </c>
      <c r="D885" s="7" t="s">
        <v>28</v>
      </c>
      <c r="E885" s="7" t="s">
        <v>344</v>
      </c>
      <c r="F885" s="7" t="s">
        <v>361</v>
      </c>
      <c r="G885" s="7" t="s">
        <v>18</v>
      </c>
      <c r="H885" s="7" t="s">
        <v>48</v>
      </c>
      <c r="I885" s="7" t="s">
        <v>712</v>
      </c>
      <c r="J885" s="7" t="s">
        <v>691</v>
      </c>
      <c r="K885" s="8">
        <v>6267188</v>
      </c>
      <c r="L885" s="8">
        <v>279983</v>
      </c>
      <c r="M885" s="8">
        <v>19</v>
      </c>
      <c r="N885" s="8">
        <v>2</v>
      </c>
      <c r="O885" s="8">
        <v>84</v>
      </c>
      <c r="P885" s="8"/>
    </row>
    <row r="886" spans="1:16" hidden="1" x14ac:dyDescent="0.25">
      <c r="A886" s="7" t="s">
        <v>37</v>
      </c>
      <c r="B886" s="7" t="s">
        <v>343</v>
      </c>
      <c r="C886" s="8">
        <v>26971</v>
      </c>
      <c r="D886" s="7" t="s">
        <v>28</v>
      </c>
      <c r="E886" s="7" t="s">
        <v>56</v>
      </c>
      <c r="F886" s="7" t="s">
        <v>162</v>
      </c>
      <c r="G886" s="7" t="s">
        <v>18</v>
      </c>
      <c r="H886" s="7" t="s">
        <v>48</v>
      </c>
      <c r="I886" s="7" t="s">
        <v>712</v>
      </c>
      <c r="J886" s="7" t="s">
        <v>712</v>
      </c>
      <c r="K886" s="8">
        <v>6260452</v>
      </c>
      <c r="L886" s="8">
        <v>335379</v>
      </c>
      <c r="M886" s="8">
        <v>19</v>
      </c>
      <c r="N886" s="8">
        <v>1</v>
      </c>
      <c r="O886" s="8">
        <v>6</v>
      </c>
      <c r="P886" s="8"/>
    </row>
    <row r="887" spans="1:16" hidden="1" x14ac:dyDescent="0.25">
      <c r="A887" s="7" t="s">
        <v>37</v>
      </c>
      <c r="B887" s="7" t="s">
        <v>343</v>
      </c>
      <c r="C887" s="8">
        <v>26972</v>
      </c>
      <c r="D887" s="7" t="s">
        <v>28</v>
      </c>
      <c r="E887" s="7" t="s">
        <v>29</v>
      </c>
      <c r="F887" s="7" t="s">
        <v>29</v>
      </c>
      <c r="G887" s="7" t="s">
        <v>18</v>
      </c>
      <c r="H887" s="7" t="s">
        <v>48</v>
      </c>
      <c r="I887" s="7" t="s">
        <v>712</v>
      </c>
      <c r="J887" s="7" t="s">
        <v>691</v>
      </c>
      <c r="K887" s="8">
        <v>6259237</v>
      </c>
      <c r="L887" s="8">
        <v>341561</v>
      </c>
      <c r="M887" s="8">
        <v>19</v>
      </c>
      <c r="N887" s="8">
        <v>1</v>
      </c>
      <c r="O887" s="8">
        <v>8</v>
      </c>
      <c r="P887" s="8"/>
    </row>
    <row r="888" spans="1:16" hidden="1" x14ac:dyDescent="0.25">
      <c r="A888" s="7" t="s">
        <v>37</v>
      </c>
      <c r="B888" s="7" t="s">
        <v>343</v>
      </c>
      <c r="C888" s="8">
        <v>26973</v>
      </c>
      <c r="D888" s="7" t="s">
        <v>28</v>
      </c>
      <c r="E888" s="7" t="s">
        <v>135</v>
      </c>
      <c r="F888" s="7" t="s">
        <v>32</v>
      </c>
      <c r="G888" s="7" t="s">
        <v>18</v>
      </c>
      <c r="H888" s="7" t="s">
        <v>48</v>
      </c>
      <c r="I888" s="7" t="s">
        <v>712</v>
      </c>
      <c r="J888" s="7" t="s">
        <v>691</v>
      </c>
      <c r="K888" s="8">
        <v>6280791</v>
      </c>
      <c r="L888" s="8">
        <v>348740</v>
      </c>
      <c r="M888" s="8">
        <v>19</v>
      </c>
      <c r="N888" s="8">
        <v>1</v>
      </c>
      <c r="O888" s="8">
        <v>10</v>
      </c>
      <c r="P888" s="8"/>
    </row>
    <row r="889" spans="1:16" hidden="1" x14ac:dyDescent="0.25">
      <c r="A889" s="7" t="s">
        <v>37</v>
      </c>
      <c r="B889" s="7" t="s">
        <v>343</v>
      </c>
      <c r="C889" s="8">
        <v>26974</v>
      </c>
      <c r="D889" s="7" t="s">
        <v>28</v>
      </c>
      <c r="E889" s="7" t="s">
        <v>29</v>
      </c>
      <c r="F889" s="7" t="s">
        <v>162</v>
      </c>
      <c r="G889" s="7" t="s">
        <v>18</v>
      </c>
      <c r="H889" s="7" t="s">
        <v>48</v>
      </c>
      <c r="I889" s="7" t="s">
        <v>712</v>
      </c>
      <c r="J889" s="7" t="s">
        <v>712</v>
      </c>
      <c r="K889" s="8">
        <v>6255403</v>
      </c>
      <c r="L889" s="8">
        <v>334897</v>
      </c>
      <c r="M889" s="8">
        <v>19</v>
      </c>
      <c r="N889" s="8">
        <v>3</v>
      </c>
      <c r="O889" s="8">
        <v>18.5</v>
      </c>
      <c r="P889" s="8"/>
    </row>
    <row r="890" spans="1:16" hidden="1" x14ac:dyDescent="0.25">
      <c r="A890" s="7" t="s">
        <v>37</v>
      </c>
      <c r="B890" s="7" t="s">
        <v>343</v>
      </c>
      <c r="C890" s="8">
        <v>26975</v>
      </c>
      <c r="D890" s="7" t="s">
        <v>28</v>
      </c>
      <c r="E890" s="7" t="s">
        <v>56</v>
      </c>
      <c r="F890" s="7" t="s">
        <v>382</v>
      </c>
      <c r="G890" s="7" t="s">
        <v>18</v>
      </c>
      <c r="H890" s="7" t="s">
        <v>48</v>
      </c>
      <c r="I890" s="7" t="s">
        <v>712</v>
      </c>
      <c r="J890" s="7" t="s">
        <v>712</v>
      </c>
      <c r="K890" s="8">
        <v>6264579</v>
      </c>
      <c r="L890" s="8">
        <v>337126</v>
      </c>
      <c r="M890" s="8">
        <v>19</v>
      </c>
      <c r="N890" s="8">
        <v>2</v>
      </c>
      <c r="O890" s="8">
        <v>50</v>
      </c>
      <c r="P890" s="8"/>
    </row>
    <row r="891" spans="1:16" hidden="1" x14ac:dyDescent="0.25">
      <c r="A891" s="7" t="s">
        <v>37</v>
      </c>
      <c r="B891" s="7" t="s">
        <v>343</v>
      </c>
      <c r="C891" s="8">
        <v>26976</v>
      </c>
      <c r="D891" s="7" t="s">
        <v>28</v>
      </c>
      <c r="E891" s="7" t="s">
        <v>84</v>
      </c>
      <c r="F891" s="7" t="s">
        <v>85</v>
      </c>
      <c r="G891" s="7" t="s">
        <v>18</v>
      </c>
      <c r="H891" s="7" t="s">
        <v>48</v>
      </c>
      <c r="I891" s="7" t="s">
        <v>712</v>
      </c>
      <c r="J891" s="7" t="s">
        <v>712</v>
      </c>
      <c r="K891" s="8">
        <v>6278544</v>
      </c>
      <c r="L891" s="8">
        <v>329829</v>
      </c>
      <c r="M891" s="8">
        <v>19</v>
      </c>
      <c r="N891" s="8">
        <v>2</v>
      </c>
      <c r="O891" s="8">
        <v>18</v>
      </c>
      <c r="P891" s="8"/>
    </row>
    <row r="892" spans="1:16" hidden="1" x14ac:dyDescent="0.25">
      <c r="A892" s="7" t="s">
        <v>37</v>
      </c>
      <c r="B892" s="7" t="s">
        <v>343</v>
      </c>
      <c r="C892" s="8">
        <v>26977</v>
      </c>
      <c r="D892" s="7" t="s">
        <v>28</v>
      </c>
      <c r="E892" s="7" t="s">
        <v>166</v>
      </c>
      <c r="F892" s="7" t="s">
        <v>147</v>
      </c>
      <c r="G892" s="7" t="s">
        <v>18</v>
      </c>
      <c r="H892" s="7" t="s">
        <v>48</v>
      </c>
      <c r="I892" s="7" t="s">
        <v>712</v>
      </c>
      <c r="J892" s="7" t="s">
        <v>712</v>
      </c>
      <c r="K892" s="8">
        <v>6276536</v>
      </c>
      <c r="L892" s="8">
        <v>338180</v>
      </c>
      <c r="M892" s="8">
        <v>19</v>
      </c>
      <c r="N892" s="8">
        <v>1</v>
      </c>
      <c r="O892" s="8">
        <v>13</v>
      </c>
      <c r="P892" s="8"/>
    </row>
    <row r="893" spans="1:16" hidden="1" x14ac:dyDescent="0.25">
      <c r="A893" s="7" t="s">
        <v>37</v>
      </c>
      <c r="B893" s="7" t="s">
        <v>343</v>
      </c>
      <c r="C893" s="8">
        <v>26978</v>
      </c>
      <c r="D893" s="7" t="s">
        <v>28</v>
      </c>
      <c r="E893" s="7" t="s">
        <v>29</v>
      </c>
      <c r="F893" s="7" t="s">
        <v>383</v>
      </c>
      <c r="G893" s="7" t="s">
        <v>18</v>
      </c>
      <c r="H893" s="7" t="s">
        <v>48</v>
      </c>
      <c r="I893" s="7" t="s">
        <v>712</v>
      </c>
      <c r="J893" s="7" t="s">
        <v>712</v>
      </c>
      <c r="K893" s="8">
        <v>6251091</v>
      </c>
      <c r="L893" s="8">
        <v>336555</v>
      </c>
      <c r="M893" s="8">
        <v>19</v>
      </c>
      <c r="N893" s="8">
        <v>1</v>
      </c>
      <c r="O893" s="8">
        <v>28</v>
      </c>
      <c r="P893" s="8"/>
    </row>
    <row r="894" spans="1:16" hidden="1" x14ac:dyDescent="0.25">
      <c r="A894" s="7" t="s">
        <v>14</v>
      </c>
      <c r="B894" s="7" t="s">
        <v>415</v>
      </c>
      <c r="C894" s="8">
        <v>26979</v>
      </c>
      <c r="D894" s="7" t="s">
        <v>322</v>
      </c>
      <c r="E894" s="7" t="s">
        <v>323</v>
      </c>
      <c r="F894" s="7" t="s">
        <v>422</v>
      </c>
      <c r="G894" s="7" t="s">
        <v>18</v>
      </c>
      <c r="H894" s="7" t="s">
        <v>689</v>
      </c>
      <c r="I894" s="7" t="s">
        <v>712</v>
      </c>
      <c r="J894" s="7" t="s">
        <v>712</v>
      </c>
      <c r="K894" s="8">
        <v>7952739</v>
      </c>
      <c r="L894" s="8">
        <v>371007</v>
      </c>
      <c r="M894" s="8">
        <v>19</v>
      </c>
      <c r="N894" s="8">
        <v>1</v>
      </c>
      <c r="O894" s="8">
        <v>0.92</v>
      </c>
      <c r="P894" s="8"/>
    </row>
    <row r="895" spans="1:16" hidden="1" x14ac:dyDescent="0.25">
      <c r="A895" s="7" t="s">
        <v>14</v>
      </c>
      <c r="B895" s="7" t="s">
        <v>415</v>
      </c>
      <c r="C895" s="8">
        <v>26980</v>
      </c>
      <c r="D895" s="7" t="s">
        <v>322</v>
      </c>
      <c r="E895" s="7" t="s">
        <v>323</v>
      </c>
      <c r="F895" s="7" t="s">
        <v>422</v>
      </c>
      <c r="G895" s="7" t="s">
        <v>18</v>
      </c>
      <c r="H895" s="7" t="s">
        <v>689</v>
      </c>
      <c r="I895" s="7" t="s">
        <v>712</v>
      </c>
      <c r="J895" s="7" t="s">
        <v>712</v>
      </c>
      <c r="K895" s="8">
        <v>7953403</v>
      </c>
      <c r="L895" s="8">
        <v>370706</v>
      </c>
      <c r="M895" s="8">
        <v>19</v>
      </c>
      <c r="N895" s="8">
        <v>1</v>
      </c>
      <c r="O895" s="8">
        <v>0.3</v>
      </c>
      <c r="P895" s="8"/>
    </row>
    <row r="896" spans="1:16" hidden="1" x14ac:dyDescent="0.25">
      <c r="A896" s="7" t="s">
        <v>37</v>
      </c>
      <c r="B896" s="7" t="s">
        <v>343</v>
      </c>
      <c r="C896" s="8">
        <v>26981</v>
      </c>
      <c r="D896" s="7" t="s">
        <v>28</v>
      </c>
      <c r="E896" s="7" t="s">
        <v>29</v>
      </c>
      <c r="F896" s="7" t="s">
        <v>352</v>
      </c>
      <c r="G896" s="7" t="s">
        <v>18</v>
      </c>
      <c r="H896" s="7" t="s">
        <v>48</v>
      </c>
      <c r="I896" s="7" t="s">
        <v>712</v>
      </c>
      <c r="J896" s="7" t="s">
        <v>691</v>
      </c>
      <c r="K896" s="8">
        <v>6246835</v>
      </c>
      <c r="L896" s="8">
        <v>338213</v>
      </c>
      <c r="M896" s="8">
        <v>19</v>
      </c>
      <c r="N896" s="8">
        <v>1</v>
      </c>
      <c r="O896" s="8">
        <v>0.2</v>
      </c>
      <c r="P896" s="8"/>
    </row>
    <row r="897" spans="1:16" hidden="1" x14ac:dyDescent="0.25">
      <c r="A897" s="7" t="s">
        <v>19</v>
      </c>
      <c r="B897" s="7" t="s">
        <v>270</v>
      </c>
      <c r="C897" s="8">
        <v>26982</v>
      </c>
      <c r="D897" s="7" t="s">
        <v>16</v>
      </c>
      <c r="E897" s="7" t="s">
        <v>17</v>
      </c>
      <c r="F897" s="7" t="s">
        <v>58</v>
      </c>
      <c r="G897" s="7" t="s">
        <v>18</v>
      </c>
      <c r="H897" s="7" t="s">
        <v>48</v>
      </c>
      <c r="I897" s="7" t="s">
        <v>712</v>
      </c>
      <c r="J897" s="7" t="s">
        <v>691</v>
      </c>
      <c r="K897" s="8">
        <v>6073098</v>
      </c>
      <c r="L897" s="8">
        <v>288570</v>
      </c>
      <c r="M897" s="8">
        <v>19</v>
      </c>
      <c r="N897" s="8">
        <v>5</v>
      </c>
      <c r="O897" s="8">
        <v>26.5</v>
      </c>
      <c r="P897" s="8"/>
    </row>
    <row r="898" spans="1:16" hidden="1" x14ac:dyDescent="0.25">
      <c r="A898" s="7" t="s">
        <v>37</v>
      </c>
      <c r="B898" s="7" t="s">
        <v>343</v>
      </c>
      <c r="C898" s="8">
        <v>26983</v>
      </c>
      <c r="D898" s="7" t="s">
        <v>28</v>
      </c>
      <c r="E898" s="7" t="s">
        <v>29</v>
      </c>
      <c r="F898" s="7" t="s">
        <v>352</v>
      </c>
      <c r="G898" s="7" t="s">
        <v>18</v>
      </c>
      <c r="H898" s="7" t="s">
        <v>48</v>
      </c>
      <c r="I898" s="7" t="s">
        <v>712</v>
      </c>
      <c r="J898" s="7" t="s">
        <v>712</v>
      </c>
      <c r="K898" s="8">
        <v>6246218</v>
      </c>
      <c r="L898" s="8">
        <v>338234</v>
      </c>
      <c r="M898" s="8">
        <v>19</v>
      </c>
      <c r="N898" s="8">
        <v>1</v>
      </c>
      <c r="O898" s="8">
        <v>0.2</v>
      </c>
      <c r="P898" s="8"/>
    </row>
    <row r="899" spans="1:16" hidden="1" x14ac:dyDescent="0.25">
      <c r="A899" s="7" t="s">
        <v>37</v>
      </c>
      <c r="B899" s="7" t="s">
        <v>343</v>
      </c>
      <c r="C899" s="8">
        <v>26984</v>
      </c>
      <c r="D899" s="7" t="s">
        <v>28</v>
      </c>
      <c r="E899" s="7" t="s">
        <v>29</v>
      </c>
      <c r="F899" s="7" t="s">
        <v>352</v>
      </c>
      <c r="G899" s="7" t="s">
        <v>18</v>
      </c>
      <c r="H899" s="7" t="s">
        <v>48</v>
      </c>
      <c r="I899" s="7" t="s">
        <v>712</v>
      </c>
      <c r="J899" s="7" t="s">
        <v>712</v>
      </c>
      <c r="K899" s="8">
        <v>6247514</v>
      </c>
      <c r="L899" s="8">
        <v>338686</v>
      </c>
      <c r="M899" s="8">
        <v>19</v>
      </c>
      <c r="N899" s="8">
        <v>1</v>
      </c>
      <c r="O899" s="8">
        <v>0.1</v>
      </c>
      <c r="P899" s="8"/>
    </row>
    <row r="900" spans="1:16" hidden="1" x14ac:dyDescent="0.25">
      <c r="A900" s="7" t="s">
        <v>37</v>
      </c>
      <c r="B900" s="7" t="s">
        <v>270</v>
      </c>
      <c r="C900" s="8">
        <v>26985</v>
      </c>
      <c r="D900" s="7" t="s">
        <v>52</v>
      </c>
      <c r="E900" s="7" t="s">
        <v>153</v>
      </c>
      <c r="F900" s="7" t="s">
        <v>153</v>
      </c>
      <c r="G900" s="7" t="s">
        <v>18</v>
      </c>
      <c r="H900" s="7" t="s">
        <v>48</v>
      </c>
      <c r="I900" s="7" t="s">
        <v>712</v>
      </c>
      <c r="J900" s="7" t="s">
        <v>712</v>
      </c>
      <c r="K900" s="8">
        <v>6201173</v>
      </c>
      <c r="L900" s="8">
        <v>336668</v>
      </c>
      <c r="M900" s="8">
        <v>19</v>
      </c>
      <c r="N900" s="8">
        <v>1</v>
      </c>
      <c r="O900" s="8">
        <v>17</v>
      </c>
      <c r="P900" s="8"/>
    </row>
    <row r="901" spans="1:16" hidden="1" x14ac:dyDescent="0.25">
      <c r="A901" s="7" t="s">
        <v>37</v>
      </c>
      <c r="B901" s="7" t="s">
        <v>343</v>
      </c>
      <c r="C901" s="8">
        <v>26986</v>
      </c>
      <c r="D901" s="7" t="s">
        <v>28</v>
      </c>
      <c r="E901" s="7" t="s">
        <v>29</v>
      </c>
      <c r="F901" s="7" t="s">
        <v>352</v>
      </c>
      <c r="G901" s="7" t="s">
        <v>18</v>
      </c>
      <c r="H901" s="7" t="s">
        <v>48</v>
      </c>
      <c r="I901" s="7" t="s">
        <v>712</v>
      </c>
      <c r="J901" s="7" t="s">
        <v>712</v>
      </c>
      <c r="K901" s="8">
        <v>6247514</v>
      </c>
      <c r="L901" s="8">
        <v>338686</v>
      </c>
      <c r="M901" s="8">
        <v>19</v>
      </c>
      <c r="N901" s="8">
        <v>1</v>
      </c>
      <c r="O901" s="8">
        <v>0.2</v>
      </c>
      <c r="P901" s="8"/>
    </row>
    <row r="902" spans="1:16" hidden="1" x14ac:dyDescent="0.25">
      <c r="A902" s="7" t="s">
        <v>37</v>
      </c>
      <c r="B902" s="7" t="s">
        <v>343</v>
      </c>
      <c r="C902" s="8">
        <v>26987</v>
      </c>
      <c r="D902" s="7" t="s">
        <v>28</v>
      </c>
      <c r="E902" s="7" t="s">
        <v>29</v>
      </c>
      <c r="F902" s="7" t="s">
        <v>352</v>
      </c>
      <c r="G902" s="7" t="s">
        <v>18</v>
      </c>
      <c r="H902" s="7" t="s">
        <v>48</v>
      </c>
      <c r="I902" s="7" t="s">
        <v>712</v>
      </c>
      <c r="J902" s="7" t="s">
        <v>712</v>
      </c>
      <c r="K902" s="8">
        <v>6247514</v>
      </c>
      <c r="L902" s="8">
        <v>338686</v>
      </c>
      <c r="M902" s="8">
        <v>19</v>
      </c>
      <c r="N902" s="8">
        <v>1</v>
      </c>
      <c r="O902" s="8">
        <v>0.1</v>
      </c>
      <c r="P902" s="8"/>
    </row>
    <row r="903" spans="1:16" hidden="1" x14ac:dyDescent="0.25">
      <c r="A903" s="7" t="s">
        <v>37</v>
      </c>
      <c r="B903" s="7" t="s">
        <v>343</v>
      </c>
      <c r="C903" s="8">
        <v>26988</v>
      </c>
      <c r="D903" s="7" t="s">
        <v>28</v>
      </c>
      <c r="E903" s="7" t="s">
        <v>29</v>
      </c>
      <c r="F903" s="7" t="s">
        <v>352</v>
      </c>
      <c r="G903" s="7" t="s">
        <v>18</v>
      </c>
      <c r="H903" s="7" t="s">
        <v>48</v>
      </c>
      <c r="I903" s="7" t="s">
        <v>712</v>
      </c>
      <c r="J903" s="7" t="s">
        <v>712</v>
      </c>
      <c r="K903" s="8">
        <v>6247514</v>
      </c>
      <c r="L903" s="8">
        <v>338686</v>
      </c>
      <c r="M903" s="8">
        <v>19</v>
      </c>
      <c r="N903" s="8">
        <v>1</v>
      </c>
      <c r="O903" s="8">
        <v>0.1</v>
      </c>
      <c r="P903" s="8"/>
    </row>
    <row r="904" spans="1:16" hidden="1" x14ac:dyDescent="0.25">
      <c r="A904" s="7" t="s">
        <v>37</v>
      </c>
      <c r="B904" s="7" t="s">
        <v>270</v>
      </c>
      <c r="C904" s="8">
        <v>26989</v>
      </c>
      <c r="D904" s="7" t="s">
        <v>21</v>
      </c>
      <c r="E904" s="7" t="s">
        <v>584</v>
      </c>
      <c r="F904" s="7" t="s">
        <v>609</v>
      </c>
      <c r="G904" s="7" t="s">
        <v>18</v>
      </c>
      <c r="H904" s="7" t="s">
        <v>24</v>
      </c>
      <c r="I904" s="7" t="s">
        <v>712</v>
      </c>
      <c r="J904" s="7" t="s">
        <v>712</v>
      </c>
      <c r="K904" s="8">
        <v>6368350</v>
      </c>
      <c r="L904" s="8">
        <v>317278</v>
      </c>
      <c r="M904" s="8">
        <v>19</v>
      </c>
      <c r="N904" s="8">
        <v>1</v>
      </c>
      <c r="O904" s="8">
        <v>2</v>
      </c>
      <c r="P904" s="8"/>
    </row>
    <row r="905" spans="1:16" hidden="1" x14ac:dyDescent="0.25">
      <c r="A905" s="7" t="s">
        <v>19</v>
      </c>
      <c r="B905" s="7" t="s">
        <v>124</v>
      </c>
      <c r="C905" s="8">
        <v>26990</v>
      </c>
      <c r="D905" s="7" t="s">
        <v>52</v>
      </c>
      <c r="E905" s="7" t="s">
        <v>132</v>
      </c>
      <c r="F905" s="7" t="s">
        <v>133</v>
      </c>
      <c r="G905" s="7" t="s">
        <v>18</v>
      </c>
      <c r="H905" s="7" t="s">
        <v>48</v>
      </c>
      <c r="I905" s="7" t="s">
        <v>712</v>
      </c>
      <c r="J905" s="7" t="s">
        <v>691</v>
      </c>
      <c r="K905" s="8">
        <v>6216876</v>
      </c>
      <c r="L905" s="8">
        <v>345385</v>
      </c>
      <c r="M905" s="8">
        <v>19</v>
      </c>
      <c r="N905" s="8">
        <v>1</v>
      </c>
      <c r="O905" s="8">
        <v>23</v>
      </c>
      <c r="P905" s="8"/>
    </row>
    <row r="906" spans="1:16" hidden="1" x14ac:dyDescent="0.25">
      <c r="A906" s="7" t="s">
        <v>37</v>
      </c>
      <c r="B906" s="7" t="s">
        <v>343</v>
      </c>
      <c r="C906" s="8">
        <v>26992</v>
      </c>
      <c r="D906" s="7" t="s">
        <v>52</v>
      </c>
      <c r="E906" s="7" t="s">
        <v>53</v>
      </c>
      <c r="F906" s="7" t="s">
        <v>55</v>
      </c>
      <c r="G906" s="7" t="s">
        <v>18</v>
      </c>
      <c r="H906" s="7" t="s">
        <v>48</v>
      </c>
      <c r="I906" s="7" t="s">
        <v>712</v>
      </c>
      <c r="J906" s="7" t="s">
        <v>712</v>
      </c>
      <c r="K906" s="8">
        <v>6158553</v>
      </c>
      <c r="L906" s="8">
        <v>315782</v>
      </c>
      <c r="M906" s="8">
        <v>19</v>
      </c>
      <c r="N906" s="8">
        <v>3</v>
      </c>
      <c r="O906" s="8">
        <v>28.4</v>
      </c>
      <c r="P906" s="8"/>
    </row>
    <row r="907" spans="1:16" hidden="1" x14ac:dyDescent="0.25">
      <c r="A907" s="7" t="s">
        <v>19</v>
      </c>
      <c r="B907" s="7" t="s">
        <v>408</v>
      </c>
      <c r="C907" s="8">
        <v>26994</v>
      </c>
      <c r="D907" s="7" t="s">
        <v>28</v>
      </c>
      <c r="E907" s="7" t="s">
        <v>146</v>
      </c>
      <c r="F907" s="7" t="s">
        <v>393</v>
      </c>
      <c r="G907" s="7" t="s">
        <v>18</v>
      </c>
      <c r="H907" s="7" t="s">
        <v>24</v>
      </c>
      <c r="I907" s="7" t="s">
        <v>712</v>
      </c>
      <c r="J907" s="7" t="s">
        <v>712</v>
      </c>
      <c r="K907" s="8" t="s">
        <v>686</v>
      </c>
      <c r="L907" s="8" t="s">
        <v>686</v>
      </c>
      <c r="M907" s="8" t="s">
        <v>686</v>
      </c>
      <c r="N907" s="8">
        <v>1</v>
      </c>
      <c r="O907" s="8">
        <v>0.18</v>
      </c>
      <c r="P907" s="8"/>
    </row>
    <row r="908" spans="1:16" hidden="1" x14ac:dyDescent="0.25">
      <c r="A908" s="7" t="s">
        <v>19</v>
      </c>
      <c r="B908" s="7" t="s">
        <v>270</v>
      </c>
      <c r="C908" s="8">
        <v>26995</v>
      </c>
      <c r="D908" s="7" t="s">
        <v>21</v>
      </c>
      <c r="E908" s="7" t="s">
        <v>342</v>
      </c>
      <c r="F908" s="7" t="s">
        <v>610</v>
      </c>
      <c r="G908" s="7" t="s">
        <v>18</v>
      </c>
      <c r="H908" s="7" t="s">
        <v>24</v>
      </c>
      <c r="I908" s="7" t="s">
        <v>712</v>
      </c>
      <c r="J908" s="7" t="s">
        <v>712</v>
      </c>
      <c r="K908" s="8">
        <v>6366386</v>
      </c>
      <c r="L908" s="8">
        <v>304881</v>
      </c>
      <c r="M908" s="8">
        <v>19</v>
      </c>
      <c r="N908" s="8">
        <v>1</v>
      </c>
      <c r="O908" s="8">
        <v>1.2</v>
      </c>
      <c r="P908" s="8"/>
    </row>
    <row r="909" spans="1:16" hidden="1" x14ac:dyDescent="0.25">
      <c r="A909" s="7" t="s">
        <v>37</v>
      </c>
      <c r="B909" s="7" t="s">
        <v>270</v>
      </c>
      <c r="C909" s="8">
        <v>26997</v>
      </c>
      <c r="D909" s="7" t="s">
        <v>52</v>
      </c>
      <c r="E909" s="7" t="s">
        <v>53</v>
      </c>
      <c r="F909" s="7" t="s">
        <v>360</v>
      </c>
      <c r="G909" s="7" t="s">
        <v>18</v>
      </c>
      <c r="H909" s="7" t="s">
        <v>48</v>
      </c>
      <c r="I909" s="7" t="s">
        <v>712</v>
      </c>
      <c r="J909" s="7" t="s">
        <v>712</v>
      </c>
      <c r="K909" s="8">
        <v>6153225</v>
      </c>
      <c r="L909" s="8">
        <v>317776</v>
      </c>
      <c r="M909" s="8">
        <v>19</v>
      </c>
      <c r="N909" s="8">
        <v>1</v>
      </c>
      <c r="O909" s="8">
        <v>17</v>
      </c>
      <c r="P909" s="8"/>
    </row>
    <row r="910" spans="1:16" hidden="1" x14ac:dyDescent="0.25">
      <c r="A910" s="7" t="s">
        <v>37</v>
      </c>
      <c r="B910" s="7" t="s">
        <v>92</v>
      </c>
      <c r="C910" s="8">
        <v>26998</v>
      </c>
      <c r="D910" s="7" t="s">
        <v>34</v>
      </c>
      <c r="E910" s="7" t="s">
        <v>101</v>
      </c>
      <c r="F910" s="7" t="s">
        <v>101</v>
      </c>
      <c r="G910" s="7" t="s">
        <v>43</v>
      </c>
      <c r="H910" s="7" t="s">
        <v>48</v>
      </c>
      <c r="I910" s="7" t="s">
        <v>712</v>
      </c>
      <c r="J910" s="7" t="s">
        <v>712</v>
      </c>
      <c r="K910" s="8">
        <v>5913004</v>
      </c>
      <c r="L910" s="8">
        <v>240686</v>
      </c>
      <c r="M910" s="8">
        <v>19</v>
      </c>
      <c r="N910" s="8">
        <v>1</v>
      </c>
      <c r="O910" s="8">
        <v>26</v>
      </c>
      <c r="P910" s="8"/>
    </row>
    <row r="911" spans="1:16" hidden="1" x14ac:dyDescent="0.25">
      <c r="A911" s="7" t="s">
        <v>37</v>
      </c>
      <c r="B911" s="7" t="s">
        <v>124</v>
      </c>
      <c r="C911" s="8">
        <v>26999</v>
      </c>
      <c r="D911" s="7" t="s">
        <v>52</v>
      </c>
      <c r="E911" s="7" t="s">
        <v>141</v>
      </c>
      <c r="F911" s="7" t="s">
        <v>141</v>
      </c>
      <c r="G911" s="7" t="s">
        <v>18</v>
      </c>
      <c r="H911" s="7" t="s">
        <v>48</v>
      </c>
      <c r="I911" s="7" t="s">
        <v>712</v>
      </c>
      <c r="J911" s="7" t="s">
        <v>691</v>
      </c>
      <c r="K911" s="8">
        <v>6220297</v>
      </c>
      <c r="L911" s="8">
        <v>342979</v>
      </c>
      <c r="M911" s="8">
        <v>19</v>
      </c>
      <c r="N911" s="8">
        <v>1</v>
      </c>
      <c r="O911" s="8">
        <v>20.2</v>
      </c>
      <c r="P911" s="8"/>
    </row>
    <row r="912" spans="1:16" hidden="1" x14ac:dyDescent="0.25">
      <c r="A912" s="7" t="s">
        <v>19</v>
      </c>
      <c r="B912" s="7" t="s">
        <v>270</v>
      </c>
      <c r="C912" s="8">
        <v>27000</v>
      </c>
      <c r="D912" s="7" t="s">
        <v>52</v>
      </c>
      <c r="E912" s="7" t="s">
        <v>273</v>
      </c>
      <c r="F912" s="7" t="s">
        <v>373</v>
      </c>
      <c r="G912" s="7" t="s">
        <v>43</v>
      </c>
      <c r="H912" s="7" t="s">
        <v>24</v>
      </c>
      <c r="I912" s="7" t="s">
        <v>712</v>
      </c>
      <c r="J912" s="7" t="s">
        <v>712</v>
      </c>
      <c r="K912" s="8">
        <v>6161835</v>
      </c>
      <c r="L912" s="8">
        <v>291459</v>
      </c>
      <c r="M912" s="8">
        <v>19</v>
      </c>
      <c r="N912" s="8">
        <v>1</v>
      </c>
      <c r="O912" s="8">
        <v>0.18</v>
      </c>
      <c r="P912" s="8"/>
    </row>
    <row r="913" spans="1:16" hidden="1" x14ac:dyDescent="0.25">
      <c r="A913" s="7" t="s">
        <v>37</v>
      </c>
      <c r="B913" s="7" t="s">
        <v>92</v>
      </c>
      <c r="C913" s="8">
        <v>27001</v>
      </c>
      <c r="D913" s="7" t="s">
        <v>34</v>
      </c>
      <c r="E913" s="7" t="s">
        <v>112</v>
      </c>
      <c r="F913" s="7" t="s">
        <v>112</v>
      </c>
      <c r="G913" s="7" t="s">
        <v>43</v>
      </c>
      <c r="H913" s="7" t="s">
        <v>48</v>
      </c>
      <c r="I913" s="7" t="s">
        <v>712</v>
      </c>
      <c r="J913" s="7" t="s">
        <v>712</v>
      </c>
      <c r="K913" s="8">
        <v>5890119</v>
      </c>
      <c r="L913" s="8">
        <v>237104</v>
      </c>
      <c r="M913" s="8">
        <v>19</v>
      </c>
      <c r="N913" s="8">
        <v>1</v>
      </c>
      <c r="O913" s="8">
        <v>40</v>
      </c>
      <c r="P913" s="8"/>
    </row>
    <row r="914" spans="1:16" hidden="1" x14ac:dyDescent="0.25">
      <c r="A914" s="7" t="s">
        <v>37</v>
      </c>
      <c r="B914" s="7" t="s">
        <v>92</v>
      </c>
      <c r="C914" s="8">
        <v>27002</v>
      </c>
      <c r="D914" s="7" t="s">
        <v>34</v>
      </c>
      <c r="E914" s="7" t="s">
        <v>35</v>
      </c>
      <c r="F914" s="7" t="s">
        <v>113</v>
      </c>
      <c r="G914" s="7" t="s">
        <v>43</v>
      </c>
      <c r="H914" s="7" t="s">
        <v>48</v>
      </c>
      <c r="I914" s="7" t="s">
        <v>712</v>
      </c>
      <c r="J914" s="7" t="s">
        <v>712</v>
      </c>
      <c r="K914" s="8">
        <v>5852823</v>
      </c>
      <c r="L914" s="8">
        <v>757624</v>
      </c>
      <c r="M914" s="8">
        <v>18</v>
      </c>
      <c r="N914" s="8">
        <v>1</v>
      </c>
      <c r="O914" s="8">
        <v>20</v>
      </c>
      <c r="P914" s="8"/>
    </row>
    <row r="915" spans="1:16" hidden="1" x14ac:dyDescent="0.25">
      <c r="A915" s="7" t="s">
        <v>37</v>
      </c>
      <c r="B915" s="7" t="s">
        <v>343</v>
      </c>
      <c r="C915" s="8">
        <v>27003</v>
      </c>
      <c r="D915" s="7" t="s">
        <v>52</v>
      </c>
      <c r="E915" s="7" t="s">
        <v>53</v>
      </c>
      <c r="F915" s="7" t="s">
        <v>53</v>
      </c>
      <c r="G915" s="7" t="s">
        <v>18</v>
      </c>
      <c r="H915" s="7" t="s">
        <v>48</v>
      </c>
      <c r="I915" s="7" t="s">
        <v>712</v>
      </c>
      <c r="J915" s="7" t="s">
        <v>712</v>
      </c>
      <c r="K915" s="8">
        <v>6162407</v>
      </c>
      <c r="L915" s="8">
        <v>314410</v>
      </c>
      <c r="M915" s="8">
        <v>19</v>
      </c>
      <c r="N915" s="8">
        <v>6</v>
      </c>
      <c r="O915" s="8">
        <v>58.5</v>
      </c>
      <c r="P915" s="8"/>
    </row>
    <row r="916" spans="1:16" hidden="1" x14ac:dyDescent="0.25">
      <c r="A916" s="7" t="s">
        <v>37</v>
      </c>
      <c r="B916" s="7" t="s">
        <v>343</v>
      </c>
      <c r="C916" s="8">
        <v>27006</v>
      </c>
      <c r="D916" s="7" t="s">
        <v>52</v>
      </c>
      <c r="E916" s="7" t="s">
        <v>159</v>
      </c>
      <c r="F916" s="7" t="s">
        <v>384</v>
      </c>
      <c r="G916" s="7" t="s">
        <v>18</v>
      </c>
      <c r="H916" s="7" t="s">
        <v>48</v>
      </c>
      <c r="I916" s="7" t="s">
        <v>712</v>
      </c>
      <c r="J916" s="7" t="s">
        <v>712</v>
      </c>
      <c r="K916" s="8">
        <v>6235984</v>
      </c>
      <c r="L916" s="8">
        <v>341094</v>
      </c>
      <c r="M916" s="8">
        <v>19</v>
      </c>
      <c r="N916" s="8">
        <v>5</v>
      </c>
      <c r="O916" s="8">
        <v>47</v>
      </c>
      <c r="P916" s="8"/>
    </row>
    <row r="917" spans="1:16" hidden="1" x14ac:dyDescent="0.25">
      <c r="A917" s="7" t="s">
        <v>37</v>
      </c>
      <c r="B917" s="7" t="s">
        <v>343</v>
      </c>
      <c r="C917" s="8">
        <v>27009</v>
      </c>
      <c r="D917" s="7" t="s">
        <v>52</v>
      </c>
      <c r="E917" s="7" t="s">
        <v>53</v>
      </c>
      <c r="F917" s="7" t="s">
        <v>53</v>
      </c>
      <c r="G917" s="7" t="s">
        <v>18</v>
      </c>
      <c r="H917" s="7" t="s">
        <v>48</v>
      </c>
      <c r="I917" s="7" t="s">
        <v>712</v>
      </c>
      <c r="J917" s="7" t="s">
        <v>712</v>
      </c>
      <c r="K917" s="8">
        <v>6154135</v>
      </c>
      <c r="L917" s="8">
        <v>311811</v>
      </c>
      <c r="M917" s="8">
        <v>19</v>
      </c>
      <c r="N917" s="8">
        <v>2</v>
      </c>
      <c r="O917" s="8">
        <v>56</v>
      </c>
      <c r="P917" s="8"/>
    </row>
    <row r="918" spans="1:16" hidden="1" x14ac:dyDescent="0.25">
      <c r="A918" s="7" t="s">
        <v>37</v>
      </c>
      <c r="B918" s="7" t="s">
        <v>270</v>
      </c>
      <c r="C918" s="8">
        <v>27013</v>
      </c>
      <c r="D918" s="7" t="s">
        <v>21</v>
      </c>
      <c r="E918" s="7" t="s">
        <v>584</v>
      </c>
      <c r="F918" s="7" t="s">
        <v>612</v>
      </c>
      <c r="G918" s="7" t="s">
        <v>18</v>
      </c>
      <c r="H918" s="7" t="s">
        <v>48</v>
      </c>
      <c r="I918" s="7" t="s">
        <v>712</v>
      </c>
      <c r="J918" s="7" t="s">
        <v>712</v>
      </c>
      <c r="K918" s="8">
        <v>6380517</v>
      </c>
      <c r="L918" s="8">
        <v>318570</v>
      </c>
      <c r="M918" s="8">
        <v>19</v>
      </c>
      <c r="N918" s="8">
        <v>1</v>
      </c>
      <c r="O918" s="8">
        <v>3.2</v>
      </c>
      <c r="P918" s="8"/>
    </row>
    <row r="919" spans="1:16" hidden="1" x14ac:dyDescent="0.25">
      <c r="A919" s="7" t="s">
        <v>19</v>
      </c>
      <c r="B919" s="7" t="s">
        <v>124</v>
      </c>
      <c r="C919" s="8">
        <v>27018</v>
      </c>
      <c r="D919" s="7" t="s">
        <v>52</v>
      </c>
      <c r="E919" s="7" t="s">
        <v>145</v>
      </c>
      <c r="F919" s="7" t="s">
        <v>145</v>
      </c>
      <c r="G919" s="7" t="s">
        <v>18</v>
      </c>
      <c r="H919" s="7" t="s">
        <v>48</v>
      </c>
      <c r="I919" s="7" t="s">
        <v>712</v>
      </c>
      <c r="J919" s="7" t="s">
        <v>691</v>
      </c>
      <c r="K919" s="8">
        <v>6168911</v>
      </c>
      <c r="L919" s="8">
        <v>317244</v>
      </c>
      <c r="M919" s="8">
        <v>19</v>
      </c>
      <c r="N919" s="8">
        <v>1</v>
      </c>
      <c r="O919" s="8">
        <v>12</v>
      </c>
      <c r="P919" s="8"/>
    </row>
    <row r="920" spans="1:16" hidden="1" x14ac:dyDescent="0.25">
      <c r="A920" s="7" t="s">
        <v>19</v>
      </c>
      <c r="B920" s="7" t="s">
        <v>651</v>
      </c>
      <c r="C920" s="8">
        <v>27021</v>
      </c>
      <c r="D920" s="7" t="s">
        <v>52</v>
      </c>
      <c r="E920" s="7" t="s">
        <v>139</v>
      </c>
      <c r="F920" s="7" t="s">
        <v>652</v>
      </c>
      <c r="G920" s="7" t="s">
        <v>18</v>
      </c>
      <c r="H920" s="7" t="s">
        <v>48</v>
      </c>
      <c r="I920" s="7" t="s">
        <v>712</v>
      </c>
      <c r="J920" s="7" t="s">
        <v>712</v>
      </c>
      <c r="K920" s="8">
        <v>6226320</v>
      </c>
      <c r="L920" s="8">
        <v>336421</v>
      </c>
      <c r="M920" s="8">
        <v>19</v>
      </c>
      <c r="N920" s="8">
        <v>5</v>
      </c>
      <c r="O920" s="8">
        <v>25</v>
      </c>
      <c r="P920" s="8"/>
    </row>
    <row r="921" spans="1:16" hidden="1" x14ac:dyDescent="0.25">
      <c r="A921" s="7" t="s">
        <v>37</v>
      </c>
      <c r="B921" s="7" t="s">
        <v>270</v>
      </c>
      <c r="C921" s="8">
        <v>27028</v>
      </c>
      <c r="D921" s="7" t="s">
        <v>16</v>
      </c>
      <c r="E921" s="7" t="s">
        <v>60</v>
      </c>
      <c r="F921" s="7" t="s">
        <v>613</v>
      </c>
      <c r="G921" s="7" t="s">
        <v>18</v>
      </c>
      <c r="H921" s="7" t="s">
        <v>48</v>
      </c>
      <c r="I921" s="7" t="s">
        <v>712</v>
      </c>
      <c r="J921" s="7" t="s">
        <v>712</v>
      </c>
      <c r="K921" s="8">
        <v>6077686</v>
      </c>
      <c r="L921" s="8">
        <v>276179</v>
      </c>
      <c r="M921" s="8">
        <v>19</v>
      </c>
      <c r="N921" s="8">
        <v>7</v>
      </c>
      <c r="O921" s="8">
        <v>30</v>
      </c>
      <c r="P921" s="8"/>
    </row>
    <row r="922" spans="1:16" hidden="1" x14ac:dyDescent="0.25">
      <c r="A922" s="7" t="s">
        <v>19</v>
      </c>
      <c r="B922" s="7" t="s">
        <v>270</v>
      </c>
      <c r="C922" s="8">
        <v>27029</v>
      </c>
      <c r="D922" s="7" t="s">
        <v>16</v>
      </c>
      <c r="E922" s="7" t="s">
        <v>50</v>
      </c>
      <c r="F922" s="7" t="s">
        <v>537</v>
      </c>
      <c r="G922" s="7" t="s">
        <v>18</v>
      </c>
      <c r="H922" s="7" t="s">
        <v>48</v>
      </c>
      <c r="I922" s="7" t="s">
        <v>712</v>
      </c>
      <c r="J922" s="7" t="s">
        <v>712</v>
      </c>
      <c r="K922" s="8">
        <v>6068020</v>
      </c>
      <c r="L922" s="8">
        <v>272781</v>
      </c>
      <c r="M922" s="8">
        <v>19</v>
      </c>
      <c r="N922" s="8">
        <v>1</v>
      </c>
      <c r="O922" s="8">
        <v>8.5</v>
      </c>
      <c r="P922" s="8"/>
    </row>
    <row r="923" spans="1:16" hidden="1" x14ac:dyDescent="0.25">
      <c r="A923" s="7" t="s">
        <v>37</v>
      </c>
      <c r="B923" s="7" t="s">
        <v>270</v>
      </c>
      <c r="C923" s="8">
        <v>27030</v>
      </c>
      <c r="D923" s="7" t="s">
        <v>52</v>
      </c>
      <c r="E923" s="7" t="s">
        <v>53</v>
      </c>
      <c r="F923" s="7" t="s">
        <v>614</v>
      </c>
      <c r="G923" s="7" t="s">
        <v>18</v>
      </c>
      <c r="H923" s="7" t="s">
        <v>48</v>
      </c>
      <c r="I923" s="7" t="s">
        <v>712</v>
      </c>
      <c r="J923" s="7" t="s">
        <v>712</v>
      </c>
      <c r="K923" s="8">
        <v>6153814</v>
      </c>
      <c r="L923" s="8">
        <v>309433</v>
      </c>
      <c r="M923" s="8">
        <v>19</v>
      </c>
      <c r="N923" s="8">
        <v>3</v>
      </c>
      <c r="O923" s="8">
        <v>45</v>
      </c>
      <c r="P923" s="8"/>
    </row>
    <row r="924" spans="1:16" hidden="1" x14ac:dyDescent="0.25">
      <c r="A924" s="7" t="s">
        <v>37</v>
      </c>
      <c r="B924" s="7" t="s">
        <v>270</v>
      </c>
      <c r="C924" s="8">
        <v>27031</v>
      </c>
      <c r="D924" s="7" t="s">
        <v>21</v>
      </c>
      <c r="E924" s="7" t="s">
        <v>342</v>
      </c>
      <c r="F924" s="7" t="s">
        <v>22</v>
      </c>
      <c r="G924" s="7" t="s">
        <v>18</v>
      </c>
      <c r="H924" s="7" t="s">
        <v>24</v>
      </c>
      <c r="I924" s="7" t="s">
        <v>712</v>
      </c>
      <c r="J924" s="7" t="s">
        <v>712</v>
      </c>
      <c r="K924" s="8">
        <v>6376505</v>
      </c>
      <c r="L924" s="8">
        <v>292797</v>
      </c>
      <c r="M924" s="8">
        <v>19</v>
      </c>
      <c r="N924" s="8">
        <v>1</v>
      </c>
      <c r="O924" s="8">
        <v>1.8</v>
      </c>
      <c r="P924" s="8"/>
    </row>
    <row r="925" spans="1:16" hidden="1" x14ac:dyDescent="0.25">
      <c r="A925" s="7" t="s">
        <v>19</v>
      </c>
      <c r="B925" s="7" t="s">
        <v>651</v>
      </c>
      <c r="C925" s="8">
        <v>27032</v>
      </c>
      <c r="D925" s="7" t="s">
        <v>52</v>
      </c>
      <c r="E925" s="7" t="s">
        <v>141</v>
      </c>
      <c r="F925" s="7" t="s">
        <v>165</v>
      </c>
      <c r="G925" s="7" t="s">
        <v>18</v>
      </c>
      <c r="H925" s="7" t="s">
        <v>48</v>
      </c>
      <c r="I925" s="7" t="s">
        <v>712</v>
      </c>
      <c r="J925" s="7" t="s">
        <v>691</v>
      </c>
      <c r="K925" s="8">
        <v>6221504</v>
      </c>
      <c r="L925" s="8">
        <v>332237</v>
      </c>
      <c r="M925" s="8">
        <v>19</v>
      </c>
      <c r="N925" s="8">
        <v>1</v>
      </c>
      <c r="O925" s="8">
        <v>40</v>
      </c>
      <c r="P925" s="8"/>
    </row>
    <row r="926" spans="1:16" hidden="1" x14ac:dyDescent="0.25">
      <c r="A926" s="7" t="s">
        <v>19</v>
      </c>
      <c r="B926" s="7" t="s">
        <v>270</v>
      </c>
      <c r="C926" s="8">
        <v>27033</v>
      </c>
      <c r="D926" s="7" t="s">
        <v>16</v>
      </c>
      <c r="E926" s="7" t="s">
        <v>17</v>
      </c>
      <c r="F926" s="7" t="s">
        <v>58</v>
      </c>
      <c r="G926" s="7" t="s">
        <v>18</v>
      </c>
      <c r="H926" s="7" t="s">
        <v>48</v>
      </c>
      <c r="I926" s="7" t="s">
        <v>712</v>
      </c>
      <c r="J926" s="7" t="s">
        <v>691</v>
      </c>
      <c r="K926" s="8">
        <v>6073592</v>
      </c>
      <c r="L926" s="8">
        <v>288729</v>
      </c>
      <c r="M926" s="8">
        <v>19</v>
      </c>
      <c r="N926" s="8">
        <v>1</v>
      </c>
      <c r="O926" s="8">
        <v>7</v>
      </c>
      <c r="P926" s="8"/>
    </row>
    <row r="927" spans="1:16" hidden="1" x14ac:dyDescent="0.25">
      <c r="A927" s="7" t="s">
        <v>19</v>
      </c>
      <c r="B927" s="7" t="s">
        <v>651</v>
      </c>
      <c r="C927" s="8">
        <v>27034</v>
      </c>
      <c r="D927" s="7" t="s">
        <v>52</v>
      </c>
      <c r="E927" s="7" t="s">
        <v>141</v>
      </c>
      <c r="F927" s="7" t="s">
        <v>165</v>
      </c>
      <c r="G927" s="7" t="s">
        <v>18</v>
      </c>
      <c r="H927" s="7" t="s">
        <v>48</v>
      </c>
      <c r="I927" s="7" t="s">
        <v>712</v>
      </c>
      <c r="J927" s="7" t="s">
        <v>691</v>
      </c>
      <c r="K927" s="8">
        <v>6220603</v>
      </c>
      <c r="L927" s="8">
        <v>332296</v>
      </c>
      <c r="M927" s="8">
        <v>19</v>
      </c>
      <c r="N927" s="8">
        <v>1</v>
      </c>
      <c r="O927" s="8">
        <v>22</v>
      </c>
      <c r="P927" s="8"/>
    </row>
    <row r="928" spans="1:16" hidden="1" x14ac:dyDescent="0.25">
      <c r="A928" s="7" t="s">
        <v>19</v>
      </c>
      <c r="B928" s="7" t="s">
        <v>651</v>
      </c>
      <c r="C928" s="8">
        <v>27035</v>
      </c>
      <c r="D928" s="7" t="s">
        <v>52</v>
      </c>
      <c r="E928" s="7" t="s">
        <v>141</v>
      </c>
      <c r="F928" s="7" t="s">
        <v>165</v>
      </c>
      <c r="G928" s="7" t="s">
        <v>18</v>
      </c>
      <c r="H928" s="7" t="s">
        <v>48</v>
      </c>
      <c r="I928" s="7" t="s">
        <v>712</v>
      </c>
      <c r="J928" s="7" t="s">
        <v>691</v>
      </c>
      <c r="K928" s="8">
        <v>6220544</v>
      </c>
      <c r="L928" s="8">
        <v>332674</v>
      </c>
      <c r="M928" s="8">
        <v>19</v>
      </c>
      <c r="N928" s="8">
        <v>1</v>
      </c>
      <c r="O928" s="8">
        <v>14</v>
      </c>
      <c r="P928" s="8"/>
    </row>
    <row r="929" spans="1:16" hidden="1" x14ac:dyDescent="0.25">
      <c r="A929" s="7" t="s">
        <v>14</v>
      </c>
      <c r="B929" s="7" t="s">
        <v>415</v>
      </c>
      <c r="C929" s="8">
        <v>27036</v>
      </c>
      <c r="D929" s="7" t="s">
        <v>185</v>
      </c>
      <c r="E929" s="7" t="s">
        <v>490</v>
      </c>
      <c r="F929" s="7" t="s">
        <v>491</v>
      </c>
      <c r="G929" s="7" t="s">
        <v>18</v>
      </c>
      <c r="H929" s="7" t="s">
        <v>689</v>
      </c>
      <c r="I929" s="7" t="s">
        <v>712</v>
      </c>
      <c r="J929" s="7" t="s">
        <v>712</v>
      </c>
      <c r="K929" s="8">
        <v>5535137</v>
      </c>
      <c r="L929" s="8">
        <v>691815</v>
      </c>
      <c r="M929" s="8">
        <v>18</v>
      </c>
      <c r="N929" s="8">
        <v>1</v>
      </c>
      <c r="O929" s="8">
        <v>0.3</v>
      </c>
      <c r="P929" s="8"/>
    </row>
    <row r="930" spans="1:16" hidden="1" x14ac:dyDescent="0.25">
      <c r="A930" s="7" t="s">
        <v>19</v>
      </c>
      <c r="B930" s="7" t="s">
        <v>270</v>
      </c>
      <c r="C930" s="8">
        <v>27037</v>
      </c>
      <c r="D930" s="7" t="s">
        <v>52</v>
      </c>
      <c r="E930" s="7" t="s">
        <v>552</v>
      </c>
      <c r="F930" s="7" t="s">
        <v>615</v>
      </c>
      <c r="G930" s="7" t="s">
        <v>18</v>
      </c>
      <c r="H930" s="7" t="s">
        <v>48</v>
      </c>
      <c r="I930" s="7" t="s">
        <v>712</v>
      </c>
      <c r="J930" s="7" t="s">
        <v>691</v>
      </c>
      <c r="K930" s="8">
        <v>6217593</v>
      </c>
      <c r="L930" s="8">
        <v>329737</v>
      </c>
      <c r="M930" s="8">
        <v>19</v>
      </c>
      <c r="N930" s="8">
        <v>4</v>
      </c>
      <c r="O930" s="8">
        <v>52.23</v>
      </c>
      <c r="P930" s="8"/>
    </row>
    <row r="931" spans="1:16" hidden="1" x14ac:dyDescent="0.25">
      <c r="A931" s="7" t="s">
        <v>19</v>
      </c>
      <c r="B931" s="7" t="s">
        <v>651</v>
      </c>
      <c r="C931" s="8">
        <v>27038</v>
      </c>
      <c r="D931" s="7" t="s">
        <v>52</v>
      </c>
      <c r="E931" s="7" t="s">
        <v>141</v>
      </c>
      <c r="F931" s="7" t="s">
        <v>165</v>
      </c>
      <c r="G931" s="7" t="s">
        <v>18</v>
      </c>
      <c r="H931" s="7" t="s">
        <v>48</v>
      </c>
      <c r="I931" s="7" t="s">
        <v>712</v>
      </c>
      <c r="J931" s="7" t="s">
        <v>691</v>
      </c>
      <c r="K931" s="8">
        <v>6220661</v>
      </c>
      <c r="L931" s="8">
        <v>331958</v>
      </c>
      <c r="M931" s="8">
        <v>19</v>
      </c>
      <c r="N931" s="8">
        <v>1</v>
      </c>
      <c r="O931" s="8">
        <v>20</v>
      </c>
      <c r="P931" s="8"/>
    </row>
    <row r="932" spans="1:16" hidden="1" x14ac:dyDescent="0.25">
      <c r="A932" s="7" t="s">
        <v>19</v>
      </c>
      <c r="B932" s="7" t="s">
        <v>270</v>
      </c>
      <c r="C932" s="8">
        <v>27040</v>
      </c>
      <c r="D932" s="7" t="s">
        <v>16</v>
      </c>
      <c r="E932" s="7" t="s">
        <v>46</v>
      </c>
      <c r="F932" s="7" t="s">
        <v>230</v>
      </c>
      <c r="G932" s="7" t="s">
        <v>18</v>
      </c>
      <c r="H932" s="7" t="s">
        <v>48</v>
      </c>
      <c r="I932" s="7" t="s">
        <v>712</v>
      </c>
      <c r="J932" s="7" t="s">
        <v>691</v>
      </c>
      <c r="K932" s="8">
        <v>6105618</v>
      </c>
      <c r="L932" s="8">
        <v>299726</v>
      </c>
      <c r="M932" s="8">
        <v>19</v>
      </c>
      <c r="N932" s="8">
        <v>1</v>
      </c>
      <c r="O932" s="8">
        <v>5</v>
      </c>
      <c r="P932" s="8"/>
    </row>
    <row r="933" spans="1:16" hidden="1" x14ac:dyDescent="0.25">
      <c r="A933" s="7" t="s">
        <v>14</v>
      </c>
      <c r="B933" s="7" t="s">
        <v>41</v>
      </c>
      <c r="C933" s="8">
        <v>27042</v>
      </c>
      <c r="D933" s="7" t="s">
        <v>28</v>
      </c>
      <c r="E933" s="7" t="s">
        <v>44</v>
      </c>
      <c r="F933" s="7" t="s">
        <v>44</v>
      </c>
      <c r="G933" s="7" t="s">
        <v>43</v>
      </c>
      <c r="H933" s="7" t="s">
        <v>689</v>
      </c>
      <c r="I933" s="7" t="s">
        <v>712</v>
      </c>
      <c r="J933" s="7" t="s">
        <v>712</v>
      </c>
      <c r="K933" s="8">
        <v>6273693</v>
      </c>
      <c r="L933" s="8">
        <v>350823</v>
      </c>
      <c r="M933" s="8">
        <v>19</v>
      </c>
      <c r="N933" s="8">
        <v>1</v>
      </c>
      <c r="O933" s="8">
        <v>0.3</v>
      </c>
      <c r="P933" s="8"/>
    </row>
    <row r="934" spans="1:16" hidden="1" x14ac:dyDescent="0.25">
      <c r="A934" s="7" t="s">
        <v>37</v>
      </c>
      <c r="B934" s="7" t="s">
        <v>270</v>
      </c>
      <c r="C934" s="8">
        <v>27043</v>
      </c>
      <c r="D934" s="7" t="s">
        <v>28</v>
      </c>
      <c r="E934" s="7" t="s">
        <v>29</v>
      </c>
      <c r="F934" s="7" t="s">
        <v>616</v>
      </c>
      <c r="G934" s="7" t="s">
        <v>18</v>
      </c>
      <c r="H934" s="7" t="s">
        <v>24</v>
      </c>
      <c r="I934" s="7" t="s">
        <v>712</v>
      </c>
      <c r="J934" s="7" t="s">
        <v>712</v>
      </c>
      <c r="K934" s="8">
        <v>6253354</v>
      </c>
      <c r="L934" s="8">
        <v>333478</v>
      </c>
      <c r="M934" s="8">
        <v>19</v>
      </c>
      <c r="N934" s="8">
        <v>1</v>
      </c>
      <c r="O934" s="8">
        <v>2.8</v>
      </c>
      <c r="P934" s="8"/>
    </row>
    <row r="935" spans="1:16" hidden="1" x14ac:dyDescent="0.25">
      <c r="A935" s="7" t="s">
        <v>14</v>
      </c>
      <c r="B935" s="7" t="s">
        <v>41</v>
      </c>
      <c r="C935" s="8">
        <v>27044</v>
      </c>
      <c r="D935" s="7" t="s">
        <v>28</v>
      </c>
      <c r="E935" s="7" t="s">
        <v>44</v>
      </c>
      <c r="F935" s="7" t="s">
        <v>44</v>
      </c>
      <c r="G935" s="7" t="s">
        <v>43</v>
      </c>
      <c r="H935" s="7" t="s">
        <v>689</v>
      </c>
      <c r="I935" s="7" t="s">
        <v>712</v>
      </c>
      <c r="J935" s="7" t="s">
        <v>712</v>
      </c>
      <c r="K935" s="8">
        <v>6273325</v>
      </c>
      <c r="L935" s="8">
        <v>350327</v>
      </c>
      <c r="M935" s="8">
        <v>19</v>
      </c>
      <c r="N935" s="8">
        <v>1</v>
      </c>
      <c r="O935" s="8">
        <v>0.1</v>
      </c>
      <c r="P935" s="8"/>
    </row>
    <row r="936" spans="1:16" hidden="1" x14ac:dyDescent="0.25">
      <c r="A936" s="7" t="s">
        <v>37</v>
      </c>
      <c r="B936" s="7" t="s">
        <v>270</v>
      </c>
      <c r="C936" s="8">
        <v>27045</v>
      </c>
      <c r="D936" s="7" t="s">
        <v>28</v>
      </c>
      <c r="E936" s="7" t="s">
        <v>142</v>
      </c>
      <c r="F936" s="7" t="s">
        <v>617</v>
      </c>
      <c r="G936" s="7" t="s">
        <v>18</v>
      </c>
      <c r="H936" s="7" t="s">
        <v>24</v>
      </c>
      <c r="I936" s="7" t="s">
        <v>712</v>
      </c>
      <c r="J936" s="7" t="s">
        <v>712</v>
      </c>
      <c r="K936" s="8">
        <v>6274139</v>
      </c>
      <c r="L936" s="8">
        <v>329165</v>
      </c>
      <c r="M936" s="8">
        <v>19</v>
      </c>
      <c r="N936" s="8">
        <v>1</v>
      </c>
      <c r="O936" s="8">
        <v>1</v>
      </c>
      <c r="P936" s="8"/>
    </row>
    <row r="937" spans="1:16" hidden="1" x14ac:dyDescent="0.25">
      <c r="A937" s="7" t="s">
        <v>37</v>
      </c>
      <c r="B937" s="7" t="s">
        <v>270</v>
      </c>
      <c r="C937" s="8">
        <v>27048</v>
      </c>
      <c r="D937" s="7" t="s">
        <v>52</v>
      </c>
      <c r="E937" s="7" t="s">
        <v>53</v>
      </c>
      <c r="F937" s="7" t="s">
        <v>360</v>
      </c>
      <c r="G937" s="7" t="s">
        <v>18</v>
      </c>
      <c r="H937" s="7" t="s">
        <v>48</v>
      </c>
      <c r="I937" s="7" t="s">
        <v>712</v>
      </c>
      <c r="J937" s="7" t="s">
        <v>712</v>
      </c>
      <c r="K937" s="8">
        <v>6153496</v>
      </c>
      <c r="L937" s="8">
        <v>317551</v>
      </c>
      <c r="M937" s="8">
        <v>19</v>
      </c>
      <c r="N937" s="8">
        <v>4</v>
      </c>
      <c r="O937" s="8">
        <v>29</v>
      </c>
      <c r="P937" s="8"/>
    </row>
    <row r="938" spans="1:16" hidden="1" x14ac:dyDescent="0.25">
      <c r="A938" s="7" t="s">
        <v>14</v>
      </c>
      <c r="B938" s="7" t="s">
        <v>41</v>
      </c>
      <c r="C938" s="8">
        <v>27051</v>
      </c>
      <c r="D938" s="7" t="s">
        <v>28</v>
      </c>
      <c r="E938" s="7" t="s">
        <v>56</v>
      </c>
      <c r="F938" s="7" t="s">
        <v>57</v>
      </c>
      <c r="G938" s="7" t="s">
        <v>43</v>
      </c>
      <c r="H938" s="7" t="s">
        <v>689</v>
      </c>
      <c r="I938" s="7" t="s">
        <v>712</v>
      </c>
      <c r="J938" s="7" t="s">
        <v>712</v>
      </c>
      <c r="K938" s="8">
        <v>6263735</v>
      </c>
      <c r="L938" s="8">
        <v>344583</v>
      </c>
      <c r="M938" s="8">
        <v>19</v>
      </c>
      <c r="N938" s="8">
        <v>1</v>
      </c>
      <c r="O938" s="8">
        <v>1.42</v>
      </c>
      <c r="P938" s="8"/>
    </row>
    <row r="939" spans="1:16" hidden="1" x14ac:dyDescent="0.25">
      <c r="A939" s="7" t="s">
        <v>14</v>
      </c>
      <c r="B939" s="7" t="s">
        <v>181</v>
      </c>
      <c r="C939" s="8">
        <v>27053</v>
      </c>
      <c r="D939" s="7" t="s">
        <v>119</v>
      </c>
      <c r="E939" s="7" t="s">
        <v>199</v>
      </c>
      <c r="F939" s="7" t="s">
        <v>213</v>
      </c>
      <c r="G939" s="7" t="s">
        <v>43</v>
      </c>
      <c r="H939" s="7" t="s">
        <v>689</v>
      </c>
      <c r="I939" s="7" t="s">
        <v>690</v>
      </c>
      <c r="J939" s="7" t="s">
        <v>690</v>
      </c>
      <c r="K939" s="8">
        <v>5676309</v>
      </c>
      <c r="L939" s="8">
        <v>652708</v>
      </c>
      <c r="M939" s="8">
        <v>18</v>
      </c>
      <c r="N939" s="8">
        <v>1</v>
      </c>
      <c r="O939" s="8">
        <v>0.36</v>
      </c>
      <c r="P939" s="8"/>
    </row>
    <row r="940" spans="1:16" hidden="1" x14ac:dyDescent="0.25">
      <c r="A940" s="7" t="s">
        <v>37</v>
      </c>
      <c r="B940" s="7" t="s">
        <v>124</v>
      </c>
      <c r="C940" s="8">
        <v>27054</v>
      </c>
      <c r="D940" s="7" t="s">
        <v>28</v>
      </c>
      <c r="E940" s="7" t="s">
        <v>146</v>
      </c>
      <c r="F940" s="7" t="s">
        <v>147</v>
      </c>
      <c r="G940" s="7" t="s">
        <v>18</v>
      </c>
      <c r="H940" s="7" t="s">
        <v>24</v>
      </c>
      <c r="I940" s="7" t="s">
        <v>712</v>
      </c>
      <c r="J940" s="7" t="s">
        <v>712</v>
      </c>
      <c r="K940" s="8">
        <v>6269824</v>
      </c>
      <c r="L940" s="8">
        <v>319673</v>
      </c>
      <c r="M940" s="8">
        <v>19</v>
      </c>
      <c r="N940" s="8">
        <v>1</v>
      </c>
      <c r="O940" s="8">
        <v>7.8</v>
      </c>
      <c r="P940" s="8"/>
    </row>
    <row r="941" spans="1:16" hidden="1" x14ac:dyDescent="0.25">
      <c r="A941" s="7" t="s">
        <v>37</v>
      </c>
      <c r="B941" s="7" t="s">
        <v>124</v>
      </c>
      <c r="C941" s="8">
        <v>27056</v>
      </c>
      <c r="D941" s="7" t="s">
        <v>28</v>
      </c>
      <c r="E941" s="7" t="s">
        <v>32</v>
      </c>
      <c r="F941" s="7" t="s">
        <v>143</v>
      </c>
      <c r="G941" s="7" t="s">
        <v>18</v>
      </c>
      <c r="H941" s="7" t="s">
        <v>24</v>
      </c>
      <c r="I941" s="7" t="s">
        <v>712</v>
      </c>
      <c r="J941" s="7" t="s">
        <v>712</v>
      </c>
      <c r="K941" s="8">
        <v>6284377</v>
      </c>
      <c r="L941" s="8">
        <v>337986</v>
      </c>
      <c r="M941" s="8">
        <v>19</v>
      </c>
      <c r="N941" s="8">
        <v>1</v>
      </c>
      <c r="O941" s="8">
        <v>2.2999999999999998</v>
      </c>
      <c r="P941" s="8"/>
    </row>
    <row r="942" spans="1:16" hidden="1" x14ac:dyDescent="0.25">
      <c r="A942" s="7" t="s">
        <v>14</v>
      </c>
      <c r="B942" s="7" t="s">
        <v>343</v>
      </c>
      <c r="C942" s="8">
        <v>27057</v>
      </c>
      <c r="D942" s="7" t="s">
        <v>119</v>
      </c>
      <c r="E942" s="7" t="s">
        <v>179</v>
      </c>
      <c r="F942" s="7" t="s">
        <v>346</v>
      </c>
      <c r="G942" s="7" t="s">
        <v>43</v>
      </c>
      <c r="H942" s="7" t="s">
        <v>689</v>
      </c>
      <c r="I942" s="7" t="s">
        <v>712</v>
      </c>
      <c r="J942" s="7" t="s">
        <v>712</v>
      </c>
      <c r="K942" s="8">
        <v>5722910</v>
      </c>
      <c r="L942" s="8">
        <v>721703</v>
      </c>
      <c r="M942" s="8">
        <v>18</v>
      </c>
      <c r="N942" s="8">
        <v>1</v>
      </c>
      <c r="O942" s="8">
        <v>1.5</v>
      </c>
      <c r="P942" s="8"/>
    </row>
    <row r="943" spans="1:16" hidden="1" x14ac:dyDescent="0.25">
      <c r="A943" s="7" t="s">
        <v>37</v>
      </c>
      <c r="B943" s="7" t="s">
        <v>343</v>
      </c>
      <c r="C943" s="8">
        <v>27058</v>
      </c>
      <c r="D943" s="7" t="s">
        <v>16</v>
      </c>
      <c r="E943" s="7" t="s">
        <v>337</v>
      </c>
      <c r="F943" s="7" t="s">
        <v>337</v>
      </c>
      <c r="G943" s="7" t="s">
        <v>18</v>
      </c>
      <c r="H943" s="7" t="s">
        <v>48</v>
      </c>
      <c r="I943" s="7" t="s">
        <v>712</v>
      </c>
      <c r="J943" s="7" t="s">
        <v>691</v>
      </c>
      <c r="K943" s="8">
        <v>6127534</v>
      </c>
      <c r="L943" s="8">
        <v>311379</v>
      </c>
      <c r="M943" s="8">
        <v>19</v>
      </c>
      <c r="N943" s="8">
        <v>1</v>
      </c>
      <c r="O943" s="8">
        <v>23</v>
      </c>
      <c r="P943" s="8"/>
    </row>
    <row r="944" spans="1:16" hidden="1" x14ac:dyDescent="0.25">
      <c r="A944" s="7" t="s">
        <v>37</v>
      </c>
      <c r="B944" s="7" t="s">
        <v>343</v>
      </c>
      <c r="C944" s="8">
        <v>27059</v>
      </c>
      <c r="D944" s="7" t="s">
        <v>52</v>
      </c>
      <c r="E944" s="7" t="s">
        <v>385</v>
      </c>
      <c r="F944" s="7" t="s">
        <v>386</v>
      </c>
      <c r="G944" s="7" t="s">
        <v>18</v>
      </c>
      <c r="H944" s="7" t="s">
        <v>48</v>
      </c>
      <c r="I944" s="7" t="s">
        <v>712</v>
      </c>
      <c r="J944" s="7" t="s">
        <v>691</v>
      </c>
      <c r="K944" s="8">
        <v>6194960</v>
      </c>
      <c r="L944" s="8">
        <v>277433</v>
      </c>
      <c r="M944" s="8">
        <v>19</v>
      </c>
      <c r="N944" s="8">
        <v>3</v>
      </c>
      <c r="O944" s="8">
        <v>35</v>
      </c>
      <c r="P944" s="8"/>
    </row>
    <row r="945" spans="1:16" hidden="1" x14ac:dyDescent="0.25">
      <c r="A945" s="7" t="s">
        <v>14</v>
      </c>
      <c r="B945" s="7" t="s">
        <v>343</v>
      </c>
      <c r="C945" s="8">
        <v>27060</v>
      </c>
      <c r="D945" s="7" t="s">
        <v>119</v>
      </c>
      <c r="E945" s="7" t="s">
        <v>179</v>
      </c>
      <c r="F945" s="7" t="s">
        <v>346</v>
      </c>
      <c r="G945" s="7" t="s">
        <v>43</v>
      </c>
      <c r="H945" s="7" t="s">
        <v>689</v>
      </c>
      <c r="I945" s="7" t="s">
        <v>712</v>
      </c>
      <c r="J945" s="7" t="s">
        <v>712</v>
      </c>
      <c r="K945" s="8">
        <v>5724742</v>
      </c>
      <c r="L945" s="8">
        <v>722491</v>
      </c>
      <c r="M945" s="8">
        <v>18</v>
      </c>
      <c r="N945" s="8">
        <v>1</v>
      </c>
      <c r="O945" s="8">
        <v>2</v>
      </c>
      <c r="P945" s="8"/>
    </row>
    <row r="946" spans="1:16" hidden="1" x14ac:dyDescent="0.25">
      <c r="A946" s="7" t="s">
        <v>37</v>
      </c>
      <c r="B946" s="7" t="s">
        <v>415</v>
      </c>
      <c r="C946" s="8">
        <v>27065</v>
      </c>
      <c r="D946" s="7" t="s">
        <v>28</v>
      </c>
      <c r="E946" s="7" t="s">
        <v>482</v>
      </c>
      <c r="F946" s="7" t="s">
        <v>482</v>
      </c>
      <c r="G946" s="7" t="s">
        <v>18</v>
      </c>
      <c r="H946" s="7" t="s">
        <v>24</v>
      </c>
      <c r="I946" s="7" t="s">
        <v>712</v>
      </c>
      <c r="J946" s="7" t="s">
        <v>712</v>
      </c>
      <c r="K946" s="8">
        <v>6268508</v>
      </c>
      <c r="L946" s="8">
        <v>308934</v>
      </c>
      <c r="M946" s="8">
        <v>19</v>
      </c>
      <c r="N946" s="8">
        <v>1</v>
      </c>
      <c r="O946" s="8">
        <v>1</v>
      </c>
      <c r="P946" s="8"/>
    </row>
    <row r="947" spans="1:16" hidden="1" x14ac:dyDescent="0.25">
      <c r="A947" s="7" t="s">
        <v>37</v>
      </c>
      <c r="B947" s="7" t="s">
        <v>415</v>
      </c>
      <c r="C947" s="8">
        <v>27066</v>
      </c>
      <c r="D947" s="7" t="s">
        <v>28</v>
      </c>
      <c r="E947" s="7" t="s">
        <v>393</v>
      </c>
      <c r="F947" s="7" t="s">
        <v>492</v>
      </c>
      <c r="G947" s="7" t="s">
        <v>18</v>
      </c>
      <c r="H947" s="7" t="s">
        <v>24</v>
      </c>
      <c r="I947" s="7" t="s">
        <v>712</v>
      </c>
      <c r="J947" s="7" t="s">
        <v>712</v>
      </c>
      <c r="K947" s="8">
        <v>6267710</v>
      </c>
      <c r="L947" s="8">
        <v>309061</v>
      </c>
      <c r="M947" s="8">
        <v>19</v>
      </c>
      <c r="N947" s="8">
        <v>1</v>
      </c>
      <c r="O947" s="8">
        <v>1.2</v>
      </c>
      <c r="P947" s="8"/>
    </row>
    <row r="948" spans="1:16" hidden="1" x14ac:dyDescent="0.25">
      <c r="A948" s="7" t="s">
        <v>37</v>
      </c>
      <c r="B948" s="7" t="s">
        <v>415</v>
      </c>
      <c r="C948" s="8">
        <v>27067</v>
      </c>
      <c r="D948" s="7" t="s">
        <v>28</v>
      </c>
      <c r="E948" s="7" t="s">
        <v>142</v>
      </c>
      <c r="F948" s="7" t="s">
        <v>458</v>
      </c>
      <c r="G948" s="7" t="s">
        <v>18</v>
      </c>
      <c r="H948" s="7" t="s">
        <v>24</v>
      </c>
      <c r="I948" s="7" t="s">
        <v>712</v>
      </c>
      <c r="J948" s="7" t="s">
        <v>712</v>
      </c>
      <c r="K948" s="8">
        <v>6277039</v>
      </c>
      <c r="L948" s="8">
        <v>331687</v>
      </c>
      <c r="M948" s="8">
        <v>19</v>
      </c>
      <c r="N948" s="8">
        <v>1</v>
      </c>
      <c r="O948" s="8">
        <v>1.66</v>
      </c>
      <c r="P948" s="8"/>
    </row>
    <row r="949" spans="1:16" hidden="1" x14ac:dyDescent="0.25">
      <c r="A949" s="7" t="s">
        <v>37</v>
      </c>
      <c r="B949" s="7" t="s">
        <v>415</v>
      </c>
      <c r="C949" s="8">
        <v>27069</v>
      </c>
      <c r="D949" s="7" t="s">
        <v>28</v>
      </c>
      <c r="E949" s="7" t="s">
        <v>29</v>
      </c>
      <c r="F949" s="7" t="s">
        <v>29</v>
      </c>
      <c r="G949" s="7" t="s">
        <v>18</v>
      </c>
      <c r="H949" s="7" t="s">
        <v>24</v>
      </c>
      <c r="I949" s="7" t="s">
        <v>712</v>
      </c>
      <c r="J949" s="7" t="s">
        <v>712</v>
      </c>
      <c r="K949" s="8">
        <v>6259515</v>
      </c>
      <c r="L949" s="8">
        <v>344617</v>
      </c>
      <c r="M949" s="8">
        <v>19</v>
      </c>
      <c r="N949" s="8">
        <v>1</v>
      </c>
      <c r="O949" s="8">
        <v>1.6</v>
      </c>
      <c r="P949" s="8"/>
    </row>
    <row r="950" spans="1:16" hidden="1" x14ac:dyDescent="0.25">
      <c r="A950" s="7" t="s">
        <v>37</v>
      </c>
      <c r="B950" s="7" t="s">
        <v>415</v>
      </c>
      <c r="C950" s="8">
        <v>27070</v>
      </c>
      <c r="D950" s="7" t="s">
        <v>28</v>
      </c>
      <c r="E950" s="7" t="s">
        <v>452</v>
      </c>
      <c r="F950" s="7" t="s">
        <v>493</v>
      </c>
      <c r="G950" s="7" t="s">
        <v>18</v>
      </c>
      <c r="H950" s="7" t="s">
        <v>109</v>
      </c>
      <c r="I950" s="7" t="s">
        <v>712</v>
      </c>
      <c r="J950" s="7" t="s">
        <v>691</v>
      </c>
      <c r="K950" s="8">
        <v>6279745</v>
      </c>
      <c r="L950" s="8">
        <v>332877</v>
      </c>
      <c r="M950" s="8">
        <v>19</v>
      </c>
      <c r="N950" s="8">
        <v>1</v>
      </c>
      <c r="O950" s="8">
        <v>1.5</v>
      </c>
      <c r="P950" s="8"/>
    </row>
    <row r="951" spans="1:16" hidden="1" x14ac:dyDescent="0.25">
      <c r="A951" s="7" t="s">
        <v>37</v>
      </c>
      <c r="B951" s="7" t="s">
        <v>415</v>
      </c>
      <c r="C951" s="8">
        <v>27071</v>
      </c>
      <c r="D951" s="7" t="s">
        <v>16</v>
      </c>
      <c r="E951" s="7" t="s">
        <v>264</v>
      </c>
      <c r="F951" s="7" t="s">
        <v>264</v>
      </c>
      <c r="G951" s="7" t="s">
        <v>18</v>
      </c>
      <c r="H951" s="7" t="s">
        <v>48</v>
      </c>
      <c r="I951" s="7" t="s">
        <v>712</v>
      </c>
      <c r="J951" s="7" t="s">
        <v>712</v>
      </c>
      <c r="K951" s="8">
        <v>6117875</v>
      </c>
      <c r="L951" s="8">
        <v>267183</v>
      </c>
      <c r="M951" s="8">
        <v>19</v>
      </c>
      <c r="N951" s="8">
        <v>1</v>
      </c>
      <c r="O951" s="8">
        <v>10</v>
      </c>
      <c r="P951" s="8"/>
    </row>
    <row r="952" spans="1:16" hidden="1" x14ac:dyDescent="0.25">
      <c r="A952" s="7" t="s">
        <v>37</v>
      </c>
      <c r="B952" s="7" t="s">
        <v>415</v>
      </c>
      <c r="C952" s="8">
        <v>27073</v>
      </c>
      <c r="D952" s="7" t="s">
        <v>28</v>
      </c>
      <c r="E952" s="7" t="s">
        <v>56</v>
      </c>
      <c r="F952" s="7" t="s">
        <v>56</v>
      </c>
      <c r="G952" s="7" t="s">
        <v>18</v>
      </c>
      <c r="H952" s="7" t="s">
        <v>24</v>
      </c>
      <c r="I952" s="7" t="s">
        <v>712</v>
      </c>
      <c r="J952" s="7" t="s">
        <v>712</v>
      </c>
      <c r="K952" s="8">
        <v>6265674</v>
      </c>
      <c r="L952" s="8">
        <v>340859</v>
      </c>
      <c r="M952" s="8">
        <v>19</v>
      </c>
      <c r="N952" s="8">
        <v>1</v>
      </c>
      <c r="O952" s="8">
        <v>0.14000000000000001</v>
      </c>
      <c r="P952" s="8"/>
    </row>
    <row r="953" spans="1:16" hidden="1" x14ac:dyDescent="0.25">
      <c r="A953" s="7" t="s">
        <v>37</v>
      </c>
      <c r="B953" s="7" t="s">
        <v>415</v>
      </c>
      <c r="C953" s="8">
        <v>27078</v>
      </c>
      <c r="D953" s="7" t="s">
        <v>28</v>
      </c>
      <c r="E953" s="7" t="s">
        <v>146</v>
      </c>
      <c r="F953" s="7" t="s">
        <v>146</v>
      </c>
      <c r="G953" s="7" t="s">
        <v>18</v>
      </c>
      <c r="H953" s="7" t="s">
        <v>109</v>
      </c>
      <c r="I953" s="7" t="s">
        <v>712</v>
      </c>
      <c r="J953" s="7" t="s">
        <v>691</v>
      </c>
      <c r="K953" s="8">
        <v>6272488</v>
      </c>
      <c r="L953" s="8">
        <v>322625</v>
      </c>
      <c r="M953" s="8">
        <v>19</v>
      </c>
      <c r="N953" s="8">
        <v>1</v>
      </c>
      <c r="O953" s="8">
        <v>4.8</v>
      </c>
      <c r="P953" s="8"/>
    </row>
    <row r="954" spans="1:16" hidden="1" x14ac:dyDescent="0.25">
      <c r="A954" s="7" t="s">
        <v>37</v>
      </c>
      <c r="B954" s="7" t="s">
        <v>415</v>
      </c>
      <c r="C954" s="8">
        <v>27079</v>
      </c>
      <c r="D954" s="7" t="s">
        <v>28</v>
      </c>
      <c r="E954" s="7" t="s">
        <v>447</v>
      </c>
      <c r="F954" s="7" t="s">
        <v>390</v>
      </c>
      <c r="G954" s="7" t="s">
        <v>18</v>
      </c>
      <c r="H954" s="7" t="s">
        <v>24</v>
      </c>
      <c r="I954" s="7" t="s">
        <v>712</v>
      </c>
      <c r="J954" s="7" t="s">
        <v>712</v>
      </c>
      <c r="K954" s="8">
        <v>6302599</v>
      </c>
      <c r="L954" s="8">
        <v>336274</v>
      </c>
      <c r="M954" s="8">
        <v>19</v>
      </c>
      <c r="N954" s="8">
        <v>1</v>
      </c>
      <c r="O954" s="8">
        <v>0.16</v>
      </c>
      <c r="P954" s="8"/>
    </row>
    <row r="955" spans="1:16" hidden="1" x14ac:dyDescent="0.25">
      <c r="A955" s="7" t="s">
        <v>37</v>
      </c>
      <c r="B955" s="7" t="s">
        <v>415</v>
      </c>
      <c r="C955" s="8">
        <v>27080</v>
      </c>
      <c r="D955" s="7" t="s">
        <v>28</v>
      </c>
      <c r="E955" s="7" t="s">
        <v>29</v>
      </c>
      <c r="F955" s="7" t="s">
        <v>461</v>
      </c>
      <c r="G955" s="7" t="s">
        <v>18</v>
      </c>
      <c r="H955" s="7" t="s">
        <v>109</v>
      </c>
      <c r="I955" s="7" t="s">
        <v>712</v>
      </c>
      <c r="J955" s="7" t="s">
        <v>691</v>
      </c>
      <c r="K955" s="8">
        <v>6255998</v>
      </c>
      <c r="L955" s="8">
        <v>345227</v>
      </c>
      <c r="M955" s="8">
        <v>19</v>
      </c>
      <c r="N955" s="8">
        <v>1</v>
      </c>
      <c r="O955" s="8">
        <v>16.29</v>
      </c>
      <c r="P955" s="8"/>
    </row>
    <row r="956" spans="1:16" hidden="1" x14ac:dyDescent="0.25">
      <c r="A956" s="7" t="s">
        <v>37</v>
      </c>
      <c r="B956" s="7" t="s">
        <v>415</v>
      </c>
      <c r="C956" s="8">
        <v>27081</v>
      </c>
      <c r="D956" s="7" t="s">
        <v>28</v>
      </c>
      <c r="E956" s="7" t="s">
        <v>56</v>
      </c>
      <c r="F956" s="7" t="s">
        <v>494</v>
      </c>
      <c r="G956" s="7" t="s">
        <v>18</v>
      </c>
      <c r="H956" s="7" t="s">
        <v>24</v>
      </c>
      <c r="I956" s="7" t="s">
        <v>712</v>
      </c>
      <c r="J956" s="7" t="s">
        <v>712</v>
      </c>
      <c r="K956" s="8">
        <v>6260998</v>
      </c>
      <c r="L956" s="8">
        <v>342178</v>
      </c>
      <c r="M956" s="8">
        <v>19</v>
      </c>
      <c r="N956" s="8">
        <v>1</v>
      </c>
      <c r="O956" s="8">
        <v>0.06</v>
      </c>
      <c r="P956" s="8"/>
    </row>
    <row r="957" spans="1:16" hidden="1" x14ac:dyDescent="0.25">
      <c r="A957" s="7" t="s">
        <v>37</v>
      </c>
      <c r="B957" s="7" t="s">
        <v>415</v>
      </c>
      <c r="C957" s="8">
        <v>27082</v>
      </c>
      <c r="D957" s="7" t="s">
        <v>28</v>
      </c>
      <c r="E957" s="7" t="s">
        <v>56</v>
      </c>
      <c r="F957" s="7" t="s">
        <v>162</v>
      </c>
      <c r="G957" s="7" t="s">
        <v>18</v>
      </c>
      <c r="H957" s="7" t="s">
        <v>24</v>
      </c>
      <c r="I957" s="7" t="s">
        <v>712</v>
      </c>
      <c r="J957" s="7" t="s">
        <v>712</v>
      </c>
      <c r="K957" s="8">
        <v>6259868</v>
      </c>
      <c r="L957" s="8">
        <v>337079</v>
      </c>
      <c r="M957" s="8">
        <v>19</v>
      </c>
      <c r="N957" s="8">
        <v>1</v>
      </c>
      <c r="O957" s="8">
        <v>0.26</v>
      </c>
      <c r="P957" s="8"/>
    </row>
    <row r="958" spans="1:16" hidden="1" x14ac:dyDescent="0.25">
      <c r="A958" s="7" t="s">
        <v>19</v>
      </c>
      <c r="B958" s="7" t="s">
        <v>415</v>
      </c>
      <c r="C958" s="8">
        <v>27083</v>
      </c>
      <c r="D958" s="7" t="s">
        <v>28</v>
      </c>
      <c r="E958" s="7" t="s">
        <v>56</v>
      </c>
      <c r="F958" s="7" t="s">
        <v>462</v>
      </c>
      <c r="G958" s="7" t="s">
        <v>18</v>
      </c>
      <c r="H958" s="7" t="s">
        <v>48</v>
      </c>
      <c r="I958" s="7" t="s">
        <v>712</v>
      </c>
      <c r="J958" s="7" t="s">
        <v>691</v>
      </c>
      <c r="K958" s="8">
        <v>6255786</v>
      </c>
      <c r="L958" s="8">
        <v>333074</v>
      </c>
      <c r="M958" s="8">
        <v>19</v>
      </c>
      <c r="N958" s="8">
        <v>1</v>
      </c>
      <c r="O958" s="8">
        <v>0.4</v>
      </c>
      <c r="P958" s="8"/>
    </row>
    <row r="959" spans="1:16" hidden="1" x14ac:dyDescent="0.25">
      <c r="A959" s="7" t="s">
        <v>37</v>
      </c>
      <c r="B959" s="7" t="s">
        <v>415</v>
      </c>
      <c r="C959" s="8">
        <v>27085</v>
      </c>
      <c r="D959" s="7" t="s">
        <v>28</v>
      </c>
      <c r="E959" s="7" t="s">
        <v>56</v>
      </c>
      <c r="F959" s="7" t="s">
        <v>495</v>
      </c>
      <c r="G959" s="7" t="s">
        <v>18</v>
      </c>
      <c r="H959" s="7" t="s">
        <v>109</v>
      </c>
      <c r="I959" s="7" t="s">
        <v>712</v>
      </c>
      <c r="J959" s="7" t="s">
        <v>691</v>
      </c>
      <c r="K959" s="8">
        <v>6260638</v>
      </c>
      <c r="L959" s="8">
        <v>345877</v>
      </c>
      <c r="M959" s="8">
        <v>19</v>
      </c>
      <c r="N959" s="8">
        <v>1</v>
      </c>
      <c r="O959" s="8">
        <v>3.4</v>
      </c>
      <c r="P959" s="8"/>
    </row>
    <row r="960" spans="1:16" hidden="1" x14ac:dyDescent="0.25">
      <c r="A960" s="7" t="s">
        <v>14</v>
      </c>
      <c r="B960" s="7" t="s">
        <v>415</v>
      </c>
      <c r="C960" s="8">
        <v>27090</v>
      </c>
      <c r="D960" s="7" t="s">
        <v>28</v>
      </c>
      <c r="E960" s="7" t="s">
        <v>56</v>
      </c>
      <c r="F960" s="7" t="s">
        <v>162</v>
      </c>
      <c r="G960" s="7" t="s">
        <v>65</v>
      </c>
      <c r="H960" s="7" t="s">
        <v>689</v>
      </c>
      <c r="I960" s="7" t="s">
        <v>712</v>
      </c>
      <c r="J960" s="7" t="s">
        <v>712</v>
      </c>
      <c r="K960" s="8">
        <v>6259205</v>
      </c>
      <c r="L960" s="8">
        <v>332185</v>
      </c>
      <c r="M960" s="8">
        <v>19</v>
      </c>
      <c r="N960" s="8">
        <v>1</v>
      </c>
      <c r="O960" s="8">
        <v>1.7</v>
      </c>
      <c r="P960" s="8"/>
    </row>
    <row r="961" spans="1:16" hidden="1" x14ac:dyDescent="0.25">
      <c r="A961" s="7" t="s">
        <v>37</v>
      </c>
      <c r="B961" s="7" t="s">
        <v>254</v>
      </c>
      <c r="C961" s="8">
        <v>27092</v>
      </c>
      <c r="D961" s="7" t="s">
        <v>52</v>
      </c>
      <c r="E961" s="7" t="s">
        <v>145</v>
      </c>
      <c r="F961" s="7" t="s">
        <v>145</v>
      </c>
      <c r="G961" s="7" t="s">
        <v>18</v>
      </c>
      <c r="H961" s="7" t="s">
        <v>48</v>
      </c>
      <c r="I961" s="7" t="s">
        <v>712</v>
      </c>
      <c r="J961" s="7" t="s">
        <v>712</v>
      </c>
      <c r="K961" s="8">
        <v>6171882</v>
      </c>
      <c r="L961" s="8">
        <v>318160</v>
      </c>
      <c r="M961" s="8">
        <v>19</v>
      </c>
      <c r="N961" s="8">
        <v>1</v>
      </c>
      <c r="O961" s="8">
        <v>10</v>
      </c>
      <c r="P961" s="8"/>
    </row>
    <row r="962" spans="1:16" hidden="1" x14ac:dyDescent="0.25">
      <c r="A962" s="7" t="s">
        <v>37</v>
      </c>
      <c r="B962" s="7" t="s">
        <v>415</v>
      </c>
      <c r="C962" s="8">
        <v>27094</v>
      </c>
      <c r="D962" s="7" t="s">
        <v>28</v>
      </c>
      <c r="E962" s="7" t="s">
        <v>29</v>
      </c>
      <c r="F962" s="7" t="s">
        <v>495</v>
      </c>
      <c r="G962" s="7" t="s">
        <v>18</v>
      </c>
      <c r="H962" s="7" t="s">
        <v>109</v>
      </c>
      <c r="I962" s="7" t="s">
        <v>712</v>
      </c>
      <c r="J962" s="7" t="s">
        <v>691</v>
      </c>
      <c r="K962" s="8">
        <v>6260291</v>
      </c>
      <c r="L962" s="8">
        <v>345299</v>
      </c>
      <c r="M962" s="8">
        <v>19</v>
      </c>
      <c r="N962" s="8">
        <v>1</v>
      </c>
      <c r="O962" s="8">
        <v>7.89</v>
      </c>
      <c r="P962" s="8"/>
    </row>
    <row r="963" spans="1:16" hidden="1" x14ac:dyDescent="0.25">
      <c r="A963" s="7" t="s">
        <v>37</v>
      </c>
      <c r="B963" s="7" t="s">
        <v>254</v>
      </c>
      <c r="C963" s="8">
        <v>27096</v>
      </c>
      <c r="D963" s="7" t="s">
        <v>52</v>
      </c>
      <c r="E963" s="7" t="s">
        <v>296</v>
      </c>
      <c r="F963" s="7" t="s">
        <v>297</v>
      </c>
      <c r="G963" s="7" t="s">
        <v>18</v>
      </c>
      <c r="H963" s="7" t="s">
        <v>48</v>
      </c>
      <c r="I963" s="7" t="s">
        <v>712</v>
      </c>
      <c r="J963" s="7" t="s">
        <v>691</v>
      </c>
      <c r="K963" s="8">
        <v>6182282</v>
      </c>
      <c r="L963" s="8">
        <v>328861</v>
      </c>
      <c r="M963" s="8">
        <v>19</v>
      </c>
      <c r="N963" s="8">
        <v>1</v>
      </c>
      <c r="O963" s="8">
        <v>2.1</v>
      </c>
      <c r="P963" s="8"/>
    </row>
    <row r="964" spans="1:16" hidden="1" x14ac:dyDescent="0.25">
      <c r="A964" s="7" t="s">
        <v>37</v>
      </c>
      <c r="B964" s="7" t="s">
        <v>254</v>
      </c>
      <c r="C964" s="8">
        <v>27098</v>
      </c>
      <c r="D964" s="7" t="s">
        <v>52</v>
      </c>
      <c r="E964" s="7" t="s">
        <v>151</v>
      </c>
      <c r="F964" s="7" t="s">
        <v>298</v>
      </c>
      <c r="G964" s="7" t="s">
        <v>18</v>
      </c>
      <c r="H964" s="7" t="s">
        <v>48</v>
      </c>
      <c r="I964" s="7" t="s">
        <v>712</v>
      </c>
      <c r="J964" s="7" t="s">
        <v>691</v>
      </c>
      <c r="K964" s="8">
        <v>6199798</v>
      </c>
      <c r="L964" s="8">
        <v>325935</v>
      </c>
      <c r="M964" s="8">
        <v>19</v>
      </c>
      <c r="N964" s="8">
        <v>1</v>
      </c>
      <c r="O964" s="8">
        <v>2.5</v>
      </c>
      <c r="P964" s="8"/>
    </row>
    <row r="965" spans="1:16" hidden="1" x14ac:dyDescent="0.25">
      <c r="A965" s="7" t="s">
        <v>37</v>
      </c>
      <c r="B965" s="7" t="s">
        <v>254</v>
      </c>
      <c r="C965" s="8">
        <v>27100</v>
      </c>
      <c r="D965" s="7" t="s">
        <v>52</v>
      </c>
      <c r="E965" s="7" t="s">
        <v>145</v>
      </c>
      <c r="F965" s="7" t="s">
        <v>248</v>
      </c>
      <c r="G965" s="7" t="s">
        <v>18</v>
      </c>
      <c r="H965" s="7" t="s">
        <v>48</v>
      </c>
      <c r="I965" s="7" t="s">
        <v>712</v>
      </c>
      <c r="J965" s="7" t="s">
        <v>691</v>
      </c>
      <c r="K965" s="8">
        <v>6165518</v>
      </c>
      <c r="L965" s="8">
        <v>327880</v>
      </c>
      <c r="M965" s="8">
        <v>19</v>
      </c>
      <c r="N965" s="8">
        <v>2</v>
      </c>
      <c r="O965" s="8">
        <v>15</v>
      </c>
      <c r="P965" s="8"/>
    </row>
    <row r="966" spans="1:16" hidden="1" x14ac:dyDescent="0.25">
      <c r="A966" s="7" t="s">
        <v>37</v>
      </c>
      <c r="B966" s="7" t="s">
        <v>254</v>
      </c>
      <c r="C966" s="8">
        <v>27101</v>
      </c>
      <c r="D966" s="7" t="s">
        <v>52</v>
      </c>
      <c r="E966" s="7" t="s">
        <v>141</v>
      </c>
      <c r="F966" s="7" t="s">
        <v>272</v>
      </c>
      <c r="G966" s="7" t="s">
        <v>18</v>
      </c>
      <c r="H966" s="7" t="s">
        <v>48</v>
      </c>
      <c r="I966" s="7" t="s">
        <v>712</v>
      </c>
      <c r="J966" s="7" t="s">
        <v>691</v>
      </c>
      <c r="K966" s="8">
        <v>6222055</v>
      </c>
      <c r="L966" s="8">
        <v>333063</v>
      </c>
      <c r="M966" s="8">
        <v>19</v>
      </c>
      <c r="N966" s="8">
        <v>1</v>
      </c>
      <c r="O966" s="8">
        <v>2.7</v>
      </c>
      <c r="P966" s="8"/>
    </row>
    <row r="967" spans="1:16" hidden="1" x14ac:dyDescent="0.25">
      <c r="A967" s="7" t="s">
        <v>19</v>
      </c>
      <c r="B967" s="7" t="s">
        <v>124</v>
      </c>
      <c r="C967" s="8">
        <v>27102</v>
      </c>
      <c r="D967" s="7" t="s">
        <v>16</v>
      </c>
      <c r="E967" s="7" t="s">
        <v>17</v>
      </c>
      <c r="F967" s="7" t="s">
        <v>17</v>
      </c>
      <c r="G967" s="7" t="s">
        <v>18</v>
      </c>
      <c r="H967" s="7" t="s">
        <v>48</v>
      </c>
      <c r="I967" s="7" t="s">
        <v>712</v>
      </c>
      <c r="J967" s="7" t="s">
        <v>691</v>
      </c>
      <c r="K967" s="8">
        <v>6060696</v>
      </c>
      <c r="L967" s="8">
        <v>282038</v>
      </c>
      <c r="M967" s="8">
        <v>19</v>
      </c>
      <c r="N967" s="8">
        <v>1</v>
      </c>
      <c r="O967" s="8">
        <v>14.2</v>
      </c>
      <c r="P967" s="8"/>
    </row>
    <row r="968" spans="1:16" hidden="1" x14ac:dyDescent="0.25">
      <c r="A968" s="7" t="s">
        <v>37</v>
      </c>
      <c r="B968" s="7" t="s">
        <v>254</v>
      </c>
      <c r="C968" s="8">
        <v>27103</v>
      </c>
      <c r="D968" s="7" t="s">
        <v>52</v>
      </c>
      <c r="E968" s="7" t="s">
        <v>132</v>
      </c>
      <c r="F968" s="7" t="s">
        <v>133</v>
      </c>
      <c r="G968" s="7" t="s">
        <v>18</v>
      </c>
      <c r="H968" s="7" t="s">
        <v>48</v>
      </c>
      <c r="I968" s="7" t="s">
        <v>712</v>
      </c>
      <c r="J968" s="7" t="s">
        <v>691</v>
      </c>
      <c r="K968" s="8">
        <v>6214534</v>
      </c>
      <c r="L968" s="8">
        <v>348157</v>
      </c>
      <c r="M968" s="8">
        <v>19</v>
      </c>
      <c r="N968" s="8">
        <v>1</v>
      </c>
      <c r="O968" s="8">
        <v>2.7</v>
      </c>
      <c r="P968" s="8"/>
    </row>
    <row r="969" spans="1:16" hidden="1" x14ac:dyDescent="0.25">
      <c r="A969" s="7" t="s">
        <v>37</v>
      </c>
      <c r="B969" s="7" t="s">
        <v>415</v>
      </c>
      <c r="C969" s="8">
        <v>27105</v>
      </c>
      <c r="D969" s="7" t="s">
        <v>28</v>
      </c>
      <c r="E969" s="7" t="s">
        <v>483</v>
      </c>
      <c r="F969" s="7" t="s">
        <v>484</v>
      </c>
      <c r="G969" s="7" t="s">
        <v>18</v>
      </c>
      <c r="H969" s="7" t="s">
        <v>24</v>
      </c>
      <c r="I969" s="7" t="s">
        <v>712</v>
      </c>
      <c r="J969" s="7" t="s">
        <v>712</v>
      </c>
      <c r="K969" s="8">
        <v>6322599</v>
      </c>
      <c r="L969" s="8">
        <v>339440</v>
      </c>
      <c r="M969" s="8">
        <v>19</v>
      </c>
      <c r="N969" s="8">
        <v>1</v>
      </c>
      <c r="O969" s="8">
        <v>1</v>
      </c>
      <c r="P969" s="8"/>
    </row>
    <row r="970" spans="1:16" hidden="1" x14ac:dyDescent="0.25">
      <c r="A970" s="7" t="s">
        <v>37</v>
      </c>
      <c r="B970" s="7" t="s">
        <v>415</v>
      </c>
      <c r="C970" s="8">
        <v>27106</v>
      </c>
      <c r="D970" s="7" t="s">
        <v>28</v>
      </c>
      <c r="E970" s="7" t="s">
        <v>56</v>
      </c>
      <c r="F970" s="7" t="s">
        <v>162</v>
      </c>
      <c r="G970" s="7" t="s">
        <v>18</v>
      </c>
      <c r="H970" s="7" t="s">
        <v>24</v>
      </c>
      <c r="I970" s="7" t="s">
        <v>712</v>
      </c>
      <c r="J970" s="7" t="s">
        <v>712</v>
      </c>
      <c r="K970" s="8">
        <v>6258477</v>
      </c>
      <c r="L970" s="8">
        <v>334089</v>
      </c>
      <c r="M970" s="8">
        <v>19</v>
      </c>
      <c r="N970" s="8">
        <v>1</v>
      </c>
      <c r="O970" s="8">
        <v>1</v>
      </c>
      <c r="P970" s="8"/>
    </row>
    <row r="971" spans="1:16" hidden="1" x14ac:dyDescent="0.25">
      <c r="A971" s="7" t="s">
        <v>37</v>
      </c>
      <c r="B971" s="7" t="s">
        <v>415</v>
      </c>
      <c r="C971" s="8">
        <v>27107</v>
      </c>
      <c r="D971" s="7" t="s">
        <v>28</v>
      </c>
      <c r="E971" s="7" t="s">
        <v>56</v>
      </c>
      <c r="F971" s="7" t="s">
        <v>162</v>
      </c>
      <c r="G971" s="7" t="s">
        <v>18</v>
      </c>
      <c r="H971" s="7" t="s">
        <v>24</v>
      </c>
      <c r="I971" s="7" t="s">
        <v>712</v>
      </c>
      <c r="J971" s="7" t="s">
        <v>712</v>
      </c>
      <c r="K971" s="8">
        <v>6257537</v>
      </c>
      <c r="L971" s="8">
        <v>333845</v>
      </c>
      <c r="M971" s="8">
        <v>19</v>
      </c>
      <c r="N971" s="8">
        <v>1</v>
      </c>
      <c r="O971" s="8">
        <v>1</v>
      </c>
      <c r="P971" s="8"/>
    </row>
    <row r="972" spans="1:16" hidden="1" x14ac:dyDescent="0.25">
      <c r="A972" s="7" t="s">
        <v>37</v>
      </c>
      <c r="B972" s="7" t="s">
        <v>415</v>
      </c>
      <c r="C972" s="8">
        <v>27108</v>
      </c>
      <c r="D972" s="7" t="s">
        <v>28</v>
      </c>
      <c r="E972" s="7" t="s">
        <v>29</v>
      </c>
      <c r="F972" s="7" t="s">
        <v>30</v>
      </c>
      <c r="G972" s="7" t="s">
        <v>18</v>
      </c>
      <c r="H972" s="7" t="s">
        <v>24</v>
      </c>
      <c r="I972" s="7" t="s">
        <v>712</v>
      </c>
      <c r="J972" s="7" t="s">
        <v>712</v>
      </c>
      <c r="K972" s="8">
        <v>6254500</v>
      </c>
      <c r="L972" s="8">
        <v>343940</v>
      </c>
      <c r="M972" s="8">
        <v>19</v>
      </c>
      <c r="N972" s="8">
        <v>1</v>
      </c>
      <c r="O972" s="8">
        <v>0.99</v>
      </c>
      <c r="P972" s="8"/>
    </row>
    <row r="973" spans="1:16" hidden="1" x14ac:dyDescent="0.25">
      <c r="A973" s="7" t="s">
        <v>37</v>
      </c>
      <c r="B973" s="7" t="s">
        <v>415</v>
      </c>
      <c r="C973" s="8">
        <v>27109</v>
      </c>
      <c r="D973" s="7" t="s">
        <v>28</v>
      </c>
      <c r="E973" s="7" t="s">
        <v>32</v>
      </c>
      <c r="F973" s="7" t="s">
        <v>291</v>
      </c>
      <c r="G973" s="7" t="s">
        <v>18</v>
      </c>
      <c r="H973" s="7" t="s">
        <v>24</v>
      </c>
      <c r="I973" s="7" t="s">
        <v>712</v>
      </c>
      <c r="J973" s="7" t="s">
        <v>712</v>
      </c>
      <c r="K973" s="8">
        <v>6277660</v>
      </c>
      <c r="L973" s="8">
        <v>339148</v>
      </c>
      <c r="M973" s="8">
        <v>19</v>
      </c>
      <c r="N973" s="8">
        <v>1</v>
      </c>
      <c r="O973" s="8">
        <v>0.1</v>
      </c>
      <c r="P973" s="8"/>
    </row>
    <row r="974" spans="1:16" hidden="1" x14ac:dyDescent="0.25">
      <c r="A974" s="7" t="s">
        <v>37</v>
      </c>
      <c r="B974" s="7" t="s">
        <v>254</v>
      </c>
      <c r="C974" s="8">
        <v>27110</v>
      </c>
      <c r="D974" s="7" t="s">
        <v>52</v>
      </c>
      <c r="E974" s="7" t="s">
        <v>141</v>
      </c>
      <c r="F974" s="7" t="s">
        <v>299</v>
      </c>
      <c r="G974" s="7" t="s">
        <v>18</v>
      </c>
      <c r="H974" s="7" t="s">
        <v>48</v>
      </c>
      <c r="I974" s="7" t="s">
        <v>712</v>
      </c>
      <c r="J974" s="7" t="s">
        <v>691</v>
      </c>
      <c r="K974" s="8">
        <v>6223599</v>
      </c>
      <c r="L974" s="8">
        <v>333656</v>
      </c>
      <c r="M974" s="8">
        <v>19</v>
      </c>
      <c r="N974" s="8">
        <v>1</v>
      </c>
      <c r="O974" s="8">
        <v>2.7</v>
      </c>
      <c r="P974" s="8"/>
    </row>
    <row r="975" spans="1:16" hidden="1" x14ac:dyDescent="0.25">
      <c r="A975" s="7" t="s">
        <v>37</v>
      </c>
      <c r="B975" s="7" t="s">
        <v>415</v>
      </c>
      <c r="C975" s="8">
        <v>27111</v>
      </c>
      <c r="D975" s="7" t="s">
        <v>28</v>
      </c>
      <c r="E975" s="7" t="s">
        <v>483</v>
      </c>
      <c r="F975" s="7" t="s">
        <v>484</v>
      </c>
      <c r="G975" s="7" t="s">
        <v>18</v>
      </c>
      <c r="H975" s="7" t="s">
        <v>24</v>
      </c>
      <c r="I975" s="7" t="s">
        <v>712</v>
      </c>
      <c r="J975" s="7" t="s">
        <v>712</v>
      </c>
      <c r="K975" s="8">
        <v>6322913</v>
      </c>
      <c r="L975" s="8">
        <v>339519</v>
      </c>
      <c r="M975" s="8">
        <v>19</v>
      </c>
      <c r="N975" s="8">
        <v>1</v>
      </c>
      <c r="O975" s="8">
        <v>1</v>
      </c>
      <c r="P975" s="8"/>
    </row>
    <row r="976" spans="1:16" hidden="1" x14ac:dyDescent="0.25">
      <c r="A976" s="7" t="s">
        <v>37</v>
      </c>
      <c r="B976" s="7" t="s">
        <v>415</v>
      </c>
      <c r="C976" s="8">
        <v>27112</v>
      </c>
      <c r="D976" s="7" t="s">
        <v>28</v>
      </c>
      <c r="E976" s="7" t="s">
        <v>56</v>
      </c>
      <c r="F976" s="7" t="s">
        <v>162</v>
      </c>
      <c r="G976" s="7" t="s">
        <v>18</v>
      </c>
      <c r="H976" s="7" t="s">
        <v>24</v>
      </c>
      <c r="I976" s="7" t="s">
        <v>712</v>
      </c>
      <c r="J976" s="7" t="s">
        <v>712</v>
      </c>
      <c r="K976" s="8">
        <v>6259375</v>
      </c>
      <c r="L976" s="8">
        <v>336426</v>
      </c>
      <c r="M976" s="8">
        <v>19</v>
      </c>
      <c r="N976" s="8">
        <v>1</v>
      </c>
      <c r="O976" s="8">
        <v>0.9</v>
      </c>
      <c r="P976" s="8"/>
    </row>
    <row r="977" spans="1:16" hidden="1" x14ac:dyDescent="0.25">
      <c r="A977" s="7" t="s">
        <v>37</v>
      </c>
      <c r="B977" s="7" t="s">
        <v>415</v>
      </c>
      <c r="C977" s="8">
        <v>27113</v>
      </c>
      <c r="D977" s="7" t="s">
        <v>28</v>
      </c>
      <c r="E977" s="7" t="s">
        <v>56</v>
      </c>
      <c r="F977" s="7" t="s">
        <v>162</v>
      </c>
      <c r="G977" s="7" t="s">
        <v>18</v>
      </c>
      <c r="H977" s="7" t="s">
        <v>24</v>
      </c>
      <c r="I977" s="7" t="s">
        <v>712</v>
      </c>
      <c r="J977" s="7" t="s">
        <v>712</v>
      </c>
      <c r="K977" s="8">
        <v>6255689</v>
      </c>
      <c r="L977" s="8">
        <v>333300</v>
      </c>
      <c r="M977" s="8">
        <v>19</v>
      </c>
      <c r="N977" s="8">
        <v>1</v>
      </c>
      <c r="O977" s="8">
        <v>0.09</v>
      </c>
      <c r="P977" s="8"/>
    </row>
    <row r="978" spans="1:16" hidden="1" x14ac:dyDescent="0.25">
      <c r="A978" s="7" t="s">
        <v>37</v>
      </c>
      <c r="B978" s="7" t="s">
        <v>254</v>
      </c>
      <c r="C978" s="8">
        <v>27114</v>
      </c>
      <c r="D978" s="7" t="s">
        <v>16</v>
      </c>
      <c r="E978" s="7" t="s">
        <v>268</v>
      </c>
      <c r="F978" s="7" t="s">
        <v>282</v>
      </c>
      <c r="G978" s="7" t="s">
        <v>18</v>
      </c>
      <c r="H978" s="7" t="s">
        <v>24</v>
      </c>
      <c r="I978" s="7" t="s">
        <v>712</v>
      </c>
      <c r="J978" s="7" t="s">
        <v>712</v>
      </c>
      <c r="K978" s="8">
        <v>6136022</v>
      </c>
      <c r="L978" s="8">
        <v>316937</v>
      </c>
      <c r="M978" s="8">
        <v>19</v>
      </c>
      <c r="N978" s="8">
        <v>1</v>
      </c>
      <c r="O978" s="8">
        <v>0.4</v>
      </c>
      <c r="P978" s="8"/>
    </row>
    <row r="979" spans="1:16" hidden="1" x14ac:dyDescent="0.25">
      <c r="A979" s="7" t="s">
        <v>37</v>
      </c>
      <c r="B979" s="7" t="s">
        <v>343</v>
      </c>
      <c r="C979" s="8">
        <v>27115</v>
      </c>
      <c r="D979" s="7" t="s">
        <v>28</v>
      </c>
      <c r="E979" s="7" t="s">
        <v>29</v>
      </c>
      <c r="F979" s="7" t="s">
        <v>29</v>
      </c>
      <c r="G979" s="7" t="s">
        <v>18</v>
      </c>
      <c r="H979" s="7" t="s">
        <v>24</v>
      </c>
      <c r="I979" s="7" t="s">
        <v>712</v>
      </c>
      <c r="J979" s="7" t="s">
        <v>712</v>
      </c>
      <c r="K979" s="8">
        <v>6260727</v>
      </c>
      <c r="L979" s="8">
        <v>340592</v>
      </c>
      <c r="M979" s="8">
        <v>19</v>
      </c>
      <c r="N979" s="8">
        <v>1</v>
      </c>
      <c r="O979" s="8">
        <v>5</v>
      </c>
      <c r="P979" s="8"/>
    </row>
    <row r="980" spans="1:16" hidden="1" x14ac:dyDescent="0.25">
      <c r="A980" s="7" t="s">
        <v>37</v>
      </c>
      <c r="B980" s="7" t="s">
        <v>415</v>
      </c>
      <c r="C980" s="8">
        <v>27116</v>
      </c>
      <c r="D980" s="7" t="s">
        <v>28</v>
      </c>
      <c r="E980" s="7" t="s">
        <v>32</v>
      </c>
      <c r="F980" s="7" t="s">
        <v>496</v>
      </c>
      <c r="G980" s="7" t="s">
        <v>18</v>
      </c>
      <c r="H980" s="7" t="s">
        <v>24</v>
      </c>
      <c r="I980" s="7" t="s">
        <v>712</v>
      </c>
      <c r="J980" s="7" t="s">
        <v>712</v>
      </c>
      <c r="K980" s="8">
        <v>6276642</v>
      </c>
      <c r="L980" s="8">
        <v>345377</v>
      </c>
      <c r="M980" s="8">
        <v>19</v>
      </c>
      <c r="N980" s="8">
        <v>1</v>
      </c>
      <c r="O980" s="8">
        <v>1.02</v>
      </c>
      <c r="P980" s="8"/>
    </row>
    <row r="981" spans="1:16" hidden="1" x14ac:dyDescent="0.25">
      <c r="A981" s="7" t="s">
        <v>37</v>
      </c>
      <c r="B981" s="7" t="s">
        <v>415</v>
      </c>
      <c r="C981" s="8">
        <v>27117</v>
      </c>
      <c r="D981" s="7" t="s">
        <v>28</v>
      </c>
      <c r="E981" s="7" t="s">
        <v>32</v>
      </c>
      <c r="F981" s="7" t="s">
        <v>496</v>
      </c>
      <c r="G981" s="7" t="s">
        <v>18</v>
      </c>
      <c r="H981" s="7" t="s">
        <v>24</v>
      </c>
      <c r="I981" s="7" t="s">
        <v>712</v>
      </c>
      <c r="J981" s="7" t="s">
        <v>712</v>
      </c>
      <c r="K981" s="8">
        <v>6276824</v>
      </c>
      <c r="L981" s="8">
        <v>345022</v>
      </c>
      <c r="M981" s="8">
        <v>19</v>
      </c>
      <c r="N981" s="8">
        <v>1</v>
      </c>
      <c r="O981" s="8">
        <v>1.05</v>
      </c>
      <c r="P981" s="8"/>
    </row>
    <row r="982" spans="1:16" hidden="1" x14ac:dyDescent="0.25">
      <c r="A982" s="7" t="s">
        <v>37</v>
      </c>
      <c r="B982" s="7" t="s">
        <v>415</v>
      </c>
      <c r="C982" s="8">
        <v>27118</v>
      </c>
      <c r="D982" s="7" t="s">
        <v>28</v>
      </c>
      <c r="E982" s="7" t="s">
        <v>56</v>
      </c>
      <c r="F982" s="7" t="s">
        <v>162</v>
      </c>
      <c r="G982" s="7" t="s">
        <v>18</v>
      </c>
      <c r="H982" s="7" t="s">
        <v>24</v>
      </c>
      <c r="I982" s="7" t="s">
        <v>712</v>
      </c>
      <c r="J982" s="7" t="s">
        <v>712</v>
      </c>
      <c r="K982" s="8">
        <v>6259899</v>
      </c>
      <c r="L982" s="8">
        <v>336487</v>
      </c>
      <c r="M982" s="8">
        <v>19</v>
      </c>
      <c r="N982" s="8">
        <v>1</v>
      </c>
      <c r="O982" s="8">
        <v>1.03</v>
      </c>
      <c r="P982" s="8"/>
    </row>
    <row r="983" spans="1:16" hidden="1" x14ac:dyDescent="0.25">
      <c r="A983" s="7" t="s">
        <v>37</v>
      </c>
      <c r="B983" s="7" t="s">
        <v>415</v>
      </c>
      <c r="C983" s="8">
        <v>27119</v>
      </c>
      <c r="D983" s="7" t="s">
        <v>28</v>
      </c>
      <c r="E983" s="7" t="s">
        <v>56</v>
      </c>
      <c r="F983" s="7" t="s">
        <v>162</v>
      </c>
      <c r="G983" s="7" t="s">
        <v>18</v>
      </c>
      <c r="H983" s="7" t="s">
        <v>24</v>
      </c>
      <c r="I983" s="7" t="s">
        <v>712</v>
      </c>
      <c r="J983" s="7" t="s">
        <v>712</v>
      </c>
      <c r="K983" s="8">
        <v>6259636</v>
      </c>
      <c r="L983" s="8">
        <v>336456</v>
      </c>
      <c r="M983" s="8">
        <v>19</v>
      </c>
      <c r="N983" s="8">
        <v>1</v>
      </c>
      <c r="O983" s="8">
        <v>0.94</v>
      </c>
      <c r="P983" s="8"/>
    </row>
    <row r="984" spans="1:16" hidden="1" x14ac:dyDescent="0.25">
      <c r="A984" s="7" t="s">
        <v>37</v>
      </c>
      <c r="B984" s="7" t="s">
        <v>415</v>
      </c>
      <c r="C984" s="8">
        <v>27120</v>
      </c>
      <c r="D984" s="7" t="s">
        <v>28</v>
      </c>
      <c r="E984" s="7" t="s">
        <v>29</v>
      </c>
      <c r="F984" s="7" t="s">
        <v>480</v>
      </c>
      <c r="G984" s="7" t="s">
        <v>18</v>
      </c>
      <c r="H984" s="7" t="s">
        <v>24</v>
      </c>
      <c r="I984" s="7" t="s">
        <v>712</v>
      </c>
      <c r="J984" s="7" t="s">
        <v>712</v>
      </c>
      <c r="K984" s="8">
        <v>6248074</v>
      </c>
      <c r="L984" s="8">
        <v>339312</v>
      </c>
      <c r="M984" s="8">
        <v>19</v>
      </c>
      <c r="N984" s="8">
        <v>1</v>
      </c>
      <c r="O984" s="8">
        <v>0.21</v>
      </c>
      <c r="P984" s="8"/>
    </row>
    <row r="985" spans="1:16" hidden="1" x14ac:dyDescent="0.25">
      <c r="A985" s="7" t="s">
        <v>37</v>
      </c>
      <c r="B985" s="7" t="s">
        <v>343</v>
      </c>
      <c r="C985" s="8">
        <v>27121</v>
      </c>
      <c r="D985" s="7" t="s">
        <v>28</v>
      </c>
      <c r="E985" s="7" t="s">
        <v>29</v>
      </c>
      <c r="F985" s="7" t="s">
        <v>29</v>
      </c>
      <c r="G985" s="7" t="s">
        <v>18</v>
      </c>
      <c r="H985" s="7" t="s">
        <v>24</v>
      </c>
      <c r="I985" s="7" t="s">
        <v>712</v>
      </c>
      <c r="J985" s="7" t="s">
        <v>712</v>
      </c>
      <c r="K985" s="8">
        <v>6259772</v>
      </c>
      <c r="L985" s="8">
        <v>340255</v>
      </c>
      <c r="M985" s="8">
        <v>19</v>
      </c>
      <c r="N985" s="8">
        <v>1</v>
      </c>
      <c r="O985" s="8">
        <v>3.5</v>
      </c>
      <c r="P985" s="8"/>
    </row>
    <row r="986" spans="1:16" hidden="1" x14ac:dyDescent="0.25">
      <c r="A986" s="7" t="s">
        <v>37</v>
      </c>
      <c r="B986" s="7" t="s">
        <v>254</v>
      </c>
      <c r="C986" s="8">
        <v>27122</v>
      </c>
      <c r="D986" s="7" t="s">
        <v>16</v>
      </c>
      <c r="E986" s="7" t="s">
        <v>155</v>
      </c>
      <c r="F986" s="7" t="s">
        <v>289</v>
      </c>
      <c r="G986" s="7" t="s">
        <v>18</v>
      </c>
      <c r="H986" s="7" t="s">
        <v>48</v>
      </c>
      <c r="I986" s="7" t="s">
        <v>712</v>
      </c>
      <c r="J986" s="7" t="s">
        <v>691</v>
      </c>
      <c r="K986" s="8">
        <v>6124028</v>
      </c>
      <c r="L986" s="8">
        <v>299968</v>
      </c>
      <c r="M986" s="8">
        <v>19</v>
      </c>
      <c r="N986" s="8">
        <v>1</v>
      </c>
      <c r="O986" s="8">
        <v>31</v>
      </c>
      <c r="P986" s="8"/>
    </row>
    <row r="987" spans="1:16" hidden="1" x14ac:dyDescent="0.25">
      <c r="A987" s="7" t="s">
        <v>37</v>
      </c>
      <c r="B987" s="7" t="s">
        <v>124</v>
      </c>
      <c r="C987" s="8">
        <v>27123</v>
      </c>
      <c r="D987" s="7" t="s">
        <v>28</v>
      </c>
      <c r="E987" s="7" t="s">
        <v>32</v>
      </c>
      <c r="F987" s="7" t="s">
        <v>148</v>
      </c>
      <c r="G987" s="7" t="s">
        <v>18</v>
      </c>
      <c r="H987" s="7" t="s">
        <v>48</v>
      </c>
      <c r="I987" s="7" t="s">
        <v>712</v>
      </c>
      <c r="J987" s="7" t="s">
        <v>691</v>
      </c>
      <c r="K987" s="8">
        <v>6283416</v>
      </c>
      <c r="L987" s="8">
        <v>338486</v>
      </c>
      <c r="M987" s="8">
        <v>19</v>
      </c>
      <c r="N987" s="8">
        <v>1</v>
      </c>
      <c r="O987" s="8">
        <v>20.2</v>
      </c>
      <c r="P987" s="8"/>
    </row>
    <row r="988" spans="1:16" hidden="1" x14ac:dyDescent="0.25">
      <c r="A988" s="7" t="s">
        <v>37</v>
      </c>
      <c r="B988" s="7" t="s">
        <v>343</v>
      </c>
      <c r="C988" s="8">
        <v>27126</v>
      </c>
      <c r="D988" s="7" t="s">
        <v>28</v>
      </c>
      <c r="E988" s="7" t="s">
        <v>29</v>
      </c>
      <c r="F988" s="7" t="s">
        <v>29</v>
      </c>
      <c r="G988" s="7" t="s">
        <v>18</v>
      </c>
      <c r="H988" s="7" t="s">
        <v>24</v>
      </c>
      <c r="I988" s="7" t="s">
        <v>712</v>
      </c>
      <c r="J988" s="7" t="s">
        <v>712</v>
      </c>
      <c r="K988" s="8">
        <v>6260093</v>
      </c>
      <c r="L988" s="8">
        <v>340046</v>
      </c>
      <c r="M988" s="8">
        <v>19</v>
      </c>
      <c r="N988" s="8">
        <v>2</v>
      </c>
      <c r="O988" s="8">
        <v>17</v>
      </c>
      <c r="P988" s="8"/>
    </row>
    <row r="989" spans="1:16" hidden="1" x14ac:dyDescent="0.25">
      <c r="A989" s="7" t="s">
        <v>37</v>
      </c>
      <c r="B989" s="7" t="s">
        <v>124</v>
      </c>
      <c r="C989" s="8">
        <v>27127</v>
      </c>
      <c r="D989" s="7" t="s">
        <v>28</v>
      </c>
      <c r="E989" s="7" t="s">
        <v>44</v>
      </c>
      <c r="F989" s="7" t="s">
        <v>73</v>
      </c>
      <c r="G989" s="7" t="s">
        <v>18</v>
      </c>
      <c r="H989" s="7" t="s">
        <v>48</v>
      </c>
      <c r="I989" s="7" t="s">
        <v>712</v>
      </c>
      <c r="J989" s="7" t="s">
        <v>691</v>
      </c>
      <c r="K989" s="8">
        <v>6277592</v>
      </c>
      <c r="L989" s="8">
        <v>357346</v>
      </c>
      <c r="M989" s="8">
        <v>19</v>
      </c>
      <c r="N989" s="8">
        <v>1</v>
      </c>
      <c r="O989" s="8">
        <v>9.1999999999999993</v>
      </c>
      <c r="P989" s="8"/>
    </row>
    <row r="990" spans="1:16" hidden="1" x14ac:dyDescent="0.25">
      <c r="A990" s="7" t="s">
        <v>37</v>
      </c>
      <c r="B990" s="7" t="s">
        <v>343</v>
      </c>
      <c r="C990" s="8">
        <v>27128</v>
      </c>
      <c r="D990" s="7" t="s">
        <v>28</v>
      </c>
      <c r="E990" s="7" t="s">
        <v>29</v>
      </c>
      <c r="F990" s="7" t="s">
        <v>29</v>
      </c>
      <c r="G990" s="7" t="s">
        <v>18</v>
      </c>
      <c r="H990" s="7" t="s">
        <v>24</v>
      </c>
      <c r="I990" s="7" t="s">
        <v>712</v>
      </c>
      <c r="J990" s="7" t="s">
        <v>712</v>
      </c>
      <c r="K990" s="8">
        <v>6261177</v>
      </c>
      <c r="L990" s="8">
        <v>340113</v>
      </c>
      <c r="M990" s="8">
        <v>19</v>
      </c>
      <c r="N990" s="8">
        <v>1</v>
      </c>
      <c r="O990" s="8">
        <v>7.5</v>
      </c>
      <c r="P990" s="8"/>
    </row>
    <row r="991" spans="1:16" hidden="1" x14ac:dyDescent="0.25">
      <c r="A991" s="7" t="s">
        <v>37</v>
      </c>
      <c r="B991" s="7" t="s">
        <v>343</v>
      </c>
      <c r="C991" s="8">
        <v>27130</v>
      </c>
      <c r="D991" s="7" t="s">
        <v>28</v>
      </c>
      <c r="E991" s="7" t="s">
        <v>29</v>
      </c>
      <c r="F991" s="7" t="s">
        <v>29</v>
      </c>
      <c r="G991" s="7" t="s">
        <v>18</v>
      </c>
      <c r="H991" s="7" t="s">
        <v>24</v>
      </c>
      <c r="I991" s="7" t="s">
        <v>712</v>
      </c>
      <c r="J991" s="7" t="s">
        <v>712</v>
      </c>
      <c r="K991" s="8">
        <v>6260351</v>
      </c>
      <c r="L991" s="8">
        <v>338838</v>
      </c>
      <c r="M991" s="8">
        <v>19</v>
      </c>
      <c r="N991" s="8">
        <v>1</v>
      </c>
      <c r="O991" s="8">
        <v>5</v>
      </c>
      <c r="P991" s="8"/>
    </row>
    <row r="992" spans="1:16" hidden="1" x14ac:dyDescent="0.25">
      <c r="A992" s="7" t="s">
        <v>37</v>
      </c>
      <c r="B992" s="7" t="s">
        <v>254</v>
      </c>
      <c r="C992" s="8">
        <v>27131</v>
      </c>
      <c r="D992" s="7" t="s">
        <v>16</v>
      </c>
      <c r="E992" s="7" t="s">
        <v>264</v>
      </c>
      <c r="F992" s="7" t="s">
        <v>300</v>
      </c>
      <c r="G992" s="7" t="s">
        <v>18</v>
      </c>
      <c r="H992" s="7" t="s">
        <v>48</v>
      </c>
      <c r="I992" s="7" t="s">
        <v>712</v>
      </c>
      <c r="J992" s="7" t="s">
        <v>691</v>
      </c>
      <c r="K992" s="8">
        <v>6122119</v>
      </c>
      <c r="L992" s="8">
        <v>288794</v>
      </c>
      <c r="M992" s="8">
        <v>19</v>
      </c>
      <c r="N992" s="8">
        <v>2</v>
      </c>
      <c r="O992" s="8">
        <v>10</v>
      </c>
      <c r="P992" s="8"/>
    </row>
    <row r="993" spans="1:16" hidden="1" x14ac:dyDescent="0.25">
      <c r="A993" s="7" t="s">
        <v>37</v>
      </c>
      <c r="B993" s="7" t="s">
        <v>124</v>
      </c>
      <c r="C993" s="8">
        <v>27132</v>
      </c>
      <c r="D993" s="7" t="s">
        <v>28</v>
      </c>
      <c r="E993" s="7" t="s">
        <v>44</v>
      </c>
      <c r="F993" s="7" t="s">
        <v>73</v>
      </c>
      <c r="G993" s="7" t="s">
        <v>18</v>
      </c>
      <c r="H993" s="7" t="s">
        <v>48</v>
      </c>
      <c r="I993" s="7" t="s">
        <v>712</v>
      </c>
      <c r="J993" s="7" t="s">
        <v>691</v>
      </c>
      <c r="K993" s="8">
        <v>6275405</v>
      </c>
      <c r="L993" s="8">
        <v>356220</v>
      </c>
      <c r="M993" s="8">
        <v>19</v>
      </c>
      <c r="N993" s="8">
        <v>1</v>
      </c>
      <c r="O993" s="8">
        <v>23</v>
      </c>
      <c r="P993" s="8"/>
    </row>
    <row r="994" spans="1:16" hidden="1" x14ac:dyDescent="0.25">
      <c r="A994" s="7" t="s">
        <v>37</v>
      </c>
      <c r="B994" s="7" t="s">
        <v>343</v>
      </c>
      <c r="C994" s="8">
        <v>27134</v>
      </c>
      <c r="D994" s="7" t="s">
        <v>28</v>
      </c>
      <c r="E994" s="7" t="s">
        <v>29</v>
      </c>
      <c r="F994" s="7" t="s">
        <v>29</v>
      </c>
      <c r="G994" s="7" t="s">
        <v>18</v>
      </c>
      <c r="H994" s="7" t="s">
        <v>24</v>
      </c>
      <c r="I994" s="7" t="s">
        <v>712</v>
      </c>
      <c r="J994" s="7" t="s">
        <v>712</v>
      </c>
      <c r="K994" s="8">
        <v>6260780</v>
      </c>
      <c r="L994" s="8">
        <v>339656</v>
      </c>
      <c r="M994" s="8">
        <v>19</v>
      </c>
      <c r="N994" s="8">
        <v>1</v>
      </c>
      <c r="O994" s="8">
        <v>5</v>
      </c>
      <c r="P994" s="8"/>
    </row>
    <row r="995" spans="1:16" hidden="1" x14ac:dyDescent="0.25">
      <c r="A995" s="7" t="s">
        <v>37</v>
      </c>
      <c r="B995" s="7" t="s">
        <v>343</v>
      </c>
      <c r="C995" s="8">
        <v>27136</v>
      </c>
      <c r="D995" s="7" t="s">
        <v>28</v>
      </c>
      <c r="E995" s="7" t="s">
        <v>29</v>
      </c>
      <c r="F995" s="7" t="s">
        <v>29</v>
      </c>
      <c r="G995" s="7" t="s">
        <v>18</v>
      </c>
      <c r="H995" s="7" t="s">
        <v>24</v>
      </c>
      <c r="I995" s="7" t="s">
        <v>712</v>
      </c>
      <c r="J995" s="7" t="s">
        <v>712</v>
      </c>
      <c r="K995" s="8">
        <v>6260257</v>
      </c>
      <c r="L995" s="8">
        <v>340338</v>
      </c>
      <c r="M995" s="8">
        <v>19</v>
      </c>
      <c r="N995" s="8">
        <v>1</v>
      </c>
      <c r="O995" s="8">
        <v>6</v>
      </c>
      <c r="P995" s="8"/>
    </row>
    <row r="996" spans="1:16" hidden="1" x14ac:dyDescent="0.25">
      <c r="A996" s="7" t="s">
        <v>37</v>
      </c>
      <c r="B996" s="7" t="s">
        <v>343</v>
      </c>
      <c r="C996" s="8">
        <v>27139</v>
      </c>
      <c r="D996" s="7" t="s">
        <v>28</v>
      </c>
      <c r="E996" s="7" t="s">
        <v>29</v>
      </c>
      <c r="F996" s="7" t="s">
        <v>29</v>
      </c>
      <c r="G996" s="7" t="s">
        <v>18</v>
      </c>
      <c r="H996" s="7" t="s">
        <v>48</v>
      </c>
      <c r="I996" s="7" t="s">
        <v>712</v>
      </c>
      <c r="J996" s="7" t="s">
        <v>712</v>
      </c>
      <c r="K996" s="8">
        <v>6261198</v>
      </c>
      <c r="L996" s="8">
        <v>339660</v>
      </c>
      <c r="M996" s="8">
        <v>19</v>
      </c>
      <c r="N996" s="8">
        <v>1</v>
      </c>
      <c r="O996" s="8">
        <v>1</v>
      </c>
      <c r="P996" s="8"/>
    </row>
    <row r="997" spans="1:16" hidden="1" x14ac:dyDescent="0.25">
      <c r="A997" s="7" t="s">
        <v>37</v>
      </c>
      <c r="B997" s="7" t="s">
        <v>343</v>
      </c>
      <c r="C997" s="8">
        <v>27140</v>
      </c>
      <c r="D997" s="7" t="s">
        <v>28</v>
      </c>
      <c r="E997" s="7" t="s">
        <v>29</v>
      </c>
      <c r="F997" s="7" t="s">
        <v>29</v>
      </c>
      <c r="G997" s="7" t="s">
        <v>18</v>
      </c>
      <c r="H997" s="7" t="s">
        <v>48</v>
      </c>
      <c r="I997" s="7" t="s">
        <v>712</v>
      </c>
      <c r="J997" s="7" t="s">
        <v>712</v>
      </c>
      <c r="K997" s="8">
        <v>6261198</v>
      </c>
      <c r="L997" s="8">
        <v>339660</v>
      </c>
      <c r="M997" s="8">
        <v>19</v>
      </c>
      <c r="N997" s="8">
        <v>1</v>
      </c>
      <c r="O997" s="8">
        <v>1</v>
      </c>
      <c r="P997" s="8"/>
    </row>
    <row r="998" spans="1:16" hidden="1" x14ac:dyDescent="0.25">
      <c r="A998" s="7" t="s">
        <v>37</v>
      </c>
      <c r="B998" s="7" t="s">
        <v>343</v>
      </c>
      <c r="C998" s="8">
        <v>27141</v>
      </c>
      <c r="D998" s="7" t="s">
        <v>28</v>
      </c>
      <c r="E998" s="7" t="s">
        <v>29</v>
      </c>
      <c r="F998" s="7" t="s">
        <v>29</v>
      </c>
      <c r="G998" s="7" t="s">
        <v>18</v>
      </c>
      <c r="H998" s="7" t="s">
        <v>48</v>
      </c>
      <c r="I998" s="7" t="s">
        <v>712</v>
      </c>
      <c r="J998" s="7" t="s">
        <v>712</v>
      </c>
      <c r="K998" s="8">
        <v>6261198</v>
      </c>
      <c r="L998" s="8">
        <v>339660</v>
      </c>
      <c r="M998" s="8">
        <v>19</v>
      </c>
      <c r="N998" s="8">
        <v>1</v>
      </c>
      <c r="O998" s="8">
        <v>1</v>
      </c>
      <c r="P998" s="8"/>
    </row>
    <row r="999" spans="1:16" hidden="1" x14ac:dyDescent="0.25">
      <c r="A999" s="7" t="s">
        <v>37</v>
      </c>
      <c r="B999" s="7" t="s">
        <v>343</v>
      </c>
      <c r="C999" s="8">
        <v>27142</v>
      </c>
      <c r="D999" s="7" t="s">
        <v>28</v>
      </c>
      <c r="E999" s="7" t="s">
        <v>29</v>
      </c>
      <c r="F999" s="7" t="s">
        <v>29</v>
      </c>
      <c r="G999" s="7" t="s">
        <v>18</v>
      </c>
      <c r="H999" s="7" t="s">
        <v>48</v>
      </c>
      <c r="I999" s="7" t="s">
        <v>712</v>
      </c>
      <c r="J999" s="7" t="s">
        <v>712</v>
      </c>
      <c r="K999" s="8">
        <v>6261198</v>
      </c>
      <c r="L999" s="8">
        <v>339660</v>
      </c>
      <c r="M999" s="8">
        <v>19</v>
      </c>
      <c r="N999" s="8">
        <v>1</v>
      </c>
      <c r="O999" s="8">
        <v>1</v>
      </c>
      <c r="P999" s="8"/>
    </row>
    <row r="1000" spans="1:16" hidden="1" x14ac:dyDescent="0.25">
      <c r="A1000" s="7" t="s">
        <v>37</v>
      </c>
      <c r="B1000" s="7" t="s">
        <v>343</v>
      </c>
      <c r="C1000" s="8">
        <v>27143</v>
      </c>
      <c r="D1000" s="7" t="s">
        <v>28</v>
      </c>
      <c r="E1000" s="7" t="s">
        <v>29</v>
      </c>
      <c r="F1000" s="7" t="s">
        <v>29</v>
      </c>
      <c r="G1000" s="7" t="s">
        <v>18</v>
      </c>
      <c r="H1000" s="7" t="s">
        <v>48</v>
      </c>
      <c r="I1000" s="7" t="s">
        <v>712</v>
      </c>
      <c r="J1000" s="7" t="s">
        <v>712</v>
      </c>
      <c r="K1000" s="8">
        <v>6252630</v>
      </c>
      <c r="L1000" s="8">
        <v>347066</v>
      </c>
      <c r="M1000" s="8">
        <v>19</v>
      </c>
      <c r="N1000" s="8">
        <v>1</v>
      </c>
      <c r="O1000" s="8">
        <v>1</v>
      </c>
      <c r="P1000" s="8"/>
    </row>
    <row r="1001" spans="1:16" hidden="1" x14ac:dyDescent="0.25">
      <c r="A1001" s="7" t="s">
        <v>37</v>
      </c>
      <c r="B1001" s="7" t="s">
        <v>343</v>
      </c>
      <c r="C1001" s="8">
        <v>27144</v>
      </c>
      <c r="D1001" s="7" t="s">
        <v>28</v>
      </c>
      <c r="E1001" s="7" t="s">
        <v>29</v>
      </c>
      <c r="F1001" s="7" t="s">
        <v>29</v>
      </c>
      <c r="G1001" s="7" t="s">
        <v>18</v>
      </c>
      <c r="H1001" s="7" t="s">
        <v>48</v>
      </c>
      <c r="I1001" s="7" t="s">
        <v>712</v>
      </c>
      <c r="J1001" s="7" t="s">
        <v>712</v>
      </c>
      <c r="K1001" s="8">
        <v>6252649</v>
      </c>
      <c r="L1001" s="8">
        <v>347346</v>
      </c>
      <c r="M1001" s="8">
        <v>19</v>
      </c>
      <c r="N1001" s="8">
        <v>1</v>
      </c>
      <c r="O1001" s="8">
        <v>1</v>
      </c>
      <c r="P1001" s="8"/>
    </row>
    <row r="1002" spans="1:16" hidden="1" x14ac:dyDescent="0.25">
      <c r="A1002" s="7" t="s">
        <v>37</v>
      </c>
      <c r="B1002" s="7" t="s">
        <v>651</v>
      </c>
      <c r="C1002" s="8">
        <v>27147</v>
      </c>
      <c r="D1002" s="7" t="s">
        <v>16</v>
      </c>
      <c r="E1002" s="7" t="s">
        <v>17</v>
      </c>
      <c r="F1002" s="7" t="s">
        <v>431</v>
      </c>
      <c r="G1002" s="7" t="s">
        <v>18</v>
      </c>
      <c r="H1002" s="7" t="s">
        <v>48</v>
      </c>
      <c r="I1002" s="7" t="s">
        <v>712</v>
      </c>
      <c r="J1002" s="7" t="s">
        <v>691</v>
      </c>
      <c r="K1002" s="8">
        <v>6064463</v>
      </c>
      <c r="L1002" s="8">
        <v>277520</v>
      </c>
      <c r="M1002" s="8">
        <v>19</v>
      </c>
      <c r="N1002" s="8">
        <v>4</v>
      </c>
      <c r="O1002" s="8">
        <v>60</v>
      </c>
      <c r="P1002" s="8"/>
    </row>
    <row r="1003" spans="1:16" hidden="1" x14ac:dyDescent="0.25">
      <c r="A1003" s="7" t="s">
        <v>37</v>
      </c>
      <c r="B1003" s="7" t="s">
        <v>651</v>
      </c>
      <c r="C1003" s="8">
        <v>27148</v>
      </c>
      <c r="D1003" s="7" t="s">
        <v>16</v>
      </c>
      <c r="E1003" s="7" t="s">
        <v>17</v>
      </c>
      <c r="F1003" s="7" t="s">
        <v>266</v>
      </c>
      <c r="G1003" s="7" t="s">
        <v>18</v>
      </c>
      <c r="H1003" s="7" t="s">
        <v>48</v>
      </c>
      <c r="I1003" s="7" t="s">
        <v>712</v>
      </c>
      <c r="J1003" s="7" t="s">
        <v>712</v>
      </c>
      <c r="K1003" s="8">
        <v>6060694</v>
      </c>
      <c r="L1003" s="8">
        <v>278581</v>
      </c>
      <c r="M1003" s="8">
        <v>19</v>
      </c>
      <c r="N1003" s="8">
        <v>4</v>
      </c>
      <c r="O1003" s="8">
        <v>39</v>
      </c>
      <c r="P1003" s="8"/>
    </row>
    <row r="1004" spans="1:16" hidden="1" x14ac:dyDescent="0.25">
      <c r="A1004" s="7" t="s">
        <v>37</v>
      </c>
      <c r="B1004" s="7" t="s">
        <v>651</v>
      </c>
      <c r="C1004" s="8">
        <v>27150</v>
      </c>
      <c r="D1004" s="7" t="s">
        <v>16</v>
      </c>
      <c r="E1004" s="7" t="s">
        <v>17</v>
      </c>
      <c r="F1004" s="7" t="s">
        <v>658</v>
      </c>
      <c r="G1004" s="7" t="s">
        <v>18</v>
      </c>
      <c r="H1004" s="7" t="s">
        <v>48</v>
      </c>
      <c r="I1004" s="7" t="s">
        <v>712</v>
      </c>
      <c r="J1004" s="7" t="s">
        <v>691</v>
      </c>
      <c r="K1004" s="8">
        <v>6064530</v>
      </c>
      <c r="L1004" s="8">
        <v>279543</v>
      </c>
      <c r="M1004" s="8">
        <v>19</v>
      </c>
      <c r="N1004" s="8">
        <v>5</v>
      </c>
      <c r="O1004" s="8">
        <v>40</v>
      </c>
      <c r="P1004" s="8"/>
    </row>
    <row r="1005" spans="1:16" hidden="1" x14ac:dyDescent="0.25">
      <c r="A1005" s="7" t="s">
        <v>37</v>
      </c>
      <c r="B1005" s="7" t="s">
        <v>651</v>
      </c>
      <c r="C1005" s="8">
        <v>27151</v>
      </c>
      <c r="D1005" s="7" t="s">
        <v>16</v>
      </c>
      <c r="E1005" s="7" t="s">
        <v>17</v>
      </c>
      <c r="F1005" s="7" t="s">
        <v>658</v>
      </c>
      <c r="G1005" s="7" t="s">
        <v>18</v>
      </c>
      <c r="H1005" s="7" t="s">
        <v>48</v>
      </c>
      <c r="I1005" s="7" t="s">
        <v>712</v>
      </c>
      <c r="J1005" s="7" t="s">
        <v>691</v>
      </c>
      <c r="K1005" s="8">
        <v>6064176</v>
      </c>
      <c r="L1005" s="8">
        <v>279406</v>
      </c>
      <c r="M1005" s="8">
        <v>19</v>
      </c>
      <c r="N1005" s="8">
        <v>3</v>
      </c>
      <c r="O1005" s="8">
        <v>12</v>
      </c>
      <c r="P1005" s="8"/>
    </row>
    <row r="1006" spans="1:16" hidden="1" x14ac:dyDescent="0.25">
      <c r="A1006" s="7" t="s">
        <v>37</v>
      </c>
      <c r="B1006" s="7" t="s">
        <v>651</v>
      </c>
      <c r="C1006" s="8">
        <v>27152</v>
      </c>
      <c r="D1006" s="7" t="s">
        <v>16</v>
      </c>
      <c r="E1006" s="7" t="s">
        <v>17</v>
      </c>
      <c r="F1006" s="7" t="s">
        <v>658</v>
      </c>
      <c r="G1006" s="7" t="s">
        <v>18</v>
      </c>
      <c r="H1006" s="7" t="s">
        <v>48</v>
      </c>
      <c r="I1006" s="7" t="s">
        <v>712</v>
      </c>
      <c r="J1006" s="7" t="s">
        <v>691</v>
      </c>
      <c r="K1006" s="8">
        <v>6063856</v>
      </c>
      <c r="L1006" s="8">
        <v>279577</v>
      </c>
      <c r="M1006" s="8">
        <v>19</v>
      </c>
      <c r="N1006" s="8">
        <v>2</v>
      </c>
      <c r="O1006" s="8">
        <v>8</v>
      </c>
      <c r="P1006" s="8"/>
    </row>
    <row r="1007" spans="1:16" hidden="1" x14ac:dyDescent="0.25">
      <c r="A1007" s="7" t="s">
        <v>37</v>
      </c>
      <c r="B1007" s="7" t="s">
        <v>254</v>
      </c>
      <c r="C1007" s="8">
        <v>27153</v>
      </c>
      <c r="D1007" s="7" t="s">
        <v>52</v>
      </c>
      <c r="E1007" s="7" t="s">
        <v>145</v>
      </c>
      <c r="F1007" s="7" t="s">
        <v>247</v>
      </c>
      <c r="G1007" s="7" t="s">
        <v>18</v>
      </c>
      <c r="H1007" s="7" t="s">
        <v>48</v>
      </c>
      <c r="I1007" s="7" t="s">
        <v>712</v>
      </c>
      <c r="J1007" s="7" t="s">
        <v>712</v>
      </c>
      <c r="K1007" s="8">
        <v>6172561</v>
      </c>
      <c r="L1007" s="8">
        <v>323076</v>
      </c>
      <c r="M1007" s="8">
        <v>19</v>
      </c>
      <c r="N1007" s="8">
        <v>1</v>
      </c>
      <c r="O1007" s="8">
        <v>2.7</v>
      </c>
      <c r="P1007" s="8"/>
    </row>
    <row r="1008" spans="1:16" hidden="1" x14ac:dyDescent="0.25">
      <c r="A1008" s="7" t="s">
        <v>37</v>
      </c>
      <c r="B1008" s="7" t="s">
        <v>254</v>
      </c>
      <c r="C1008" s="8">
        <v>27155</v>
      </c>
      <c r="D1008" s="7" t="s">
        <v>52</v>
      </c>
      <c r="E1008" s="7" t="s">
        <v>145</v>
      </c>
      <c r="F1008" s="7" t="s">
        <v>301</v>
      </c>
      <c r="G1008" s="7" t="s">
        <v>18</v>
      </c>
      <c r="H1008" s="7" t="s">
        <v>48</v>
      </c>
      <c r="I1008" s="7" t="s">
        <v>712</v>
      </c>
      <c r="J1008" s="7" t="s">
        <v>712</v>
      </c>
      <c r="K1008" s="8">
        <v>6169791</v>
      </c>
      <c r="L1008" s="8">
        <v>318359</v>
      </c>
      <c r="M1008" s="8">
        <v>19</v>
      </c>
      <c r="N1008" s="8">
        <v>1</v>
      </c>
      <c r="O1008" s="8">
        <v>2.7</v>
      </c>
      <c r="P1008" s="8"/>
    </row>
    <row r="1009" spans="1:16" hidden="1" x14ac:dyDescent="0.25">
      <c r="A1009" s="7" t="s">
        <v>37</v>
      </c>
      <c r="B1009" s="7" t="s">
        <v>181</v>
      </c>
      <c r="C1009" s="8">
        <v>27163</v>
      </c>
      <c r="D1009" s="7" t="s">
        <v>119</v>
      </c>
      <c r="E1009" s="7" t="s">
        <v>196</v>
      </c>
      <c r="F1009" s="7" t="s">
        <v>178</v>
      </c>
      <c r="G1009" s="7" t="s">
        <v>43</v>
      </c>
      <c r="H1009" s="7" t="s">
        <v>48</v>
      </c>
      <c r="I1009" s="7" t="s">
        <v>91</v>
      </c>
      <c r="J1009" s="7" t="s">
        <v>691</v>
      </c>
      <c r="K1009" s="8">
        <v>5706051</v>
      </c>
      <c r="L1009" s="8">
        <v>722851</v>
      </c>
      <c r="M1009" s="8">
        <v>18</v>
      </c>
      <c r="N1009" s="8">
        <v>1</v>
      </c>
      <c r="O1009" s="8">
        <v>23</v>
      </c>
      <c r="P1009" s="8"/>
    </row>
    <row r="1010" spans="1:16" hidden="1" x14ac:dyDescent="0.25">
      <c r="A1010" s="7" t="s">
        <v>37</v>
      </c>
      <c r="B1010" s="7" t="s">
        <v>254</v>
      </c>
      <c r="C1010" s="8">
        <v>27164</v>
      </c>
      <c r="D1010" s="7" t="s">
        <v>52</v>
      </c>
      <c r="E1010" s="7" t="s">
        <v>145</v>
      </c>
      <c r="F1010" s="7" t="s">
        <v>247</v>
      </c>
      <c r="G1010" s="7" t="s">
        <v>18</v>
      </c>
      <c r="H1010" s="7" t="s">
        <v>48</v>
      </c>
      <c r="I1010" s="7" t="s">
        <v>712</v>
      </c>
      <c r="J1010" s="7" t="s">
        <v>712</v>
      </c>
      <c r="K1010" s="8">
        <v>6172783</v>
      </c>
      <c r="L1010" s="8">
        <v>323324</v>
      </c>
      <c r="M1010" s="8">
        <v>19</v>
      </c>
      <c r="N1010" s="8">
        <v>1</v>
      </c>
      <c r="O1010" s="8">
        <v>2.7</v>
      </c>
      <c r="P1010" s="8"/>
    </row>
    <row r="1011" spans="1:16" hidden="1" x14ac:dyDescent="0.25">
      <c r="A1011" s="7" t="s">
        <v>37</v>
      </c>
      <c r="B1011" s="7" t="s">
        <v>181</v>
      </c>
      <c r="C1011" s="8">
        <v>27172</v>
      </c>
      <c r="D1011" s="7" t="s">
        <v>119</v>
      </c>
      <c r="E1011" s="7" t="s">
        <v>197</v>
      </c>
      <c r="F1011" s="7" t="s">
        <v>197</v>
      </c>
      <c r="G1011" s="7" t="s">
        <v>43</v>
      </c>
      <c r="H1011" s="7" t="s">
        <v>48</v>
      </c>
      <c r="I1011" s="7" t="s">
        <v>91</v>
      </c>
      <c r="J1011" s="7" t="s">
        <v>91</v>
      </c>
      <c r="K1011" s="8">
        <v>5683404</v>
      </c>
      <c r="L1011" s="8">
        <v>690715</v>
      </c>
      <c r="M1011" s="8">
        <v>18</v>
      </c>
      <c r="N1011" s="8">
        <v>1</v>
      </c>
      <c r="O1011" s="8">
        <v>26</v>
      </c>
      <c r="P1011" s="8"/>
    </row>
    <row r="1012" spans="1:16" hidden="1" x14ac:dyDescent="0.25">
      <c r="A1012" s="7" t="s">
        <v>37</v>
      </c>
      <c r="B1012" s="7" t="s">
        <v>124</v>
      </c>
      <c r="C1012" s="8">
        <v>27179</v>
      </c>
      <c r="D1012" s="7" t="s">
        <v>28</v>
      </c>
      <c r="E1012" s="7" t="s">
        <v>32</v>
      </c>
      <c r="F1012" s="7" t="s">
        <v>148</v>
      </c>
      <c r="G1012" s="7" t="s">
        <v>18</v>
      </c>
      <c r="H1012" s="7" t="s">
        <v>24</v>
      </c>
      <c r="I1012" s="7" t="s">
        <v>712</v>
      </c>
      <c r="J1012" s="7" t="s">
        <v>712</v>
      </c>
      <c r="K1012" s="8">
        <v>6288097</v>
      </c>
      <c r="L1012" s="8">
        <v>340096</v>
      </c>
      <c r="M1012" s="8">
        <v>19</v>
      </c>
      <c r="N1012" s="8">
        <v>1</v>
      </c>
      <c r="O1012" s="8">
        <v>0.97</v>
      </c>
      <c r="P1012" s="8"/>
    </row>
    <row r="1013" spans="1:16" hidden="1" x14ac:dyDescent="0.25">
      <c r="A1013" s="7" t="s">
        <v>19</v>
      </c>
      <c r="B1013" s="7" t="s">
        <v>270</v>
      </c>
      <c r="C1013" s="8">
        <v>27181</v>
      </c>
      <c r="D1013" s="7" t="s">
        <v>16</v>
      </c>
      <c r="E1013" s="7" t="s">
        <v>17</v>
      </c>
      <c r="F1013" s="7" t="s">
        <v>618</v>
      </c>
      <c r="G1013" s="7" t="s">
        <v>18</v>
      </c>
      <c r="H1013" s="7" t="s">
        <v>48</v>
      </c>
      <c r="I1013" s="7" t="s">
        <v>712</v>
      </c>
      <c r="J1013" s="7" t="s">
        <v>691</v>
      </c>
      <c r="K1013" s="8">
        <v>6067818</v>
      </c>
      <c r="L1013" s="8">
        <v>269169</v>
      </c>
      <c r="M1013" s="8">
        <v>19</v>
      </c>
      <c r="N1013" s="8">
        <v>4</v>
      </c>
      <c r="O1013" s="8">
        <v>10</v>
      </c>
      <c r="P1013" s="8"/>
    </row>
    <row r="1014" spans="1:16" hidden="1" x14ac:dyDescent="0.25">
      <c r="A1014" s="7" t="s">
        <v>37</v>
      </c>
      <c r="B1014" s="7" t="s">
        <v>254</v>
      </c>
      <c r="C1014" s="8">
        <v>27183</v>
      </c>
      <c r="D1014" s="7" t="s">
        <v>21</v>
      </c>
      <c r="E1014" s="7" t="s">
        <v>280</v>
      </c>
      <c r="F1014" s="7" t="s">
        <v>302</v>
      </c>
      <c r="G1014" s="7" t="s">
        <v>18</v>
      </c>
      <c r="H1014" s="7" t="s">
        <v>24</v>
      </c>
      <c r="I1014" s="7" t="s">
        <v>712</v>
      </c>
      <c r="J1014" s="7" t="s">
        <v>712</v>
      </c>
      <c r="K1014" s="8">
        <v>6361609</v>
      </c>
      <c r="L1014" s="8">
        <v>318279</v>
      </c>
      <c r="M1014" s="8">
        <v>19</v>
      </c>
      <c r="N1014" s="8">
        <v>1</v>
      </c>
      <c r="O1014" s="8">
        <v>0.5</v>
      </c>
      <c r="P1014" s="8"/>
    </row>
    <row r="1015" spans="1:16" hidden="1" x14ac:dyDescent="0.25">
      <c r="A1015" s="7" t="s">
        <v>19</v>
      </c>
      <c r="B1015" s="7" t="s">
        <v>270</v>
      </c>
      <c r="C1015" s="8">
        <v>27184</v>
      </c>
      <c r="D1015" s="7" t="s">
        <v>16</v>
      </c>
      <c r="E1015" s="7" t="s">
        <v>264</v>
      </c>
      <c r="F1015" s="7" t="s">
        <v>619</v>
      </c>
      <c r="G1015" s="7" t="s">
        <v>18</v>
      </c>
      <c r="H1015" s="7" t="s">
        <v>48</v>
      </c>
      <c r="I1015" s="7" t="s">
        <v>712</v>
      </c>
      <c r="J1015" s="7" t="s">
        <v>712</v>
      </c>
      <c r="K1015" s="8">
        <v>6120606</v>
      </c>
      <c r="L1015" s="8">
        <v>287666</v>
      </c>
      <c r="M1015" s="8">
        <v>19</v>
      </c>
      <c r="N1015" s="8">
        <v>1</v>
      </c>
      <c r="O1015" s="8">
        <v>8</v>
      </c>
      <c r="P1015" s="8"/>
    </row>
    <row r="1016" spans="1:16" hidden="1" x14ac:dyDescent="0.25">
      <c r="A1016" s="7" t="s">
        <v>37</v>
      </c>
      <c r="B1016" s="7" t="s">
        <v>254</v>
      </c>
      <c r="C1016" s="8">
        <v>27185</v>
      </c>
      <c r="D1016" s="7" t="s">
        <v>16</v>
      </c>
      <c r="E1016" s="7" t="s">
        <v>268</v>
      </c>
      <c r="F1016" s="7" t="s">
        <v>282</v>
      </c>
      <c r="G1016" s="7" t="s">
        <v>18</v>
      </c>
      <c r="H1016" s="7" t="s">
        <v>48</v>
      </c>
      <c r="I1016" s="7" t="s">
        <v>712</v>
      </c>
      <c r="J1016" s="7" t="s">
        <v>691</v>
      </c>
      <c r="K1016" s="8">
        <v>6135196</v>
      </c>
      <c r="L1016" s="8">
        <v>317277</v>
      </c>
      <c r="M1016" s="8">
        <v>19</v>
      </c>
      <c r="N1016" s="8">
        <v>1</v>
      </c>
      <c r="O1016" s="8">
        <v>2.7</v>
      </c>
      <c r="P1016" s="8"/>
    </row>
    <row r="1017" spans="1:16" hidden="1" x14ac:dyDescent="0.25">
      <c r="A1017" s="7" t="s">
        <v>37</v>
      </c>
      <c r="B1017" s="7" t="s">
        <v>254</v>
      </c>
      <c r="C1017" s="8">
        <v>27186</v>
      </c>
      <c r="D1017" s="7" t="s">
        <v>52</v>
      </c>
      <c r="E1017" s="7" t="s">
        <v>273</v>
      </c>
      <c r="F1017" s="7" t="s">
        <v>273</v>
      </c>
      <c r="G1017" s="7" t="s">
        <v>18</v>
      </c>
      <c r="H1017" s="7" t="s">
        <v>48</v>
      </c>
      <c r="I1017" s="7" t="s">
        <v>712</v>
      </c>
      <c r="J1017" s="7" t="s">
        <v>712</v>
      </c>
      <c r="K1017" s="8">
        <v>6161889</v>
      </c>
      <c r="L1017" s="8">
        <v>294678</v>
      </c>
      <c r="M1017" s="8">
        <v>19</v>
      </c>
      <c r="N1017" s="8">
        <v>1</v>
      </c>
      <c r="O1017" s="8">
        <v>6</v>
      </c>
      <c r="P1017" s="8"/>
    </row>
    <row r="1018" spans="1:16" hidden="1" x14ac:dyDescent="0.25">
      <c r="A1018" s="7" t="s">
        <v>37</v>
      </c>
      <c r="B1018" s="7" t="s">
        <v>254</v>
      </c>
      <c r="C1018" s="8">
        <v>27188</v>
      </c>
      <c r="D1018" s="7" t="s">
        <v>16</v>
      </c>
      <c r="E1018" s="7" t="s">
        <v>268</v>
      </c>
      <c r="F1018" s="7" t="s">
        <v>282</v>
      </c>
      <c r="G1018" s="7" t="s">
        <v>18</v>
      </c>
      <c r="H1018" s="7" t="s">
        <v>48</v>
      </c>
      <c r="I1018" s="7" t="s">
        <v>712</v>
      </c>
      <c r="J1018" s="7" t="s">
        <v>691</v>
      </c>
      <c r="K1018" s="8">
        <v>6137381</v>
      </c>
      <c r="L1018" s="8">
        <v>311610</v>
      </c>
      <c r="M1018" s="8">
        <v>19</v>
      </c>
      <c r="N1018" s="8">
        <v>1</v>
      </c>
      <c r="O1018" s="8">
        <v>2.7</v>
      </c>
      <c r="P1018" s="8"/>
    </row>
    <row r="1019" spans="1:16" hidden="1" x14ac:dyDescent="0.25">
      <c r="A1019" s="7" t="s">
        <v>37</v>
      </c>
      <c r="B1019" s="7" t="s">
        <v>270</v>
      </c>
      <c r="C1019" s="8">
        <v>27189</v>
      </c>
      <c r="D1019" s="7" t="s">
        <v>52</v>
      </c>
      <c r="E1019" s="7" t="s">
        <v>273</v>
      </c>
      <c r="F1019" s="7" t="s">
        <v>582</v>
      </c>
      <c r="G1019" s="7" t="s">
        <v>18</v>
      </c>
      <c r="H1019" s="7" t="s">
        <v>48</v>
      </c>
      <c r="I1019" s="7" t="s">
        <v>712</v>
      </c>
      <c r="J1019" s="7" t="s">
        <v>712</v>
      </c>
      <c r="K1019" s="8">
        <v>6161318</v>
      </c>
      <c r="L1019" s="8">
        <v>294441</v>
      </c>
      <c r="M1019" s="8">
        <v>19</v>
      </c>
      <c r="N1019" s="8">
        <v>1</v>
      </c>
      <c r="O1019" s="8">
        <v>6</v>
      </c>
      <c r="P1019" s="8"/>
    </row>
    <row r="1020" spans="1:16" hidden="1" x14ac:dyDescent="0.25">
      <c r="A1020" s="7" t="s">
        <v>37</v>
      </c>
      <c r="B1020" s="7" t="s">
        <v>343</v>
      </c>
      <c r="C1020" s="8">
        <v>27191</v>
      </c>
      <c r="D1020" s="7" t="s">
        <v>28</v>
      </c>
      <c r="E1020" s="7" t="s">
        <v>142</v>
      </c>
      <c r="F1020" s="7" t="s">
        <v>142</v>
      </c>
      <c r="G1020" s="7" t="s">
        <v>18</v>
      </c>
      <c r="H1020" s="7" t="s">
        <v>24</v>
      </c>
      <c r="I1020" s="7" t="s">
        <v>712</v>
      </c>
      <c r="J1020" s="7" t="s">
        <v>712</v>
      </c>
      <c r="K1020" s="8">
        <v>6273943</v>
      </c>
      <c r="L1020" s="8">
        <v>329705</v>
      </c>
      <c r="M1020" s="8">
        <v>19</v>
      </c>
      <c r="N1020" s="8">
        <v>1</v>
      </c>
      <c r="O1020" s="8">
        <v>4</v>
      </c>
      <c r="P1020" s="8"/>
    </row>
    <row r="1021" spans="1:16" hidden="1" x14ac:dyDescent="0.25">
      <c r="A1021" s="7" t="s">
        <v>37</v>
      </c>
      <c r="B1021" s="7" t="s">
        <v>254</v>
      </c>
      <c r="C1021" s="8">
        <v>27195</v>
      </c>
      <c r="D1021" s="7" t="s">
        <v>16</v>
      </c>
      <c r="E1021" s="7" t="s">
        <v>268</v>
      </c>
      <c r="F1021" s="7" t="s">
        <v>282</v>
      </c>
      <c r="G1021" s="7" t="s">
        <v>18</v>
      </c>
      <c r="H1021" s="7" t="s">
        <v>48</v>
      </c>
      <c r="I1021" s="7" t="s">
        <v>712</v>
      </c>
      <c r="J1021" s="7" t="s">
        <v>691</v>
      </c>
      <c r="K1021" s="8">
        <v>6128907</v>
      </c>
      <c r="L1021" s="8">
        <v>321121</v>
      </c>
      <c r="M1021" s="8">
        <v>19</v>
      </c>
      <c r="N1021" s="8">
        <v>1</v>
      </c>
      <c r="O1021" s="8">
        <v>2.7</v>
      </c>
      <c r="P1021" s="8"/>
    </row>
    <row r="1022" spans="1:16" hidden="1" x14ac:dyDescent="0.25">
      <c r="A1022" s="7" t="s">
        <v>37</v>
      </c>
      <c r="B1022" s="7" t="s">
        <v>270</v>
      </c>
      <c r="C1022" s="8">
        <v>27197</v>
      </c>
      <c r="D1022" s="7" t="s">
        <v>21</v>
      </c>
      <c r="E1022" s="7" t="s">
        <v>434</v>
      </c>
      <c r="F1022" s="7" t="s">
        <v>434</v>
      </c>
      <c r="G1022" s="7" t="s">
        <v>18</v>
      </c>
      <c r="H1022" s="7" t="s">
        <v>109</v>
      </c>
      <c r="I1022" s="7" t="s">
        <v>712</v>
      </c>
      <c r="J1022" s="7" t="s">
        <v>691</v>
      </c>
      <c r="K1022" s="8">
        <v>6364916</v>
      </c>
      <c r="L1022" s="8">
        <v>340487</v>
      </c>
      <c r="M1022" s="8">
        <v>19</v>
      </c>
      <c r="N1022" s="8">
        <v>1</v>
      </c>
      <c r="O1022" s="8">
        <v>2.4</v>
      </c>
      <c r="P1022" s="8"/>
    </row>
    <row r="1023" spans="1:16" hidden="1" x14ac:dyDescent="0.25">
      <c r="A1023" s="7" t="s">
        <v>37</v>
      </c>
      <c r="B1023" s="7" t="s">
        <v>415</v>
      </c>
      <c r="C1023" s="8">
        <v>27198</v>
      </c>
      <c r="D1023" s="7" t="s">
        <v>52</v>
      </c>
      <c r="E1023" s="7" t="s">
        <v>141</v>
      </c>
      <c r="F1023" s="7" t="s">
        <v>497</v>
      </c>
      <c r="G1023" s="7" t="s">
        <v>18</v>
      </c>
      <c r="H1023" s="7" t="s">
        <v>48</v>
      </c>
      <c r="I1023" s="7" t="s">
        <v>712</v>
      </c>
      <c r="J1023" s="7" t="s">
        <v>691</v>
      </c>
      <c r="K1023" s="8">
        <v>6217494</v>
      </c>
      <c r="L1023" s="8">
        <v>331221</v>
      </c>
      <c r="M1023" s="8">
        <v>19</v>
      </c>
      <c r="N1023" s="8">
        <v>2</v>
      </c>
      <c r="O1023" s="8">
        <v>23.37</v>
      </c>
      <c r="P1023" s="8"/>
    </row>
    <row r="1024" spans="1:16" hidden="1" x14ac:dyDescent="0.25">
      <c r="A1024" s="7" t="s">
        <v>37</v>
      </c>
      <c r="B1024" s="7" t="s">
        <v>415</v>
      </c>
      <c r="C1024" s="8">
        <v>27199</v>
      </c>
      <c r="D1024" s="7" t="s">
        <v>52</v>
      </c>
      <c r="E1024" s="7" t="s">
        <v>139</v>
      </c>
      <c r="F1024" s="7" t="s">
        <v>139</v>
      </c>
      <c r="G1024" s="7" t="s">
        <v>18</v>
      </c>
      <c r="H1024" s="7" t="s">
        <v>48</v>
      </c>
      <c r="I1024" s="7" t="s">
        <v>712</v>
      </c>
      <c r="J1024" s="7" t="s">
        <v>712</v>
      </c>
      <c r="K1024" s="8">
        <v>6227585</v>
      </c>
      <c r="L1024" s="8">
        <v>341446</v>
      </c>
      <c r="M1024" s="8">
        <v>19</v>
      </c>
      <c r="N1024" s="8">
        <v>1</v>
      </c>
      <c r="O1024" s="8">
        <v>7.17</v>
      </c>
      <c r="P1024" s="8"/>
    </row>
    <row r="1025" spans="1:16" hidden="1" x14ac:dyDescent="0.25">
      <c r="A1025" s="7" t="s">
        <v>37</v>
      </c>
      <c r="B1025" s="7" t="s">
        <v>270</v>
      </c>
      <c r="C1025" s="8">
        <v>27200</v>
      </c>
      <c r="D1025" s="7" t="s">
        <v>21</v>
      </c>
      <c r="E1025" s="7" t="s">
        <v>434</v>
      </c>
      <c r="F1025" s="7" t="s">
        <v>434</v>
      </c>
      <c r="G1025" s="7" t="s">
        <v>18</v>
      </c>
      <c r="H1025" s="7" t="s">
        <v>24</v>
      </c>
      <c r="I1025" s="7" t="s">
        <v>712</v>
      </c>
      <c r="J1025" s="7" t="s">
        <v>712</v>
      </c>
      <c r="K1025" s="8">
        <v>6364916</v>
      </c>
      <c r="L1025" s="8">
        <v>340487</v>
      </c>
      <c r="M1025" s="8">
        <v>19</v>
      </c>
      <c r="N1025" s="8">
        <v>1</v>
      </c>
      <c r="O1025" s="8">
        <v>0.8</v>
      </c>
      <c r="P1025" s="8"/>
    </row>
    <row r="1026" spans="1:16" hidden="1" x14ac:dyDescent="0.25">
      <c r="A1026" s="7" t="s">
        <v>37</v>
      </c>
      <c r="B1026" s="7" t="s">
        <v>415</v>
      </c>
      <c r="C1026" s="8">
        <v>27201</v>
      </c>
      <c r="D1026" s="7" t="s">
        <v>52</v>
      </c>
      <c r="E1026" s="7" t="s">
        <v>139</v>
      </c>
      <c r="F1026" s="7" t="s">
        <v>139</v>
      </c>
      <c r="G1026" s="7" t="s">
        <v>18</v>
      </c>
      <c r="H1026" s="7" t="s">
        <v>48</v>
      </c>
      <c r="I1026" s="7" t="s">
        <v>712</v>
      </c>
      <c r="J1026" s="7" t="s">
        <v>712</v>
      </c>
      <c r="K1026" s="8">
        <v>6227961</v>
      </c>
      <c r="L1026" s="8">
        <v>341462</v>
      </c>
      <c r="M1026" s="8">
        <v>19</v>
      </c>
      <c r="N1026" s="8">
        <v>1</v>
      </c>
      <c r="O1026" s="8">
        <v>5.29</v>
      </c>
      <c r="P1026" s="8"/>
    </row>
    <row r="1027" spans="1:16" hidden="1" x14ac:dyDescent="0.25">
      <c r="A1027" s="7" t="s">
        <v>37</v>
      </c>
      <c r="B1027" s="7" t="s">
        <v>343</v>
      </c>
      <c r="C1027" s="8">
        <v>27204</v>
      </c>
      <c r="D1027" s="7" t="s">
        <v>28</v>
      </c>
      <c r="E1027" s="7" t="s">
        <v>387</v>
      </c>
      <c r="F1027" s="7" t="s">
        <v>387</v>
      </c>
      <c r="G1027" s="7" t="s">
        <v>18</v>
      </c>
      <c r="H1027" s="7" t="s">
        <v>24</v>
      </c>
      <c r="I1027" s="7" t="s">
        <v>712</v>
      </c>
      <c r="J1027" s="7" t="s">
        <v>712</v>
      </c>
      <c r="K1027" s="8">
        <v>6300174</v>
      </c>
      <c r="L1027" s="8">
        <v>331821</v>
      </c>
      <c r="M1027" s="8">
        <v>19</v>
      </c>
      <c r="N1027" s="8">
        <v>1</v>
      </c>
      <c r="O1027" s="8">
        <v>8</v>
      </c>
      <c r="P1027" s="8"/>
    </row>
    <row r="1028" spans="1:16" hidden="1" x14ac:dyDescent="0.25">
      <c r="A1028" s="7" t="s">
        <v>37</v>
      </c>
      <c r="B1028" s="7" t="s">
        <v>415</v>
      </c>
      <c r="C1028" s="8">
        <v>27205</v>
      </c>
      <c r="D1028" s="7" t="s">
        <v>16</v>
      </c>
      <c r="E1028" s="7" t="s">
        <v>264</v>
      </c>
      <c r="F1028" s="7" t="s">
        <v>498</v>
      </c>
      <c r="G1028" s="7" t="s">
        <v>18</v>
      </c>
      <c r="H1028" s="7" t="s">
        <v>48</v>
      </c>
      <c r="I1028" s="7" t="s">
        <v>712</v>
      </c>
      <c r="J1028" s="7" t="s">
        <v>712</v>
      </c>
      <c r="K1028" s="8">
        <v>6122341</v>
      </c>
      <c r="L1028" s="8">
        <v>292668</v>
      </c>
      <c r="M1028" s="8">
        <v>19</v>
      </c>
      <c r="N1028" s="8">
        <v>1</v>
      </c>
      <c r="O1028" s="8">
        <v>4.7</v>
      </c>
      <c r="P1028" s="8"/>
    </row>
    <row r="1029" spans="1:16" hidden="1" x14ac:dyDescent="0.25">
      <c r="A1029" s="7" t="s">
        <v>19</v>
      </c>
      <c r="B1029" s="7" t="s">
        <v>415</v>
      </c>
      <c r="C1029" s="8">
        <v>27207</v>
      </c>
      <c r="D1029" s="7" t="s">
        <v>52</v>
      </c>
      <c r="E1029" s="7" t="s">
        <v>139</v>
      </c>
      <c r="F1029" s="7" t="s">
        <v>139</v>
      </c>
      <c r="G1029" s="7" t="s">
        <v>18</v>
      </c>
      <c r="H1029" s="7" t="s">
        <v>48</v>
      </c>
      <c r="I1029" s="7" t="s">
        <v>712</v>
      </c>
      <c r="J1029" s="7" t="s">
        <v>712</v>
      </c>
      <c r="K1029" s="8">
        <v>6227639</v>
      </c>
      <c r="L1029" s="8">
        <v>341240</v>
      </c>
      <c r="M1029" s="8">
        <v>19</v>
      </c>
      <c r="N1029" s="8">
        <v>1</v>
      </c>
      <c r="O1029" s="8">
        <v>3.5</v>
      </c>
      <c r="P1029" s="8"/>
    </row>
    <row r="1030" spans="1:16" hidden="1" x14ac:dyDescent="0.25">
      <c r="A1030" s="7" t="s">
        <v>19</v>
      </c>
      <c r="B1030" s="7" t="s">
        <v>124</v>
      </c>
      <c r="C1030" s="8">
        <v>27208</v>
      </c>
      <c r="D1030" s="7" t="s">
        <v>16</v>
      </c>
      <c r="E1030" s="7" t="s">
        <v>17</v>
      </c>
      <c r="F1030" s="7" t="s">
        <v>17</v>
      </c>
      <c r="G1030" s="7" t="s">
        <v>18</v>
      </c>
      <c r="H1030" s="7" t="s">
        <v>48</v>
      </c>
      <c r="I1030" s="7" t="s">
        <v>712</v>
      </c>
      <c r="J1030" s="7" t="s">
        <v>712</v>
      </c>
      <c r="K1030" s="8">
        <v>6067899</v>
      </c>
      <c r="L1030" s="8">
        <v>271957</v>
      </c>
      <c r="M1030" s="8">
        <v>19</v>
      </c>
      <c r="N1030" s="8">
        <v>1</v>
      </c>
      <c r="O1030" s="8">
        <v>12</v>
      </c>
      <c r="P1030" s="8"/>
    </row>
    <row r="1031" spans="1:16" hidden="1" x14ac:dyDescent="0.25">
      <c r="A1031" s="7" t="s">
        <v>37</v>
      </c>
      <c r="B1031" s="7" t="s">
        <v>343</v>
      </c>
      <c r="C1031" s="8">
        <v>27209</v>
      </c>
      <c r="D1031" s="7" t="s">
        <v>28</v>
      </c>
      <c r="E1031" s="7" t="s">
        <v>388</v>
      </c>
      <c r="F1031" s="7" t="s">
        <v>389</v>
      </c>
      <c r="G1031" s="7" t="s">
        <v>18</v>
      </c>
      <c r="H1031" s="7" t="s">
        <v>24</v>
      </c>
      <c r="I1031" s="7" t="s">
        <v>712</v>
      </c>
      <c r="J1031" s="7" t="s">
        <v>712</v>
      </c>
      <c r="K1031" s="8">
        <v>6292578</v>
      </c>
      <c r="L1031" s="8">
        <v>353397</v>
      </c>
      <c r="M1031" s="8">
        <v>19</v>
      </c>
      <c r="N1031" s="8">
        <v>1</v>
      </c>
      <c r="O1031" s="8">
        <v>11.91</v>
      </c>
      <c r="P1031" s="8"/>
    </row>
    <row r="1032" spans="1:16" hidden="1" x14ac:dyDescent="0.25">
      <c r="A1032" s="7" t="s">
        <v>37</v>
      </c>
      <c r="B1032" s="7" t="s">
        <v>270</v>
      </c>
      <c r="C1032" s="8">
        <v>27210</v>
      </c>
      <c r="D1032" s="7" t="s">
        <v>52</v>
      </c>
      <c r="E1032" s="7" t="s">
        <v>273</v>
      </c>
      <c r="F1032" s="7" t="s">
        <v>582</v>
      </c>
      <c r="G1032" s="7" t="s">
        <v>18</v>
      </c>
      <c r="H1032" s="7" t="s">
        <v>48</v>
      </c>
      <c r="I1032" s="7" t="s">
        <v>712</v>
      </c>
      <c r="J1032" s="7" t="s">
        <v>712</v>
      </c>
      <c r="K1032" s="8">
        <v>6161094</v>
      </c>
      <c r="L1032" s="8">
        <v>294201</v>
      </c>
      <c r="M1032" s="8">
        <v>19</v>
      </c>
      <c r="N1032" s="8">
        <v>1</v>
      </c>
      <c r="O1032" s="8">
        <v>6</v>
      </c>
      <c r="P1032" s="8"/>
    </row>
    <row r="1033" spans="1:16" hidden="1" x14ac:dyDescent="0.25">
      <c r="A1033" s="7" t="s">
        <v>19</v>
      </c>
      <c r="B1033" s="7" t="s">
        <v>415</v>
      </c>
      <c r="C1033" s="8">
        <v>27212</v>
      </c>
      <c r="D1033" s="7" t="s">
        <v>52</v>
      </c>
      <c r="E1033" s="7" t="s">
        <v>53</v>
      </c>
      <c r="F1033" s="7" t="s">
        <v>53</v>
      </c>
      <c r="G1033" s="7" t="s">
        <v>18</v>
      </c>
      <c r="H1033" s="7" t="s">
        <v>48</v>
      </c>
      <c r="I1033" s="7" t="s">
        <v>712</v>
      </c>
      <c r="J1033" s="7" t="s">
        <v>712</v>
      </c>
      <c r="K1033" s="8">
        <v>6149605</v>
      </c>
      <c r="L1033" s="8">
        <v>316118</v>
      </c>
      <c r="M1033" s="8">
        <v>19</v>
      </c>
      <c r="N1033" s="8">
        <v>1</v>
      </c>
      <c r="O1033" s="8">
        <v>8</v>
      </c>
      <c r="P1033" s="8"/>
    </row>
    <row r="1034" spans="1:16" hidden="1" x14ac:dyDescent="0.25">
      <c r="A1034" s="7" t="s">
        <v>37</v>
      </c>
      <c r="B1034" s="7" t="s">
        <v>254</v>
      </c>
      <c r="C1034" s="8">
        <v>27213</v>
      </c>
      <c r="D1034" s="7" t="s">
        <v>16</v>
      </c>
      <c r="E1034" s="7" t="s">
        <v>268</v>
      </c>
      <c r="F1034" s="7" t="s">
        <v>285</v>
      </c>
      <c r="G1034" s="7" t="s">
        <v>18</v>
      </c>
      <c r="H1034" s="7" t="s">
        <v>48</v>
      </c>
      <c r="I1034" s="7" t="s">
        <v>712</v>
      </c>
      <c r="J1034" s="7" t="s">
        <v>691</v>
      </c>
      <c r="K1034" s="8">
        <v>6135129</v>
      </c>
      <c r="L1034" s="8">
        <v>310294</v>
      </c>
      <c r="M1034" s="8">
        <v>19</v>
      </c>
      <c r="N1034" s="8">
        <v>1</v>
      </c>
      <c r="O1034" s="8">
        <v>10</v>
      </c>
      <c r="P1034" s="8"/>
    </row>
    <row r="1035" spans="1:16" hidden="1" x14ac:dyDescent="0.25">
      <c r="A1035" s="7" t="s">
        <v>37</v>
      </c>
      <c r="B1035" s="7" t="s">
        <v>124</v>
      </c>
      <c r="C1035" s="8">
        <v>27215</v>
      </c>
      <c r="D1035" s="7" t="s">
        <v>16</v>
      </c>
      <c r="E1035" s="7" t="s">
        <v>17</v>
      </c>
      <c r="F1035" s="7" t="s">
        <v>149</v>
      </c>
      <c r="G1035" s="7" t="s">
        <v>18</v>
      </c>
      <c r="H1035" s="7" t="s">
        <v>24</v>
      </c>
      <c r="I1035" s="7" t="s">
        <v>712</v>
      </c>
      <c r="J1035" s="7" t="s">
        <v>712</v>
      </c>
      <c r="K1035" s="8">
        <v>6061622</v>
      </c>
      <c r="L1035" s="8">
        <v>276365</v>
      </c>
      <c r="M1035" s="8">
        <v>19</v>
      </c>
      <c r="N1035" s="8">
        <v>1</v>
      </c>
      <c r="O1035" s="8">
        <v>2</v>
      </c>
      <c r="P1035" s="8"/>
    </row>
    <row r="1036" spans="1:16" hidden="1" x14ac:dyDescent="0.25">
      <c r="A1036" s="7" t="s">
        <v>19</v>
      </c>
      <c r="B1036" s="7" t="s">
        <v>270</v>
      </c>
      <c r="C1036" s="8">
        <v>27217</v>
      </c>
      <c r="D1036" s="7" t="s">
        <v>16</v>
      </c>
      <c r="E1036" s="7" t="s">
        <v>50</v>
      </c>
      <c r="F1036" s="7" t="s">
        <v>260</v>
      </c>
      <c r="G1036" s="7" t="s">
        <v>18</v>
      </c>
      <c r="H1036" s="7" t="s">
        <v>48</v>
      </c>
      <c r="I1036" s="7" t="s">
        <v>712</v>
      </c>
      <c r="J1036" s="7" t="s">
        <v>712</v>
      </c>
      <c r="K1036" s="8">
        <v>6058506</v>
      </c>
      <c r="L1036" s="8">
        <v>282651</v>
      </c>
      <c r="M1036" s="8">
        <v>19</v>
      </c>
      <c r="N1036" s="8">
        <v>1</v>
      </c>
      <c r="O1036" s="8">
        <v>10</v>
      </c>
      <c r="P1036" s="8"/>
    </row>
    <row r="1037" spans="1:16" hidden="1" x14ac:dyDescent="0.25">
      <c r="A1037" s="7" t="s">
        <v>37</v>
      </c>
      <c r="B1037" s="7" t="s">
        <v>343</v>
      </c>
      <c r="C1037" s="8">
        <v>27218</v>
      </c>
      <c r="D1037" s="7" t="s">
        <v>28</v>
      </c>
      <c r="E1037" s="7" t="s">
        <v>135</v>
      </c>
      <c r="F1037" s="7" t="s">
        <v>135</v>
      </c>
      <c r="G1037" s="7" t="s">
        <v>18</v>
      </c>
      <c r="H1037" s="7" t="s">
        <v>24</v>
      </c>
      <c r="I1037" s="7" t="s">
        <v>712</v>
      </c>
      <c r="J1037" s="7" t="s">
        <v>712</v>
      </c>
      <c r="K1037" s="8">
        <v>6276817</v>
      </c>
      <c r="L1037" s="8">
        <v>350256</v>
      </c>
      <c r="M1037" s="8">
        <v>19</v>
      </c>
      <c r="N1037" s="8">
        <v>1</v>
      </c>
      <c r="O1037" s="8">
        <v>16</v>
      </c>
      <c r="P1037" s="8"/>
    </row>
    <row r="1038" spans="1:16" hidden="1" x14ac:dyDescent="0.25">
      <c r="A1038" s="7" t="s">
        <v>37</v>
      </c>
      <c r="B1038" s="7" t="s">
        <v>343</v>
      </c>
      <c r="C1038" s="8">
        <v>27220</v>
      </c>
      <c r="D1038" s="7" t="s">
        <v>28</v>
      </c>
      <c r="E1038" s="7" t="s">
        <v>135</v>
      </c>
      <c r="F1038" s="7" t="s">
        <v>135</v>
      </c>
      <c r="G1038" s="7" t="s">
        <v>18</v>
      </c>
      <c r="H1038" s="7" t="s">
        <v>109</v>
      </c>
      <c r="I1038" s="7" t="s">
        <v>712</v>
      </c>
      <c r="J1038" s="7" t="s">
        <v>691</v>
      </c>
      <c r="K1038" s="8">
        <v>6276817</v>
      </c>
      <c r="L1038" s="8">
        <v>350256</v>
      </c>
      <c r="M1038" s="8">
        <v>19</v>
      </c>
      <c r="N1038" s="8">
        <v>1</v>
      </c>
      <c r="O1038" s="8">
        <v>16</v>
      </c>
      <c r="P1038" s="8"/>
    </row>
    <row r="1039" spans="1:16" hidden="1" x14ac:dyDescent="0.25">
      <c r="A1039" s="7" t="s">
        <v>19</v>
      </c>
      <c r="B1039" s="7" t="s">
        <v>270</v>
      </c>
      <c r="C1039" s="8">
        <v>27221</v>
      </c>
      <c r="D1039" s="7" t="s">
        <v>52</v>
      </c>
      <c r="E1039" s="7" t="s">
        <v>273</v>
      </c>
      <c r="F1039" s="7" t="s">
        <v>582</v>
      </c>
      <c r="G1039" s="7" t="s">
        <v>18</v>
      </c>
      <c r="H1039" s="7" t="s">
        <v>48</v>
      </c>
      <c r="I1039" s="7" t="s">
        <v>712</v>
      </c>
      <c r="J1039" s="7" t="s">
        <v>712</v>
      </c>
      <c r="K1039" s="8">
        <v>6161744</v>
      </c>
      <c r="L1039" s="8">
        <v>293841</v>
      </c>
      <c r="M1039" s="8">
        <v>19</v>
      </c>
      <c r="N1039" s="8">
        <v>1</v>
      </c>
      <c r="O1039" s="8">
        <v>10</v>
      </c>
      <c r="P1039" s="8"/>
    </row>
    <row r="1040" spans="1:16" hidden="1" x14ac:dyDescent="0.25">
      <c r="A1040" s="7" t="s">
        <v>37</v>
      </c>
      <c r="B1040" s="7" t="s">
        <v>254</v>
      </c>
      <c r="C1040" s="8">
        <v>27222</v>
      </c>
      <c r="D1040" s="7" t="s">
        <v>16</v>
      </c>
      <c r="E1040" s="7" t="s">
        <v>268</v>
      </c>
      <c r="F1040" s="7" t="s">
        <v>282</v>
      </c>
      <c r="G1040" s="7" t="s">
        <v>18</v>
      </c>
      <c r="H1040" s="7" t="s">
        <v>24</v>
      </c>
      <c r="I1040" s="7" t="s">
        <v>712</v>
      </c>
      <c r="J1040" s="7" t="s">
        <v>712</v>
      </c>
      <c r="K1040" s="8">
        <v>6132481</v>
      </c>
      <c r="L1040" s="8">
        <v>320032</v>
      </c>
      <c r="M1040" s="8">
        <v>19</v>
      </c>
      <c r="N1040" s="8">
        <v>1</v>
      </c>
      <c r="O1040" s="8">
        <v>1.8</v>
      </c>
      <c r="P1040" s="8"/>
    </row>
    <row r="1041" spans="1:16" hidden="1" x14ac:dyDescent="0.25">
      <c r="A1041" s="7" t="s">
        <v>19</v>
      </c>
      <c r="B1041" s="7" t="s">
        <v>254</v>
      </c>
      <c r="C1041" s="8">
        <v>27224</v>
      </c>
      <c r="D1041" s="7" t="s">
        <v>52</v>
      </c>
      <c r="E1041" s="7" t="s">
        <v>145</v>
      </c>
      <c r="F1041" s="7" t="s">
        <v>303</v>
      </c>
      <c r="G1041" s="7" t="s">
        <v>18</v>
      </c>
      <c r="H1041" s="7" t="s">
        <v>48</v>
      </c>
      <c r="I1041" s="7" t="s">
        <v>712</v>
      </c>
      <c r="J1041" s="7" t="s">
        <v>712</v>
      </c>
      <c r="K1041" s="8">
        <v>6167839</v>
      </c>
      <c r="L1041" s="8">
        <v>321107</v>
      </c>
      <c r="M1041" s="8">
        <v>19</v>
      </c>
      <c r="N1041" s="8">
        <v>1</v>
      </c>
      <c r="O1041" s="8">
        <v>1.9</v>
      </c>
      <c r="P1041" s="8"/>
    </row>
    <row r="1042" spans="1:16" hidden="1" x14ac:dyDescent="0.25">
      <c r="A1042" s="7" t="s">
        <v>19</v>
      </c>
      <c r="B1042" s="7" t="s">
        <v>270</v>
      </c>
      <c r="C1042" s="8">
        <v>27225</v>
      </c>
      <c r="D1042" s="7" t="s">
        <v>52</v>
      </c>
      <c r="E1042" s="7" t="s">
        <v>273</v>
      </c>
      <c r="F1042" s="7" t="s">
        <v>373</v>
      </c>
      <c r="G1042" s="7" t="s">
        <v>43</v>
      </c>
      <c r="H1042" s="7" t="s">
        <v>24</v>
      </c>
      <c r="I1042" s="7" t="s">
        <v>712</v>
      </c>
      <c r="J1042" s="7" t="s">
        <v>712</v>
      </c>
      <c r="K1042" s="8">
        <v>6161628</v>
      </c>
      <c r="L1042" s="8">
        <v>291486</v>
      </c>
      <c r="M1042" s="8">
        <v>19</v>
      </c>
      <c r="N1042" s="8">
        <v>1</v>
      </c>
      <c r="O1042" s="8">
        <v>7.0000000000000007E-2</v>
      </c>
      <c r="P1042" s="8"/>
    </row>
    <row r="1043" spans="1:16" hidden="1" x14ac:dyDescent="0.25">
      <c r="A1043" s="7" t="s">
        <v>19</v>
      </c>
      <c r="B1043" s="7" t="s">
        <v>270</v>
      </c>
      <c r="C1043" s="8">
        <v>27226</v>
      </c>
      <c r="D1043" s="7" t="s">
        <v>16</v>
      </c>
      <c r="E1043" s="7" t="s">
        <v>17</v>
      </c>
      <c r="F1043" s="7" t="s">
        <v>420</v>
      </c>
      <c r="G1043" s="7" t="s">
        <v>18</v>
      </c>
      <c r="H1043" s="7" t="s">
        <v>48</v>
      </c>
      <c r="I1043" s="7" t="s">
        <v>712</v>
      </c>
      <c r="J1043" s="7" t="s">
        <v>691</v>
      </c>
      <c r="K1043" s="8">
        <v>6073515</v>
      </c>
      <c r="L1043" s="8">
        <v>286822</v>
      </c>
      <c r="M1043" s="8">
        <v>19</v>
      </c>
      <c r="N1043" s="8">
        <v>1</v>
      </c>
      <c r="O1043" s="8">
        <v>0.4</v>
      </c>
      <c r="P1043" s="8"/>
    </row>
    <row r="1044" spans="1:16" hidden="1" x14ac:dyDescent="0.25">
      <c r="A1044" s="7" t="s">
        <v>14</v>
      </c>
      <c r="B1044" s="7" t="s">
        <v>270</v>
      </c>
      <c r="C1044" s="8">
        <v>27227</v>
      </c>
      <c r="D1044" s="7" t="s">
        <v>322</v>
      </c>
      <c r="E1044" s="7" t="s">
        <v>323</v>
      </c>
      <c r="F1044" s="7" t="s">
        <v>422</v>
      </c>
      <c r="G1044" s="7" t="s">
        <v>18</v>
      </c>
      <c r="H1044" s="7" t="s">
        <v>689</v>
      </c>
      <c r="I1044" s="7" t="s">
        <v>712</v>
      </c>
      <c r="J1044" s="7" t="s">
        <v>712</v>
      </c>
      <c r="K1044" s="8">
        <v>7953789</v>
      </c>
      <c r="L1044" s="8">
        <v>370980</v>
      </c>
      <c r="M1044" s="8">
        <v>19</v>
      </c>
      <c r="N1044" s="8">
        <v>1</v>
      </c>
      <c r="O1044" s="8">
        <v>0.27</v>
      </c>
      <c r="P1044" s="8"/>
    </row>
    <row r="1045" spans="1:16" hidden="1" x14ac:dyDescent="0.25">
      <c r="A1045" s="7" t="s">
        <v>14</v>
      </c>
      <c r="B1045" s="7" t="s">
        <v>270</v>
      </c>
      <c r="C1045" s="8">
        <v>27229</v>
      </c>
      <c r="D1045" s="7" t="s">
        <v>52</v>
      </c>
      <c r="E1045" s="7" t="s">
        <v>139</v>
      </c>
      <c r="F1045" s="7" t="s">
        <v>139</v>
      </c>
      <c r="G1045" s="7" t="s">
        <v>18</v>
      </c>
      <c r="H1045" s="7" t="s">
        <v>689</v>
      </c>
      <c r="I1045" s="7" t="s">
        <v>712</v>
      </c>
      <c r="J1045" s="7" t="s">
        <v>712</v>
      </c>
      <c r="K1045" s="8">
        <v>6225010</v>
      </c>
      <c r="L1045" s="8">
        <v>339646</v>
      </c>
      <c r="M1045" s="8">
        <v>19</v>
      </c>
      <c r="N1045" s="8">
        <v>1</v>
      </c>
      <c r="O1045" s="8">
        <v>0.18</v>
      </c>
      <c r="P1045" s="8"/>
    </row>
    <row r="1046" spans="1:16" hidden="1" x14ac:dyDescent="0.25">
      <c r="A1046" s="7" t="s">
        <v>14</v>
      </c>
      <c r="B1046" s="7" t="s">
        <v>270</v>
      </c>
      <c r="C1046" s="8">
        <v>27230</v>
      </c>
      <c r="D1046" s="7" t="s">
        <v>52</v>
      </c>
      <c r="E1046" s="7" t="s">
        <v>139</v>
      </c>
      <c r="F1046" s="7" t="s">
        <v>139</v>
      </c>
      <c r="G1046" s="7" t="s">
        <v>18</v>
      </c>
      <c r="H1046" s="7" t="s">
        <v>689</v>
      </c>
      <c r="I1046" s="7" t="s">
        <v>712</v>
      </c>
      <c r="J1046" s="7" t="s">
        <v>712</v>
      </c>
      <c r="K1046" s="8">
        <v>6225010</v>
      </c>
      <c r="L1046" s="8">
        <v>339646</v>
      </c>
      <c r="M1046" s="8">
        <v>19</v>
      </c>
      <c r="N1046" s="8">
        <v>1</v>
      </c>
      <c r="O1046" s="8">
        <v>0.03</v>
      </c>
      <c r="P1046" s="8"/>
    </row>
    <row r="1047" spans="1:16" hidden="1" x14ac:dyDescent="0.25">
      <c r="A1047" s="7" t="s">
        <v>37</v>
      </c>
      <c r="B1047" s="7" t="s">
        <v>270</v>
      </c>
      <c r="C1047" s="8">
        <v>27231</v>
      </c>
      <c r="D1047" s="7" t="s">
        <v>28</v>
      </c>
      <c r="E1047" s="7" t="s">
        <v>146</v>
      </c>
      <c r="F1047" s="7" t="s">
        <v>620</v>
      </c>
      <c r="G1047" s="7" t="s">
        <v>18</v>
      </c>
      <c r="H1047" s="7" t="s">
        <v>48</v>
      </c>
      <c r="I1047" s="7" t="s">
        <v>712</v>
      </c>
      <c r="J1047" s="7" t="s">
        <v>712</v>
      </c>
      <c r="K1047" s="8">
        <v>6269579</v>
      </c>
      <c r="L1047" s="8">
        <v>330340</v>
      </c>
      <c r="M1047" s="8">
        <v>19</v>
      </c>
      <c r="N1047" s="8">
        <v>1</v>
      </c>
      <c r="O1047" s="8">
        <v>4.4000000000000004</v>
      </c>
      <c r="P1047" s="8"/>
    </row>
    <row r="1048" spans="1:16" hidden="1" x14ac:dyDescent="0.25">
      <c r="A1048" s="7" t="s">
        <v>37</v>
      </c>
      <c r="B1048" s="7" t="s">
        <v>563</v>
      </c>
      <c r="C1048" s="8">
        <v>27232</v>
      </c>
      <c r="D1048" s="7" t="s">
        <v>119</v>
      </c>
      <c r="E1048" s="7" t="s">
        <v>240</v>
      </c>
      <c r="F1048" s="7" t="s">
        <v>571</v>
      </c>
      <c r="G1048" s="7" t="s">
        <v>43</v>
      </c>
      <c r="H1048" s="7" t="s">
        <v>48</v>
      </c>
      <c r="I1048" s="7" t="s">
        <v>91</v>
      </c>
      <c r="J1048" s="7" t="s">
        <v>691</v>
      </c>
      <c r="K1048" s="8">
        <v>5721279</v>
      </c>
      <c r="L1048" s="8">
        <v>717811</v>
      </c>
      <c r="M1048" s="8">
        <v>18</v>
      </c>
      <c r="N1048" s="8">
        <v>1</v>
      </c>
      <c r="O1048" s="8">
        <v>19</v>
      </c>
      <c r="P1048" s="8"/>
    </row>
    <row r="1049" spans="1:16" hidden="1" x14ac:dyDescent="0.25">
      <c r="A1049" s="7" t="s">
        <v>37</v>
      </c>
      <c r="B1049" s="7" t="s">
        <v>563</v>
      </c>
      <c r="C1049" s="8">
        <v>27233</v>
      </c>
      <c r="D1049" s="7" t="s">
        <v>119</v>
      </c>
      <c r="E1049" s="7" t="s">
        <v>225</v>
      </c>
      <c r="F1049" s="7" t="s">
        <v>572</v>
      </c>
      <c r="G1049" s="7" t="s">
        <v>43</v>
      </c>
      <c r="H1049" s="7" t="s">
        <v>573</v>
      </c>
      <c r="I1049" s="7" t="s">
        <v>91</v>
      </c>
      <c r="J1049" s="7" t="s">
        <v>691</v>
      </c>
      <c r="K1049" s="8">
        <v>5756632</v>
      </c>
      <c r="L1049" s="8">
        <v>749298</v>
      </c>
      <c r="M1049" s="8">
        <v>18</v>
      </c>
      <c r="N1049" s="8">
        <v>1</v>
      </c>
      <c r="O1049" s="8">
        <v>1</v>
      </c>
      <c r="P1049" s="8"/>
    </row>
    <row r="1050" spans="1:16" hidden="1" x14ac:dyDescent="0.25">
      <c r="A1050" s="7" t="s">
        <v>37</v>
      </c>
      <c r="B1050" s="7" t="s">
        <v>270</v>
      </c>
      <c r="C1050" s="8">
        <v>27235</v>
      </c>
      <c r="D1050" s="7" t="s">
        <v>52</v>
      </c>
      <c r="E1050" s="7" t="s">
        <v>53</v>
      </c>
      <c r="F1050" s="7" t="s">
        <v>614</v>
      </c>
      <c r="G1050" s="7" t="s">
        <v>18</v>
      </c>
      <c r="H1050" s="7" t="s">
        <v>48</v>
      </c>
      <c r="I1050" s="7" t="s">
        <v>712</v>
      </c>
      <c r="J1050" s="7" t="s">
        <v>712</v>
      </c>
      <c r="K1050" s="8">
        <v>6148362</v>
      </c>
      <c r="L1050" s="8">
        <v>310984</v>
      </c>
      <c r="M1050" s="8">
        <v>19</v>
      </c>
      <c r="N1050" s="8">
        <v>2</v>
      </c>
      <c r="O1050" s="8">
        <v>24.2</v>
      </c>
      <c r="P1050" s="8"/>
    </row>
    <row r="1051" spans="1:16" hidden="1" x14ac:dyDescent="0.25">
      <c r="A1051" s="7" t="s">
        <v>37</v>
      </c>
      <c r="B1051" s="7" t="s">
        <v>563</v>
      </c>
      <c r="C1051" s="8">
        <v>27236</v>
      </c>
      <c r="D1051" s="7" t="s">
        <v>119</v>
      </c>
      <c r="E1051" s="7" t="s">
        <v>574</v>
      </c>
      <c r="F1051" s="7" t="s">
        <v>574</v>
      </c>
      <c r="G1051" s="7" t="s">
        <v>43</v>
      </c>
      <c r="H1051" s="7" t="s">
        <v>24</v>
      </c>
      <c r="I1051" s="7" t="s">
        <v>91</v>
      </c>
      <c r="J1051" s="7" t="s">
        <v>91</v>
      </c>
      <c r="K1051" s="8">
        <v>5741113</v>
      </c>
      <c r="L1051" s="8">
        <v>729205</v>
      </c>
      <c r="M1051" s="8">
        <v>18</v>
      </c>
      <c r="N1051" s="8">
        <v>1</v>
      </c>
      <c r="O1051" s="8">
        <v>1</v>
      </c>
      <c r="P1051" s="8"/>
    </row>
    <row r="1052" spans="1:16" hidden="1" x14ac:dyDescent="0.25">
      <c r="A1052" s="7" t="s">
        <v>19</v>
      </c>
      <c r="B1052" s="7" t="s">
        <v>270</v>
      </c>
      <c r="C1052" s="8">
        <v>27238</v>
      </c>
      <c r="D1052" s="7" t="s">
        <v>16</v>
      </c>
      <c r="E1052" s="7" t="s">
        <v>337</v>
      </c>
      <c r="F1052" s="7" t="s">
        <v>606</v>
      </c>
      <c r="G1052" s="7" t="s">
        <v>18</v>
      </c>
      <c r="H1052" s="7" t="s">
        <v>48</v>
      </c>
      <c r="I1052" s="7" t="s">
        <v>712</v>
      </c>
      <c r="J1052" s="7" t="s">
        <v>712</v>
      </c>
      <c r="K1052" s="8">
        <v>6126298</v>
      </c>
      <c r="L1052" s="8">
        <v>312846</v>
      </c>
      <c r="M1052" s="8">
        <v>19</v>
      </c>
      <c r="N1052" s="8">
        <v>3</v>
      </c>
      <c r="O1052" s="8">
        <v>10.46</v>
      </c>
      <c r="P1052" s="8"/>
    </row>
    <row r="1053" spans="1:16" hidden="1" x14ac:dyDescent="0.25">
      <c r="A1053" s="7" t="s">
        <v>37</v>
      </c>
      <c r="B1053" s="7" t="s">
        <v>563</v>
      </c>
      <c r="C1053" s="8">
        <v>27240</v>
      </c>
      <c r="D1053" s="7" t="s">
        <v>119</v>
      </c>
      <c r="E1053" s="7" t="s">
        <v>575</v>
      </c>
      <c r="F1053" s="7" t="s">
        <v>575</v>
      </c>
      <c r="G1053" s="7" t="s">
        <v>43</v>
      </c>
      <c r="H1053" s="7" t="s">
        <v>24</v>
      </c>
      <c r="I1053" s="7" t="s">
        <v>91</v>
      </c>
      <c r="J1053" s="7" t="s">
        <v>91</v>
      </c>
      <c r="K1053" s="8">
        <v>5751637</v>
      </c>
      <c r="L1053" s="8">
        <v>703227</v>
      </c>
      <c r="M1053" s="8">
        <v>18</v>
      </c>
      <c r="N1053" s="8">
        <v>1</v>
      </c>
      <c r="O1053" s="8">
        <v>1</v>
      </c>
      <c r="P1053" s="8"/>
    </row>
    <row r="1054" spans="1:16" hidden="1" x14ac:dyDescent="0.25">
      <c r="A1054" s="7" t="s">
        <v>37</v>
      </c>
      <c r="B1054" s="7" t="s">
        <v>254</v>
      </c>
      <c r="C1054" s="8">
        <v>27242</v>
      </c>
      <c r="D1054" s="7" t="s">
        <v>16</v>
      </c>
      <c r="E1054" s="7" t="s">
        <v>264</v>
      </c>
      <c r="F1054" s="7" t="s">
        <v>300</v>
      </c>
      <c r="G1054" s="7" t="s">
        <v>18</v>
      </c>
      <c r="H1054" s="7" t="s">
        <v>48</v>
      </c>
      <c r="I1054" s="7" t="s">
        <v>712</v>
      </c>
      <c r="J1054" s="7" t="s">
        <v>691</v>
      </c>
      <c r="K1054" s="8">
        <v>6121766</v>
      </c>
      <c r="L1054" s="8">
        <v>287086</v>
      </c>
      <c r="M1054" s="8">
        <v>19</v>
      </c>
      <c r="N1054" s="8">
        <v>1</v>
      </c>
      <c r="O1054" s="8">
        <v>5</v>
      </c>
      <c r="P1054" s="8"/>
    </row>
    <row r="1055" spans="1:16" hidden="1" x14ac:dyDescent="0.25">
      <c r="A1055" s="7" t="s">
        <v>19</v>
      </c>
      <c r="B1055" s="7" t="s">
        <v>254</v>
      </c>
      <c r="C1055" s="8">
        <v>27243</v>
      </c>
      <c r="D1055" s="7" t="s">
        <v>16</v>
      </c>
      <c r="E1055" s="7" t="s">
        <v>268</v>
      </c>
      <c r="F1055" s="7" t="s">
        <v>282</v>
      </c>
      <c r="G1055" s="7" t="s">
        <v>18</v>
      </c>
      <c r="H1055" s="7" t="s">
        <v>109</v>
      </c>
      <c r="I1055" s="7" t="s">
        <v>712</v>
      </c>
      <c r="J1055" s="7" t="s">
        <v>691</v>
      </c>
      <c r="K1055" s="8">
        <v>6137233</v>
      </c>
      <c r="L1055" s="8">
        <v>315571</v>
      </c>
      <c r="M1055" s="8">
        <v>19</v>
      </c>
      <c r="N1055" s="8">
        <v>1</v>
      </c>
      <c r="O1055" s="8">
        <v>2.2999999999999998</v>
      </c>
      <c r="P1055" s="8"/>
    </row>
    <row r="1056" spans="1:16" hidden="1" x14ac:dyDescent="0.25">
      <c r="A1056" s="7" t="s">
        <v>19</v>
      </c>
      <c r="B1056" s="7" t="s">
        <v>41</v>
      </c>
      <c r="C1056" s="8">
        <v>27246</v>
      </c>
      <c r="D1056" s="7" t="s">
        <v>16</v>
      </c>
      <c r="E1056" s="7" t="s">
        <v>17</v>
      </c>
      <c r="F1056" s="7" t="s">
        <v>58</v>
      </c>
      <c r="G1056" s="7" t="s">
        <v>18</v>
      </c>
      <c r="H1056" s="7" t="s">
        <v>48</v>
      </c>
      <c r="I1056" s="7" t="s">
        <v>712</v>
      </c>
      <c r="J1056" s="7" t="s">
        <v>712</v>
      </c>
      <c r="K1056" s="8">
        <v>6071349</v>
      </c>
      <c r="L1056" s="8">
        <v>286618</v>
      </c>
      <c r="M1056" s="8">
        <v>19</v>
      </c>
      <c r="N1056" s="8">
        <v>3</v>
      </c>
      <c r="O1056" s="8">
        <v>22</v>
      </c>
      <c r="P1056" s="8"/>
    </row>
    <row r="1057" spans="1:16" hidden="1" x14ac:dyDescent="0.25">
      <c r="A1057" s="7" t="s">
        <v>19</v>
      </c>
      <c r="B1057" s="7" t="s">
        <v>41</v>
      </c>
      <c r="C1057" s="8">
        <v>27247</v>
      </c>
      <c r="D1057" s="7" t="s">
        <v>16</v>
      </c>
      <c r="E1057" s="7" t="s">
        <v>60</v>
      </c>
      <c r="F1057" s="7" t="s">
        <v>61</v>
      </c>
      <c r="G1057" s="7" t="s">
        <v>18</v>
      </c>
      <c r="H1057" s="7" t="s">
        <v>48</v>
      </c>
      <c r="I1057" s="7" t="s">
        <v>712</v>
      </c>
      <c r="J1057" s="7" t="s">
        <v>691</v>
      </c>
      <c r="K1057" s="8">
        <v>6077088</v>
      </c>
      <c r="L1057" s="8">
        <v>282299</v>
      </c>
      <c r="M1057" s="8">
        <v>19</v>
      </c>
      <c r="N1057" s="8">
        <v>1</v>
      </c>
      <c r="O1057" s="8">
        <v>20</v>
      </c>
      <c r="P1057" s="8"/>
    </row>
    <row r="1058" spans="1:16" hidden="1" x14ac:dyDescent="0.25">
      <c r="A1058" s="7" t="s">
        <v>19</v>
      </c>
      <c r="B1058" s="7" t="s">
        <v>41</v>
      </c>
      <c r="C1058" s="8">
        <v>27248</v>
      </c>
      <c r="D1058" s="7" t="s">
        <v>16</v>
      </c>
      <c r="E1058" s="7" t="s">
        <v>17</v>
      </c>
      <c r="F1058" s="7" t="s">
        <v>62</v>
      </c>
      <c r="G1058" s="7" t="s">
        <v>18</v>
      </c>
      <c r="H1058" s="7" t="s">
        <v>48</v>
      </c>
      <c r="I1058" s="7" t="s">
        <v>712</v>
      </c>
      <c r="J1058" s="7" t="s">
        <v>712</v>
      </c>
      <c r="K1058" s="8">
        <v>6062609</v>
      </c>
      <c r="L1058" s="8">
        <v>273253</v>
      </c>
      <c r="M1058" s="8">
        <v>19</v>
      </c>
      <c r="N1058" s="8">
        <v>4</v>
      </c>
      <c r="O1058" s="8">
        <v>20.9</v>
      </c>
      <c r="P1058" s="8"/>
    </row>
    <row r="1059" spans="1:16" hidden="1" x14ac:dyDescent="0.25">
      <c r="A1059" s="7" t="s">
        <v>19</v>
      </c>
      <c r="B1059" s="7" t="s">
        <v>41</v>
      </c>
      <c r="C1059" s="8">
        <v>27249</v>
      </c>
      <c r="D1059" s="7" t="s">
        <v>16</v>
      </c>
      <c r="E1059" s="7" t="s">
        <v>17</v>
      </c>
      <c r="F1059" s="7" t="s">
        <v>62</v>
      </c>
      <c r="G1059" s="7" t="s">
        <v>18</v>
      </c>
      <c r="H1059" s="7" t="s">
        <v>48</v>
      </c>
      <c r="I1059" s="7" t="s">
        <v>712</v>
      </c>
      <c r="J1059" s="7" t="s">
        <v>691</v>
      </c>
      <c r="K1059" s="8">
        <v>6062372</v>
      </c>
      <c r="L1059" s="8">
        <v>273062</v>
      </c>
      <c r="M1059" s="8">
        <v>19</v>
      </c>
      <c r="N1059" s="8">
        <v>1</v>
      </c>
      <c r="O1059" s="8">
        <v>7</v>
      </c>
      <c r="P1059" s="8"/>
    </row>
    <row r="1060" spans="1:16" hidden="1" x14ac:dyDescent="0.25">
      <c r="A1060" s="7" t="s">
        <v>19</v>
      </c>
      <c r="B1060" s="7" t="s">
        <v>41</v>
      </c>
      <c r="C1060" s="8">
        <v>27255</v>
      </c>
      <c r="D1060" s="7" t="s">
        <v>52</v>
      </c>
      <c r="E1060" s="7" t="s">
        <v>53</v>
      </c>
      <c r="F1060" s="7" t="s">
        <v>55</v>
      </c>
      <c r="G1060" s="7" t="s">
        <v>18</v>
      </c>
      <c r="H1060" s="7" t="s">
        <v>48</v>
      </c>
      <c r="I1060" s="7" t="s">
        <v>712</v>
      </c>
      <c r="J1060" s="7" t="s">
        <v>712</v>
      </c>
      <c r="K1060" s="8">
        <v>6152226</v>
      </c>
      <c r="L1060" s="8">
        <v>316807</v>
      </c>
      <c r="M1060" s="8">
        <v>19</v>
      </c>
      <c r="N1060" s="8">
        <v>1</v>
      </c>
      <c r="O1060" s="8">
        <v>10</v>
      </c>
      <c r="P1060" s="8"/>
    </row>
    <row r="1061" spans="1:16" hidden="1" x14ac:dyDescent="0.25">
      <c r="A1061" s="7" t="s">
        <v>19</v>
      </c>
      <c r="B1061" s="7" t="s">
        <v>41</v>
      </c>
      <c r="C1061" s="8">
        <v>27256</v>
      </c>
      <c r="D1061" s="7" t="s">
        <v>52</v>
      </c>
      <c r="E1061" s="7" t="s">
        <v>53</v>
      </c>
      <c r="F1061" s="7" t="s">
        <v>55</v>
      </c>
      <c r="G1061" s="7" t="s">
        <v>18</v>
      </c>
      <c r="H1061" s="7" t="s">
        <v>48</v>
      </c>
      <c r="I1061" s="7" t="s">
        <v>712</v>
      </c>
      <c r="J1061" s="7" t="s">
        <v>712</v>
      </c>
      <c r="K1061" s="8">
        <v>6158956</v>
      </c>
      <c r="L1061" s="8">
        <v>317640</v>
      </c>
      <c r="M1061" s="8">
        <v>19</v>
      </c>
      <c r="N1061" s="8">
        <v>1</v>
      </c>
      <c r="O1061" s="8">
        <v>12</v>
      </c>
      <c r="P1061" s="8"/>
    </row>
    <row r="1062" spans="1:16" hidden="1" x14ac:dyDescent="0.25">
      <c r="A1062" s="7" t="s">
        <v>19</v>
      </c>
      <c r="B1062" s="7" t="s">
        <v>343</v>
      </c>
      <c r="C1062" s="8">
        <v>27257</v>
      </c>
      <c r="D1062" s="7" t="s">
        <v>16</v>
      </c>
      <c r="E1062" s="7" t="s">
        <v>17</v>
      </c>
      <c r="F1062" s="7" t="s">
        <v>55</v>
      </c>
      <c r="G1062" s="7" t="s">
        <v>18</v>
      </c>
      <c r="H1062" s="7" t="s">
        <v>24</v>
      </c>
      <c r="I1062" s="7" t="s">
        <v>712</v>
      </c>
      <c r="J1062" s="7" t="s">
        <v>712</v>
      </c>
      <c r="K1062" s="8">
        <v>6065734</v>
      </c>
      <c r="L1062" s="8">
        <v>281064</v>
      </c>
      <c r="M1062" s="8">
        <v>19</v>
      </c>
      <c r="N1062" s="8">
        <v>1</v>
      </c>
      <c r="O1062" s="8">
        <v>1.4</v>
      </c>
      <c r="P1062" s="8"/>
    </row>
    <row r="1063" spans="1:16" hidden="1" x14ac:dyDescent="0.25">
      <c r="A1063" s="7" t="s">
        <v>37</v>
      </c>
      <c r="B1063" s="7" t="s">
        <v>343</v>
      </c>
      <c r="C1063" s="8">
        <v>27258</v>
      </c>
      <c r="D1063" s="7" t="s">
        <v>16</v>
      </c>
      <c r="E1063" s="7" t="s">
        <v>17</v>
      </c>
      <c r="F1063" s="7" t="s">
        <v>390</v>
      </c>
      <c r="G1063" s="7" t="s">
        <v>18</v>
      </c>
      <c r="H1063" s="7" t="s">
        <v>24</v>
      </c>
      <c r="I1063" s="7" t="s">
        <v>712</v>
      </c>
      <c r="J1063" s="7" t="s">
        <v>712</v>
      </c>
      <c r="K1063" s="8">
        <v>6069861</v>
      </c>
      <c r="L1063" s="8">
        <v>285894</v>
      </c>
      <c r="M1063" s="8">
        <v>19</v>
      </c>
      <c r="N1063" s="8">
        <v>1</v>
      </c>
      <c r="O1063" s="8">
        <v>0.8</v>
      </c>
      <c r="P1063" s="8"/>
    </row>
    <row r="1064" spans="1:16" hidden="1" x14ac:dyDescent="0.25">
      <c r="A1064" s="7" t="s">
        <v>37</v>
      </c>
      <c r="B1064" s="7" t="s">
        <v>343</v>
      </c>
      <c r="C1064" s="8">
        <v>27259</v>
      </c>
      <c r="D1064" s="7" t="s">
        <v>16</v>
      </c>
      <c r="E1064" s="7" t="s">
        <v>17</v>
      </c>
      <c r="F1064" s="7" t="s">
        <v>55</v>
      </c>
      <c r="G1064" s="7" t="s">
        <v>18</v>
      </c>
      <c r="H1064" s="7" t="s">
        <v>24</v>
      </c>
      <c r="I1064" s="7" t="s">
        <v>712</v>
      </c>
      <c r="J1064" s="7" t="s">
        <v>712</v>
      </c>
      <c r="K1064" s="8">
        <v>6070347</v>
      </c>
      <c r="L1064" s="8">
        <v>281603</v>
      </c>
      <c r="M1064" s="8">
        <v>19</v>
      </c>
      <c r="N1064" s="8">
        <v>1</v>
      </c>
      <c r="O1064" s="8">
        <v>1.8</v>
      </c>
      <c r="P1064" s="8"/>
    </row>
    <row r="1065" spans="1:16" hidden="1" x14ac:dyDescent="0.25">
      <c r="A1065" s="7" t="s">
        <v>37</v>
      </c>
      <c r="B1065" s="7" t="s">
        <v>343</v>
      </c>
      <c r="C1065" s="8">
        <v>27260</v>
      </c>
      <c r="D1065" s="7" t="s">
        <v>16</v>
      </c>
      <c r="E1065" s="7" t="s">
        <v>17</v>
      </c>
      <c r="F1065" s="7" t="s">
        <v>55</v>
      </c>
      <c r="G1065" s="7" t="s">
        <v>18</v>
      </c>
      <c r="H1065" s="7" t="s">
        <v>24</v>
      </c>
      <c r="I1065" s="7" t="s">
        <v>712</v>
      </c>
      <c r="J1065" s="7" t="s">
        <v>712</v>
      </c>
      <c r="K1065" s="8">
        <v>6070063</v>
      </c>
      <c r="L1065" s="8">
        <v>281450</v>
      </c>
      <c r="M1065" s="8">
        <v>19</v>
      </c>
      <c r="N1065" s="8">
        <v>1</v>
      </c>
      <c r="O1065" s="8">
        <v>1.4</v>
      </c>
      <c r="P1065" s="8"/>
    </row>
    <row r="1066" spans="1:16" hidden="1" x14ac:dyDescent="0.25">
      <c r="A1066" s="7" t="s">
        <v>37</v>
      </c>
      <c r="B1066" s="7" t="s">
        <v>343</v>
      </c>
      <c r="C1066" s="8">
        <v>27261</v>
      </c>
      <c r="D1066" s="7" t="s">
        <v>16</v>
      </c>
      <c r="E1066" s="7" t="s">
        <v>17</v>
      </c>
      <c r="F1066" s="7" t="s">
        <v>17</v>
      </c>
      <c r="G1066" s="7" t="s">
        <v>18</v>
      </c>
      <c r="H1066" s="7" t="s">
        <v>24</v>
      </c>
      <c r="I1066" s="7" t="s">
        <v>712</v>
      </c>
      <c r="J1066" s="7" t="s">
        <v>712</v>
      </c>
      <c r="K1066" s="8">
        <v>6072610</v>
      </c>
      <c r="L1066" s="8">
        <v>284600</v>
      </c>
      <c r="M1066" s="8">
        <v>19</v>
      </c>
      <c r="N1066" s="8">
        <v>1</v>
      </c>
      <c r="O1066" s="8">
        <v>1.8</v>
      </c>
      <c r="P1066" s="8"/>
    </row>
    <row r="1067" spans="1:16" hidden="1" x14ac:dyDescent="0.25">
      <c r="A1067" s="7" t="s">
        <v>37</v>
      </c>
      <c r="B1067" s="7" t="s">
        <v>343</v>
      </c>
      <c r="C1067" s="8">
        <v>27262</v>
      </c>
      <c r="D1067" s="7" t="s">
        <v>16</v>
      </c>
      <c r="E1067" s="7" t="s">
        <v>17</v>
      </c>
      <c r="F1067" s="7" t="s">
        <v>55</v>
      </c>
      <c r="G1067" s="7" t="s">
        <v>18</v>
      </c>
      <c r="H1067" s="7" t="s">
        <v>24</v>
      </c>
      <c r="I1067" s="7" t="s">
        <v>712</v>
      </c>
      <c r="J1067" s="7" t="s">
        <v>712</v>
      </c>
      <c r="K1067" s="8">
        <v>6063680</v>
      </c>
      <c r="L1067" s="8">
        <v>281748</v>
      </c>
      <c r="M1067" s="8">
        <v>19</v>
      </c>
      <c r="N1067" s="8">
        <v>1</v>
      </c>
      <c r="O1067" s="8">
        <v>0.8</v>
      </c>
      <c r="P1067" s="8"/>
    </row>
    <row r="1068" spans="1:16" hidden="1" x14ac:dyDescent="0.25">
      <c r="A1068" s="7" t="s">
        <v>37</v>
      </c>
      <c r="B1068" s="7" t="s">
        <v>343</v>
      </c>
      <c r="C1068" s="8">
        <v>27263</v>
      </c>
      <c r="D1068" s="7" t="s">
        <v>16</v>
      </c>
      <c r="E1068" s="7" t="s">
        <v>17</v>
      </c>
      <c r="F1068" s="7" t="s">
        <v>391</v>
      </c>
      <c r="G1068" s="7" t="s">
        <v>18</v>
      </c>
      <c r="H1068" s="7" t="s">
        <v>24</v>
      </c>
      <c r="I1068" s="7" t="s">
        <v>712</v>
      </c>
      <c r="J1068" s="7" t="s">
        <v>712</v>
      </c>
      <c r="K1068" s="8">
        <v>6069124</v>
      </c>
      <c r="L1068" s="8">
        <v>283207</v>
      </c>
      <c r="M1068" s="8">
        <v>19</v>
      </c>
      <c r="N1068" s="8">
        <v>1</v>
      </c>
      <c r="O1068" s="8">
        <v>1.4</v>
      </c>
      <c r="P1068" s="8"/>
    </row>
    <row r="1069" spans="1:16" hidden="1" x14ac:dyDescent="0.25">
      <c r="A1069" s="7" t="s">
        <v>37</v>
      </c>
      <c r="B1069" s="7" t="s">
        <v>343</v>
      </c>
      <c r="C1069" s="8">
        <v>27264</v>
      </c>
      <c r="D1069" s="7" t="s">
        <v>52</v>
      </c>
      <c r="E1069" s="7" t="s">
        <v>151</v>
      </c>
      <c r="F1069" s="7" t="s">
        <v>151</v>
      </c>
      <c r="G1069" s="7" t="s">
        <v>18</v>
      </c>
      <c r="H1069" s="7" t="s">
        <v>24</v>
      </c>
      <c r="I1069" s="7" t="s">
        <v>712</v>
      </c>
      <c r="J1069" s="7" t="s">
        <v>712</v>
      </c>
      <c r="K1069" s="8">
        <v>6191603</v>
      </c>
      <c r="L1069" s="8">
        <v>327698</v>
      </c>
      <c r="M1069" s="8">
        <v>19</v>
      </c>
      <c r="N1069" s="8">
        <v>1</v>
      </c>
      <c r="O1069" s="8">
        <v>2</v>
      </c>
      <c r="P1069" s="8"/>
    </row>
    <row r="1070" spans="1:16" hidden="1" x14ac:dyDescent="0.25">
      <c r="A1070" s="7" t="s">
        <v>14</v>
      </c>
      <c r="B1070" s="7" t="s">
        <v>415</v>
      </c>
      <c r="C1070" s="8">
        <v>27267</v>
      </c>
      <c r="D1070" s="7" t="s">
        <v>322</v>
      </c>
      <c r="E1070" s="7" t="s">
        <v>323</v>
      </c>
      <c r="F1070" s="7" t="s">
        <v>422</v>
      </c>
      <c r="G1070" s="7" t="s">
        <v>18</v>
      </c>
      <c r="H1070" s="7" t="s">
        <v>689</v>
      </c>
      <c r="I1070" s="7" t="s">
        <v>712</v>
      </c>
      <c r="J1070" s="7" t="s">
        <v>712</v>
      </c>
      <c r="K1070" s="8">
        <v>7949881</v>
      </c>
      <c r="L1070" s="8">
        <v>378390</v>
      </c>
      <c r="M1070" s="8">
        <v>19</v>
      </c>
      <c r="N1070" s="8">
        <v>1</v>
      </c>
      <c r="O1070" s="8">
        <v>0.08</v>
      </c>
      <c r="P1070" s="8"/>
    </row>
    <row r="1071" spans="1:16" hidden="1" x14ac:dyDescent="0.25">
      <c r="A1071" s="7" t="s">
        <v>14</v>
      </c>
      <c r="B1071" s="7" t="s">
        <v>415</v>
      </c>
      <c r="C1071" s="8">
        <v>27269</v>
      </c>
      <c r="D1071" s="7" t="s">
        <v>322</v>
      </c>
      <c r="E1071" s="7" t="s">
        <v>323</v>
      </c>
      <c r="F1071" s="7" t="s">
        <v>422</v>
      </c>
      <c r="G1071" s="7" t="s">
        <v>18</v>
      </c>
      <c r="H1071" s="7" t="s">
        <v>689</v>
      </c>
      <c r="I1071" s="7" t="s">
        <v>712</v>
      </c>
      <c r="J1071" s="7" t="s">
        <v>712</v>
      </c>
      <c r="K1071" s="8">
        <v>7952848</v>
      </c>
      <c r="L1071" s="8">
        <v>370843</v>
      </c>
      <c r="M1071" s="8">
        <v>19</v>
      </c>
      <c r="N1071" s="8">
        <v>1</v>
      </c>
      <c r="O1071" s="8">
        <v>1.2</v>
      </c>
      <c r="P1071" s="8"/>
    </row>
    <row r="1072" spans="1:16" hidden="1" x14ac:dyDescent="0.25">
      <c r="A1072" s="7" t="s">
        <v>14</v>
      </c>
      <c r="B1072" s="7" t="s">
        <v>415</v>
      </c>
      <c r="C1072" s="8">
        <v>27271</v>
      </c>
      <c r="D1072" s="7" t="s">
        <v>322</v>
      </c>
      <c r="E1072" s="7" t="s">
        <v>323</v>
      </c>
      <c r="F1072" s="7" t="s">
        <v>422</v>
      </c>
      <c r="G1072" s="7" t="s">
        <v>18</v>
      </c>
      <c r="H1072" s="7" t="s">
        <v>689</v>
      </c>
      <c r="I1072" s="7" t="s">
        <v>712</v>
      </c>
      <c r="J1072" s="7" t="s">
        <v>712</v>
      </c>
      <c r="K1072" s="8">
        <v>7952511</v>
      </c>
      <c r="L1072" s="8">
        <v>371281</v>
      </c>
      <c r="M1072" s="8">
        <v>19</v>
      </c>
      <c r="N1072" s="8">
        <v>1</v>
      </c>
      <c r="O1072" s="8">
        <v>0.11</v>
      </c>
      <c r="P1072" s="8"/>
    </row>
    <row r="1073" spans="1:16" hidden="1" x14ac:dyDescent="0.25">
      <c r="A1073" s="7" t="s">
        <v>14</v>
      </c>
      <c r="B1073" s="7" t="s">
        <v>415</v>
      </c>
      <c r="C1073" s="8">
        <v>27272</v>
      </c>
      <c r="D1073" s="7" t="s">
        <v>322</v>
      </c>
      <c r="E1073" s="7" t="s">
        <v>323</v>
      </c>
      <c r="F1073" s="7" t="s">
        <v>422</v>
      </c>
      <c r="G1073" s="7" t="s">
        <v>18</v>
      </c>
      <c r="H1073" s="7" t="s">
        <v>689</v>
      </c>
      <c r="I1073" s="7" t="s">
        <v>712</v>
      </c>
      <c r="J1073" s="7" t="s">
        <v>712</v>
      </c>
      <c r="K1073" s="8">
        <v>7952757</v>
      </c>
      <c r="L1073" s="8">
        <v>370976</v>
      </c>
      <c r="M1073" s="8">
        <v>19</v>
      </c>
      <c r="N1073" s="8">
        <v>1</v>
      </c>
      <c r="O1073" s="8">
        <v>0.16</v>
      </c>
      <c r="P1073" s="8"/>
    </row>
    <row r="1074" spans="1:16" hidden="1" x14ac:dyDescent="0.25">
      <c r="A1074" s="7" t="s">
        <v>14</v>
      </c>
      <c r="B1074" s="7" t="s">
        <v>415</v>
      </c>
      <c r="C1074" s="8">
        <v>27273</v>
      </c>
      <c r="D1074" s="7" t="s">
        <v>322</v>
      </c>
      <c r="E1074" s="7" t="s">
        <v>323</v>
      </c>
      <c r="F1074" s="7" t="s">
        <v>422</v>
      </c>
      <c r="G1074" s="7" t="s">
        <v>18</v>
      </c>
      <c r="H1074" s="7" t="s">
        <v>689</v>
      </c>
      <c r="I1074" s="7" t="s">
        <v>712</v>
      </c>
      <c r="J1074" s="7" t="s">
        <v>712</v>
      </c>
      <c r="K1074" s="8">
        <v>7952339</v>
      </c>
      <c r="L1074" s="8">
        <v>371538</v>
      </c>
      <c r="M1074" s="8">
        <v>19</v>
      </c>
      <c r="N1074" s="8">
        <v>1</v>
      </c>
      <c r="O1074" s="8">
        <v>0.97</v>
      </c>
      <c r="P1074" s="8"/>
    </row>
    <row r="1075" spans="1:16" hidden="1" x14ac:dyDescent="0.25">
      <c r="A1075" s="7" t="s">
        <v>14</v>
      </c>
      <c r="B1075" s="7" t="s">
        <v>415</v>
      </c>
      <c r="C1075" s="8">
        <v>27274</v>
      </c>
      <c r="D1075" s="7" t="s">
        <v>322</v>
      </c>
      <c r="E1075" s="7" t="s">
        <v>323</v>
      </c>
      <c r="F1075" s="7" t="s">
        <v>422</v>
      </c>
      <c r="G1075" s="7" t="s">
        <v>18</v>
      </c>
      <c r="H1075" s="7" t="s">
        <v>689</v>
      </c>
      <c r="I1075" s="7" t="s">
        <v>712</v>
      </c>
      <c r="J1075" s="7" t="s">
        <v>712</v>
      </c>
      <c r="K1075" s="8">
        <v>7952746</v>
      </c>
      <c r="L1075" s="8">
        <v>371161</v>
      </c>
      <c r="M1075" s="8">
        <v>19</v>
      </c>
      <c r="N1075" s="8">
        <v>1</v>
      </c>
      <c r="O1075" s="8">
        <v>0.64</v>
      </c>
      <c r="P1075" s="8"/>
    </row>
    <row r="1076" spans="1:16" hidden="1" x14ac:dyDescent="0.25">
      <c r="A1076" s="7" t="s">
        <v>14</v>
      </c>
      <c r="B1076" s="7" t="s">
        <v>415</v>
      </c>
      <c r="C1076" s="8">
        <v>27275</v>
      </c>
      <c r="D1076" s="7" t="s">
        <v>322</v>
      </c>
      <c r="E1076" s="7" t="s">
        <v>323</v>
      </c>
      <c r="F1076" s="7" t="s">
        <v>422</v>
      </c>
      <c r="G1076" s="7" t="s">
        <v>18</v>
      </c>
      <c r="H1076" s="7" t="s">
        <v>689</v>
      </c>
      <c r="I1076" s="7" t="s">
        <v>712</v>
      </c>
      <c r="J1076" s="7" t="s">
        <v>712</v>
      </c>
      <c r="K1076" s="8">
        <v>7952333</v>
      </c>
      <c r="L1076" s="8">
        <v>371471</v>
      </c>
      <c r="M1076" s="8">
        <v>19</v>
      </c>
      <c r="N1076" s="8">
        <v>1</v>
      </c>
      <c r="O1076" s="8">
        <v>1.1000000000000001</v>
      </c>
      <c r="P1076" s="8"/>
    </row>
    <row r="1077" spans="1:16" hidden="1" x14ac:dyDescent="0.25">
      <c r="A1077" s="7" t="s">
        <v>14</v>
      </c>
      <c r="B1077" s="7" t="s">
        <v>415</v>
      </c>
      <c r="C1077" s="8">
        <v>27276</v>
      </c>
      <c r="D1077" s="7" t="s">
        <v>322</v>
      </c>
      <c r="E1077" s="7" t="s">
        <v>323</v>
      </c>
      <c r="F1077" s="7" t="s">
        <v>422</v>
      </c>
      <c r="G1077" s="7" t="s">
        <v>18</v>
      </c>
      <c r="H1077" s="7" t="s">
        <v>689</v>
      </c>
      <c r="I1077" s="7" t="s">
        <v>712</v>
      </c>
      <c r="J1077" s="7" t="s">
        <v>712</v>
      </c>
      <c r="K1077" s="8">
        <v>7952797</v>
      </c>
      <c r="L1077" s="8">
        <v>371065</v>
      </c>
      <c r="M1077" s="8">
        <v>19</v>
      </c>
      <c r="N1077" s="8">
        <v>1</v>
      </c>
      <c r="O1077" s="8">
        <v>0.62</v>
      </c>
      <c r="P1077" s="8"/>
    </row>
    <row r="1078" spans="1:16" hidden="1" x14ac:dyDescent="0.25">
      <c r="A1078" s="7" t="s">
        <v>37</v>
      </c>
      <c r="B1078" s="7" t="s">
        <v>343</v>
      </c>
      <c r="C1078" s="8">
        <v>27278</v>
      </c>
      <c r="D1078" s="7" t="s">
        <v>52</v>
      </c>
      <c r="E1078" s="7" t="s">
        <v>151</v>
      </c>
      <c r="F1078" s="7" t="s">
        <v>151</v>
      </c>
      <c r="G1078" s="7" t="s">
        <v>18</v>
      </c>
      <c r="H1078" s="7" t="s">
        <v>24</v>
      </c>
      <c r="I1078" s="7" t="s">
        <v>712</v>
      </c>
      <c r="J1078" s="7" t="s">
        <v>712</v>
      </c>
      <c r="K1078" s="8">
        <v>6197822</v>
      </c>
      <c r="L1078" s="8">
        <v>325540</v>
      </c>
      <c r="M1078" s="8">
        <v>19</v>
      </c>
      <c r="N1078" s="8">
        <v>1</v>
      </c>
      <c r="O1078" s="8">
        <v>7.5</v>
      </c>
      <c r="P1078" s="8"/>
    </row>
    <row r="1079" spans="1:16" hidden="1" x14ac:dyDescent="0.25">
      <c r="A1079" s="7" t="s">
        <v>14</v>
      </c>
      <c r="B1079" s="7" t="s">
        <v>563</v>
      </c>
      <c r="C1079" s="8">
        <v>27288</v>
      </c>
      <c r="D1079" s="7" t="s">
        <v>119</v>
      </c>
      <c r="E1079" s="7" t="s">
        <v>175</v>
      </c>
      <c r="F1079" s="7" t="s">
        <v>176</v>
      </c>
      <c r="G1079" s="7" t="s">
        <v>43</v>
      </c>
      <c r="H1079" s="7" t="s">
        <v>689</v>
      </c>
      <c r="I1079" s="7" t="s">
        <v>690</v>
      </c>
      <c r="J1079" s="7" t="s">
        <v>690</v>
      </c>
      <c r="K1079" s="8">
        <v>5715867</v>
      </c>
      <c r="L1079" s="8">
        <v>725485</v>
      </c>
      <c r="M1079" s="8">
        <v>18</v>
      </c>
      <c r="N1079" s="8">
        <v>1</v>
      </c>
      <c r="O1079" s="8">
        <v>7.1</v>
      </c>
      <c r="P1079" s="8"/>
    </row>
    <row r="1080" spans="1:16" hidden="1" x14ac:dyDescent="0.25">
      <c r="A1080" s="7" t="s">
        <v>37</v>
      </c>
      <c r="B1080" s="7" t="s">
        <v>254</v>
      </c>
      <c r="C1080" s="8">
        <v>27290</v>
      </c>
      <c r="D1080" s="7" t="s">
        <v>21</v>
      </c>
      <c r="E1080" s="7" t="s">
        <v>280</v>
      </c>
      <c r="F1080" s="7" t="s">
        <v>304</v>
      </c>
      <c r="G1080" s="7" t="s">
        <v>18</v>
      </c>
      <c r="H1080" s="7" t="s">
        <v>24</v>
      </c>
      <c r="I1080" s="7" t="s">
        <v>712</v>
      </c>
      <c r="J1080" s="7" t="s">
        <v>712</v>
      </c>
      <c r="K1080" s="8">
        <v>6362799</v>
      </c>
      <c r="L1080" s="8">
        <v>314734</v>
      </c>
      <c r="M1080" s="8">
        <v>19</v>
      </c>
      <c r="N1080" s="8">
        <v>2</v>
      </c>
      <c r="O1080" s="8">
        <v>3</v>
      </c>
      <c r="P1080" s="8"/>
    </row>
    <row r="1081" spans="1:16" hidden="1" x14ac:dyDescent="0.25">
      <c r="A1081" s="7" t="s">
        <v>37</v>
      </c>
      <c r="B1081" s="7" t="s">
        <v>343</v>
      </c>
      <c r="C1081" s="8">
        <v>27293</v>
      </c>
      <c r="D1081" s="7" t="s">
        <v>16</v>
      </c>
      <c r="E1081" s="7" t="s">
        <v>127</v>
      </c>
      <c r="F1081" s="7" t="s">
        <v>127</v>
      </c>
      <c r="G1081" s="7" t="s">
        <v>18</v>
      </c>
      <c r="H1081" s="7" t="s">
        <v>48</v>
      </c>
      <c r="I1081" s="7" t="s">
        <v>712</v>
      </c>
      <c r="J1081" s="7" t="s">
        <v>712</v>
      </c>
      <c r="K1081" s="8">
        <v>6052233</v>
      </c>
      <c r="L1081" s="8">
        <v>279298</v>
      </c>
      <c r="M1081" s="8">
        <v>19</v>
      </c>
      <c r="N1081" s="8">
        <v>1</v>
      </c>
      <c r="O1081" s="8">
        <v>16</v>
      </c>
      <c r="P1081" s="8"/>
    </row>
    <row r="1082" spans="1:16" hidden="1" x14ac:dyDescent="0.25">
      <c r="A1082" s="7" t="s">
        <v>37</v>
      </c>
      <c r="B1082" s="7" t="s">
        <v>343</v>
      </c>
      <c r="C1082" s="8">
        <v>27295</v>
      </c>
      <c r="D1082" s="7" t="s">
        <v>16</v>
      </c>
      <c r="E1082" s="7" t="s">
        <v>127</v>
      </c>
      <c r="F1082" s="7" t="s">
        <v>128</v>
      </c>
      <c r="G1082" s="7" t="s">
        <v>18</v>
      </c>
      <c r="H1082" s="7" t="s">
        <v>48</v>
      </c>
      <c r="I1082" s="7" t="s">
        <v>712</v>
      </c>
      <c r="J1082" s="7" t="s">
        <v>712</v>
      </c>
      <c r="K1082" s="8">
        <v>6046139</v>
      </c>
      <c r="L1082" s="8">
        <v>280354</v>
      </c>
      <c r="M1082" s="8">
        <v>19</v>
      </c>
      <c r="N1082" s="8">
        <v>1</v>
      </c>
      <c r="O1082" s="8">
        <v>10</v>
      </c>
      <c r="P1082" s="8"/>
    </row>
    <row r="1083" spans="1:16" hidden="1" x14ac:dyDescent="0.25">
      <c r="A1083" s="7" t="s">
        <v>37</v>
      </c>
      <c r="B1083" s="7" t="s">
        <v>343</v>
      </c>
      <c r="C1083" s="8">
        <v>27299</v>
      </c>
      <c r="D1083" s="7" t="s">
        <v>16</v>
      </c>
      <c r="E1083" s="7" t="s">
        <v>50</v>
      </c>
      <c r="F1083" s="7" t="s">
        <v>50</v>
      </c>
      <c r="G1083" s="7" t="s">
        <v>18</v>
      </c>
      <c r="H1083" s="7" t="s">
        <v>48</v>
      </c>
      <c r="I1083" s="7" t="s">
        <v>712</v>
      </c>
      <c r="J1083" s="7" t="s">
        <v>712</v>
      </c>
      <c r="K1083" s="8">
        <v>6075341</v>
      </c>
      <c r="L1083" s="8">
        <v>264527</v>
      </c>
      <c r="M1083" s="8">
        <v>19</v>
      </c>
      <c r="N1083" s="8">
        <v>6</v>
      </c>
      <c r="O1083" s="8">
        <v>67.8</v>
      </c>
      <c r="P1083" s="8"/>
    </row>
    <row r="1084" spans="1:16" hidden="1" x14ac:dyDescent="0.25">
      <c r="A1084" s="7" t="s">
        <v>14</v>
      </c>
      <c r="B1084" s="7" t="s">
        <v>343</v>
      </c>
      <c r="C1084" s="8">
        <v>27300</v>
      </c>
      <c r="D1084" s="7" t="s">
        <v>52</v>
      </c>
      <c r="E1084" s="7" t="s">
        <v>139</v>
      </c>
      <c r="F1084" s="7" t="s">
        <v>234</v>
      </c>
      <c r="G1084" s="7" t="s">
        <v>18</v>
      </c>
      <c r="H1084" s="7" t="s">
        <v>689</v>
      </c>
      <c r="I1084" s="7" t="s">
        <v>712</v>
      </c>
      <c r="J1084" s="7" t="s">
        <v>712</v>
      </c>
      <c r="K1084" s="8">
        <v>6229214</v>
      </c>
      <c r="L1084" s="8">
        <v>337100</v>
      </c>
      <c r="M1084" s="8">
        <v>19</v>
      </c>
      <c r="N1084" s="8">
        <v>1</v>
      </c>
      <c r="O1084" s="8">
        <v>5.5</v>
      </c>
      <c r="P1084" s="8"/>
    </row>
    <row r="1085" spans="1:16" hidden="1" x14ac:dyDescent="0.25">
      <c r="A1085" s="7" t="s">
        <v>37</v>
      </c>
      <c r="B1085" s="7" t="s">
        <v>343</v>
      </c>
      <c r="C1085" s="8">
        <v>27303</v>
      </c>
      <c r="D1085" s="7" t="s">
        <v>16</v>
      </c>
      <c r="E1085" s="7" t="s">
        <v>137</v>
      </c>
      <c r="F1085" s="7" t="s">
        <v>392</v>
      </c>
      <c r="G1085" s="7" t="s">
        <v>18</v>
      </c>
      <c r="H1085" s="7" t="s">
        <v>48</v>
      </c>
      <c r="I1085" s="7" t="s">
        <v>712</v>
      </c>
      <c r="J1085" s="7" t="s">
        <v>712</v>
      </c>
      <c r="K1085" s="8">
        <v>6081979</v>
      </c>
      <c r="L1085" s="8">
        <v>244275</v>
      </c>
      <c r="M1085" s="8">
        <v>19</v>
      </c>
      <c r="N1085" s="8">
        <v>1</v>
      </c>
      <c r="O1085" s="8">
        <v>35</v>
      </c>
      <c r="P1085" s="8"/>
    </row>
    <row r="1086" spans="1:16" hidden="1" x14ac:dyDescent="0.25">
      <c r="A1086" s="7" t="s">
        <v>37</v>
      </c>
      <c r="B1086" s="7" t="s">
        <v>415</v>
      </c>
      <c r="C1086" s="8">
        <v>27304</v>
      </c>
      <c r="D1086" s="7" t="s">
        <v>28</v>
      </c>
      <c r="E1086" s="7" t="s">
        <v>32</v>
      </c>
      <c r="F1086" s="7" t="s">
        <v>337</v>
      </c>
      <c r="G1086" s="7" t="s">
        <v>18</v>
      </c>
      <c r="H1086" s="7" t="s">
        <v>24</v>
      </c>
      <c r="I1086" s="7" t="s">
        <v>712</v>
      </c>
      <c r="J1086" s="7" t="s">
        <v>712</v>
      </c>
      <c r="K1086" s="8">
        <v>6270075</v>
      </c>
      <c r="L1086" s="8">
        <v>336884</v>
      </c>
      <c r="M1086" s="8">
        <v>19</v>
      </c>
      <c r="N1086" s="8">
        <v>1</v>
      </c>
      <c r="O1086" s="8">
        <v>0.9</v>
      </c>
      <c r="P1086" s="8"/>
    </row>
    <row r="1087" spans="1:16" hidden="1" x14ac:dyDescent="0.25">
      <c r="A1087" s="7" t="s">
        <v>37</v>
      </c>
      <c r="B1087" s="7" t="s">
        <v>254</v>
      </c>
      <c r="C1087" s="8">
        <v>27305</v>
      </c>
      <c r="D1087" s="7" t="s">
        <v>16</v>
      </c>
      <c r="E1087" s="7" t="s">
        <v>173</v>
      </c>
      <c r="F1087" s="7" t="s">
        <v>262</v>
      </c>
      <c r="G1087" s="7" t="s">
        <v>18</v>
      </c>
      <c r="H1087" s="7" t="s">
        <v>48</v>
      </c>
      <c r="I1087" s="7" t="s">
        <v>712</v>
      </c>
      <c r="J1087" s="7" t="s">
        <v>691</v>
      </c>
      <c r="K1087" s="8">
        <v>6040138</v>
      </c>
      <c r="L1087" s="8">
        <v>271983</v>
      </c>
      <c r="M1087" s="8">
        <v>19</v>
      </c>
      <c r="N1087" s="8">
        <v>2</v>
      </c>
      <c r="O1087" s="8">
        <v>31</v>
      </c>
      <c r="P1087" s="8"/>
    </row>
    <row r="1088" spans="1:16" hidden="1" x14ac:dyDescent="0.25">
      <c r="A1088" s="7" t="s">
        <v>19</v>
      </c>
      <c r="B1088" s="7" t="s">
        <v>415</v>
      </c>
      <c r="C1088" s="8">
        <v>27306</v>
      </c>
      <c r="D1088" s="7" t="s">
        <v>28</v>
      </c>
      <c r="E1088" s="7" t="s">
        <v>29</v>
      </c>
      <c r="F1088" s="7" t="s">
        <v>29</v>
      </c>
      <c r="G1088" s="7" t="s">
        <v>18</v>
      </c>
      <c r="H1088" s="7" t="s">
        <v>48</v>
      </c>
      <c r="I1088" s="7" t="s">
        <v>712</v>
      </c>
      <c r="J1088" s="7" t="s">
        <v>712</v>
      </c>
      <c r="K1088" s="8">
        <v>6259177</v>
      </c>
      <c r="L1088" s="8">
        <v>342622</v>
      </c>
      <c r="M1088" s="8">
        <v>19</v>
      </c>
      <c r="N1088" s="8">
        <v>1</v>
      </c>
      <c r="O1088" s="8">
        <v>0.37</v>
      </c>
      <c r="P1088" s="8"/>
    </row>
    <row r="1089" spans="1:16" hidden="1" x14ac:dyDescent="0.25">
      <c r="A1089" s="7" t="s">
        <v>37</v>
      </c>
      <c r="B1089" s="7" t="s">
        <v>415</v>
      </c>
      <c r="C1089" s="8">
        <v>27307</v>
      </c>
      <c r="D1089" s="7" t="s">
        <v>28</v>
      </c>
      <c r="E1089" s="7" t="s">
        <v>56</v>
      </c>
      <c r="F1089" s="7" t="s">
        <v>499</v>
      </c>
      <c r="G1089" s="7" t="s">
        <v>18</v>
      </c>
      <c r="H1089" s="7" t="s">
        <v>24</v>
      </c>
      <c r="I1089" s="7" t="s">
        <v>712</v>
      </c>
      <c r="J1089" s="7" t="s">
        <v>712</v>
      </c>
      <c r="K1089" s="8">
        <v>6265344</v>
      </c>
      <c r="L1089" s="8">
        <v>340782</v>
      </c>
      <c r="M1089" s="8">
        <v>19</v>
      </c>
      <c r="N1089" s="8">
        <v>1</v>
      </c>
      <c r="O1089" s="8">
        <v>0.21</v>
      </c>
      <c r="P1089" s="8"/>
    </row>
    <row r="1090" spans="1:16" hidden="1" x14ac:dyDescent="0.25">
      <c r="A1090" s="7" t="s">
        <v>37</v>
      </c>
      <c r="B1090" s="7" t="s">
        <v>415</v>
      </c>
      <c r="C1090" s="8">
        <v>27308</v>
      </c>
      <c r="D1090" s="7" t="s">
        <v>28</v>
      </c>
      <c r="E1090" s="7" t="s">
        <v>53</v>
      </c>
      <c r="F1090" s="7" t="s">
        <v>53</v>
      </c>
      <c r="G1090" s="7" t="s">
        <v>18</v>
      </c>
      <c r="H1090" s="7" t="s">
        <v>24</v>
      </c>
      <c r="I1090" s="7" t="s">
        <v>712</v>
      </c>
      <c r="J1090" s="7" t="s">
        <v>712</v>
      </c>
      <c r="K1090" s="8">
        <v>6269704</v>
      </c>
      <c r="L1090" s="8">
        <v>317739</v>
      </c>
      <c r="M1090" s="8">
        <v>19</v>
      </c>
      <c r="N1090" s="8">
        <v>1</v>
      </c>
      <c r="O1090" s="8">
        <v>1.1000000000000001</v>
      </c>
      <c r="P1090" s="8"/>
    </row>
    <row r="1091" spans="1:16" hidden="1" x14ac:dyDescent="0.25">
      <c r="A1091" s="7" t="s">
        <v>14</v>
      </c>
      <c r="B1091" s="7" t="s">
        <v>343</v>
      </c>
      <c r="C1091" s="8">
        <v>27309</v>
      </c>
      <c r="D1091" s="7" t="s">
        <v>28</v>
      </c>
      <c r="E1091" s="7" t="s">
        <v>393</v>
      </c>
      <c r="F1091" s="7" t="s">
        <v>394</v>
      </c>
      <c r="G1091" s="7" t="s">
        <v>43</v>
      </c>
      <c r="H1091" s="7" t="s">
        <v>689</v>
      </c>
      <c r="I1091" s="7" t="s">
        <v>712</v>
      </c>
      <c r="J1091" s="7" t="s">
        <v>712</v>
      </c>
      <c r="K1091" s="8">
        <v>6271371</v>
      </c>
      <c r="L1091" s="8">
        <v>305448</v>
      </c>
      <c r="M1091" s="8">
        <v>19</v>
      </c>
      <c r="N1091" s="8">
        <v>1</v>
      </c>
      <c r="O1091" s="8">
        <v>0.65</v>
      </c>
      <c r="P1091" s="8"/>
    </row>
    <row r="1092" spans="1:16" hidden="1" x14ac:dyDescent="0.25">
      <c r="A1092" s="7" t="s">
        <v>37</v>
      </c>
      <c r="B1092" s="7" t="s">
        <v>415</v>
      </c>
      <c r="C1092" s="8">
        <v>27310</v>
      </c>
      <c r="D1092" s="7" t="s">
        <v>28</v>
      </c>
      <c r="E1092" s="7" t="s">
        <v>29</v>
      </c>
      <c r="F1092" s="7" t="s">
        <v>29</v>
      </c>
      <c r="G1092" s="7" t="s">
        <v>18</v>
      </c>
      <c r="H1092" s="7" t="s">
        <v>24</v>
      </c>
      <c r="I1092" s="7" t="s">
        <v>712</v>
      </c>
      <c r="J1092" s="7" t="s">
        <v>712</v>
      </c>
      <c r="K1092" s="8">
        <v>6263363</v>
      </c>
      <c r="L1092" s="8">
        <v>343749</v>
      </c>
      <c r="M1092" s="8">
        <v>19</v>
      </c>
      <c r="N1092" s="8">
        <v>1</v>
      </c>
      <c r="O1092" s="8">
        <v>1.6</v>
      </c>
      <c r="P1092" s="8"/>
    </row>
    <row r="1093" spans="1:16" hidden="1" x14ac:dyDescent="0.25">
      <c r="A1093" s="7" t="s">
        <v>19</v>
      </c>
      <c r="B1093" s="7" t="s">
        <v>415</v>
      </c>
      <c r="C1093" s="8">
        <v>27312</v>
      </c>
      <c r="D1093" s="7" t="s">
        <v>28</v>
      </c>
      <c r="E1093" s="7" t="s">
        <v>32</v>
      </c>
      <c r="F1093" s="7" t="s">
        <v>147</v>
      </c>
      <c r="G1093" s="7" t="s">
        <v>18</v>
      </c>
      <c r="H1093" s="7" t="s">
        <v>48</v>
      </c>
      <c r="I1093" s="7" t="s">
        <v>712</v>
      </c>
      <c r="J1093" s="7" t="s">
        <v>691</v>
      </c>
      <c r="K1093" s="8">
        <v>6269993</v>
      </c>
      <c r="L1093" s="8">
        <v>329227</v>
      </c>
      <c r="M1093" s="8">
        <v>19</v>
      </c>
      <c r="N1093" s="8">
        <v>1</v>
      </c>
      <c r="O1093" s="8">
        <v>0.32</v>
      </c>
      <c r="P1093" s="8"/>
    </row>
    <row r="1094" spans="1:16" hidden="1" x14ac:dyDescent="0.25">
      <c r="A1094" s="7" t="s">
        <v>37</v>
      </c>
      <c r="B1094" s="7" t="s">
        <v>415</v>
      </c>
      <c r="C1094" s="8">
        <v>27313</v>
      </c>
      <c r="D1094" s="7" t="s">
        <v>28</v>
      </c>
      <c r="E1094" s="7" t="s">
        <v>387</v>
      </c>
      <c r="F1094" s="7" t="s">
        <v>435</v>
      </c>
      <c r="G1094" s="7" t="s">
        <v>18</v>
      </c>
      <c r="H1094" s="7" t="s">
        <v>24</v>
      </c>
      <c r="I1094" s="7" t="s">
        <v>712</v>
      </c>
      <c r="J1094" s="7" t="s">
        <v>712</v>
      </c>
      <c r="K1094" s="8">
        <v>6305328</v>
      </c>
      <c r="L1094" s="8">
        <v>326742</v>
      </c>
      <c r="M1094" s="8">
        <v>19</v>
      </c>
      <c r="N1094" s="8">
        <v>1</v>
      </c>
      <c r="O1094" s="8">
        <v>0.23</v>
      </c>
      <c r="P1094" s="8"/>
    </row>
    <row r="1095" spans="1:16" hidden="1" x14ac:dyDescent="0.25">
      <c r="A1095" s="7" t="s">
        <v>37</v>
      </c>
      <c r="B1095" s="7" t="s">
        <v>415</v>
      </c>
      <c r="C1095" s="8">
        <v>27314</v>
      </c>
      <c r="D1095" s="7" t="s">
        <v>28</v>
      </c>
      <c r="E1095" s="7" t="s">
        <v>483</v>
      </c>
      <c r="F1095" s="7" t="s">
        <v>483</v>
      </c>
      <c r="G1095" s="7" t="s">
        <v>18</v>
      </c>
      <c r="H1095" s="7" t="s">
        <v>24</v>
      </c>
      <c r="I1095" s="7" t="s">
        <v>712</v>
      </c>
      <c r="J1095" s="7" t="s">
        <v>712</v>
      </c>
      <c r="K1095" s="8">
        <v>6322870</v>
      </c>
      <c r="L1095" s="8">
        <v>339053</v>
      </c>
      <c r="M1095" s="8">
        <v>19</v>
      </c>
      <c r="N1095" s="8">
        <v>1</v>
      </c>
      <c r="O1095" s="8">
        <v>1</v>
      </c>
      <c r="P1095" s="8"/>
    </row>
    <row r="1096" spans="1:16" hidden="1" x14ac:dyDescent="0.25">
      <c r="A1096" s="7" t="s">
        <v>37</v>
      </c>
      <c r="B1096" s="7" t="s">
        <v>415</v>
      </c>
      <c r="C1096" s="8">
        <v>27315</v>
      </c>
      <c r="D1096" s="7" t="s">
        <v>28</v>
      </c>
      <c r="E1096" s="7" t="s">
        <v>387</v>
      </c>
      <c r="F1096" s="7" t="s">
        <v>435</v>
      </c>
      <c r="G1096" s="7" t="s">
        <v>18</v>
      </c>
      <c r="H1096" s="7" t="s">
        <v>24</v>
      </c>
      <c r="I1096" s="7" t="s">
        <v>712</v>
      </c>
      <c r="J1096" s="7" t="s">
        <v>712</v>
      </c>
      <c r="K1096" s="8">
        <v>6302424</v>
      </c>
      <c r="L1096" s="8">
        <v>327039</v>
      </c>
      <c r="M1096" s="8">
        <v>19</v>
      </c>
      <c r="N1096" s="8">
        <v>1</v>
      </c>
      <c r="O1096" s="8">
        <v>0.17</v>
      </c>
      <c r="P1096" s="8"/>
    </row>
    <row r="1097" spans="1:16" hidden="1" x14ac:dyDescent="0.25">
      <c r="A1097" s="7" t="s">
        <v>37</v>
      </c>
      <c r="B1097" s="7" t="s">
        <v>415</v>
      </c>
      <c r="C1097" s="8">
        <v>27316</v>
      </c>
      <c r="D1097" s="7" t="s">
        <v>28</v>
      </c>
      <c r="E1097" s="7" t="s">
        <v>452</v>
      </c>
      <c r="F1097" s="7" t="s">
        <v>453</v>
      </c>
      <c r="G1097" s="7" t="s">
        <v>18</v>
      </c>
      <c r="H1097" s="7" t="s">
        <v>24</v>
      </c>
      <c r="I1097" s="7" t="s">
        <v>712</v>
      </c>
      <c r="J1097" s="7" t="s">
        <v>712</v>
      </c>
      <c r="K1097" s="8">
        <v>6306616</v>
      </c>
      <c r="L1097" s="8">
        <v>330210</v>
      </c>
      <c r="M1097" s="8">
        <v>19</v>
      </c>
      <c r="N1097" s="8">
        <v>1</v>
      </c>
      <c r="O1097" s="8">
        <v>7.0000000000000007E-2</v>
      </c>
      <c r="P1097" s="8"/>
    </row>
    <row r="1098" spans="1:16" hidden="1" x14ac:dyDescent="0.25">
      <c r="A1098" s="7" t="s">
        <v>37</v>
      </c>
      <c r="B1098" s="7" t="s">
        <v>254</v>
      </c>
      <c r="C1098" s="8">
        <v>27317</v>
      </c>
      <c r="D1098" s="7" t="s">
        <v>16</v>
      </c>
      <c r="E1098" s="7" t="s">
        <v>268</v>
      </c>
      <c r="F1098" s="7" t="s">
        <v>282</v>
      </c>
      <c r="G1098" s="7" t="s">
        <v>18</v>
      </c>
      <c r="H1098" s="7" t="s">
        <v>24</v>
      </c>
      <c r="I1098" s="7" t="s">
        <v>712</v>
      </c>
      <c r="J1098" s="7" t="s">
        <v>712</v>
      </c>
      <c r="K1098" s="8">
        <v>6138645</v>
      </c>
      <c r="L1098" s="8">
        <v>310808</v>
      </c>
      <c r="M1098" s="8">
        <v>19</v>
      </c>
      <c r="N1098" s="8">
        <v>1</v>
      </c>
      <c r="O1098" s="8">
        <v>1.2</v>
      </c>
      <c r="P1098" s="8"/>
    </row>
    <row r="1099" spans="1:16" hidden="1" x14ac:dyDescent="0.25">
      <c r="A1099" s="7" t="s">
        <v>37</v>
      </c>
      <c r="B1099" s="7" t="s">
        <v>415</v>
      </c>
      <c r="C1099" s="8">
        <v>27319</v>
      </c>
      <c r="D1099" s="7" t="s">
        <v>28</v>
      </c>
      <c r="E1099" s="7" t="s">
        <v>29</v>
      </c>
      <c r="F1099" s="7" t="s">
        <v>29</v>
      </c>
      <c r="G1099" s="7" t="s">
        <v>18</v>
      </c>
      <c r="H1099" s="7" t="s">
        <v>24</v>
      </c>
      <c r="I1099" s="7" t="s">
        <v>712</v>
      </c>
      <c r="J1099" s="7" t="s">
        <v>712</v>
      </c>
      <c r="K1099" s="8">
        <v>6263765</v>
      </c>
      <c r="L1099" s="8">
        <v>343930</v>
      </c>
      <c r="M1099" s="8">
        <v>19</v>
      </c>
      <c r="N1099" s="8">
        <v>1</v>
      </c>
      <c r="O1099" s="8">
        <v>1.45</v>
      </c>
      <c r="P1099" s="8"/>
    </row>
    <row r="1100" spans="1:16" hidden="1" x14ac:dyDescent="0.25">
      <c r="A1100" s="7" t="s">
        <v>19</v>
      </c>
      <c r="B1100" s="7" t="s">
        <v>415</v>
      </c>
      <c r="C1100" s="8">
        <v>27321</v>
      </c>
      <c r="D1100" s="7" t="s">
        <v>28</v>
      </c>
      <c r="E1100" s="7" t="s">
        <v>56</v>
      </c>
      <c r="F1100" s="7" t="s">
        <v>162</v>
      </c>
      <c r="G1100" s="7" t="s">
        <v>18</v>
      </c>
      <c r="H1100" s="7" t="s">
        <v>48</v>
      </c>
      <c r="I1100" s="7" t="s">
        <v>712</v>
      </c>
      <c r="J1100" s="7" t="s">
        <v>712</v>
      </c>
      <c r="K1100" s="8">
        <v>6259998</v>
      </c>
      <c r="L1100" s="8">
        <v>337517</v>
      </c>
      <c r="M1100" s="8">
        <v>19</v>
      </c>
      <c r="N1100" s="8">
        <v>1</v>
      </c>
      <c r="O1100" s="8">
        <v>0.37</v>
      </c>
      <c r="P1100" s="8"/>
    </row>
    <row r="1101" spans="1:16" hidden="1" x14ac:dyDescent="0.25">
      <c r="A1101" s="7" t="s">
        <v>14</v>
      </c>
      <c r="B1101" s="7" t="s">
        <v>415</v>
      </c>
      <c r="C1101" s="8">
        <v>27322</v>
      </c>
      <c r="D1101" s="7" t="s">
        <v>21</v>
      </c>
      <c r="E1101" s="7" t="s">
        <v>500</v>
      </c>
      <c r="F1101" s="7" t="s">
        <v>249</v>
      </c>
      <c r="G1101" s="7" t="s">
        <v>18</v>
      </c>
      <c r="H1101" s="7" t="s">
        <v>689</v>
      </c>
      <c r="I1101" s="7" t="s">
        <v>712</v>
      </c>
      <c r="J1101" s="7" t="s">
        <v>712</v>
      </c>
      <c r="K1101" s="8">
        <v>6362920</v>
      </c>
      <c r="L1101" s="8">
        <v>350987</v>
      </c>
      <c r="M1101" s="8">
        <v>19</v>
      </c>
      <c r="N1101" s="8">
        <v>1</v>
      </c>
      <c r="O1101" s="8">
        <v>0.45</v>
      </c>
      <c r="P1101" s="8"/>
    </row>
    <row r="1102" spans="1:16" hidden="1" x14ac:dyDescent="0.25">
      <c r="A1102" s="7" t="s">
        <v>14</v>
      </c>
      <c r="B1102" s="7" t="s">
        <v>415</v>
      </c>
      <c r="C1102" s="8">
        <v>27323</v>
      </c>
      <c r="D1102" s="7" t="s">
        <v>21</v>
      </c>
      <c r="E1102" s="7" t="s">
        <v>500</v>
      </c>
      <c r="F1102" s="7" t="s">
        <v>249</v>
      </c>
      <c r="G1102" s="7" t="s">
        <v>18</v>
      </c>
      <c r="H1102" s="7" t="s">
        <v>689</v>
      </c>
      <c r="I1102" s="7" t="s">
        <v>712</v>
      </c>
      <c r="J1102" s="7" t="s">
        <v>712</v>
      </c>
      <c r="K1102" s="8">
        <v>6363051</v>
      </c>
      <c r="L1102" s="8">
        <v>351186</v>
      </c>
      <c r="M1102" s="8">
        <v>19</v>
      </c>
      <c r="N1102" s="8">
        <v>1</v>
      </c>
      <c r="O1102" s="8">
        <v>1.54</v>
      </c>
      <c r="P1102" s="8"/>
    </row>
    <row r="1103" spans="1:16" hidden="1" x14ac:dyDescent="0.25">
      <c r="A1103" s="7" t="s">
        <v>14</v>
      </c>
      <c r="B1103" s="7" t="s">
        <v>415</v>
      </c>
      <c r="C1103" s="8">
        <v>27325</v>
      </c>
      <c r="D1103" s="7" t="s">
        <v>21</v>
      </c>
      <c r="E1103" s="7" t="s">
        <v>500</v>
      </c>
      <c r="F1103" s="7" t="s">
        <v>249</v>
      </c>
      <c r="G1103" s="7" t="s">
        <v>18</v>
      </c>
      <c r="H1103" s="7" t="s">
        <v>689</v>
      </c>
      <c r="I1103" s="7" t="s">
        <v>712</v>
      </c>
      <c r="J1103" s="7" t="s">
        <v>712</v>
      </c>
      <c r="K1103" s="8">
        <v>6362494</v>
      </c>
      <c r="L1103" s="8">
        <v>350775</v>
      </c>
      <c r="M1103" s="8">
        <v>19</v>
      </c>
      <c r="N1103" s="8">
        <v>1</v>
      </c>
      <c r="O1103" s="8">
        <v>1.6</v>
      </c>
      <c r="P1103" s="8"/>
    </row>
    <row r="1104" spans="1:16" hidden="1" x14ac:dyDescent="0.25">
      <c r="A1104" s="7" t="s">
        <v>19</v>
      </c>
      <c r="B1104" s="7" t="s">
        <v>415</v>
      </c>
      <c r="C1104" s="8">
        <v>27331</v>
      </c>
      <c r="D1104" s="7" t="s">
        <v>28</v>
      </c>
      <c r="E1104" s="7" t="s">
        <v>56</v>
      </c>
      <c r="F1104" s="7" t="s">
        <v>162</v>
      </c>
      <c r="G1104" s="7" t="s">
        <v>18</v>
      </c>
      <c r="H1104" s="7" t="s">
        <v>48</v>
      </c>
      <c r="I1104" s="7" t="s">
        <v>712</v>
      </c>
      <c r="J1104" s="7" t="s">
        <v>712</v>
      </c>
      <c r="K1104" s="8">
        <v>6260192</v>
      </c>
      <c r="L1104" s="8">
        <v>337518</v>
      </c>
      <c r="M1104" s="8">
        <v>19</v>
      </c>
      <c r="N1104" s="8">
        <v>1</v>
      </c>
      <c r="O1104" s="8">
        <v>0.4</v>
      </c>
      <c r="P1104" s="8"/>
    </row>
    <row r="1105" spans="1:16" hidden="1" x14ac:dyDescent="0.25">
      <c r="A1105" s="7" t="s">
        <v>14</v>
      </c>
      <c r="B1105" s="7" t="s">
        <v>415</v>
      </c>
      <c r="C1105" s="8">
        <v>27333</v>
      </c>
      <c r="D1105" s="7" t="s">
        <v>21</v>
      </c>
      <c r="E1105" s="7" t="s">
        <v>501</v>
      </c>
      <c r="F1105" s="7" t="s">
        <v>249</v>
      </c>
      <c r="G1105" s="7" t="s">
        <v>18</v>
      </c>
      <c r="H1105" s="7" t="s">
        <v>689</v>
      </c>
      <c r="I1105" s="7" t="s">
        <v>712</v>
      </c>
      <c r="J1105" s="7" t="s">
        <v>712</v>
      </c>
      <c r="K1105" s="8">
        <v>6360445</v>
      </c>
      <c r="L1105" s="8">
        <v>351583</v>
      </c>
      <c r="M1105" s="8">
        <v>19</v>
      </c>
      <c r="N1105" s="8">
        <v>1</v>
      </c>
      <c r="O1105" s="8">
        <v>0.67</v>
      </c>
      <c r="P1105" s="8"/>
    </row>
    <row r="1106" spans="1:16" hidden="1" x14ac:dyDescent="0.25">
      <c r="A1106" s="7" t="s">
        <v>19</v>
      </c>
      <c r="B1106" s="7" t="s">
        <v>415</v>
      </c>
      <c r="C1106" s="8">
        <v>27334</v>
      </c>
      <c r="D1106" s="7" t="s">
        <v>28</v>
      </c>
      <c r="E1106" s="7" t="s">
        <v>56</v>
      </c>
      <c r="F1106" s="7" t="s">
        <v>502</v>
      </c>
      <c r="G1106" s="7" t="s">
        <v>18</v>
      </c>
      <c r="H1106" s="7" t="s">
        <v>48</v>
      </c>
      <c r="I1106" s="7" t="s">
        <v>712</v>
      </c>
      <c r="J1106" s="7" t="s">
        <v>691</v>
      </c>
      <c r="K1106" s="8">
        <v>6268111</v>
      </c>
      <c r="L1106" s="8">
        <v>341783</v>
      </c>
      <c r="M1106" s="8">
        <v>19</v>
      </c>
      <c r="N1106" s="8">
        <v>1</v>
      </c>
      <c r="O1106" s="8">
        <v>0.35</v>
      </c>
      <c r="P1106" s="8"/>
    </row>
    <row r="1107" spans="1:16" hidden="1" x14ac:dyDescent="0.25">
      <c r="A1107" s="7" t="s">
        <v>14</v>
      </c>
      <c r="B1107" s="7" t="s">
        <v>415</v>
      </c>
      <c r="C1107" s="8">
        <v>27335</v>
      </c>
      <c r="D1107" s="7" t="s">
        <v>21</v>
      </c>
      <c r="E1107" s="7" t="s">
        <v>501</v>
      </c>
      <c r="F1107" s="7" t="s">
        <v>249</v>
      </c>
      <c r="G1107" s="7" t="s">
        <v>18</v>
      </c>
      <c r="H1107" s="7" t="s">
        <v>689</v>
      </c>
      <c r="I1107" s="7" t="s">
        <v>712</v>
      </c>
      <c r="J1107" s="7" t="s">
        <v>712</v>
      </c>
      <c r="K1107" s="8">
        <v>6360311</v>
      </c>
      <c r="L1107" s="8">
        <v>351544</v>
      </c>
      <c r="M1107" s="8">
        <v>19</v>
      </c>
      <c r="N1107" s="8">
        <v>1</v>
      </c>
      <c r="O1107" s="8">
        <v>0.66</v>
      </c>
      <c r="P1107" s="8"/>
    </row>
    <row r="1108" spans="1:16" hidden="1" x14ac:dyDescent="0.25">
      <c r="A1108" s="7" t="s">
        <v>14</v>
      </c>
      <c r="B1108" s="7" t="s">
        <v>415</v>
      </c>
      <c r="C1108" s="8">
        <v>27337</v>
      </c>
      <c r="D1108" s="7" t="s">
        <v>21</v>
      </c>
      <c r="E1108" s="7" t="s">
        <v>500</v>
      </c>
      <c r="F1108" s="7" t="s">
        <v>503</v>
      </c>
      <c r="G1108" s="7" t="s">
        <v>18</v>
      </c>
      <c r="H1108" s="7" t="s">
        <v>689</v>
      </c>
      <c r="I1108" s="7" t="s">
        <v>712</v>
      </c>
      <c r="J1108" s="7" t="s">
        <v>712</v>
      </c>
      <c r="K1108" s="8">
        <v>6366631</v>
      </c>
      <c r="L1108" s="8">
        <v>353959</v>
      </c>
      <c r="M1108" s="8">
        <v>19</v>
      </c>
      <c r="N1108" s="8">
        <v>1</v>
      </c>
      <c r="O1108" s="8">
        <v>1.36</v>
      </c>
      <c r="P1108" s="8"/>
    </row>
    <row r="1109" spans="1:16" hidden="1" x14ac:dyDescent="0.25">
      <c r="A1109" s="7" t="s">
        <v>19</v>
      </c>
      <c r="B1109" s="7" t="s">
        <v>415</v>
      </c>
      <c r="C1109" s="8">
        <v>27338</v>
      </c>
      <c r="D1109" s="7" t="s">
        <v>28</v>
      </c>
      <c r="E1109" s="7" t="s">
        <v>483</v>
      </c>
      <c r="F1109" s="7" t="s">
        <v>483</v>
      </c>
      <c r="G1109" s="7" t="s">
        <v>18</v>
      </c>
      <c r="H1109" s="7" t="s">
        <v>48</v>
      </c>
      <c r="I1109" s="7" t="s">
        <v>712</v>
      </c>
      <c r="J1109" s="7" t="s">
        <v>712</v>
      </c>
      <c r="K1109" s="8">
        <v>6324090</v>
      </c>
      <c r="L1109" s="8">
        <v>340480</v>
      </c>
      <c r="M1109" s="8">
        <v>19</v>
      </c>
      <c r="N1109" s="8">
        <v>1</v>
      </c>
      <c r="O1109" s="8">
        <v>2.35</v>
      </c>
      <c r="P1109" s="8"/>
    </row>
    <row r="1110" spans="1:16" hidden="1" x14ac:dyDescent="0.25">
      <c r="A1110" s="7" t="s">
        <v>37</v>
      </c>
      <c r="B1110" s="7" t="s">
        <v>415</v>
      </c>
      <c r="C1110" s="8">
        <v>27339</v>
      </c>
      <c r="D1110" s="7" t="s">
        <v>28</v>
      </c>
      <c r="E1110" s="7" t="s">
        <v>56</v>
      </c>
      <c r="F1110" s="7" t="s">
        <v>162</v>
      </c>
      <c r="G1110" s="7" t="s">
        <v>18</v>
      </c>
      <c r="H1110" s="7" t="s">
        <v>24</v>
      </c>
      <c r="I1110" s="7" t="s">
        <v>712</v>
      </c>
      <c r="J1110" s="7" t="s">
        <v>712</v>
      </c>
      <c r="K1110" s="8">
        <v>6261387</v>
      </c>
      <c r="L1110" s="8">
        <v>337246</v>
      </c>
      <c r="M1110" s="8">
        <v>19</v>
      </c>
      <c r="N1110" s="8">
        <v>1</v>
      </c>
      <c r="O1110" s="8">
        <v>0.12</v>
      </c>
      <c r="P1110" s="8"/>
    </row>
    <row r="1111" spans="1:16" hidden="1" x14ac:dyDescent="0.25">
      <c r="A1111" s="7" t="s">
        <v>19</v>
      </c>
      <c r="B1111" s="7" t="s">
        <v>124</v>
      </c>
      <c r="C1111" s="8">
        <v>27340</v>
      </c>
      <c r="D1111" s="7" t="s">
        <v>16</v>
      </c>
      <c r="E1111" s="7" t="s">
        <v>17</v>
      </c>
      <c r="F1111" s="7" t="s">
        <v>17</v>
      </c>
      <c r="G1111" s="7" t="s">
        <v>18</v>
      </c>
      <c r="H1111" s="7" t="s">
        <v>48</v>
      </c>
      <c r="I1111" s="7" t="s">
        <v>712</v>
      </c>
      <c r="J1111" s="7" t="s">
        <v>691</v>
      </c>
      <c r="K1111" s="8">
        <v>6061189</v>
      </c>
      <c r="L1111" s="8">
        <v>281724</v>
      </c>
      <c r="M1111" s="8">
        <v>19</v>
      </c>
      <c r="N1111" s="8">
        <v>1</v>
      </c>
      <c r="O1111" s="8">
        <v>7.5</v>
      </c>
      <c r="P1111" s="8"/>
    </row>
    <row r="1112" spans="1:16" hidden="1" x14ac:dyDescent="0.25">
      <c r="A1112" s="7" t="s">
        <v>37</v>
      </c>
      <c r="B1112" s="7" t="s">
        <v>254</v>
      </c>
      <c r="C1112" s="8">
        <v>27344</v>
      </c>
      <c r="D1112" s="7" t="s">
        <v>16</v>
      </c>
      <c r="E1112" s="7" t="s">
        <v>155</v>
      </c>
      <c r="F1112" s="7" t="s">
        <v>305</v>
      </c>
      <c r="G1112" s="7" t="s">
        <v>18</v>
      </c>
      <c r="H1112" s="7" t="s">
        <v>48</v>
      </c>
      <c r="I1112" s="7" t="s">
        <v>712</v>
      </c>
      <c r="J1112" s="7" t="s">
        <v>712</v>
      </c>
      <c r="K1112" s="8">
        <v>6123430</v>
      </c>
      <c r="L1112" s="8">
        <v>297793</v>
      </c>
      <c r="M1112" s="8">
        <v>19</v>
      </c>
      <c r="N1112" s="8">
        <v>2</v>
      </c>
      <c r="O1112" s="8">
        <v>9</v>
      </c>
      <c r="P1112" s="8"/>
    </row>
    <row r="1113" spans="1:16" hidden="1" x14ac:dyDescent="0.25">
      <c r="A1113" s="7" t="s">
        <v>14</v>
      </c>
      <c r="B1113" s="7" t="s">
        <v>415</v>
      </c>
      <c r="C1113" s="8">
        <v>27346</v>
      </c>
      <c r="D1113" s="7" t="s">
        <v>52</v>
      </c>
      <c r="E1113" s="7" t="s">
        <v>249</v>
      </c>
      <c r="F1113" s="7" t="s">
        <v>374</v>
      </c>
      <c r="G1113" s="7" t="s">
        <v>18</v>
      </c>
      <c r="H1113" s="7" t="s">
        <v>689</v>
      </c>
      <c r="I1113" s="7" t="s">
        <v>712</v>
      </c>
      <c r="J1113" s="7" t="s">
        <v>712</v>
      </c>
      <c r="K1113" s="8">
        <v>6183171</v>
      </c>
      <c r="L1113" s="8">
        <v>318909</v>
      </c>
      <c r="M1113" s="8">
        <v>19</v>
      </c>
      <c r="N1113" s="8">
        <v>1</v>
      </c>
      <c r="O1113" s="8">
        <v>0.33</v>
      </c>
      <c r="P1113" s="8"/>
    </row>
    <row r="1114" spans="1:16" hidden="1" x14ac:dyDescent="0.25">
      <c r="A1114" s="7" t="s">
        <v>14</v>
      </c>
      <c r="B1114" s="7" t="s">
        <v>343</v>
      </c>
      <c r="C1114" s="8">
        <v>27348</v>
      </c>
      <c r="D1114" s="7" t="s">
        <v>28</v>
      </c>
      <c r="E1114" s="7" t="s">
        <v>344</v>
      </c>
      <c r="F1114" s="7" t="s">
        <v>345</v>
      </c>
      <c r="G1114" s="7" t="s">
        <v>43</v>
      </c>
      <c r="H1114" s="7" t="s">
        <v>689</v>
      </c>
      <c r="I1114" s="7" t="s">
        <v>712</v>
      </c>
      <c r="J1114" s="7" t="s">
        <v>712</v>
      </c>
      <c r="K1114" s="8">
        <v>6271086</v>
      </c>
      <c r="L1114" s="8">
        <v>300616</v>
      </c>
      <c r="M1114" s="8">
        <v>19</v>
      </c>
      <c r="N1114" s="8">
        <v>1</v>
      </c>
      <c r="O1114" s="8">
        <v>3.6</v>
      </c>
      <c r="P1114" s="8"/>
    </row>
    <row r="1115" spans="1:16" hidden="1" x14ac:dyDescent="0.25">
      <c r="A1115" s="7" t="s">
        <v>37</v>
      </c>
      <c r="B1115" s="7" t="s">
        <v>343</v>
      </c>
      <c r="C1115" s="8">
        <v>27349</v>
      </c>
      <c r="D1115" s="7" t="s">
        <v>16</v>
      </c>
      <c r="E1115" s="7" t="s">
        <v>17</v>
      </c>
      <c r="F1115" s="7" t="s">
        <v>55</v>
      </c>
      <c r="G1115" s="7" t="s">
        <v>18</v>
      </c>
      <c r="H1115" s="7" t="s">
        <v>48</v>
      </c>
      <c r="I1115" s="7" t="s">
        <v>712</v>
      </c>
      <c r="J1115" s="7" t="s">
        <v>712</v>
      </c>
      <c r="K1115" s="8">
        <v>6064252</v>
      </c>
      <c r="L1115" s="8">
        <v>281909</v>
      </c>
      <c r="M1115" s="8">
        <v>19</v>
      </c>
      <c r="N1115" s="8">
        <v>1</v>
      </c>
      <c r="O1115" s="8">
        <v>1.1000000000000001</v>
      </c>
      <c r="P1115" s="8"/>
    </row>
    <row r="1116" spans="1:16" hidden="1" x14ac:dyDescent="0.25">
      <c r="A1116" s="7" t="s">
        <v>37</v>
      </c>
      <c r="B1116" s="7" t="s">
        <v>254</v>
      </c>
      <c r="C1116" s="8">
        <v>27350</v>
      </c>
      <c r="D1116" s="7" t="s">
        <v>16</v>
      </c>
      <c r="E1116" s="7" t="s">
        <v>17</v>
      </c>
      <c r="F1116" s="7" t="s">
        <v>294</v>
      </c>
      <c r="G1116" s="7" t="s">
        <v>18</v>
      </c>
      <c r="H1116" s="7" t="s">
        <v>48</v>
      </c>
      <c r="I1116" s="7" t="s">
        <v>712</v>
      </c>
      <c r="J1116" s="7" t="s">
        <v>691</v>
      </c>
      <c r="K1116" s="8">
        <v>6073171</v>
      </c>
      <c r="L1116" s="8">
        <v>279699</v>
      </c>
      <c r="M1116" s="8">
        <v>19</v>
      </c>
      <c r="N1116" s="8">
        <v>1</v>
      </c>
      <c r="O1116" s="8">
        <v>2.7</v>
      </c>
      <c r="P1116" s="8"/>
    </row>
    <row r="1117" spans="1:16" hidden="1" x14ac:dyDescent="0.25">
      <c r="A1117" s="7" t="s">
        <v>14</v>
      </c>
      <c r="B1117" s="7" t="s">
        <v>174</v>
      </c>
      <c r="C1117" s="8">
        <v>27351</v>
      </c>
      <c r="D1117" s="7" t="s">
        <v>119</v>
      </c>
      <c r="E1117" s="7" t="s">
        <v>175</v>
      </c>
      <c r="F1117" s="7" t="s">
        <v>176</v>
      </c>
      <c r="G1117" s="7" t="s">
        <v>43</v>
      </c>
      <c r="H1117" s="7" t="s">
        <v>689</v>
      </c>
      <c r="I1117" s="7" t="s">
        <v>690</v>
      </c>
      <c r="J1117" s="7" t="s">
        <v>690</v>
      </c>
      <c r="K1117" s="8">
        <v>5711034</v>
      </c>
      <c r="L1117" s="8">
        <v>738832</v>
      </c>
      <c r="M1117" s="8">
        <v>18</v>
      </c>
      <c r="N1117" s="8">
        <v>1</v>
      </c>
      <c r="O1117" s="8">
        <v>0.5</v>
      </c>
      <c r="P1117" s="8"/>
    </row>
    <row r="1118" spans="1:16" hidden="1" x14ac:dyDescent="0.25">
      <c r="A1118" s="7" t="s">
        <v>37</v>
      </c>
      <c r="B1118" s="7" t="s">
        <v>254</v>
      </c>
      <c r="C1118" s="8">
        <v>27352</v>
      </c>
      <c r="D1118" s="7" t="s">
        <v>16</v>
      </c>
      <c r="E1118" s="7" t="s">
        <v>17</v>
      </c>
      <c r="F1118" s="7" t="s">
        <v>293</v>
      </c>
      <c r="G1118" s="7" t="s">
        <v>18</v>
      </c>
      <c r="H1118" s="7" t="s">
        <v>48</v>
      </c>
      <c r="I1118" s="7" t="s">
        <v>712</v>
      </c>
      <c r="J1118" s="7" t="s">
        <v>712</v>
      </c>
      <c r="K1118" s="8">
        <v>6074105</v>
      </c>
      <c r="L1118" s="8">
        <v>278588</v>
      </c>
      <c r="M1118" s="8">
        <v>19</v>
      </c>
      <c r="N1118" s="8">
        <v>1</v>
      </c>
      <c r="O1118" s="8">
        <v>2.7</v>
      </c>
      <c r="P1118" s="8"/>
    </row>
    <row r="1119" spans="1:16" hidden="1" x14ac:dyDescent="0.25">
      <c r="A1119" s="7" t="s">
        <v>14</v>
      </c>
      <c r="B1119" s="7" t="s">
        <v>174</v>
      </c>
      <c r="C1119" s="8">
        <v>27353</v>
      </c>
      <c r="D1119" s="7" t="s">
        <v>119</v>
      </c>
      <c r="E1119" s="7" t="s">
        <v>175</v>
      </c>
      <c r="F1119" s="7" t="s">
        <v>177</v>
      </c>
      <c r="G1119" s="7" t="s">
        <v>43</v>
      </c>
      <c r="H1119" s="7" t="s">
        <v>689</v>
      </c>
      <c r="I1119" s="7" t="s">
        <v>690</v>
      </c>
      <c r="J1119" s="7" t="s">
        <v>690</v>
      </c>
      <c r="K1119" s="8">
        <v>5703267</v>
      </c>
      <c r="L1119" s="8">
        <v>745904</v>
      </c>
      <c r="M1119" s="8">
        <v>18</v>
      </c>
      <c r="N1119" s="8">
        <v>1</v>
      </c>
      <c r="O1119" s="8">
        <v>1</v>
      </c>
      <c r="P1119" s="8"/>
    </row>
    <row r="1120" spans="1:16" hidden="1" x14ac:dyDescent="0.25">
      <c r="A1120" s="7" t="s">
        <v>37</v>
      </c>
      <c r="B1120" s="7" t="s">
        <v>254</v>
      </c>
      <c r="C1120" s="8">
        <v>27355</v>
      </c>
      <c r="D1120" s="7" t="s">
        <v>16</v>
      </c>
      <c r="E1120" s="7" t="s">
        <v>17</v>
      </c>
      <c r="F1120" s="7" t="s">
        <v>293</v>
      </c>
      <c r="G1120" s="7" t="s">
        <v>18</v>
      </c>
      <c r="H1120" s="7" t="s">
        <v>48</v>
      </c>
      <c r="I1120" s="7" t="s">
        <v>712</v>
      </c>
      <c r="J1120" s="7" t="s">
        <v>712</v>
      </c>
      <c r="K1120" s="8">
        <v>6074009</v>
      </c>
      <c r="L1120" s="8">
        <v>278692</v>
      </c>
      <c r="M1120" s="8">
        <v>19</v>
      </c>
      <c r="N1120" s="8">
        <v>1</v>
      </c>
      <c r="O1120" s="8">
        <v>2.7</v>
      </c>
      <c r="P1120" s="8"/>
    </row>
    <row r="1121" spans="1:16" hidden="1" x14ac:dyDescent="0.25">
      <c r="A1121" s="7" t="s">
        <v>19</v>
      </c>
      <c r="B1121" s="7" t="s">
        <v>124</v>
      </c>
      <c r="C1121" s="8">
        <v>27356</v>
      </c>
      <c r="D1121" s="7" t="s">
        <v>16</v>
      </c>
      <c r="E1121" s="7" t="s">
        <v>17</v>
      </c>
      <c r="F1121" s="7" t="s">
        <v>17</v>
      </c>
      <c r="G1121" s="7" t="s">
        <v>18</v>
      </c>
      <c r="H1121" s="7" t="s">
        <v>48</v>
      </c>
      <c r="I1121" s="7" t="s">
        <v>712</v>
      </c>
      <c r="J1121" s="7" t="s">
        <v>691</v>
      </c>
      <c r="K1121" s="8">
        <v>6061129</v>
      </c>
      <c r="L1121" s="8">
        <v>281936</v>
      </c>
      <c r="M1121" s="8">
        <v>19</v>
      </c>
      <c r="N1121" s="8">
        <v>1</v>
      </c>
      <c r="O1121" s="8">
        <v>8.6999999999999993</v>
      </c>
      <c r="P1121" s="8"/>
    </row>
    <row r="1122" spans="1:16" hidden="1" x14ac:dyDescent="0.25">
      <c r="A1122" s="7" t="s">
        <v>14</v>
      </c>
      <c r="B1122" s="7" t="s">
        <v>174</v>
      </c>
      <c r="C1122" s="8">
        <v>27357</v>
      </c>
      <c r="D1122" s="7" t="s">
        <v>119</v>
      </c>
      <c r="E1122" s="7" t="s">
        <v>175</v>
      </c>
      <c r="F1122" s="7" t="s">
        <v>176</v>
      </c>
      <c r="G1122" s="7" t="s">
        <v>43</v>
      </c>
      <c r="H1122" s="7" t="s">
        <v>689</v>
      </c>
      <c r="I1122" s="7" t="s">
        <v>690</v>
      </c>
      <c r="J1122" s="7" t="s">
        <v>690</v>
      </c>
      <c r="K1122" s="8">
        <v>5708626</v>
      </c>
      <c r="L1122" s="8">
        <v>732462</v>
      </c>
      <c r="M1122" s="8">
        <v>18</v>
      </c>
      <c r="N1122" s="8">
        <v>1</v>
      </c>
      <c r="O1122" s="8">
        <v>1</v>
      </c>
      <c r="P1122" s="8"/>
    </row>
    <row r="1123" spans="1:16" hidden="1" x14ac:dyDescent="0.25">
      <c r="A1123" s="7" t="s">
        <v>14</v>
      </c>
      <c r="B1123" s="7" t="s">
        <v>174</v>
      </c>
      <c r="C1123" s="8">
        <v>27358</v>
      </c>
      <c r="D1123" s="7" t="s">
        <v>119</v>
      </c>
      <c r="E1123" s="7" t="s">
        <v>175</v>
      </c>
      <c r="F1123" s="7" t="s">
        <v>178</v>
      </c>
      <c r="G1123" s="7" t="s">
        <v>43</v>
      </c>
      <c r="H1123" s="7" t="s">
        <v>689</v>
      </c>
      <c r="I1123" s="7" t="s">
        <v>690</v>
      </c>
      <c r="J1123" s="7" t="s">
        <v>690</v>
      </c>
      <c r="K1123" s="8">
        <v>5704756</v>
      </c>
      <c r="L1123" s="8">
        <v>732233</v>
      </c>
      <c r="M1123" s="8">
        <v>18</v>
      </c>
      <c r="N1123" s="8">
        <v>1</v>
      </c>
      <c r="O1123" s="8">
        <v>0.8</v>
      </c>
      <c r="P1123" s="8"/>
    </row>
    <row r="1124" spans="1:16" hidden="1" x14ac:dyDescent="0.25">
      <c r="A1124" s="7" t="s">
        <v>37</v>
      </c>
      <c r="B1124" s="7" t="s">
        <v>254</v>
      </c>
      <c r="C1124" s="8">
        <v>27361</v>
      </c>
      <c r="D1124" s="7" t="s">
        <v>16</v>
      </c>
      <c r="E1124" s="7" t="s">
        <v>46</v>
      </c>
      <c r="F1124" s="7" t="s">
        <v>306</v>
      </c>
      <c r="G1124" s="7" t="s">
        <v>18</v>
      </c>
      <c r="H1124" s="7" t="s">
        <v>48</v>
      </c>
      <c r="I1124" s="7" t="s">
        <v>712</v>
      </c>
      <c r="J1124" s="7" t="s">
        <v>691</v>
      </c>
      <c r="K1124" s="8">
        <v>6111786</v>
      </c>
      <c r="L1124" s="8">
        <v>288090</v>
      </c>
      <c r="M1124" s="8">
        <v>19</v>
      </c>
      <c r="N1124" s="8">
        <v>2</v>
      </c>
      <c r="O1124" s="8">
        <v>10</v>
      </c>
      <c r="P1124" s="8"/>
    </row>
    <row r="1125" spans="1:16" hidden="1" x14ac:dyDescent="0.25">
      <c r="A1125" s="7" t="s">
        <v>14</v>
      </c>
      <c r="B1125" s="7" t="s">
        <v>343</v>
      </c>
      <c r="C1125" s="8">
        <v>27363</v>
      </c>
      <c r="D1125" s="7" t="s">
        <v>28</v>
      </c>
      <c r="E1125" s="7" t="s">
        <v>393</v>
      </c>
      <c r="F1125" s="7" t="s">
        <v>393</v>
      </c>
      <c r="G1125" s="7" t="s">
        <v>43</v>
      </c>
      <c r="H1125" s="7" t="s">
        <v>689</v>
      </c>
      <c r="I1125" s="7" t="s">
        <v>712</v>
      </c>
      <c r="J1125" s="7" t="s">
        <v>712</v>
      </c>
      <c r="K1125" s="8">
        <v>6272004</v>
      </c>
      <c r="L1125" s="8">
        <v>314178</v>
      </c>
      <c r="M1125" s="8">
        <v>19</v>
      </c>
      <c r="N1125" s="8">
        <v>1</v>
      </c>
      <c r="O1125" s="8">
        <v>0.51</v>
      </c>
      <c r="P1125" s="8"/>
    </row>
    <row r="1126" spans="1:16" hidden="1" x14ac:dyDescent="0.25">
      <c r="A1126" s="7" t="s">
        <v>37</v>
      </c>
      <c r="B1126" s="7" t="s">
        <v>254</v>
      </c>
      <c r="C1126" s="8">
        <v>27364</v>
      </c>
      <c r="D1126" s="7" t="s">
        <v>16</v>
      </c>
      <c r="E1126" s="7" t="s">
        <v>169</v>
      </c>
      <c r="F1126" s="7" t="s">
        <v>170</v>
      </c>
      <c r="G1126" s="7" t="s">
        <v>18</v>
      </c>
      <c r="H1126" s="7" t="s">
        <v>48</v>
      </c>
      <c r="I1126" s="7" t="s">
        <v>712</v>
      </c>
      <c r="J1126" s="7" t="s">
        <v>691</v>
      </c>
      <c r="K1126" s="8">
        <v>6030271</v>
      </c>
      <c r="L1126" s="8">
        <v>268591</v>
      </c>
      <c r="M1126" s="8">
        <v>19</v>
      </c>
      <c r="N1126" s="8">
        <v>1</v>
      </c>
      <c r="O1126" s="8">
        <v>2.7</v>
      </c>
      <c r="P1126" s="8"/>
    </row>
    <row r="1127" spans="1:16" hidden="1" x14ac:dyDescent="0.25">
      <c r="A1127" s="7" t="s">
        <v>37</v>
      </c>
      <c r="B1127" s="7" t="s">
        <v>343</v>
      </c>
      <c r="C1127" s="8">
        <v>27365</v>
      </c>
      <c r="D1127" s="7" t="s">
        <v>52</v>
      </c>
      <c r="E1127" s="7" t="s">
        <v>81</v>
      </c>
      <c r="F1127" s="7" t="s">
        <v>81</v>
      </c>
      <c r="G1127" s="7" t="s">
        <v>18</v>
      </c>
      <c r="H1127" s="7" t="s">
        <v>48</v>
      </c>
      <c r="I1127" s="7" t="s">
        <v>712</v>
      </c>
      <c r="J1127" s="7" t="s">
        <v>691</v>
      </c>
      <c r="K1127" s="8">
        <v>6227839</v>
      </c>
      <c r="L1127" s="8">
        <v>347524</v>
      </c>
      <c r="M1127" s="8">
        <v>19</v>
      </c>
      <c r="N1127" s="8">
        <v>2</v>
      </c>
      <c r="O1127" s="8">
        <v>2.27</v>
      </c>
      <c r="P1127" s="8"/>
    </row>
    <row r="1128" spans="1:16" hidden="1" x14ac:dyDescent="0.25">
      <c r="A1128" s="7" t="s">
        <v>37</v>
      </c>
      <c r="B1128" s="7" t="s">
        <v>343</v>
      </c>
      <c r="C1128" s="8">
        <v>27366</v>
      </c>
      <c r="D1128" s="7" t="s">
        <v>52</v>
      </c>
      <c r="E1128" s="7" t="s">
        <v>81</v>
      </c>
      <c r="F1128" s="7" t="s">
        <v>81</v>
      </c>
      <c r="G1128" s="7" t="s">
        <v>18</v>
      </c>
      <c r="H1128" s="7" t="s">
        <v>48</v>
      </c>
      <c r="I1128" s="7" t="s">
        <v>712</v>
      </c>
      <c r="J1128" s="7" t="s">
        <v>691</v>
      </c>
      <c r="K1128" s="8">
        <v>6227839</v>
      </c>
      <c r="L1128" s="8">
        <v>347524</v>
      </c>
      <c r="M1128" s="8">
        <v>19</v>
      </c>
      <c r="N1128" s="8">
        <v>2</v>
      </c>
      <c r="O1128" s="8">
        <v>3.75</v>
      </c>
      <c r="P1128" s="8"/>
    </row>
    <row r="1129" spans="1:16" hidden="1" x14ac:dyDescent="0.25">
      <c r="A1129" s="7" t="s">
        <v>37</v>
      </c>
      <c r="B1129" s="7" t="s">
        <v>343</v>
      </c>
      <c r="C1129" s="8">
        <v>27367</v>
      </c>
      <c r="D1129" s="7" t="s">
        <v>52</v>
      </c>
      <c r="E1129" s="7" t="s">
        <v>81</v>
      </c>
      <c r="F1129" s="7" t="s">
        <v>81</v>
      </c>
      <c r="G1129" s="7" t="s">
        <v>18</v>
      </c>
      <c r="H1129" s="7" t="s">
        <v>48</v>
      </c>
      <c r="I1129" s="7" t="s">
        <v>712</v>
      </c>
      <c r="J1129" s="7" t="s">
        <v>691</v>
      </c>
      <c r="K1129" s="8">
        <v>6226891</v>
      </c>
      <c r="L1129" s="8">
        <v>350177</v>
      </c>
      <c r="M1129" s="8">
        <v>19</v>
      </c>
      <c r="N1129" s="8">
        <v>1</v>
      </c>
      <c r="O1129" s="8">
        <v>2.7</v>
      </c>
      <c r="P1129" s="8"/>
    </row>
    <row r="1130" spans="1:16" hidden="1" x14ac:dyDescent="0.25">
      <c r="A1130" s="7" t="s">
        <v>37</v>
      </c>
      <c r="B1130" s="7" t="s">
        <v>343</v>
      </c>
      <c r="C1130" s="8">
        <v>27368</v>
      </c>
      <c r="D1130" s="7" t="s">
        <v>52</v>
      </c>
      <c r="E1130" s="7" t="s">
        <v>81</v>
      </c>
      <c r="F1130" s="7" t="s">
        <v>81</v>
      </c>
      <c r="G1130" s="7" t="s">
        <v>18</v>
      </c>
      <c r="H1130" s="7" t="s">
        <v>48</v>
      </c>
      <c r="I1130" s="7" t="s">
        <v>712</v>
      </c>
      <c r="J1130" s="7" t="s">
        <v>691</v>
      </c>
      <c r="K1130" s="8">
        <v>6226891</v>
      </c>
      <c r="L1130" s="8">
        <v>350177</v>
      </c>
      <c r="M1130" s="8">
        <v>19</v>
      </c>
      <c r="N1130" s="8">
        <v>1</v>
      </c>
      <c r="O1130" s="8">
        <v>2.7</v>
      </c>
      <c r="P1130" s="8"/>
    </row>
    <row r="1131" spans="1:16" hidden="1" x14ac:dyDescent="0.25">
      <c r="A1131" s="7" t="s">
        <v>37</v>
      </c>
      <c r="B1131" s="7" t="s">
        <v>343</v>
      </c>
      <c r="C1131" s="8">
        <v>27369</v>
      </c>
      <c r="D1131" s="7" t="s">
        <v>52</v>
      </c>
      <c r="E1131" s="7" t="s">
        <v>81</v>
      </c>
      <c r="F1131" s="7" t="s">
        <v>81</v>
      </c>
      <c r="G1131" s="7" t="s">
        <v>18</v>
      </c>
      <c r="H1131" s="7" t="s">
        <v>48</v>
      </c>
      <c r="I1131" s="7" t="s">
        <v>712</v>
      </c>
      <c r="J1131" s="7" t="s">
        <v>691</v>
      </c>
      <c r="K1131" s="8">
        <v>6227839</v>
      </c>
      <c r="L1131" s="8">
        <v>347524</v>
      </c>
      <c r="M1131" s="8">
        <v>19</v>
      </c>
      <c r="N1131" s="8">
        <v>1</v>
      </c>
      <c r="O1131" s="8">
        <v>3.61</v>
      </c>
      <c r="P1131" s="8"/>
    </row>
    <row r="1132" spans="1:16" hidden="1" x14ac:dyDescent="0.25">
      <c r="A1132" s="7" t="s">
        <v>14</v>
      </c>
      <c r="B1132" s="7" t="s">
        <v>415</v>
      </c>
      <c r="C1132" s="8">
        <v>27375</v>
      </c>
      <c r="D1132" s="7" t="s">
        <v>322</v>
      </c>
      <c r="E1132" s="7" t="s">
        <v>323</v>
      </c>
      <c r="F1132" s="7" t="s">
        <v>422</v>
      </c>
      <c r="G1132" s="7" t="s">
        <v>18</v>
      </c>
      <c r="H1132" s="7" t="s">
        <v>689</v>
      </c>
      <c r="I1132" s="7" t="s">
        <v>712</v>
      </c>
      <c r="J1132" s="7" t="s">
        <v>712</v>
      </c>
      <c r="K1132" s="8">
        <v>7949082</v>
      </c>
      <c r="L1132" s="8">
        <v>381210</v>
      </c>
      <c r="M1132" s="8">
        <v>19</v>
      </c>
      <c r="N1132" s="8">
        <v>1</v>
      </c>
      <c r="O1132" s="8">
        <v>0.66</v>
      </c>
      <c r="P1132" s="8"/>
    </row>
    <row r="1133" spans="1:16" hidden="1" x14ac:dyDescent="0.25">
      <c r="A1133" s="7" t="s">
        <v>14</v>
      </c>
      <c r="B1133" s="7" t="s">
        <v>415</v>
      </c>
      <c r="C1133" s="8">
        <v>27377</v>
      </c>
      <c r="D1133" s="7" t="s">
        <v>322</v>
      </c>
      <c r="E1133" s="7" t="s">
        <v>323</v>
      </c>
      <c r="F1133" s="7" t="s">
        <v>422</v>
      </c>
      <c r="G1133" s="7" t="s">
        <v>18</v>
      </c>
      <c r="H1133" s="7" t="s">
        <v>689</v>
      </c>
      <c r="I1133" s="7" t="s">
        <v>712</v>
      </c>
      <c r="J1133" s="7" t="s">
        <v>712</v>
      </c>
      <c r="K1133" s="8">
        <v>7949007</v>
      </c>
      <c r="L1133" s="8">
        <v>371020</v>
      </c>
      <c r="M1133" s="8">
        <v>19</v>
      </c>
      <c r="N1133" s="8">
        <v>1</v>
      </c>
      <c r="O1133" s="8">
        <v>0.37</v>
      </c>
      <c r="P1133" s="8"/>
    </row>
    <row r="1134" spans="1:16" hidden="1" x14ac:dyDescent="0.25">
      <c r="A1134" s="7" t="s">
        <v>37</v>
      </c>
      <c r="B1134" s="7" t="s">
        <v>408</v>
      </c>
      <c r="C1134" s="8">
        <v>27379</v>
      </c>
      <c r="D1134" s="7" t="s">
        <v>34</v>
      </c>
      <c r="E1134" s="7" t="s">
        <v>35</v>
      </c>
      <c r="F1134" s="7" t="s">
        <v>410</v>
      </c>
      <c r="G1134" s="7" t="s">
        <v>43</v>
      </c>
      <c r="H1134" s="7" t="s">
        <v>48</v>
      </c>
      <c r="I1134" s="7" t="s">
        <v>712</v>
      </c>
      <c r="J1134" s="7" t="s">
        <v>691</v>
      </c>
      <c r="K1134" s="8">
        <v>5859819</v>
      </c>
      <c r="L1134" s="8">
        <v>747131</v>
      </c>
      <c r="M1134" s="8">
        <v>18</v>
      </c>
      <c r="N1134" s="8">
        <v>1</v>
      </c>
      <c r="O1134" s="8">
        <v>20</v>
      </c>
      <c r="P1134" s="8"/>
    </row>
    <row r="1135" spans="1:16" hidden="1" x14ac:dyDescent="0.25">
      <c r="A1135" s="7" t="s">
        <v>14</v>
      </c>
      <c r="B1135" s="7" t="s">
        <v>415</v>
      </c>
      <c r="C1135" s="8">
        <v>27380</v>
      </c>
      <c r="D1135" s="7" t="s">
        <v>28</v>
      </c>
      <c r="E1135" s="7" t="s">
        <v>56</v>
      </c>
      <c r="F1135" s="7" t="s">
        <v>162</v>
      </c>
      <c r="G1135" s="7" t="s">
        <v>18</v>
      </c>
      <c r="H1135" s="7" t="s">
        <v>689</v>
      </c>
      <c r="I1135" s="7" t="s">
        <v>712</v>
      </c>
      <c r="J1135" s="7" t="s">
        <v>712</v>
      </c>
      <c r="K1135" s="8">
        <v>6259162</v>
      </c>
      <c r="L1135" s="8">
        <v>332894</v>
      </c>
      <c r="M1135" s="8">
        <v>19</v>
      </c>
      <c r="N1135" s="8">
        <v>1</v>
      </c>
      <c r="O1135" s="8">
        <v>1.89</v>
      </c>
      <c r="P1135" s="8"/>
    </row>
    <row r="1136" spans="1:16" hidden="1" x14ac:dyDescent="0.25">
      <c r="A1136" s="7" t="s">
        <v>14</v>
      </c>
      <c r="B1136" s="7" t="s">
        <v>415</v>
      </c>
      <c r="C1136" s="8">
        <v>27381</v>
      </c>
      <c r="D1136" s="7" t="s">
        <v>28</v>
      </c>
      <c r="E1136" s="7" t="s">
        <v>56</v>
      </c>
      <c r="F1136" s="7" t="s">
        <v>162</v>
      </c>
      <c r="G1136" s="7" t="s">
        <v>18</v>
      </c>
      <c r="H1136" s="7" t="s">
        <v>689</v>
      </c>
      <c r="I1136" s="7" t="s">
        <v>712</v>
      </c>
      <c r="J1136" s="7" t="s">
        <v>712</v>
      </c>
      <c r="K1136" s="8">
        <v>6259634</v>
      </c>
      <c r="L1136" s="8">
        <v>332337</v>
      </c>
      <c r="M1136" s="8">
        <v>19</v>
      </c>
      <c r="N1136" s="8">
        <v>1</v>
      </c>
      <c r="O1136" s="8">
        <v>1.96</v>
      </c>
      <c r="P1136" s="8"/>
    </row>
    <row r="1137" spans="1:16" hidden="1" x14ac:dyDescent="0.25">
      <c r="A1137" s="7" t="s">
        <v>37</v>
      </c>
      <c r="B1137" s="7" t="s">
        <v>254</v>
      </c>
      <c r="C1137" s="8">
        <v>27382</v>
      </c>
      <c r="D1137" s="7" t="s">
        <v>21</v>
      </c>
      <c r="E1137" s="7" t="s">
        <v>280</v>
      </c>
      <c r="F1137" s="7" t="s">
        <v>302</v>
      </c>
      <c r="G1137" s="7" t="s">
        <v>18</v>
      </c>
      <c r="H1137" s="7" t="s">
        <v>24</v>
      </c>
      <c r="I1137" s="7" t="s">
        <v>712</v>
      </c>
      <c r="J1137" s="7" t="s">
        <v>712</v>
      </c>
      <c r="K1137" s="8">
        <v>6362961</v>
      </c>
      <c r="L1137" s="8">
        <v>318962</v>
      </c>
      <c r="M1137" s="8">
        <v>19</v>
      </c>
      <c r="N1137" s="8">
        <v>1</v>
      </c>
      <c r="O1137" s="8">
        <v>4</v>
      </c>
      <c r="P1137" s="8"/>
    </row>
    <row r="1138" spans="1:16" hidden="1" x14ac:dyDescent="0.25">
      <c r="A1138" s="7" t="s">
        <v>14</v>
      </c>
      <c r="B1138" s="7" t="s">
        <v>415</v>
      </c>
      <c r="C1138" s="8">
        <v>27384</v>
      </c>
      <c r="D1138" s="7" t="s">
        <v>28</v>
      </c>
      <c r="E1138" s="7" t="s">
        <v>56</v>
      </c>
      <c r="F1138" s="7" t="s">
        <v>378</v>
      </c>
      <c r="G1138" s="7" t="s">
        <v>18</v>
      </c>
      <c r="H1138" s="7" t="s">
        <v>689</v>
      </c>
      <c r="I1138" s="7" t="s">
        <v>712</v>
      </c>
      <c r="J1138" s="7" t="s">
        <v>712</v>
      </c>
      <c r="K1138" s="8">
        <v>6260715</v>
      </c>
      <c r="L1138" s="8">
        <v>331542</v>
      </c>
      <c r="M1138" s="8">
        <v>19</v>
      </c>
      <c r="N1138" s="8">
        <v>2</v>
      </c>
      <c r="O1138" s="8">
        <v>2.82</v>
      </c>
      <c r="P1138" s="8"/>
    </row>
    <row r="1139" spans="1:16" hidden="1" x14ac:dyDescent="0.25">
      <c r="A1139" s="7" t="s">
        <v>37</v>
      </c>
      <c r="B1139" s="7" t="s">
        <v>254</v>
      </c>
      <c r="C1139" s="8">
        <v>27385</v>
      </c>
      <c r="D1139" s="7" t="s">
        <v>16</v>
      </c>
      <c r="E1139" s="7" t="s">
        <v>50</v>
      </c>
      <c r="F1139" s="7" t="s">
        <v>307</v>
      </c>
      <c r="G1139" s="7" t="s">
        <v>18</v>
      </c>
      <c r="H1139" s="7" t="s">
        <v>24</v>
      </c>
      <c r="I1139" s="7" t="s">
        <v>712</v>
      </c>
      <c r="J1139" s="7" t="s">
        <v>712</v>
      </c>
      <c r="K1139" s="8">
        <v>6070727</v>
      </c>
      <c r="L1139" s="8">
        <v>267873</v>
      </c>
      <c r="M1139" s="8">
        <v>19</v>
      </c>
      <c r="N1139" s="8">
        <v>1</v>
      </c>
      <c r="O1139" s="8">
        <v>7.3</v>
      </c>
      <c r="P1139" s="8"/>
    </row>
    <row r="1140" spans="1:16" hidden="1" x14ac:dyDescent="0.25">
      <c r="A1140" s="7" t="s">
        <v>37</v>
      </c>
      <c r="B1140" s="7" t="s">
        <v>41</v>
      </c>
      <c r="C1140" s="8">
        <v>27386</v>
      </c>
      <c r="D1140" s="7" t="s">
        <v>52</v>
      </c>
      <c r="E1140" s="7" t="s">
        <v>53</v>
      </c>
      <c r="F1140" s="7" t="s">
        <v>55</v>
      </c>
      <c r="G1140" s="7" t="s">
        <v>18</v>
      </c>
      <c r="H1140" s="7" t="s">
        <v>48</v>
      </c>
      <c r="I1140" s="7" t="s">
        <v>712</v>
      </c>
      <c r="J1140" s="7" t="s">
        <v>691</v>
      </c>
      <c r="K1140" s="8">
        <v>6159745</v>
      </c>
      <c r="L1140" s="8">
        <v>316170</v>
      </c>
      <c r="M1140" s="8">
        <v>19</v>
      </c>
      <c r="N1140" s="8">
        <v>2</v>
      </c>
      <c r="O1140" s="8">
        <v>14.1</v>
      </c>
      <c r="P1140" s="8"/>
    </row>
    <row r="1141" spans="1:16" hidden="1" x14ac:dyDescent="0.25">
      <c r="A1141" s="7" t="s">
        <v>19</v>
      </c>
      <c r="B1141" s="7" t="s">
        <v>415</v>
      </c>
      <c r="C1141" s="8">
        <v>27388</v>
      </c>
      <c r="D1141" s="7" t="s">
        <v>28</v>
      </c>
      <c r="E1141" s="7" t="s">
        <v>32</v>
      </c>
      <c r="F1141" s="7" t="s">
        <v>33</v>
      </c>
      <c r="G1141" s="7" t="s">
        <v>18</v>
      </c>
      <c r="H1141" s="7" t="s">
        <v>48</v>
      </c>
      <c r="I1141" s="7" t="s">
        <v>712</v>
      </c>
      <c r="J1141" s="7" t="s">
        <v>712</v>
      </c>
      <c r="K1141" s="8">
        <v>6275421</v>
      </c>
      <c r="L1141" s="8">
        <v>340294</v>
      </c>
      <c r="M1141" s="8">
        <v>19</v>
      </c>
      <c r="N1141" s="8">
        <v>1</v>
      </c>
      <c r="O1141" s="8">
        <v>0.37</v>
      </c>
      <c r="P1141" s="8"/>
    </row>
    <row r="1142" spans="1:16" hidden="1" x14ac:dyDescent="0.25">
      <c r="A1142" s="7" t="s">
        <v>19</v>
      </c>
      <c r="B1142" s="7" t="s">
        <v>124</v>
      </c>
      <c r="C1142" s="8">
        <v>27389</v>
      </c>
      <c r="D1142" s="7" t="s">
        <v>52</v>
      </c>
      <c r="E1142" s="7" t="s">
        <v>53</v>
      </c>
      <c r="F1142" s="7" t="s">
        <v>53</v>
      </c>
      <c r="G1142" s="7" t="s">
        <v>18</v>
      </c>
      <c r="H1142" s="7" t="s">
        <v>48</v>
      </c>
      <c r="I1142" s="7" t="s">
        <v>712</v>
      </c>
      <c r="J1142" s="7" t="s">
        <v>691</v>
      </c>
      <c r="K1142" s="8">
        <v>6153611</v>
      </c>
      <c r="L1142" s="8">
        <v>315706</v>
      </c>
      <c r="M1142" s="8">
        <v>19</v>
      </c>
      <c r="N1142" s="8">
        <v>1</v>
      </c>
      <c r="O1142" s="8">
        <v>6.8</v>
      </c>
      <c r="P1142" s="8"/>
    </row>
    <row r="1143" spans="1:16" hidden="1" x14ac:dyDescent="0.25">
      <c r="A1143" s="7" t="s">
        <v>37</v>
      </c>
      <c r="B1143" s="7" t="s">
        <v>254</v>
      </c>
      <c r="C1143" s="8">
        <v>27390</v>
      </c>
      <c r="D1143" s="7" t="s">
        <v>16</v>
      </c>
      <c r="E1143" s="7" t="s">
        <v>72</v>
      </c>
      <c r="F1143" s="7" t="s">
        <v>295</v>
      </c>
      <c r="G1143" s="7" t="s">
        <v>18</v>
      </c>
      <c r="H1143" s="7" t="s">
        <v>24</v>
      </c>
      <c r="I1143" s="7" t="s">
        <v>712</v>
      </c>
      <c r="J1143" s="7" t="s">
        <v>712</v>
      </c>
      <c r="K1143" s="8">
        <v>6099158</v>
      </c>
      <c r="L1143" s="8">
        <v>282824</v>
      </c>
      <c r="M1143" s="8">
        <v>19</v>
      </c>
      <c r="N1143" s="8">
        <v>1</v>
      </c>
      <c r="O1143" s="8">
        <v>2.7</v>
      </c>
      <c r="P1143" s="8"/>
    </row>
    <row r="1144" spans="1:16" hidden="1" x14ac:dyDescent="0.25">
      <c r="A1144" s="7" t="s">
        <v>14</v>
      </c>
      <c r="B1144" s="7" t="s">
        <v>415</v>
      </c>
      <c r="C1144" s="8">
        <v>27391</v>
      </c>
      <c r="D1144" s="7" t="s">
        <v>28</v>
      </c>
      <c r="E1144" s="7" t="s">
        <v>56</v>
      </c>
      <c r="F1144" s="7" t="s">
        <v>378</v>
      </c>
      <c r="G1144" s="7" t="s">
        <v>18</v>
      </c>
      <c r="H1144" s="7" t="s">
        <v>689</v>
      </c>
      <c r="I1144" s="7" t="s">
        <v>712</v>
      </c>
      <c r="J1144" s="7" t="s">
        <v>712</v>
      </c>
      <c r="K1144" s="8">
        <v>6260682</v>
      </c>
      <c r="L1144" s="8">
        <v>331604</v>
      </c>
      <c r="M1144" s="8">
        <v>19</v>
      </c>
      <c r="N1144" s="8">
        <v>2</v>
      </c>
      <c r="O1144" s="8">
        <v>2.2599999999999998</v>
      </c>
      <c r="P1144" s="8"/>
    </row>
    <row r="1145" spans="1:16" hidden="1" x14ac:dyDescent="0.25">
      <c r="A1145" s="7" t="s">
        <v>14</v>
      </c>
      <c r="B1145" s="7" t="s">
        <v>415</v>
      </c>
      <c r="C1145" s="8">
        <v>27392</v>
      </c>
      <c r="D1145" s="7" t="s">
        <v>28</v>
      </c>
      <c r="E1145" s="7" t="s">
        <v>56</v>
      </c>
      <c r="F1145" s="7" t="s">
        <v>378</v>
      </c>
      <c r="G1145" s="7" t="s">
        <v>18</v>
      </c>
      <c r="H1145" s="7" t="s">
        <v>689</v>
      </c>
      <c r="I1145" s="7" t="s">
        <v>712</v>
      </c>
      <c r="J1145" s="7" t="s">
        <v>712</v>
      </c>
      <c r="K1145" s="8">
        <v>6260539</v>
      </c>
      <c r="L1145" s="8">
        <v>331423</v>
      </c>
      <c r="M1145" s="8">
        <v>19</v>
      </c>
      <c r="N1145" s="8">
        <v>1</v>
      </c>
      <c r="O1145" s="8">
        <v>1.1000000000000001</v>
      </c>
      <c r="P1145" s="8"/>
    </row>
    <row r="1146" spans="1:16" hidden="1" x14ac:dyDescent="0.25">
      <c r="A1146" s="7" t="s">
        <v>14</v>
      </c>
      <c r="B1146" s="7" t="s">
        <v>415</v>
      </c>
      <c r="C1146" s="8">
        <v>27393</v>
      </c>
      <c r="D1146" s="7" t="s">
        <v>28</v>
      </c>
      <c r="E1146" s="7" t="s">
        <v>29</v>
      </c>
      <c r="F1146" s="7" t="s">
        <v>504</v>
      </c>
      <c r="G1146" s="7" t="s">
        <v>65</v>
      </c>
      <c r="H1146" s="7" t="s">
        <v>689</v>
      </c>
      <c r="I1146" s="7" t="s">
        <v>712</v>
      </c>
      <c r="J1146" s="7" t="s">
        <v>712</v>
      </c>
      <c r="K1146" s="8">
        <v>6253487</v>
      </c>
      <c r="L1146" s="8">
        <v>342426</v>
      </c>
      <c r="M1146" s="8">
        <v>19</v>
      </c>
      <c r="N1146" s="8">
        <v>1</v>
      </c>
      <c r="O1146" s="8">
        <v>3.2</v>
      </c>
      <c r="P1146" s="8"/>
    </row>
    <row r="1147" spans="1:16" hidden="1" x14ac:dyDescent="0.25">
      <c r="A1147" s="7" t="s">
        <v>37</v>
      </c>
      <c r="B1147" s="7" t="s">
        <v>254</v>
      </c>
      <c r="C1147" s="8">
        <v>27394</v>
      </c>
      <c r="D1147" s="7" t="s">
        <v>52</v>
      </c>
      <c r="E1147" s="7" t="s">
        <v>53</v>
      </c>
      <c r="F1147" s="7" t="s">
        <v>63</v>
      </c>
      <c r="G1147" s="7" t="s">
        <v>18</v>
      </c>
      <c r="H1147" s="7" t="s">
        <v>48</v>
      </c>
      <c r="I1147" s="7" t="s">
        <v>712</v>
      </c>
      <c r="J1147" s="7" t="s">
        <v>691</v>
      </c>
      <c r="K1147" s="8">
        <v>6145765</v>
      </c>
      <c r="L1147" s="8">
        <v>318593</v>
      </c>
      <c r="M1147" s="8">
        <v>19</v>
      </c>
      <c r="N1147" s="8">
        <v>4</v>
      </c>
      <c r="O1147" s="8">
        <v>25</v>
      </c>
      <c r="P1147" s="8"/>
    </row>
    <row r="1148" spans="1:16" hidden="1" x14ac:dyDescent="0.25">
      <c r="A1148" s="7" t="s">
        <v>14</v>
      </c>
      <c r="B1148" s="7" t="s">
        <v>415</v>
      </c>
      <c r="C1148" s="8">
        <v>27395</v>
      </c>
      <c r="D1148" s="7" t="s">
        <v>28</v>
      </c>
      <c r="E1148" s="7" t="s">
        <v>56</v>
      </c>
      <c r="F1148" s="7" t="s">
        <v>439</v>
      </c>
      <c r="G1148" s="7" t="s">
        <v>18</v>
      </c>
      <c r="H1148" s="7" t="s">
        <v>689</v>
      </c>
      <c r="I1148" s="7" t="s">
        <v>712</v>
      </c>
      <c r="J1148" s="7" t="s">
        <v>712</v>
      </c>
      <c r="K1148" s="8">
        <v>6262084</v>
      </c>
      <c r="L1148" s="8">
        <v>336212</v>
      </c>
      <c r="M1148" s="8">
        <v>19</v>
      </c>
      <c r="N1148" s="8">
        <v>1</v>
      </c>
      <c r="O1148" s="8">
        <v>0.68</v>
      </c>
      <c r="P1148" s="8"/>
    </row>
    <row r="1149" spans="1:16" hidden="1" x14ac:dyDescent="0.25">
      <c r="A1149" s="7" t="s">
        <v>37</v>
      </c>
      <c r="B1149" s="7" t="s">
        <v>254</v>
      </c>
      <c r="C1149" s="8">
        <v>27396</v>
      </c>
      <c r="D1149" s="7" t="s">
        <v>16</v>
      </c>
      <c r="E1149" s="7" t="s">
        <v>268</v>
      </c>
      <c r="F1149" s="7" t="s">
        <v>308</v>
      </c>
      <c r="G1149" s="7" t="s">
        <v>18</v>
      </c>
      <c r="H1149" s="7" t="s">
        <v>24</v>
      </c>
      <c r="I1149" s="7" t="s">
        <v>712</v>
      </c>
      <c r="J1149" s="7" t="s">
        <v>712</v>
      </c>
      <c r="K1149" s="8">
        <v>6140379</v>
      </c>
      <c r="L1149" s="8">
        <v>302394</v>
      </c>
      <c r="M1149" s="8">
        <v>19</v>
      </c>
      <c r="N1149" s="8">
        <v>1</v>
      </c>
      <c r="O1149" s="8">
        <v>1.8</v>
      </c>
      <c r="P1149" s="8"/>
    </row>
    <row r="1150" spans="1:16" hidden="1" x14ac:dyDescent="0.25">
      <c r="A1150" s="7" t="s">
        <v>19</v>
      </c>
      <c r="B1150" s="7" t="s">
        <v>124</v>
      </c>
      <c r="C1150" s="8">
        <v>27397</v>
      </c>
      <c r="D1150" s="7" t="s">
        <v>52</v>
      </c>
      <c r="E1150" s="7" t="s">
        <v>151</v>
      </c>
      <c r="F1150" s="7" t="s">
        <v>152</v>
      </c>
      <c r="G1150" s="7" t="s">
        <v>18</v>
      </c>
      <c r="H1150" s="7" t="s">
        <v>48</v>
      </c>
      <c r="I1150" s="7" t="s">
        <v>712</v>
      </c>
      <c r="J1150" s="7" t="s">
        <v>691</v>
      </c>
      <c r="K1150" s="8">
        <v>6194613</v>
      </c>
      <c r="L1150" s="8">
        <v>335101</v>
      </c>
      <c r="M1150" s="8">
        <v>19</v>
      </c>
      <c r="N1150" s="8">
        <v>1</v>
      </c>
      <c r="O1150" s="8">
        <v>5</v>
      </c>
      <c r="P1150" s="8"/>
    </row>
    <row r="1151" spans="1:16" hidden="1" x14ac:dyDescent="0.25">
      <c r="A1151" s="7" t="s">
        <v>37</v>
      </c>
      <c r="B1151" s="7" t="s">
        <v>254</v>
      </c>
      <c r="C1151" s="8">
        <v>27398</v>
      </c>
      <c r="D1151" s="7" t="s">
        <v>52</v>
      </c>
      <c r="E1151" s="7" t="s">
        <v>53</v>
      </c>
      <c r="F1151" s="7" t="s">
        <v>302</v>
      </c>
      <c r="G1151" s="7" t="s">
        <v>18</v>
      </c>
      <c r="H1151" s="7" t="s">
        <v>48</v>
      </c>
      <c r="I1151" s="7" t="s">
        <v>712</v>
      </c>
      <c r="J1151" s="7" t="s">
        <v>691</v>
      </c>
      <c r="K1151" s="8">
        <v>6147359</v>
      </c>
      <c r="L1151" s="8">
        <v>313984</v>
      </c>
      <c r="M1151" s="8">
        <v>19</v>
      </c>
      <c r="N1151" s="8">
        <v>1</v>
      </c>
      <c r="O1151" s="8">
        <v>13</v>
      </c>
      <c r="P1151" s="8"/>
    </row>
    <row r="1152" spans="1:16" hidden="1" x14ac:dyDescent="0.25">
      <c r="A1152" s="7" t="s">
        <v>19</v>
      </c>
      <c r="B1152" s="7" t="s">
        <v>124</v>
      </c>
      <c r="C1152" s="8">
        <v>27405</v>
      </c>
      <c r="D1152" s="7" t="s">
        <v>52</v>
      </c>
      <c r="E1152" s="7" t="s">
        <v>151</v>
      </c>
      <c r="F1152" s="7" t="s">
        <v>152</v>
      </c>
      <c r="G1152" s="7" t="s">
        <v>18</v>
      </c>
      <c r="H1152" s="7" t="s">
        <v>48</v>
      </c>
      <c r="I1152" s="7" t="s">
        <v>712</v>
      </c>
      <c r="J1152" s="7" t="s">
        <v>691</v>
      </c>
      <c r="K1152" s="8">
        <v>6194459</v>
      </c>
      <c r="L1152" s="8">
        <v>334976</v>
      </c>
      <c r="M1152" s="8">
        <v>19</v>
      </c>
      <c r="N1152" s="8">
        <v>1</v>
      </c>
      <c r="O1152" s="8">
        <v>9</v>
      </c>
      <c r="P1152" s="8"/>
    </row>
    <row r="1153" spans="1:16" hidden="1" x14ac:dyDescent="0.25">
      <c r="A1153" s="7" t="s">
        <v>37</v>
      </c>
      <c r="B1153" s="7" t="s">
        <v>124</v>
      </c>
      <c r="C1153" s="8">
        <v>27409</v>
      </c>
      <c r="D1153" s="7" t="s">
        <v>52</v>
      </c>
      <c r="E1153" s="7" t="s">
        <v>141</v>
      </c>
      <c r="F1153" s="7" t="s">
        <v>141</v>
      </c>
      <c r="G1153" s="7" t="s">
        <v>18</v>
      </c>
      <c r="H1153" s="7" t="s">
        <v>48</v>
      </c>
      <c r="I1153" s="7" t="s">
        <v>712</v>
      </c>
      <c r="J1153" s="7" t="s">
        <v>691</v>
      </c>
      <c r="K1153" s="8">
        <v>6220222</v>
      </c>
      <c r="L1153" s="8">
        <v>342637</v>
      </c>
      <c r="M1153" s="8">
        <v>19</v>
      </c>
      <c r="N1153" s="8">
        <v>1</v>
      </c>
      <c r="O1153" s="8">
        <v>42</v>
      </c>
      <c r="P1153" s="8"/>
    </row>
    <row r="1154" spans="1:16" hidden="1" x14ac:dyDescent="0.25">
      <c r="A1154" s="7" t="s">
        <v>37</v>
      </c>
      <c r="B1154" s="7" t="s">
        <v>254</v>
      </c>
      <c r="C1154" s="8">
        <v>27411</v>
      </c>
      <c r="D1154" s="7" t="s">
        <v>16</v>
      </c>
      <c r="E1154" s="7" t="s">
        <v>268</v>
      </c>
      <c r="F1154" s="7" t="s">
        <v>282</v>
      </c>
      <c r="G1154" s="7" t="s">
        <v>18</v>
      </c>
      <c r="H1154" s="7" t="s">
        <v>48</v>
      </c>
      <c r="I1154" s="7" t="s">
        <v>712</v>
      </c>
      <c r="J1154" s="7" t="s">
        <v>691</v>
      </c>
      <c r="K1154" s="8">
        <v>6141010</v>
      </c>
      <c r="L1154" s="8">
        <v>310257</v>
      </c>
      <c r="M1154" s="8">
        <v>19</v>
      </c>
      <c r="N1154" s="8">
        <v>1</v>
      </c>
      <c r="O1154" s="8">
        <v>2.7</v>
      </c>
      <c r="P1154" s="8"/>
    </row>
    <row r="1155" spans="1:16" hidden="1" x14ac:dyDescent="0.25">
      <c r="A1155" s="7" t="s">
        <v>37</v>
      </c>
      <c r="B1155" s="7" t="s">
        <v>124</v>
      </c>
      <c r="C1155" s="8">
        <v>27412</v>
      </c>
      <c r="D1155" s="7" t="s">
        <v>52</v>
      </c>
      <c r="E1155" s="7" t="s">
        <v>153</v>
      </c>
      <c r="F1155" s="7" t="s">
        <v>153</v>
      </c>
      <c r="G1155" s="7" t="s">
        <v>18</v>
      </c>
      <c r="H1155" s="7" t="s">
        <v>48</v>
      </c>
      <c r="I1155" s="7" t="s">
        <v>712</v>
      </c>
      <c r="J1155" s="7" t="s">
        <v>691</v>
      </c>
      <c r="K1155" s="8">
        <v>6207969</v>
      </c>
      <c r="L1155" s="8">
        <v>337500</v>
      </c>
      <c r="M1155" s="8">
        <v>19</v>
      </c>
      <c r="N1155" s="8">
        <v>1</v>
      </c>
      <c r="O1155" s="8">
        <v>12</v>
      </c>
      <c r="P1155" s="8"/>
    </row>
    <row r="1156" spans="1:16" hidden="1" x14ac:dyDescent="0.25">
      <c r="A1156" s="7" t="s">
        <v>37</v>
      </c>
      <c r="B1156" s="7" t="s">
        <v>124</v>
      </c>
      <c r="C1156" s="8">
        <v>27413</v>
      </c>
      <c r="D1156" s="7" t="s">
        <v>52</v>
      </c>
      <c r="E1156" s="7" t="s">
        <v>53</v>
      </c>
      <c r="F1156" s="7" t="s">
        <v>53</v>
      </c>
      <c r="G1156" s="7" t="s">
        <v>18</v>
      </c>
      <c r="H1156" s="7" t="s">
        <v>48</v>
      </c>
      <c r="I1156" s="7" t="s">
        <v>712</v>
      </c>
      <c r="J1156" s="7" t="s">
        <v>691</v>
      </c>
      <c r="K1156" s="8">
        <v>6154711</v>
      </c>
      <c r="L1156" s="8">
        <v>321156</v>
      </c>
      <c r="M1156" s="8">
        <v>19</v>
      </c>
      <c r="N1156" s="8">
        <v>1</v>
      </c>
      <c r="O1156" s="8">
        <v>21.5</v>
      </c>
      <c r="P1156" s="8"/>
    </row>
    <row r="1157" spans="1:16" hidden="1" x14ac:dyDescent="0.25">
      <c r="A1157" s="7" t="s">
        <v>19</v>
      </c>
      <c r="B1157" s="7" t="s">
        <v>124</v>
      </c>
      <c r="C1157" s="8">
        <v>27414</v>
      </c>
      <c r="D1157" s="7" t="s">
        <v>52</v>
      </c>
      <c r="E1157" s="7" t="s">
        <v>53</v>
      </c>
      <c r="F1157" s="7" t="s">
        <v>53</v>
      </c>
      <c r="G1157" s="7" t="s">
        <v>18</v>
      </c>
      <c r="H1157" s="7" t="s">
        <v>48</v>
      </c>
      <c r="I1157" s="7" t="s">
        <v>712</v>
      </c>
      <c r="J1157" s="7" t="s">
        <v>691</v>
      </c>
      <c r="K1157" s="8">
        <v>6155160</v>
      </c>
      <c r="L1157" s="8">
        <v>320015</v>
      </c>
      <c r="M1157" s="8">
        <v>19</v>
      </c>
      <c r="N1157" s="8">
        <v>1</v>
      </c>
      <c r="O1157" s="8">
        <v>12.2</v>
      </c>
      <c r="P1157" s="8"/>
    </row>
    <row r="1158" spans="1:16" hidden="1" x14ac:dyDescent="0.25">
      <c r="A1158" s="7" t="s">
        <v>37</v>
      </c>
      <c r="B1158" s="7" t="s">
        <v>124</v>
      </c>
      <c r="C1158" s="8">
        <v>27415</v>
      </c>
      <c r="D1158" s="7" t="s">
        <v>52</v>
      </c>
      <c r="E1158" s="7" t="s">
        <v>132</v>
      </c>
      <c r="F1158" s="7" t="s">
        <v>133</v>
      </c>
      <c r="G1158" s="7" t="s">
        <v>18</v>
      </c>
      <c r="H1158" s="7" t="s">
        <v>48</v>
      </c>
      <c r="I1158" s="7" t="s">
        <v>712</v>
      </c>
      <c r="J1158" s="7" t="s">
        <v>691</v>
      </c>
      <c r="K1158" s="8">
        <v>6215984</v>
      </c>
      <c r="L1158" s="8">
        <v>343967</v>
      </c>
      <c r="M1158" s="8">
        <v>19</v>
      </c>
      <c r="N1158" s="8">
        <v>1</v>
      </c>
      <c r="O1158" s="8">
        <v>36.200000000000003</v>
      </c>
      <c r="P1158" s="8"/>
    </row>
    <row r="1159" spans="1:16" hidden="1" x14ac:dyDescent="0.25">
      <c r="A1159" s="7" t="s">
        <v>19</v>
      </c>
      <c r="B1159" s="7" t="s">
        <v>124</v>
      </c>
      <c r="C1159" s="8">
        <v>27416</v>
      </c>
      <c r="D1159" s="7" t="s">
        <v>52</v>
      </c>
      <c r="E1159" s="7" t="s">
        <v>145</v>
      </c>
      <c r="F1159" s="7" t="s">
        <v>145</v>
      </c>
      <c r="G1159" s="7" t="s">
        <v>18</v>
      </c>
      <c r="H1159" s="7" t="s">
        <v>48</v>
      </c>
      <c r="I1159" s="7" t="s">
        <v>712</v>
      </c>
      <c r="J1159" s="7" t="s">
        <v>691</v>
      </c>
      <c r="K1159" s="8">
        <v>6169229</v>
      </c>
      <c r="L1159" s="8">
        <v>317672</v>
      </c>
      <c r="M1159" s="8">
        <v>19</v>
      </c>
      <c r="N1159" s="8">
        <v>1</v>
      </c>
      <c r="O1159" s="8">
        <v>28</v>
      </c>
      <c r="P1159" s="8"/>
    </row>
    <row r="1160" spans="1:16" hidden="1" x14ac:dyDescent="0.25">
      <c r="A1160" s="7" t="s">
        <v>14</v>
      </c>
      <c r="B1160" s="7" t="s">
        <v>415</v>
      </c>
      <c r="C1160" s="8">
        <v>27417</v>
      </c>
      <c r="D1160" s="7" t="s">
        <v>28</v>
      </c>
      <c r="E1160" s="7" t="s">
        <v>56</v>
      </c>
      <c r="F1160" s="7" t="s">
        <v>162</v>
      </c>
      <c r="G1160" s="7" t="s">
        <v>18</v>
      </c>
      <c r="H1160" s="7" t="s">
        <v>689</v>
      </c>
      <c r="I1160" s="7" t="s">
        <v>712</v>
      </c>
      <c r="J1160" s="7" t="s">
        <v>712</v>
      </c>
      <c r="K1160" s="8">
        <v>6259553</v>
      </c>
      <c r="L1160" s="8">
        <v>332813</v>
      </c>
      <c r="M1160" s="8">
        <v>19</v>
      </c>
      <c r="N1160" s="8">
        <v>2</v>
      </c>
      <c r="O1160" s="8">
        <v>1.62</v>
      </c>
      <c r="P1160" s="8"/>
    </row>
    <row r="1161" spans="1:16" hidden="1" x14ac:dyDescent="0.25">
      <c r="A1161" s="7" t="s">
        <v>19</v>
      </c>
      <c r="B1161" s="7" t="s">
        <v>124</v>
      </c>
      <c r="C1161" s="8">
        <v>27418</v>
      </c>
      <c r="D1161" s="7" t="s">
        <v>52</v>
      </c>
      <c r="E1161" s="7" t="s">
        <v>145</v>
      </c>
      <c r="F1161" s="7" t="s">
        <v>145</v>
      </c>
      <c r="G1161" s="7" t="s">
        <v>18</v>
      </c>
      <c r="H1161" s="7" t="s">
        <v>48</v>
      </c>
      <c r="I1161" s="7" t="s">
        <v>712</v>
      </c>
      <c r="J1161" s="7" t="s">
        <v>712</v>
      </c>
      <c r="K1161" s="8">
        <v>6171121</v>
      </c>
      <c r="L1161" s="8">
        <v>321149</v>
      </c>
      <c r="M1161" s="8">
        <v>19</v>
      </c>
      <c r="N1161" s="8">
        <v>1</v>
      </c>
      <c r="O1161" s="8">
        <v>9</v>
      </c>
      <c r="P1161" s="8"/>
    </row>
    <row r="1162" spans="1:16" hidden="1" x14ac:dyDescent="0.25">
      <c r="A1162" s="7" t="s">
        <v>14</v>
      </c>
      <c r="B1162" s="7" t="s">
        <v>415</v>
      </c>
      <c r="C1162" s="8">
        <v>27419</v>
      </c>
      <c r="D1162" s="7" t="s">
        <v>28</v>
      </c>
      <c r="E1162" s="7" t="s">
        <v>56</v>
      </c>
      <c r="F1162" s="7" t="s">
        <v>162</v>
      </c>
      <c r="G1162" s="7" t="s">
        <v>18</v>
      </c>
      <c r="H1162" s="7" t="s">
        <v>689</v>
      </c>
      <c r="I1162" s="7" t="s">
        <v>712</v>
      </c>
      <c r="J1162" s="7" t="s">
        <v>712</v>
      </c>
      <c r="K1162" s="8">
        <v>6259592</v>
      </c>
      <c r="L1162" s="8">
        <v>332761</v>
      </c>
      <c r="M1162" s="8">
        <v>19</v>
      </c>
      <c r="N1162" s="8">
        <v>2</v>
      </c>
      <c r="O1162" s="8">
        <v>0.34</v>
      </c>
      <c r="P1162" s="8"/>
    </row>
    <row r="1163" spans="1:16" hidden="1" x14ac:dyDescent="0.25">
      <c r="A1163" s="7" t="s">
        <v>37</v>
      </c>
      <c r="B1163" s="7" t="s">
        <v>343</v>
      </c>
      <c r="C1163" s="8">
        <v>27422</v>
      </c>
      <c r="D1163" s="7" t="s">
        <v>52</v>
      </c>
      <c r="E1163" s="7" t="s">
        <v>151</v>
      </c>
      <c r="F1163" s="7" t="s">
        <v>151</v>
      </c>
      <c r="G1163" s="7" t="s">
        <v>18</v>
      </c>
      <c r="H1163" s="7" t="s">
        <v>48</v>
      </c>
      <c r="I1163" s="7" t="s">
        <v>712</v>
      </c>
      <c r="J1163" s="7" t="s">
        <v>712</v>
      </c>
      <c r="K1163" s="8">
        <v>6194948</v>
      </c>
      <c r="L1163" s="8">
        <v>334802</v>
      </c>
      <c r="M1163" s="8">
        <v>19</v>
      </c>
      <c r="N1163" s="8">
        <v>1</v>
      </c>
      <c r="O1163" s="8">
        <v>11</v>
      </c>
      <c r="P1163" s="8"/>
    </row>
    <row r="1164" spans="1:16" hidden="1" x14ac:dyDescent="0.25">
      <c r="A1164" s="7" t="s">
        <v>14</v>
      </c>
      <c r="B1164" s="7" t="s">
        <v>415</v>
      </c>
      <c r="C1164" s="8">
        <v>27423</v>
      </c>
      <c r="D1164" s="7" t="s">
        <v>28</v>
      </c>
      <c r="E1164" s="7" t="s">
        <v>56</v>
      </c>
      <c r="F1164" s="7" t="s">
        <v>378</v>
      </c>
      <c r="G1164" s="7" t="s">
        <v>18</v>
      </c>
      <c r="H1164" s="7" t="s">
        <v>689</v>
      </c>
      <c r="I1164" s="7" t="s">
        <v>712</v>
      </c>
      <c r="J1164" s="7" t="s">
        <v>712</v>
      </c>
      <c r="K1164" s="8">
        <v>6260501</v>
      </c>
      <c r="L1164" s="8">
        <v>331504</v>
      </c>
      <c r="M1164" s="8">
        <v>19</v>
      </c>
      <c r="N1164" s="8">
        <v>1</v>
      </c>
      <c r="O1164" s="8">
        <v>0.04</v>
      </c>
      <c r="P1164" s="8"/>
    </row>
    <row r="1165" spans="1:16" hidden="1" x14ac:dyDescent="0.25">
      <c r="A1165" s="7" t="s">
        <v>14</v>
      </c>
      <c r="B1165" s="7" t="s">
        <v>415</v>
      </c>
      <c r="C1165" s="8">
        <v>27424</v>
      </c>
      <c r="D1165" s="7" t="s">
        <v>28</v>
      </c>
      <c r="E1165" s="7" t="s">
        <v>56</v>
      </c>
      <c r="F1165" s="7" t="s">
        <v>162</v>
      </c>
      <c r="G1165" s="7" t="s">
        <v>18</v>
      </c>
      <c r="H1165" s="7" t="s">
        <v>689</v>
      </c>
      <c r="I1165" s="7" t="s">
        <v>712</v>
      </c>
      <c r="J1165" s="7" t="s">
        <v>712</v>
      </c>
      <c r="K1165" s="8">
        <v>6259349</v>
      </c>
      <c r="L1165" s="8">
        <v>332513</v>
      </c>
      <c r="M1165" s="8">
        <v>19</v>
      </c>
      <c r="N1165" s="8">
        <v>1</v>
      </c>
      <c r="O1165" s="8">
        <v>0.63</v>
      </c>
      <c r="P1165" s="8"/>
    </row>
    <row r="1166" spans="1:16" hidden="1" x14ac:dyDescent="0.25">
      <c r="A1166" s="7" t="s">
        <v>37</v>
      </c>
      <c r="B1166" s="7" t="s">
        <v>343</v>
      </c>
      <c r="C1166" s="8">
        <v>27426</v>
      </c>
      <c r="D1166" s="7" t="s">
        <v>52</v>
      </c>
      <c r="E1166" s="7" t="s">
        <v>53</v>
      </c>
      <c r="F1166" s="7" t="s">
        <v>53</v>
      </c>
      <c r="G1166" s="7" t="s">
        <v>18</v>
      </c>
      <c r="H1166" s="7" t="s">
        <v>48</v>
      </c>
      <c r="I1166" s="7" t="s">
        <v>712</v>
      </c>
      <c r="J1166" s="7" t="s">
        <v>712</v>
      </c>
      <c r="K1166" s="8">
        <v>6159890</v>
      </c>
      <c r="L1166" s="8">
        <v>313187</v>
      </c>
      <c r="M1166" s="8">
        <v>19</v>
      </c>
      <c r="N1166" s="8">
        <v>1</v>
      </c>
      <c r="O1166" s="8">
        <v>6.5</v>
      </c>
      <c r="P1166" s="8"/>
    </row>
    <row r="1167" spans="1:16" hidden="1" x14ac:dyDescent="0.25">
      <c r="A1167" s="7" t="s">
        <v>37</v>
      </c>
      <c r="B1167" s="7" t="s">
        <v>343</v>
      </c>
      <c r="C1167" s="8">
        <v>27428</v>
      </c>
      <c r="D1167" s="7" t="s">
        <v>52</v>
      </c>
      <c r="E1167" s="7" t="s">
        <v>53</v>
      </c>
      <c r="F1167" s="7" t="s">
        <v>53</v>
      </c>
      <c r="G1167" s="7" t="s">
        <v>18</v>
      </c>
      <c r="H1167" s="7" t="s">
        <v>48</v>
      </c>
      <c r="I1167" s="7" t="s">
        <v>712</v>
      </c>
      <c r="J1167" s="7" t="s">
        <v>712</v>
      </c>
      <c r="K1167" s="8">
        <v>6162687</v>
      </c>
      <c r="L1167" s="8">
        <v>315125</v>
      </c>
      <c r="M1167" s="8">
        <v>19</v>
      </c>
      <c r="N1167" s="8">
        <v>3</v>
      </c>
      <c r="O1167" s="8">
        <v>25.5</v>
      </c>
      <c r="P1167" s="8"/>
    </row>
    <row r="1168" spans="1:16" hidden="1" x14ac:dyDescent="0.25">
      <c r="A1168" s="7" t="s">
        <v>37</v>
      </c>
      <c r="B1168" s="7" t="s">
        <v>254</v>
      </c>
      <c r="C1168" s="8">
        <v>27429</v>
      </c>
      <c r="D1168" s="7" t="s">
        <v>52</v>
      </c>
      <c r="E1168" s="7" t="s">
        <v>151</v>
      </c>
      <c r="F1168" s="7" t="s">
        <v>309</v>
      </c>
      <c r="G1168" s="7" t="s">
        <v>18</v>
      </c>
      <c r="H1168" s="7" t="s">
        <v>48</v>
      </c>
      <c r="I1168" s="7" t="s">
        <v>712</v>
      </c>
      <c r="J1168" s="7" t="s">
        <v>691</v>
      </c>
      <c r="K1168" s="8">
        <v>6186423</v>
      </c>
      <c r="L1168" s="8">
        <v>336982</v>
      </c>
      <c r="M1168" s="8">
        <v>19</v>
      </c>
      <c r="N1168" s="8">
        <v>1</v>
      </c>
      <c r="O1168" s="8">
        <v>2.7</v>
      </c>
      <c r="P1168" s="8"/>
    </row>
    <row r="1169" spans="1:16" hidden="1" x14ac:dyDescent="0.25">
      <c r="A1169" s="7" t="s">
        <v>14</v>
      </c>
      <c r="B1169" s="7" t="s">
        <v>415</v>
      </c>
      <c r="C1169" s="8">
        <v>27432</v>
      </c>
      <c r="D1169" s="7" t="s">
        <v>16</v>
      </c>
      <c r="E1169" s="7" t="s">
        <v>268</v>
      </c>
      <c r="F1169" s="7" t="s">
        <v>268</v>
      </c>
      <c r="G1169" s="7" t="s">
        <v>18</v>
      </c>
      <c r="H1169" s="7" t="s">
        <v>689</v>
      </c>
      <c r="I1169" s="7" t="s">
        <v>712</v>
      </c>
      <c r="J1169" s="7" t="s">
        <v>712</v>
      </c>
      <c r="K1169" s="8">
        <v>6144098</v>
      </c>
      <c r="L1169" s="8">
        <v>312400</v>
      </c>
      <c r="M1169" s="8">
        <v>19</v>
      </c>
      <c r="N1169" s="8">
        <v>1</v>
      </c>
      <c r="O1169" s="8">
        <v>1.2</v>
      </c>
      <c r="P1169" s="8"/>
    </row>
    <row r="1170" spans="1:16" hidden="1" x14ac:dyDescent="0.25">
      <c r="A1170" s="7" t="s">
        <v>37</v>
      </c>
      <c r="B1170" s="7" t="s">
        <v>343</v>
      </c>
      <c r="C1170" s="8">
        <v>27433</v>
      </c>
      <c r="D1170" s="7" t="s">
        <v>16</v>
      </c>
      <c r="E1170" s="7" t="s">
        <v>268</v>
      </c>
      <c r="F1170" s="7" t="s">
        <v>282</v>
      </c>
      <c r="G1170" s="7" t="s">
        <v>18</v>
      </c>
      <c r="H1170" s="7" t="s">
        <v>24</v>
      </c>
      <c r="I1170" s="7" t="s">
        <v>712</v>
      </c>
      <c r="J1170" s="7" t="s">
        <v>712</v>
      </c>
      <c r="K1170" s="8">
        <v>6136328</v>
      </c>
      <c r="L1170" s="8">
        <v>304877</v>
      </c>
      <c r="M1170" s="8">
        <v>19</v>
      </c>
      <c r="N1170" s="8">
        <v>1</v>
      </c>
      <c r="O1170" s="8">
        <v>0.5</v>
      </c>
      <c r="P1170" s="8"/>
    </row>
    <row r="1171" spans="1:16" hidden="1" x14ac:dyDescent="0.25">
      <c r="A1171" s="7" t="s">
        <v>37</v>
      </c>
      <c r="B1171" s="7" t="s">
        <v>343</v>
      </c>
      <c r="C1171" s="8">
        <v>27434</v>
      </c>
      <c r="D1171" s="7" t="s">
        <v>16</v>
      </c>
      <c r="E1171" s="7" t="s">
        <v>268</v>
      </c>
      <c r="F1171" s="7" t="s">
        <v>359</v>
      </c>
      <c r="G1171" s="7" t="s">
        <v>18</v>
      </c>
      <c r="H1171" s="7" t="s">
        <v>24</v>
      </c>
      <c r="I1171" s="7" t="s">
        <v>712</v>
      </c>
      <c r="J1171" s="7" t="s">
        <v>712</v>
      </c>
      <c r="K1171" s="8">
        <v>6131824</v>
      </c>
      <c r="L1171" s="8">
        <v>319765</v>
      </c>
      <c r="M1171" s="8">
        <v>19</v>
      </c>
      <c r="N1171" s="8">
        <v>1</v>
      </c>
      <c r="O1171" s="8">
        <v>0.4</v>
      </c>
      <c r="P1171" s="8"/>
    </row>
    <row r="1172" spans="1:16" hidden="1" x14ac:dyDescent="0.25">
      <c r="A1172" s="7" t="s">
        <v>14</v>
      </c>
      <c r="B1172" s="7" t="s">
        <v>181</v>
      </c>
      <c r="C1172" s="8">
        <v>27436</v>
      </c>
      <c r="D1172" s="7" t="s">
        <v>119</v>
      </c>
      <c r="E1172" s="7" t="s">
        <v>196</v>
      </c>
      <c r="F1172" s="7" t="s">
        <v>214</v>
      </c>
      <c r="G1172" s="7" t="s">
        <v>43</v>
      </c>
      <c r="H1172" s="7" t="s">
        <v>689</v>
      </c>
      <c r="I1172" s="7" t="s">
        <v>690</v>
      </c>
      <c r="J1172" s="7" t="s">
        <v>690</v>
      </c>
      <c r="K1172" s="8">
        <v>5709106</v>
      </c>
      <c r="L1172" s="8">
        <v>712007</v>
      </c>
      <c r="M1172" s="8">
        <v>18</v>
      </c>
      <c r="N1172" s="8">
        <v>1</v>
      </c>
      <c r="O1172" s="8">
        <v>0.41</v>
      </c>
      <c r="P1172" s="8"/>
    </row>
    <row r="1173" spans="1:16" hidden="1" x14ac:dyDescent="0.25">
      <c r="A1173" s="7" t="s">
        <v>37</v>
      </c>
      <c r="B1173" s="7" t="s">
        <v>343</v>
      </c>
      <c r="C1173" s="8">
        <v>27437</v>
      </c>
      <c r="D1173" s="7" t="s">
        <v>16</v>
      </c>
      <c r="E1173" s="7" t="s">
        <v>268</v>
      </c>
      <c r="F1173" s="7" t="s">
        <v>359</v>
      </c>
      <c r="G1173" s="7" t="s">
        <v>18</v>
      </c>
      <c r="H1173" s="7" t="s">
        <v>24</v>
      </c>
      <c r="I1173" s="7" t="s">
        <v>712</v>
      </c>
      <c r="J1173" s="7" t="s">
        <v>712</v>
      </c>
      <c r="K1173" s="8">
        <v>6131052</v>
      </c>
      <c r="L1173" s="8">
        <v>321625</v>
      </c>
      <c r="M1173" s="8">
        <v>19</v>
      </c>
      <c r="N1173" s="8">
        <v>1</v>
      </c>
      <c r="O1173" s="8">
        <v>0.49</v>
      </c>
      <c r="P1173" s="8"/>
    </row>
    <row r="1174" spans="1:16" hidden="1" x14ac:dyDescent="0.25">
      <c r="A1174" s="7" t="s">
        <v>14</v>
      </c>
      <c r="B1174" s="7" t="s">
        <v>181</v>
      </c>
      <c r="C1174" s="8">
        <v>27438</v>
      </c>
      <c r="D1174" s="7" t="s">
        <v>119</v>
      </c>
      <c r="E1174" s="7" t="s">
        <v>196</v>
      </c>
      <c r="F1174" s="7" t="s">
        <v>214</v>
      </c>
      <c r="G1174" s="7" t="s">
        <v>43</v>
      </c>
      <c r="H1174" s="7" t="s">
        <v>689</v>
      </c>
      <c r="I1174" s="7" t="s">
        <v>690</v>
      </c>
      <c r="J1174" s="7" t="s">
        <v>690</v>
      </c>
      <c r="K1174" s="8">
        <v>5709619</v>
      </c>
      <c r="L1174" s="8">
        <v>712340</v>
      </c>
      <c r="M1174" s="8">
        <v>18</v>
      </c>
      <c r="N1174" s="8">
        <v>1</v>
      </c>
      <c r="O1174" s="8">
        <v>0.87</v>
      </c>
      <c r="P1174" s="8"/>
    </row>
    <row r="1175" spans="1:16" hidden="1" x14ac:dyDescent="0.25">
      <c r="A1175" s="7" t="s">
        <v>37</v>
      </c>
      <c r="B1175" s="7" t="s">
        <v>343</v>
      </c>
      <c r="C1175" s="8">
        <v>27439</v>
      </c>
      <c r="D1175" s="7" t="s">
        <v>16</v>
      </c>
      <c r="E1175" s="7" t="s">
        <v>268</v>
      </c>
      <c r="F1175" s="7" t="s">
        <v>359</v>
      </c>
      <c r="G1175" s="7" t="s">
        <v>18</v>
      </c>
      <c r="H1175" s="7" t="s">
        <v>24</v>
      </c>
      <c r="I1175" s="7" t="s">
        <v>712</v>
      </c>
      <c r="J1175" s="7" t="s">
        <v>712</v>
      </c>
      <c r="K1175" s="8">
        <v>6130821</v>
      </c>
      <c r="L1175" s="8">
        <v>321603</v>
      </c>
      <c r="M1175" s="8">
        <v>19</v>
      </c>
      <c r="N1175" s="8">
        <v>1</v>
      </c>
      <c r="O1175" s="8">
        <v>0.46</v>
      </c>
      <c r="P1175" s="8"/>
    </row>
    <row r="1176" spans="1:16" hidden="1" x14ac:dyDescent="0.25">
      <c r="A1176" s="7" t="s">
        <v>14</v>
      </c>
      <c r="B1176" s="7" t="s">
        <v>181</v>
      </c>
      <c r="C1176" s="8">
        <v>27440</v>
      </c>
      <c r="D1176" s="7" t="s">
        <v>119</v>
      </c>
      <c r="E1176" s="7" t="s">
        <v>211</v>
      </c>
      <c r="F1176" s="7" t="s">
        <v>215</v>
      </c>
      <c r="G1176" s="7" t="s">
        <v>43</v>
      </c>
      <c r="H1176" s="7" t="s">
        <v>689</v>
      </c>
      <c r="I1176" s="7" t="s">
        <v>690</v>
      </c>
      <c r="J1176" s="7" t="s">
        <v>690</v>
      </c>
      <c r="K1176" s="8">
        <v>5698292</v>
      </c>
      <c r="L1176" s="8">
        <v>676719</v>
      </c>
      <c r="M1176" s="8">
        <v>18</v>
      </c>
      <c r="N1176" s="8">
        <v>1</v>
      </c>
      <c r="O1176" s="8">
        <v>1.56</v>
      </c>
      <c r="P1176" s="8"/>
    </row>
    <row r="1177" spans="1:16" hidden="1" x14ac:dyDescent="0.25">
      <c r="A1177" s="7" t="s">
        <v>37</v>
      </c>
      <c r="B1177" s="7" t="s">
        <v>343</v>
      </c>
      <c r="C1177" s="8">
        <v>27441</v>
      </c>
      <c r="D1177" s="7" t="s">
        <v>16</v>
      </c>
      <c r="E1177" s="7" t="s">
        <v>268</v>
      </c>
      <c r="F1177" s="7" t="s">
        <v>359</v>
      </c>
      <c r="G1177" s="7" t="s">
        <v>18</v>
      </c>
      <c r="H1177" s="7" t="s">
        <v>24</v>
      </c>
      <c r="I1177" s="7" t="s">
        <v>712</v>
      </c>
      <c r="J1177" s="7" t="s">
        <v>712</v>
      </c>
      <c r="K1177" s="8">
        <v>6131962</v>
      </c>
      <c r="L1177" s="8">
        <v>319524</v>
      </c>
      <c r="M1177" s="8">
        <v>19</v>
      </c>
      <c r="N1177" s="8">
        <v>1</v>
      </c>
      <c r="O1177" s="8">
        <v>0.51</v>
      </c>
      <c r="P1177" s="8"/>
    </row>
    <row r="1178" spans="1:16" hidden="1" x14ac:dyDescent="0.25">
      <c r="A1178" s="7" t="s">
        <v>37</v>
      </c>
      <c r="B1178" s="7" t="s">
        <v>343</v>
      </c>
      <c r="C1178" s="8">
        <v>27442</v>
      </c>
      <c r="D1178" s="7" t="s">
        <v>16</v>
      </c>
      <c r="E1178" s="7" t="s">
        <v>268</v>
      </c>
      <c r="F1178" s="7" t="s">
        <v>359</v>
      </c>
      <c r="G1178" s="7" t="s">
        <v>18</v>
      </c>
      <c r="H1178" s="7" t="s">
        <v>24</v>
      </c>
      <c r="I1178" s="7" t="s">
        <v>712</v>
      </c>
      <c r="J1178" s="7" t="s">
        <v>712</v>
      </c>
      <c r="K1178" s="8">
        <v>6132133</v>
      </c>
      <c r="L1178" s="8">
        <v>319741</v>
      </c>
      <c r="M1178" s="8">
        <v>19</v>
      </c>
      <c r="N1178" s="8">
        <v>1</v>
      </c>
      <c r="O1178" s="8">
        <v>0.49</v>
      </c>
      <c r="P1178" s="8"/>
    </row>
    <row r="1179" spans="1:16" hidden="1" x14ac:dyDescent="0.25">
      <c r="A1179" s="7" t="s">
        <v>19</v>
      </c>
      <c r="B1179" s="7" t="s">
        <v>343</v>
      </c>
      <c r="C1179" s="8">
        <v>27443</v>
      </c>
      <c r="D1179" s="7" t="s">
        <v>16</v>
      </c>
      <c r="E1179" s="7" t="s">
        <v>268</v>
      </c>
      <c r="F1179" s="7" t="s">
        <v>359</v>
      </c>
      <c r="G1179" s="7" t="s">
        <v>18</v>
      </c>
      <c r="H1179" s="7" t="s">
        <v>24</v>
      </c>
      <c r="I1179" s="7" t="s">
        <v>712</v>
      </c>
      <c r="J1179" s="7" t="s">
        <v>712</v>
      </c>
      <c r="K1179" s="8">
        <v>6129638</v>
      </c>
      <c r="L1179" s="8">
        <v>319012</v>
      </c>
      <c r="M1179" s="8">
        <v>19</v>
      </c>
      <c r="N1179" s="8">
        <v>1</v>
      </c>
      <c r="O1179" s="8">
        <v>0.46</v>
      </c>
      <c r="P1179" s="8"/>
    </row>
    <row r="1180" spans="1:16" hidden="1" x14ac:dyDescent="0.25">
      <c r="A1180" s="7" t="s">
        <v>37</v>
      </c>
      <c r="B1180" s="7" t="s">
        <v>343</v>
      </c>
      <c r="C1180" s="8">
        <v>27444</v>
      </c>
      <c r="D1180" s="7" t="s">
        <v>16</v>
      </c>
      <c r="E1180" s="7" t="s">
        <v>268</v>
      </c>
      <c r="F1180" s="7" t="s">
        <v>359</v>
      </c>
      <c r="G1180" s="7" t="s">
        <v>18</v>
      </c>
      <c r="H1180" s="7" t="s">
        <v>24</v>
      </c>
      <c r="I1180" s="7" t="s">
        <v>712</v>
      </c>
      <c r="J1180" s="7" t="s">
        <v>712</v>
      </c>
      <c r="K1180" s="8">
        <v>6129498</v>
      </c>
      <c r="L1180" s="8">
        <v>319273</v>
      </c>
      <c r="M1180" s="8">
        <v>19</v>
      </c>
      <c r="N1180" s="8">
        <v>1</v>
      </c>
      <c r="O1180" s="8">
        <v>0.5</v>
      </c>
      <c r="P1180" s="8"/>
    </row>
    <row r="1181" spans="1:16" hidden="1" x14ac:dyDescent="0.25">
      <c r="A1181" s="7" t="s">
        <v>37</v>
      </c>
      <c r="B1181" s="7" t="s">
        <v>181</v>
      </c>
      <c r="C1181" s="8">
        <v>27445</v>
      </c>
      <c r="D1181" s="7" t="s">
        <v>119</v>
      </c>
      <c r="E1181" s="7" t="s">
        <v>216</v>
      </c>
      <c r="F1181" s="7" t="s">
        <v>217</v>
      </c>
      <c r="G1181" s="7" t="s">
        <v>43</v>
      </c>
      <c r="H1181" s="7" t="s">
        <v>48</v>
      </c>
      <c r="I1181" s="7" t="s">
        <v>91</v>
      </c>
      <c r="J1181" s="7" t="s">
        <v>91</v>
      </c>
      <c r="K1181" s="8">
        <v>5697593</v>
      </c>
      <c r="L1181" s="8">
        <v>670417</v>
      </c>
      <c r="M1181" s="8">
        <v>18</v>
      </c>
      <c r="N1181" s="8">
        <v>1</v>
      </c>
      <c r="O1181" s="8">
        <v>1.03</v>
      </c>
      <c r="P1181" s="8"/>
    </row>
    <row r="1182" spans="1:16" hidden="1" x14ac:dyDescent="0.25">
      <c r="A1182" s="7" t="s">
        <v>37</v>
      </c>
      <c r="B1182" s="7" t="s">
        <v>343</v>
      </c>
      <c r="C1182" s="8">
        <v>27446</v>
      </c>
      <c r="D1182" s="7" t="s">
        <v>16</v>
      </c>
      <c r="E1182" s="7" t="s">
        <v>268</v>
      </c>
      <c r="F1182" s="7" t="s">
        <v>359</v>
      </c>
      <c r="G1182" s="7" t="s">
        <v>18</v>
      </c>
      <c r="H1182" s="7" t="s">
        <v>24</v>
      </c>
      <c r="I1182" s="7" t="s">
        <v>712</v>
      </c>
      <c r="J1182" s="7" t="s">
        <v>712</v>
      </c>
      <c r="K1182" s="8">
        <v>6129269</v>
      </c>
      <c r="L1182" s="8">
        <v>319142</v>
      </c>
      <c r="M1182" s="8">
        <v>19</v>
      </c>
      <c r="N1182" s="8">
        <v>1</v>
      </c>
      <c r="O1182" s="8">
        <v>0.46</v>
      </c>
      <c r="P1182" s="8"/>
    </row>
    <row r="1183" spans="1:16" hidden="1" x14ac:dyDescent="0.25">
      <c r="A1183" s="7" t="s">
        <v>14</v>
      </c>
      <c r="B1183" s="7" t="s">
        <v>181</v>
      </c>
      <c r="C1183" s="8">
        <v>27447</v>
      </c>
      <c r="D1183" s="7" t="s">
        <v>119</v>
      </c>
      <c r="E1183" s="7" t="s">
        <v>216</v>
      </c>
      <c r="F1183" s="7" t="s">
        <v>218</v>
      </c>
      <c r="G1183" s="7" t="s">
        <v>43</v>
      </c>
      <c r="H1183" s="7" t="s">
        <v>689</v>
      </c>
      <c r="I1183" s="7" t="s">
        <v>690</v>
      </c>
      <c r="J1183" s="7" t="s">
        <v>690</v>
      </c>
      <c r="K1183" s="8">
        <v>5703479</v>
      </c>
      <c r="L1183" s="8">
        <v>677498</v>
      </c>
      <c r="M1183" s="8">
        <v>18</v>
      </c>
      <c r="N1183" s="8">
        <v>1</v>
      </c>
      <c r="O1183" s="8">
        <v>0.81</v>
      </c>
      <c r="P1183" s="8"/>
    </row>
    <row r="1184" spans="1:16" hidden="1" x14ac:dyDescent="0.25">
      <c r="A1184" s="7" t="s">
        <v>19</v>
      </c>
      <c r="B1184" s="7" t="s">
        <v>343</v>
      </c>
      <c r="C1184" s="8">
        <v>27448</v>
      </c>
      <c r="D1184" s="7" t="s">
        <v>16</v>
      </c>
      <c r="E1184" s="7" t="s">
        <v>268</v>
      </c>
      <c r="F1184" s="7" t="s">
        <v>359</v>
      </c>
      <c r="G1184" s="7" t="s">
        <v>18</v>
      </c>
      <c r="H1184" s="7" t="s">
        <v>24</v>
      </c>
      <c r="I1184" s="7" t="s">
        <v>712</v>
      </c>
      <c r="J1184" s="7" t="s">
        <v>712</v>
      </c>
      <c r="K1184" s="8">
        <v>6134901</v>
      </c>
      <c r="L1184" s="8">
        <v>309761</v>
      </c>
      <c r="M1184" s="8">
        <v>19</v>
      </c>
      <c r="N1184" s="8">
        <v>1</v>
      </c>
      <c r="O1184" s="8">
        <v>0.36</v>
      </c>
      <c r="P1184" s="8"/>
    </row>
    <row r="1185" spans="1:16" hidden="1" x14ac:dyDescent="0.25">
      <c r="A1185" s="7" t="s">
        <v>37</v>
      </c>
      <c r="B1185" s="7" t="s">
        <v>343</v>
      </c>
      <c r="C1185" s="8">
        <v>27451</v>
      </c>
      <c r="D1185" s="7" t="s">
        <v>16</v>
      </c>
      <c r="E1185" s="7" t="s">
        <v>268</v>
      </c>
      <c r="F1185" s="7" t="s">
        <v>359</v>
      </c>
      <c r="G1185" s="7" t="s">
        <v>18</v>
      </c>
      <c r="H1185" s="7" t="s">
        <v>24</v>
      </c>
      <c r="I1185" s="7" t="s">
        <v>712</v>
      </c>
      <c r="J1185" s="7" t="s">
        <v>712</v>
      </c>
      <c r="K1185" s="8">
        <v>6132361</v>
      </c>
      <c r="L1185" s="8">
        <v>318585</v>
      </c>
      <c r="M1185" s="8">
        <v>19</v>
      </c>
      <c r="N1185" s="8">
        <v>1</v>
      </c>
      <c r="O1185" s="8">
        <v>0.47</v>
      </c>
      <c r="P1185" s="8"/>
    </row>
    <row r="1186" spans="1:16" hidden="1" x14ac:dyDescent="0.25">
      <c r="A1186" s="7" t="s">
        <v>19</v>
      </c>
      <c r="B1186" s="7" t="s">
        <v>343</v>
      </c>
      <c r="C1186" s="8">
        <v>27452</v>
      </c>
      <c r="D1186" s="7" t="s">
        <v>16</v>
      </c>
      <c r="E1186" s="7" t="s">
        <v>268</v>
      </c>
      <c r="F1186" s="7" t="s">
        <v>359</v>
      </c>
      <c r="G1186" s="7" t="s">
        <v>18</v>
      </c>
      <c r="H1186" s="7" t="s">
        <v>24</v>
      </c>
      <c r="I1186" s="7" t="s">
        <v>712</v>
      </c>
      <c r="J1186" s="7" t="s">
        <v>712</v>
      </c>
      <c r="K1186" s="8">
        <v>6132543</v>
      </c>
      <c r="L1186" s="8">
        <v>318403</v>
      </c>
      <c r="M1186" s="8">
        <v>19</v>
      </c>
      <c r="N1186" s="8">
        <v>1</v>
      </c>
      <c r="O1186" s="8">
        <v>0.51</v>
      </c>
      <c r="P1186" s="8"/>
    </row>
    <row r="1187" spans="1:16" hidden="1" x14ac:dyDescent="0.25">
      <c r="A1187" s="7" t="s">
        <v>37</v>
      </c>
      <c r="B1187" s="7" t="s">
        <v>254</v>
      </c>
      <c r="C1187" s="8">
        <v>27453</v>
      </c>
      <c r="D1187" s="7" t="s">
        <v>16</v>
      </c>
      <c r="E1187" s="7" t="s">
        <v>46</v>
      </c>
      <c r="F1187" s="7" t="s">
        <v>306</v>
      </c>
      <c r="G1187" s="7" t="s">
        <v>18</v>
      </c>
      <c r="H1187" s="7" t="s">
        <v>48</v>
      </c>
      <c r="I1187" s="7" t="s">
        <v>712</v>
      </c>
      <c r="J1187" s="7" t="s">
        <v>712</v>
      </c>
      <c r="K1187" s="8">
        <v>6111239</v>
      </c>
      <c r="L1187" s="8">
        <v>288005</v>
      </c>
      <c r="M1187" s="8">
        <v>19</v>
      </c>
      <c r="N1187" s="8">
        <v>2</v>
      </c>
      <c r="O1187" s="8">
        <v>12</v>
      </c>
      <c r="P1187" s="8"/>
    </row>
    <row r="1188" spans="1:16" hidden="1" x14ac:dyDescent="0.25">
      <c r="A1188" s="7" t="s">
        <v>37</v>
      </c>
      <c r="B1188" s="7" t="s">
        <v>343</v>
      </c>
      <c r="C1188" s="8">
        <v>27455</v>
      </c>
      <c r="D1188" s="7" t="s">
        <v>16</v>
      </c>
      <c r="E1188" s="7" t="s">
        <v>268</v>
      </c>
      <c r="F1188" s="7" t="s">
        <v>282</v>
      </c>
      <c r="G1188" s="7" t="s">
        <v>18</v>
      </c>
      <c r="H1188" s="7" t="s">
        <v>24</v>
      </c>
      <c r="I1188" s="7" t="s">
        <v>712</v>
      </c>
      <c r="J1188" s="7" t="s">
        <v>712</v>
      </c>
      <c r="K1188" s="8">
        <v>6135992</v>
      </c>
      <c r="L1188" s="8">
        <v>304900</v>
      </c>
      <c r="M1188" s="8">
        <v>19</v>
      </c>
      <c r="N1188" s="8">
        <v>1</v>
      </c>
      <c r="O1188" s="8">
        <v>0.25</v>
      </c>
      <c r="P1188" s="8"/>
    </row>
    <row r="1189" spans="1:16" hidden="1" x14ac:dyDescent="0.25">
      <c r="A1189" s="7" t="s">
        <v>37</v>
      </c>
      <c r="B1189" s="7" t="s">
        <v>254</v>
      </c>
      <c r="C1189" s="8">
        <v>27456</v>
      </c>
      <c r="D1189" s="7" t="s">
        <v>16</v>
      </c>
      <c r="E1189" s="7" t="s">
        <v>46</v>
      </c>
      <c r="F1189" s="7" t="s">
        <v>306</v>
      </c>
      <c r="G1189" s="7" t="s">
        <v>18</v>
      </c>
      <c r="H1189" s="7" t="s">
        <v>48</v>
      </c>
      <c r="I1189" s="7" t="s">
        <v>712</v>
      </c>
      <c r="J1189" s="7" t="s">
        <v>712</v>
      </c>
      <c r="K1189" s="8">
        <v>6111457</v>
      </c>
      <c r="L1189" s="8">
        <v>287808</v>
      </c>
      <c r="M1189" s="8">
        <v>19</v>
      </c>
      <c r="N1189" s="8">
        <v>2</v>
      </c>
      <c r="O1189" s="8">
        <v>4</v>
      </c>
      <c r="P1189" s="8"/>
    </row>
    <row r="1190" spans="1:16" hidden="1" x14ac:dyDescent="0.25">
      <c r="A1190" s="7" t="s">
        <v>37</v>
      </c>
      <c r="B1190" s="7" t="s">
        <v>343</v>
      </c>
      <c r="C1190" s="8">
        <v>27457</v>
      </c>
      <c r="D1190" s="7" t="s">
        <v>16</v>
      </c>
      <c r="E1190" s="7" t="s">
        <v>268</v>
      </c>
      <c r="F1190" s="7" t="s">
        <v>359</v>
      </c>
      <c r="G1190" s="7" t="s">
        <v>18</v>
      </c>
      <c r="H1190" s="7" t="s">
        <v>24</v>
      </c>
      <c r="I1190" s="7" t="s">
        <v>712</v>
      </c>
      <c r="J1190" s="7" t="s">
        <v>712</v>
      </c>
      <c r="K1190" s="8">
        <v>6135265</v>
      </c>
      <c r="L1190" s="8">
        <v>314324</v>
      </c>
      <c r="M1190" s="8">
        <v>19</v>
      </c>
      <c r="N1190" s="8">
        <v>1</v>
      </c>
      <c r="O1190" s="8">
        <v>21</v>
      </c>
      <c r="P1190" s="8"/>
    </row>
    <row r="1191" spans="1:16" hidden="1" x14ac:dyDescent="0.25">
      <c r="A1191" s="7" t="s">
        <v>37</v>
      </c>
      <c r="B1191" s="7" t="s">
        <v>343</v>
      </c>
      <c r="C1191" s="8">
        <v>27458</v>
      </c>
      <c r="D1191" s="7" t="s">
        <v>52</v>
      </c>
      <c r="E1191" s="7" t="s">
        <v>53</v>
      </c>
      <c r="F1191" s="7" t="s">
        <v>81</v>
      </c>
      <c r="G1191" s="7" t="s">
        <v>18</v>
      </c>
      <c r="H1191" s="7" t="s">
        <v>48</v>
      </c>
      <c r="I1191" s="7" t="s">
        <v>712</v>
      </c>
      <c r="J1191" s="7" t="s">
        <v>691</v>
      </c>
      <c r="K1191" s="8">
        <v>6150808</v>
      </c>
      <c r="L1191" s="8">
        <v>323047</v>
      </c>
      <c r="M1191" s="8">
        <v>19</v>
      </c>
      <c r="N1191" s="8">
        <v>1</v>
      </c>
      <c r="O1191" s="8">
        <v>3</v>
      </c>
      <c r="P1191" s="8"/>
    </row>
    <row r="1192" spans="1:16" hidden="1" x14ac:dyDescent="0.25">
      <c r="A1192" s="7" t="s">
        <v>37</v>
      </c>
      <c r="B1192" s="7" t="s">
        <v>343</v>
      </c>
      <c r="C1192" s="8">
        <v>27459</v>
      </c>
      <c r="D1192" s="7" t="s">
        <v>52</v>
      </c>
      <c r="E1192" s="7" t="s">
        <v>53</v>
      </c>
      <c r="F1192" s="7" t="s">
        <v>81</v>
      </c>
      <c r="G1192" s="7" t="s">
        <v>18</v>
      </c>
      <c r="H1192" s="7" t="s">
        <v>48</v>
      </c>
      <c r="I1192" s="7" t="s">
        <v>712</v>
      </c>
      <c r="J1192" s="7" t="s">
        <v>691</v>
      </c>
      <c r="K1192" s="8">
        <v>6150808</v>
      </c>
      <c r="L1192" s="8">
        <v>323047</v>
      </c>
      <c r="M1192" s="8">
        <v>19</v>
      </c>
      <c r="N1192" s="8">
        <v>1</v>
      </c>
      <c r="O1192" s="8">
        <v>2</v>
      </c>
      <c r="P1192" s="8"/>
    </row>
    <row r="1193" spans="1:16" hidden="1" x14ac:dyDescent="0.25">
      <c r="A1193" s="7" t="s">
        <v>37</v>
      </c>
      <c r="B1193" s="7" t="s">
        <v>254</v>
      </c>
      <c r="C1193" s="8">
        <v>27460</v>
      </c>
      <c r="D1193" s="7" t="s">
        <v>16</v>
      </c>
      <c r="E1193" s="7" t="s">
        <v>264</v>
      </c>
      <c r="F1193" s="7" t="s">
        <v>265</v>
      </c>
      <c r="G1193" s="7" t="s">
        <v>18</v>
      </c>
      <c r="H1193" s="7" t="s">
        <v>48</v>
      </c>
      <c r="I1193" s="7" t="s">
        <v>712</v>
      </c>
      <c r="J1193" s="7" t="s">
        <v>691</v>
      </c>
      <c r="K1193" s="8">
        <v>6117423</v>
      </c>
      <c r="L1193" s="8">
        <v>290462</v>
      </c>
      <c r="M1193" s="8">
        <v>19</v>
      </c>
      <c r="N1193" s="8">
        <v>1</v>
      </c>
      <c r="O1193" s="8">
        <v>10</v>
      </c>
      <c r="P1193" s="8"/>
    </row>
    <row r="1194" spans="1:16" hidden="1" x14ac:dyDescent="0.25">
      <c r="A1194" s="7" t="s">
        <v>37</v>
      </c>
      <c r="B1194" s="7" t="s">
        <v>254</v>
      </c>
      <c r="C1194" s="8">
        <v>27463</v>
      </c>
      <c r="D1194" s="7" t="s">
        <v>16</v>
      </c>
      <c r="E1194" s="7" t="s">
        <v>72</v>
      </c>
      <c r="F1194" s="7" t="s">
        <v>84</v>
      </c>
      <c r="G1194" s="7" t="s">
        <v>18</v>
      </c>
      <c r="H1194" s="7" t="s">
        <v>48</v>
      </c>
      <c r="I1194" s="7" t="s">
        <v>712</v>
      </c>
      <c r="J1194" s="7" t="s">
        <v>691</v>
      </c>
      <c r="K1194" s="8">
        <v>6103413</v>
      </c>
      <c r="L1194" s="8">
        <v>297228</v>
      </c>
      <c r="M1194" s="8">
        <v>19</v>
      </c>
      <c r="N1194" s="8">
        <v>2</v>
      </c>
      <c r="O1194" s="8">
        <v>13.5</v>
      </c>
      <c r="P1194" s="8"/>
    </row>
    <row r="1195" spans="1:16" hidden="1" x14ac:dyDescent="0.25">
      <c r="A1195" s="7" t="s">
        <v>37</v>
      </c>
      <c r="B1195" s="7" t="s">
        <v>254</v>
      </c>
      <c r="C1195" s="8">
        <v>27471</v>
      </c>
      <c r="D1195" s="7" t="s">
        <v>16</v>
      </c>
      <c r="E1195" s="7" t="s">
        <v>60</v>
      </c>
      <c r="F1195" s="7" t="s">
        <v>290</v>
      </c>
      <c r="G1195" s="7" t="s">
        <v>18</v>
      </c>
      <c r="H1195" s="7" t="s">
        <v>48</v>
      </c>
      <c r="I1195" s="7" t="s">
        <v>712</v>
      </c>
      <c r="J1195" s="7" t="s">
        <v>691</v>
      </c>
      <c r="K1195" s="8">
        <v>6080771</v>
      </c>
      <c r="L1195" s="8">
        <v>278608</v>
      </c>
      <c r="M1195" s="8">
        <v>19</v>
      </c>
      <c r="N1195" s="8">
        <v>1</v>
      </c>
      <c r="O1195" s="8">
        <v>6.5</v>
      </c>
      <c r="P1195" s="8"/>
    </row>
    <row r="1196" spans="1:16" hidden="1" x14ac:dyDescent="0.25">
      <c r="A1196" s="7" t="s">
        <v>37</v>
      </c>
      <c r="B1196" s="7" t="s">
        <v>343</v>
      </c>
      <c r="C1196" s="8">
        <v>27472</v>
      </c>
      <c r="D1196" s="7" t="s">
        <v>28</v>
      </c>
      <c r="E1196" s="7" t="s">
        <v>32</v>
      </c>
      <c r="F1196" s="7" t="s">
        <v>32</v>
      </c>
      <c r="G1196" s="7" t="s">
        <v>18</v>
      </c>
      <c r="H1196" s="7" t="s">
        <v>24</v>
      </c>
      <c r="I1196" s="7" t="s">
        <v>712</v>
      </c>
      <c r="J1196" s="7" t="s">
        <v>712</v>
      </c>
      <c r="K1196" s="8">
        <v>6279503</v>
      </c>
      <c r="L1196" s="8">
        <v>344269</v>
      </c>
      <c r="M1196" s="8">
        <v>19</v>
      </c>
      <c r="N1196" s="8">
        <v>1</v>
      </c>
      <c r="O1196" s="8">
        <v>0.7</v>
      </c>
      <c r="P1196" s="8"/>
    </row>
    <row r="1197" spans="1:16" hidden="1" x14ac:dyDescent="0.25">
      <c r="A1197" s="7" t="s">
        <v>19</v>
      </c>
      <c r="B1197" s="7" t="s">
        <v>124</v>
      </c>
      <c r="C1197" s="8">
        <v>27473</v>
      </c>
      <c r="D1197" s="7" t="s">
        <v>52</v>
      </c>
      <c r="E1197" s="7" t="s">
        <v>141</v>
      </c>
      <c r="F1197" s="7" t="s">
        <v>141</v>
      </c>
      <c r="G1197" s="7" t="s">
        <v>18</v>
      </c>
      <c r="H1197" s="7" t="s">
        <v>48</v>
      </c>
      <c r="I1197" s="7" t="s">
        <v>712</v>
      </c>
      <c r="J1197" s="7" t="s">
        <v>691</v>
      </c>
      <c r="K1197" s="8">
        <v>6216633</v>
      </c>
      <c r="L1197" s="8">
        <v>336955</v>
      </c>
      <c r="M1197" s="8">
        <v>19</v>
      </c>
      <c r="N1197" s="8">
        <v>1</v>
      </c>
      <c r="O1197" s="8">
        <v>12</v>
      </c>
      <c r="P1197" s="8"/>
    </row>
    <row r="1198" spans="1:16" hidden="1" x14ac:dyDescent="0.25">
      <c r="A1198" s="7" t="s">
        <v>19</v>
      </c>
      <c r="B1198" s="7" t="s">
        <v>124</v>
      </c>
      <c r="C1198" s="8">
        <v>27475</v>
      </c>
      <c r="D1198" s="7" t="s">
        <v>52</v>
      </c>
      <c r="E1198" s="7" t="s">
        <v>53</v>
      </c>
      <c r="F1198" s="7" t="s">
        <v>53</v>
      </c>
      <c r="G1198" s="7" t="s">
        <v>18</v>
      </c>
      <c r="H1198" s="7" t="s">
        <v>48</v>
      </c>
      <c r="I1198" s="7" t="s">
        <v>712</v>
      </c>
      <c r="J1198" s="7" t="s">
        <v>712</v>
      </c>
      <c r="K1198" s="8">
        <v>6149463</v>
      </c>
      <c r="L1198" s="8">
        <v>320035</v>
      </c>
      <c r="M1198" s="8">
        <v>19</v>
      </c>
      <c r="N1198" s="8">
        <v>1</v>
      </c>
      <c r="O1198" s="8">
        <v>10</v>
      </c>
      <c r="P1198" s="8"/>
    </row>
    <row r="1199" spans="1:16" hidden="1" x14ac:dyDescent="0.25">
      <c r="A1199" s="7" t="s">
        <v>37</v>
      </c>
      <c r="B1199" s="7" t="s">
        <v>343</v>
      </c>
      <c r="C1199" s="8">
        <v>27478</v>
      </c>
      <c r="D1199" s="7" t="s">
        <v>28</v>
      </c>
      <c r="E1199" s="7" t="s">
        <v>387</v>
      </c>
      <c r="F1199" s="7" t="s">
        <v>387</v>
      </c>
      <c r="G1199" s="7" t="s">
        <v>18</v>
      </c>
      <c r="H1199" s="7" t="s">
        <v>24</v>
      </c>
      <c r="I1199" s="7" t="s">
        <v>712</v>
      </c>
      <c r="J1199" s="7" t="s">
        <v>712</v>
      </c>
      <c r="K1199" s="8">
        <v>6299791</v>
      </c>
      <c r="L1199" s="8">
        <v>331140</v>
      </c>
      <c r="M1199" s="8">
        <v>19</v>
      </c>
      <c r="N1199" s="8">
        <v>1</v>
      </c>
      <c r="O1199" s="8">
        <v>0.5</v>
      </c>
      <c r="P1199" s="8"/>
    </row>
    <row r="1200" spans="1:16" hidden="1" x14ac:dyDescent="0.25">
      <c r="A1200" s="7" t="s">
        <v>37</v>
      </c>
      <c r="B1200" s="7" t="s">
        <v>343</v>
      </c>
      <c r="C1200" s="8">
        <v>27479</v>
      </c>
      <c r="D1200" s="7" t="s">
        <v>28</v>
      </c>
      <c r="E1200" s="7" t="s">
        <v>387</v>
      </c>
      <c r="F1200" s="7" t="s">
        <v>387</v>
      </c>
      <c r="G1200" s="7" t="s">
        <v>18</v>
      </c>
      <c r="H1200" s="7" t="s">
        <v>24</v>
      </c>
      <c r="I1200" s="7" t="s">
        <v>712</v>
      </c>
      <c r="J1200" s="7" t="s">
        <v>712</v>
      </c>
      <c r="K1200" s="8">
        <v>6300071</v>
      </c>
      <c r="L1200" s="8">
        <v>331179</v>
      </c>
      <c r="M1200" s="8">
        <v>19</v>
      </c>
      <c r="N1200" s="8">
        <v>1</v>
      </c>
      <c r="O1200" s="8">
        <v>0.2</v>
      </c>
      <c r="P1200" s="8"/>
    </row>
    <row r="1201" spans="1:16" hidden="1" x14ac:dyDescent="0.25">
      <c r="A1201" s="7" t="s">
        <v>37</v>
      </c>
      <c r="B1201" s="7" t="s">
        <v>343</v>
      </c>
      <c r="C1201" s="8">
        <v>27480</v>
      </c>
      <c r="D1201" s="7" t="s">
        <v>28</v>
      </c>
      <c r="E1201" s="7" t="s">
        <v>387</v>
      </c>
      <c r="F1201" s="7" t="s">
        <v>387</v>
      </c>
      <c r="G1201" s="7" t="s">
        <v>18</v>
      </c>
      <c r="H1201" s="7" t="s">
        <v>24</v>
      </c>
      <c r="I1201" s="7" t="s">
        <v>712</v>
      </c>
      <c r="J1201" s="7" t="s">
        <v>712</v>
      </c>
      <c r="K1201" s="8">
        <v>6299861</v>
      </c>
      <c r="L1201" s="8">
        <v>331431</v>
      </c>
      <c r="M1201" s="8">
        <v>19</v>
      </c>
      <c r="N1201" s="8">
        <v>1</v>
      </c>
      <c r="O1201" s="8">
        <v>0.4</v>
      </c>
      <c r="P1201" s="8"/>
    </row>
    <row r="1202" spans="1:16" hidden="1" x14ac:dyDescent="0.25">
      <c r="A1202" s="7" t="s">
        <v>37</v>
      </c>
      <c r="B1202" s="7" t="s">
        <v>343</v>
      </c>
      <c r="C1202" s="8">
        <v>27486</v>
      </c>
      <c r="D1202" s="7" t="s">
        <v>28</v>
      </c>
      <c r="E1202" s="7" t="s">
        <v>32</v>
      </c>
      <c r="F1202" s="7" t="s">
        <v>32</v>
      </c>
      <c r="G1202" s="7" t="s">
        <v>18</v>
      </c>
      <c r="H1202" s="7" t="s">
        <v>24</v>
      </c>
      <c r="I1202" s="7" t="s">
        <v>712</v>
      </c>
      <c r="J1202" s="7" t="s">
        <v>712</v>
      </c>
      <c r="K1202" s="8">
        <v>6278447</v>
      </c>
      <c r="L1202" s="8">
        <v>344126</v>
      </c>
      <c r="M1202" s="8">
        <v>19</v>
      </c>
      <c r="N1202" s="8">
        <v>1</v>
      </c>
      <c r="O1202" s="8">
        <v>2</v>
      </c>
      <c r="P1202" s="8"/>
    </row>
    <row r="1203" spans="1:16" hidden="1" x14ac:dyDescent="0.25">
      <c r="A1203" s="7" t="s">
        <v>37</v>
      </c>
      <c r="B1203" s="7" t="s">
        <v>343</v>
      </c>
      <c r="C1203" s="8">
        <v>27487</v>
      </c>
      <c r="D1203" s="7" t="s">
        <v>28</v>
      </c>
      <c r="E1203" s="7" t="s">
        <v>32</v>
      </c>
      <c r="F1203" s="7" t="s">
        <v>32</v>
      </c>
      <c r="G1203" s="7" t="s">
        <v>18</v>
      </c>
      <c r="H1203" s="7" t="s">
        <v>48</v>
      </c>
      <c r="I1203" s="7" t="s">
        <v>712</v>
      </c>
      <c r="J1203" s="7" t="s">
        <v>691</v>
      </c>
      <c r="K1203" s="8">
        <v>6278447</v>
      </c>
      <c r="L1203" s="8">
        <v>344126</v>
      </c>
      <c r="M1203" s="8">
        <v>19</v>
      </c>
      <c r="N1203" s="8">
        <v>1</v>
      </c>
      <c r="O1203" s="8">
        <v>2</v>
      </c>
      <c r="P1203" s="8"/>
    </row>
    <row r="1204" spans="1:16" hidden="1" x14ac:dyDescent="0.25">
      <c r="A1204" s="7" t="s">
        <v>37</v>
      </c>
      <c r="B1204" s="7" t="s">
        <v>343</v>
      </c>
      <c r="C1204" s="8">
        <v>27488</v>
      </c>
      <c r="D1204" s="7" t="s">
        <v>28</v>
      </c>
      <c r="E1204" s="7" t="s">
        <v>395</v>
      </c>
      <c r="F1204" s="7" t="s">
        <v>395</v>
      </c>
      <c r="G1204" s="7" t="s">
        <v>18</v>
      </c>
      <c r="H1204" s="7" t="s">
        <v>48</v>
      </c>
      <c r="I1204" s="7" t="s">
        <v>712</v>
      </c>
      <c r="J1204" s="7" t="s">
        <v>712</v>
      </c>
      <c r="K1204" s="8">
        <v>6286774</v>
      </c>
      <c r="L1204" s="8">
        <v>340534</v>
      </c>
      <c r="M1204" s="8">
        <v>19</v>
      </c>
      <c r="N1204" s="8">
        <v>1</v>
      </c>
      <c r="O1204" s="8">
        <v>0.65</v>
      </c>
      <c r="P1204" s="8"/>
    </row>
    <row r="1205" spans="1:16" hidden="1" x14ac:dyDescent="0.25">
      <c r="A1205" s="7" t="s">
        <v>37</v>
      </c>
      <c r="B1205" s="7" t="s">
        <v>343</v>
      </c>
      <c r="C1205" s="8">
        <v>27489</v>
      </c>
      <c r="D1205" s="7" t="s">
        <v>28</v>
      </c>
      <c r="E1205" s="7" t="s">
        <v>395</v>
      </c>
      <c r="F1205" s="7" t="s">
        <v>395</v>
      </c>
      <c r="G1205" s="7" t="s">
        <v>18</v>
      </c>
      <c r="H1205" s="7" t="s">
        <v>48</v>
      </c>
      <c r="I1205" s="7" t="s">
        <v>712</v>
      </c>
      <c r="J1205" s="7" t="s">
        <v>712</v>
      </c>
      <c r="K1205" s="8">
        <v>6286774</v>
      </c>
      <c r="L1205" s="8">
        <v>340534</v>
      </c>
      <c r="M1205" s="8">
        <v>19</v>
      </c>
      <c r="N1205" s="8">
        <v>1</v>
      </c>
      <c r="O1205" s="8">
        <v>0.65</v>
      </c>
      <c r="P1205" s="8"/>
    </row>
    <row r="1206" spans="1:16" hidden="1" x14ac:dyDescent="0.25">
      <c r="A1206" s="7" t="s">
        <v>37</v>
      </c>
      <c r="B1206" s="7" t="s">
        <v>343</v>
      </c>
      <c r="C1206" s="8">
        <v>27492</v>
      </c>
      <c r="D1206" s="7" t="s">
        <v>28</v>
      </c>
      <c r="E1206" s="7" t="s">
        <v>166</v>
      </c>
      <c r="F1206" s="7" t="s">
        <v>379</v>
      </c>
      <c r="G1206" s="7" t="s">
        <v>18</v>
      </c>
      <c r="H1206" s="7" t="s">
        <v>48</v>
      </c>
      <c r="I1206" s="7" t="s">
        <v>712</v>
      </c>
      <c r="J1206" s="7" t="s">
        <v>712</v>
      </c>
      <c r="K1206" s="8">
        <v>6285537</v>
      </c>
      <c r="L1206" s="8">
        <v>336256</v>
      </c>
      <c r="M1206" s="8">
        <v>19</v>
      </c>
      <c r="N1206" s="8">
        <v>1</v>
      </c>
      <c r="O1206" s="8">
        <v>1.2</v>
      </c>
      <c r="P1206" s="8"/>
    </row>
    <row r="1207" spans="1:16" hidden="1" x14ac:dyDescent="0.25">
      <c r="A1207" s="7" t="s">
        <v>37</v>
      </c>
      <c r="B1207" s="7" t="s">
        <v>343</v>
      </c>
      <c r="C1207" s="8">
        <v>27494</v>
      </c>
      <c r="D1207" s="7" t="s">
        <v>28</v>
      </c>
      <c r="E1207" s="7" t="s">
        <v>395</v>
      </c>
      <c r="F1207" s="7" t="s">
        <v>395</v>
      </c>
      <c r="G1207" s="7" t="s">
        <v>18</v>
      </c>
      <c r="H1207" s="7" t="s">
        <v>48</v>
      </c>
      <c r="I1207" s="7" t="s">
        <v>712</v>
      </c>
      <c r="J1207" s="7" t="s">
        <v>712</v>
      </c>
      <c r="K1207" s="8">
        <v>6287230</v>
      </c>
      <c r="L1207" s="8">
        <v>340819</v>
      </c>
      <c r="M1207" s="8">
        <v>19</v>
      </c>
      <c r="N1207" s="8">
        <v>1</v>
      </c>
      <c r="O1207" s="8">
        <v>1.2</v>
      </c>
      <c r="P1207" s="8"/>
    </row>
    <row r="1208" spans="1:16" hidden="1" x14ac:dyDescent="0.25">
      <c r="A1208" s="7" t="s">
        <v>37</v>
      </c>
      <c r="B1208" s="7" t="s">
        <v>343</v>
      </c>
      <c r="C1208" s="8">
        <v>27497</v>
      </c>
      <c r="D1208" s="7" t="s">
        <v>28</v>
      </c>
      <c r="E1208" s="7" t="s">
        <v>395</v>
      </c>
      <c r="F1208" s="7" t="s">
        <v>395</v>
      </c>
      <c r="G1208" s="7" t="s">
        <v>18</v>
      </c>
      <c r="H1208" s="7" t="s">
        <v>48</v>
      </c>
      <c r="I1208" s="7" t="s">
        <v>712</v>
      </c>
      <c r="J1208" s="7" t="s">
        <v>712</v>
      </c>
      <c r="K1208" s="8">
        <v>6286774</v>
      </c>
      <c r="L1208" s="8">
        <v>340534</v>
      </c>
      <c r="M1208" s="8">
        <v>19</v>
      </c>
      <c r="N1208" s="8">
        <v>1</v>
      </c>
      <c r="O1208" s="8">
        <v>0.65</v>
      </c>
      <c r="P1208" s="8"/>
    </row>
    <row r="1209" spans="1:16" hidden="1" x14ac:dyDescent="0.25">
      <c r="A1209" s="7" t="s">
        <v>37</v>
      </c>
      <c r="B1209" s="7" t="s">
        <v>343</v>
      </c>
      <c r="C1209" s="8">
        <v>27499</v>
      </c>
      <c r="D1209" s="7" t="s">
        <v>28</v>
      </c>
      <c r="E1209" s="7" t="s">
        <v>395</v>
      </c>
      <c r="F1209" s="7" t="s">
        <v>395</v>
      </c>
      <c r="G1209" s="7" t="s">
        <v>18</v>
      </c>
      <c r="H1209" s="7" t="s">
        <v>48</v>
      </c>
      <c r="I1209" s="7" t="s">
        <v>712</v>
      </c>
      <c r="J1209" s="7" t="s">
        <v>712</v>
      </c>
      <c r="K1209" s="8">
        <v>6287031</v>
      </c>
      <c r="L1209" s="8">
        <v>340712</v>
      </c>
      <c r="M1209" s="8">
        <v>19</v>
      </c>
      <c r="N1209" s="8">
        <v>1</v>
      </c>
      <c r="O1209" s="8">
        <v>1</v>
      </c>
      <c r="P1209" s="8"/>
    </row>
    <row r="1210" spans="1:16" hidden="1" x14ac:dyDescent="0.25">
      <c r="A1210" s="7" t="s">
        <v>14</v>
      </c>
      <c r="B1210" s="7" t="s">
        <v>181</v>
      </c>
      <c r="C1210" s="8">
        <v>27514</v>
      </c>
      <c r="D1210" s="7" t="s">
        <v>119</v>
      </c>
      <c r="E1210" s="7" t="s">
        <v>219</v>
      </c>
      <c r="F1210" s="7" t="s">
        <v>220</v>
      </c>
      <c r="G1210" s="7" t="s">
        <v>43</v>
      </c>
      <c r="H1210" s="7" t="s">
        <v>689</v>
      </c>
      <c r="I1210" s="7" t="s">
        <v>690</v>
      </c>
      <c r="J1210" s="7" t="s">
        <v>690</v>
      </c>
      <c r="K1210" s="8">
        <v>5712099</v>
      </c>
      <c r="L1210" s="8">
        <v>651747</v>
      </c>
      <c r="M1210" s="8">
        <v>18</v>
      </c>
      <c r="N1210" s="8">
        <v>1</v>
      </c>
      <c r="O1210" s="8">
        <v>0.79</v>
      </c>
      <c r="P1210" s="8"/>
    </row>
    <row r="1211" spans="1:16" hidden="1" x14ac:dyDescent="0.25">
      <c r="A1211" s="7" t="s">
        <v>14</v>
      </c>
      <c r="B1211" s="7" t="s">
        <v>181</v>
      </c>
      <c r="C1211" s="8">
        <v>27515</v>
      </c>
      <c r="D1211" s="7" t="s">
        <v>119</v>
      </c>
      <c r="E1211" s="7" t="s">
        <v>179</v>
      </c>
      <c r="F1211" s="7" t="s">
        <v>221</v>
      </c>
      <c r="G1211" s="7" t="s">
        <v>43</v>
      </c>
      <c r="H1211" s="7" t="s">
        <v>689</v>
      </c>
      <c r="I1211" s="7" t="s">
        <v>690</v>
      </c>
      <c r="J1211" s="7" t="s">
        <v>690</v>
      </c>
      <c r="K1211" s="8">
        <v>5736354</v>
      </c>
      <c r="L1211" s="8">
        <v>748137</v>
      </c>
      <c r="M1211" s="8">
        <v>18</v>
      </c>
      <c r="N1211" s="8">
        <v>1</v>
      </c>
      <c r="O1211" s="8">
        <v>1.56</v>
      </c>
      <c r="P1211" s="8"/>
    </row>
    <row r="1212" spans="1:16" x14ac:dyDescent="0.25">
      <c r="A1212" s="7" t="s">
        <v>14</v>
      </c>
      <c r="B1212" s="7" t="s">
        <v>713</v>
      </c>
      <c r="C1212" s="8">
        <v>27516</v>
      </c>
      <c r="D1212" s="7" t="s">
        <v>52</v>
      </c>
      <c r="E1212" s="7" t="s">
        <v>139</v>
      </c>
      <c r="F1212" s="7" t="s">
        <v>139</v>
      </c>
      <c r="G1212" s="7" t="s">
        <v>18</v>
      </c>
      <c r="H1212" s="7" t="s">
        <v>689</v>
      </c>
      <c r="I1212" s="7" t="s">
        <v>712</v>
      </c>
      <c r="J1212" s="7" t="s">
        <v>712</v>
      </c>
      <c r="K1212" s="8">
        <v>6227916</v>
      </c>
      <c r="L1212" s="8">
        <v>339479</v>
      </c>
      <c r="M1212" s="8">
        <v>19</v>
      </c>
      <c r="N1212" s="8">
        <v>1</v>
      </c>
      <c r="O1212" s="8">
        <v>0.6</v>
      </c>
      <c r="P1212" s="8"/>
    </row>
    <row r="1213" spans="1:16" x14ac:dyDescent="0.25">
      <c r="A1213" s="7" t="s">
        <v>14</v>
      </c>
      <c r="B1213" s="7" t="s">
        <v>713</v>
      </c>
      <c r="C1213" s="8">
        <v>27517</v>
      </c>
      <c r="D1213" s="7" t="s">
        <v>52</v>
      </c>
      <c r="E1213" s="7" t="s">
        <v>139</v>
      </c>
      <c r="F1213" s="7" t="s">
        <v>139</v>
      </c>
      <c r="G1213" s="7" t="s">
        <v>65</v>
      </c>
      <c r="H1213" s="7" t="s">
        <v>689</v>
      </c>
      <c r="I1213" s="7" t="s">
        <v>712</v>
      </c>
      <c r="J1213" s="7" t="s">
        <v>712</v>
      </c>
      <c r="K1213" s="8">
        <v>6227922</v>
      </c>
      <c r="L1213" s="8">
        <v>338273</v>
      </c>
      <c r="M1213" s="8">
        <v>19</v>
      </c>
      <c r="N1213" s="8">
        <v>1</v>
      </c>
      <c r="O1213" s="8">
        <v>1.43</v>
      </c>
      <c r="P1213" s="8"/>
    </row>
    <row r="1214" spans="1:16" x14ac:dyDescent="0.25">
      <c r="A1214" s="7" t="s">
        <v>14</v>
      </c>
      <c r="B1214" s="7" t="s">
        <v>713</v>
      </c>
      <c r="C1214" s="8">
        <v>27518</v>
      </c>
      <c r="D1214" s="7" t="s">
        <v>52</v>
      </c>
      <c r="E1214" s="7" t="s">
        <v>139</v>
      </c>
      <c r="F1214" s="7" t="s">
        <v>139</v>
      </c>
      <c r="G1214" s="7" t="s">
        <v>18</v>
      </c>
      <c r="H1214" s="7" t="s">
        <v>689</v>
      </c>
      <c r="I1214" s="7" t="s">
        <v>712</v>
      </c>
      <c r="J1214" s="7" t="s">
        <v>712</v>
      </c>
      <c r="K1214" s="8">
        <v>6227916</v>
      </c>
      <c r="L1214" s="8">
        <v>339479</v>
      </c>
      <c r="M1214" s="8">
        <v>19</v>
      </c>
      <c r="N1214" s="8">
        <v>1</v>
      </c>
      <c r="O1214" s="8">
        <v>0.06</v>
      </c>
      <c r="P1214" s="8"/>
    </row>
    <row r="1215" spans="1:16" x14ac:dyDescent="0.25">
      <c r="A1215" s="7" t="s">
        <v>14</v>
      </c>
      <c r="B1215" s="7" t="s">
        <v>713</v>
      </c>
      <c r="C1215" s="8">
        <v>27519</v>
      </c>
      <c r="D1215" s="7" t="s">
        <v>52</v>
      </c>
      <c r="E1215" s="7" t="s">
        <v>139</v>
      </c>
      <c r="F1215" s="7" t="s">
        <v>139</v>
      </c>
      <c r="G1215" s="7" t="s">
        <v>18</v>
      </c>
      <c r="H1215" s="7" t="s">
        <v>689</v>
      </c>
      <c r="I1215" s="7" t="s">
        <v>712</v>
      </c>
      <c r="J1215" s="7" t="s">
        <v>712</v>
      </c>
      <c r="K1215" s="8">
        <v>6227819</v>
      </c>
      <c r="L1215" s="8">
        <v>337956</v>
      </c>
      <c r="M1215" s="8">
        <v>19</v>
      </c>
      <c r="N1215" s="8">
        <v>1</v>
      </c>
      <c r="O1215" s="8">
        <v>0.26</v>
      </c>
      <c r="P1215" s="8"/>
    </row>
    <row r="1216" spans="1:16" x14ac:dyDescent="0.25">
      <c r="A1216" s="7" t="s">
        <v>14</v>
      </c>
      <c r="B1216" s="7" t="s">
        <v>713</v>
      </c>
      <c r="C1216" s="8">
        <v>27520</v>
      </c>
      <c r="D1216" s="7" t="s">
        <v>52</v>
      </c>
      <c r="E1216" s="7" t="s">
        <v>139</v>
      </c>
      <c r="F1216" s="7" t="s">
        <v>139</v>
      </c>
      <c r="G1216" s="7" t="s">
        <v>18</v>
      </c>
      <c r="H1216" s="7" t="s">
        <v>689</v>
      </c>
      <c r="I1216" s="7" t="s">
        <v>712</v>
      </c>
      <c r="J1216" s="7" t="s">
        <v>712</v>
      </c>
      <c r="K1216" s="8">
        <v>6227819</v>
      </c>
      <c r="L1216" s="8">
        <v>337956</v>
      </c>
      <c r="M1216" s="8">
        <v>19</v>
      </c>
      <c r="N1216" s="8">
        <v>1</v>
      </c>
      <c r="O1216" s="8">
        <v>0.12</v>
      </c>
      <c r="P1216" s="8"/>
    </row>
    <row r="1217" spans="1:16" x14ac:dyDescent="0.25">
      <c r="A1217" s="7" t="s">
        <v>14</v>
      </c>
      <c r="B1217" s="7" t="s">
        <v>713</v>
      </c>
      <c r="C1217" s="8">
        <v>27521</v>
      </c>
      <c r="D1217" s="7" t="s">
        <v>52</v>
      </c>
      <c r="E1217" s="7" t="s">
        <v>139</v>
      </c>
      <c r="F1217" s="7" t="s">
        <v>139</v>
      </c>
      <c r="G1217" s="7" t="s">
        <v>18</v>
      </c>
      <c r="H1217" s="7" t="s">
        <v>689</v>
      </c>
      <c r="I1217" s="7" t="s">
        <v>712</v>
      </c>
      <c r="J1217" s="7" t="s">
        <v>712</v>
      </c>
      <c r="K1217" s="8">
        <v>6227819</v>
      </c>
      <c r="L1217" s="8">
        <v>337956</v>
      </c>
      <c r="M1217" s="8">
        <v>19</v>
      </c>
      <c r="N1217" s="8">
        <v>1</v>
      </c>
      <c r="O1217" s="8">
        <v>0.12</v>
      </c>
      <c r="P1217" s="8"/>
    </row>
    <row r="1218" spans="1:16" x14ac:dyDescent="0.25">
      <c r="A1218" s="7" t="s">
        <v>14</v>
      </c>
      <c r="B1218" s="7" t="s">
        <v>713</v>
      </c>
      <c r="C1218" s="8">
        <v>27522</v>
      </c>
      <c r="D1218" s="7" t="s">
        <v>52</v>
      </c>
      <c r="E1218" s="7" t="s">
        <v>139</v>
      </c>
      <c r="F1218" s="7" t="s">
        <v>139</v>
      </c>
      <c r="G1218" s="7" t="s">
        <v>18</v>
      </c>
      <c r="H1218" s="7" t="s">
        <v>689</v>
      </c>
      <c r="I1218" s="7" t="s">
        <v>712</v>
      </c>
      <c r="J1218" s="7" t="s">
        <v>712</v>
      </c>
      <c r="K1218" s="8">
        <v>6227819</v>
      </c>
      <c r="L1218" s="8">
        <v>337956</v>
      </c>
      <c r="M1218" s="8">
        <v>19</v>
      </c>
      <c r="N1218" s="8">
        <v>1</v>
      </c>
      <c r="O1218" s="8">
        <v>0.14000000000000001</v>
      </c>
      <c r="P1218" s="8"/>
    </row>
    <row r="1219" spans="1:16" x14ac:dyDescent="0.25">
      <c r="A1219" s="7" t="s">
        <v>14</v>
      </c>
      <c r="B1219" s="7" t="s">
        <v>713</v>
      </c>
      <c r="C1219" s="8">
        <v>27523</v>
      </c>
      <c r="D1219" s="7" t="s">
        <v>52</v>
      </c>
      <c r="E1219" s="7" t="s">
        <v>139</v>
      </c>
      <c r="F1219" s="7" t="s">
        <v>139</v>
      </c>
      <c r="G1219" s="7" t="s">
        <v>18</v>
      </c>
      <c r="H1219" s="7" t="s">
        <v>689</v>
      </c>
      <c r="I1219" s="7" t="s">
        <v>712</v>
      </c>
      <c r="J1219" s="7" t="s">
        <v>712</v>
      </c>
      <c r="K1219" s="8">
        <v>6227819</v>
      </c>
      <c r="L1219" s="8">
        <v>337956</v>
      </c>
      <c r="M1219" s="8">
        <v>19</v>
      </c>
      <c r="N1219" s="8">
        <v>1</v>
      </c>
      <c r="O1219" s="8">
        <v>0.12</v>
      </c>
      <c r="P1219" s="8"/>
    </row>
    <row r="1220" spans="1:16" x14ac:dyDescent="0.25">
      <c r="A1220" s="7" t="s">
        <v>14</v>
      </c>
      <c r="B1220" s="7" t="s">
        <v>713</v>
      </c>
      <c r="C1220" s="8">
        <v>27524</v>
      </c>
      <c r="D1220" s="7" t="s">
        <v>52</v>
      </c>
      <c r="E1220" s="7" t="s">
        <v>139</v>
      </c>
      <c r="F1220" s="7" t="s">
        <v>139</v>
      </c>
      <c r="G1220" s="7" t="s">
        <v>18</v>
      </c>
      <c r="H1220" s="7" t="s">
        <v>689</v>
      </c>
      <c r="I1220" s="7" t="s">
        <v>712</v>
      </c>
      <c r="J1220" s="7" t="s">
        <v>712</v>
      </c>
      <c r="K1220" s="8">
        <v>6228291</v>
      </c>
      <c r="L1220" s="8">
        <v>338864</v>
      </c>
      <c r="M1220" s="8">
        <v>19</v>
      </c>
      <c r="N1220" s="8">
        <v>1</v>
      </c>
      <c r="O1220" s="8">
        <v>2.33</v>
      </c>
      <c r="P1220" s="8"/>
    </row>
    <row r="1221" spans="1:16" hidden="1" x14ac:dyDescent="0.25">
      <c r="A1221" s="7" t="s">
        <v>37</v>
      </c>
      <c r="B1221" s="7" t="s">
        <v>343</v>
      </c>
      <c r="C1221" s="8">
        <v>27528</v>
      </c>
      <c r="D1221" s="7" t="s">
        <v>16</v>
      </c>
      <c r="E1221" s="7" t="s">
        <v>17</v>
      </c>
      <c r="F1221" s="7" t="s">
        <v>366</v>
      </c>
      <c r="G1221" s="7" t="s">
        <v>18</v>
      </c>
      <c r="H1221" s="7" t="s">
        <v>48</v>
      </c>
      <c r="I1221" s="7" t="s">
        <v>712</v>
      </c>
      <c r="J1221" s="7" t="s">
        <v>712</v>
      </c>
      <c r="K1221" s="8">
        <v>6072080</v>
      </c>
      <c r="L1221" s="8">
        <v>273026</v>
      </c>
      <c r="M1221" s="8">
        <v>19</v>
      </c>
      <c r="N1221" s="8">
        <v>2</v>
      </c>
      <c r="O1221" s="8">
        <v>20</v>
      </c>
      <c r="P1221" s="8"/>
    </row>
    <row r="1222" spans="1:16" hidden="1" x14ac:dyDescent="0.25">
      <c r="A1222" s="7" t="s">
        <v>19</v>
      </c>
      <c r="B1222" s="7" t="s">
        <v>270</v>
      </c>
      <c r="C1222" s="8">
        <v>27529</v>
      </c>
      <c r="D1222" s="7" t="s">
        <v>16</v>
      </c>
      <c r="E1222" s="7" t="s">
        <v>50</v>
      </c>
      <c r="F1222" s="7" t="s">
        <v>590</v>
      </c>
      <c r="G1222" s="7" t="s">
        <v>18</v>
      </c>
      <c r="H1222" s="7" t="s">
        <v>48</v>
      </c>
      <c r="I1222" s="7" t="s">
        <v>712</v>
      </c>
      <c r="J1222" s="7" t="s">
        <v>712</v>
      </c>
      <c r="K1222" s="8">
        <v>6069121</v>
      </c>
      <c r="L1222" s="8">
        <v>269029</v>
      </c>
      <c r="M1222" s="8">
        <v>19</v>
      </c>
      <c r="N1222" s="8">
        <v>3</v>
      </c>
      <c r="O1222" s="8">
        <v>20</v>
      </c>
      <c r="P1222" s="8"/>
    </row>
    <row r="1223" spans="1:16" hidden="1" x14ac:dyDescent="0.25">
      <c r="A1223" s="7" t="s">
        <v>37</v>
      </c>
      <c r="B1223" s="7" t="s">
        <v>343</v>
      </c>
      <c r="C1223" s="8">
        <v>27530</v>
      </c>
      <c r="D1223" s="7" t="s">
        <v>16</v>
      </c>
      <c r="E1223" s="7" t="s">
        <v>17</v>
      </c>
      <c r="F1223" s="7" t="s">
        <v>260</v>
      </c>
      <c r="G1223" s="7" t="s">
        <v>18</v>
      </c>
      <c r="H1223" s="7" t="s">
        <v>48</v>
      </c>
      <c r="I1223" s="7" t="s">
        <v>712</v>
      </c>
      <c r="J1223" s="7" t="s">
        <v>712</v>
      </c>
      <c r="K1223" s="8">
        <v>6059013</v>
      </c>
      <c r="L1223" s="8">
        <v>286024</v>
      </c>
      <c r="M1223" s="8">
        <v>19</v>
      </c>
      <c r="N1223" s="8">
        <v>1</v>
      </c>
      <c r="O1223" s="8">
        <v>33</v>
      </c>
      <c r="P1223" s="8"/>
    </row>
    <row r="1224" spans="1:16" hidden="1" x14ac:dyDescent="0.25">
      <c r="A1224" s="7" t="s">
        <v>19</v>
      </c>
      <c r="B1224" s="7" t="s">
        <v>270</v>
      </c>
      <c r="C1224" s="8">
        <v>27533</v>
      </c>
      <c r="D1224" s="7" t="s">
        <v>16</v>
      </c>
      <c r="E1224" s="7" t="s">
        <v>50</v>
      </c>
      <c r="F1224" s="7" t="s">
        <v>161</v>
      </c>
      <c r="G1224" s="7" t="s">
        <v>18</v>
      </c>
      <c r="H1224" s="7" t="s">
        <v>48</v>
      </c>
      <c r="I1224" s="7" t="s">
        <v>712</v>
      </c>
      <c r="J1224" s="7" t="s">
        <v>712</v>
      </c>
      <c r="K1224" s="8">
        <v>6073432</v>
      </c>
      <c r="L1224" s="8">
        <v>269199</v>
      </c>
      <c r="M1224" s="8">
        <v>19</v>
      </c>
      <c r="N1224" s="8">
        <v>4</v>
      </c>
      <c r="O1224" s="8">
        <v>45</v>
      </c>
      <c r="P1224" s="8"/>
    </row>
    <row r="1225" spans="1:16" hidden="1" x14ac:dyDescent="0.25">
      <c r="A1225" s="7" t="s">
        <v>37</v>
      </c>
      <c r="B1225" s="7" t="s">
        <v>343</v>
      </c>
      <c r="C1225" s="8">
        <v>27534</v>
      </c>
      <c r="D1225" s="7" t="s">
        <v>16</v>
      </c>
      <c r="E1225" s="7" t="s">
        <v>17</v>
      </c>
      <c r="F1225" s="7" t="s">
        <v>17</v>
      </c>
      <c r="G1225" s="7" t="s">
        <v>18</v>
      </c>
      <c r="H1225" s="7" t="s">
        <v>48</v>
      </c>
      <c r="I1225" s="7" t="s">
        <v>712</v>
      </c>
      <c r="J1225" s="7" t="s">
        <v>712</v>
      </c>
      <c r="K1225" s="8">
        <v>6066954</v>
      </c>
      <c r="L1225" s="8">
        <v>273821</v>
      </c>
      <c r="M1225" s="8">
        <v>19</v>
      </c>
      <c r="N1225" s="8">
        <v>2</v>
      </c>
      <c r="O1225" s="8">
        <v>22.5</v>
      </c>
      <c r="P1225" s="8"/>
    </row>
    <row r="1226" spans="1:16" hidden="1" x14ac:dyDescent="0.25">
      <c r="A1226" s="7" t="s">
        <v>37</v>
      </c>
      <c r="B1226" s="7" t="s">
        <v>343</v>
      </c>
      <c r="C1226" s="8">
        <v>27535</v>
      </c>
      <c r="D1226" s="7" t="s">
        <v>16</v>
      </c>
      <c r="E1226" s="7" t="s">
        <v>17</v>
      </c>
      <c r="F1226" s="7" t="s">
        <v>17</v>
      </c>
      <c r="G1226" s="7" t="s">
        <v>18</v>
      </c>
      <c r="H1226" s="7" t="s">
        <v>48</v>
      </c>
      <c r="I1226" s="7" t="s">
        <v>712</v>
      </c>
      <c r="J1226" s="7" t="s">
        <v>712</v>
      </c>
      <c r="K1226" s="8">
        <v>6066402</v>
      </c>
      <c r="L1226" s="8">
        <v>273550</v>
      </c>
      <c r="M1226" s="8">
        <v>19</v>
      </c>
      <c r="N1226" s="8">
        <v>2</v>
      </c>
      <c r="O1226" s="8">
        <v>17</v>
      </c>
      <c r="P1226" s="8"/>
    </row>
    <row r="1227" spans="1:16" hidden="1" x14ac:dyDescent="0.25">
      <c r="A1227" s="7" t="s">
        <v>37</v>
      </c>
      <c r="B1227" s="7" t="s">
        <v>343</v>
      </c>
      <c r="C1227" s="8">
        <v>27536</v>
      </c>
      <c r="D1227" s="7" t="s">
        <v>16</v>
      </c>
      <c r="E1227" s="7" t="s">
        <v>50</v>
      </c>
      <c r="F1227" s="7" t="s">
        <v>396</v>
      </c>
      <c r="G1227" s="7" t="s">
        <v>18</v>
      </c>
      <c r="H1227" s="7" t="s">
        <v>48</v>
      </c>
      <c r="I1227" s="7" t="s">
        <v>712</v>
      </c>
      <c r="J1227" s="7" t="s">
        <v>712</v>
      </c>
      <c r="K1227" s="8">
        <v>6073525</v>
      </c>
      <c r="L1227" s="8">
        <v>267071</v>
      </c>
      <c r="M1227" s="8">
        <v>19</v>
      </c>
      <c r="N1227" s="8">
        <v>1</v>
      </c>
      <c r="O1227" s="8">
        <v>20</v>
      </c>
      <c r="P1227" s="8"/>
    </row>
    <row r="1228" spans="1:16" hidden="1" x14ac:dyDescent="0.25">
      <c r="A1228" s="7" t="s">
        <v>19</v>
      </c>
      <c r="B1228" s="7" t="s">
        <v>270</v>
      </c>
      <c r="C1228" s="8">
        <v>27538</v>
      </c>
      <c r="D1228" s="7" t="s">
        <v>16</v>
      </c>
      <c r="E1228" s="7" t="s">
        <v>60</v>
      </c>
      <c r="F1228" s="7" t="s">
        <v>621</v>
      </c>
      <c r="G1228" s="7" t="s">
        <v>18</v>
      </c>
      <c r="H1228" s="7" t="s">
        <v>48</v>
      </c>
      <c r="I1228" s="7" t="s">
        <v>712</v>
      </c>
      <c r="J1228" s="7" t="s">
        <v>712</v>
      </c>
      <c r="K1228" s="8">
        <v>6083872</v>
      </c>
      <c r="L1228" s="8">
        <v>279078</v>
      </c>
      <c r="M1228" s="8">
        <v>19</v>
      </c>
      <c r="N1228" s="8">
        <v>1</v>
      </c>
      <c r="O1228" s="8">
        <v>16</v>
      </c>
      <c r="P1228" s="8"/>
    </row>
    <row r="1229" spans="1:16" hidden="1" x14ac:dyDescent="0.25">
      <c r="A1229" s="7" t="s">
        <v>19</v>
      </c>
      <c r="B1229" s="7" t="s">
        <v>270</v>
      </c>
      <c r="C1229" s="8">
        <v>27541</v>
      </c>
      <c r="D1229" s="7" t="s">
        <v>52</v>
      </c>
      <c r="E1229" s="7" t="s">
        <v>286</v>
      </c>
      <c r="F1229" s="7" t="s">
        <v>286</v>
      </c>
      <c r="G1229" s="7" t="s">
        <v>18</v>
      </c>
      <c r="H1229" s="7" t="s">
        <v>48</v>
      </c>
      <c r="I1229" s="7" t="s">
        <v>712</v>
      </c>
      <c r="J1229" s="7" t="s">
        <v>691</v>
      </c>
      <c r="K1229" s="8">
        <v>6166121</v>
      </c>
      <c r="L1229" s="8">
        <v>307799</v>
      </c>
      <c r="M1229" s="8">
        <v>19</v>
      </c>
      <c r="N1229" s="8">
        <v>2</v>
      </c>
      <c r="O1229" s="8">
        <v>10</v>
      </c>
      <c r="P1229" s="8"/>
    </row>
    <row r="1230" spans="1:16" hidden="1" x14ac:dyDescent="0.25">
      <c r="A1230" s="7" t="s">
        <v>37</v>
      </c>
      <c r="B1230" s="7" t="s">
        <v>343</v>
      </c>
      <c r="C1230" s="8">
        <v>27542</v>
      </c>
      <c r="D1230" s="7" t="s">
        <v>16</v>
      </c>
      <c r="E1230" s="7" t="s">
        <v>50</v>
      </c>
      <c r="F1230" s="7" t="s">
        <v>50</v>
      </c>
      <c r="G1230" s="7" t="s">
        <v>18</v>
      </c>
      <c r="H1230" s="7" t="s">
        <v>48</v>
      </c>
      <c r="I1230" s="7" t="s">
        <v>712</v>
      </c>
      <c r="J1230" s="7" t="s">
        <v>712</v>
      </c>
      <c r="K1230" s="8">
        <v>6076935</v>
      </c>
      <c r="L1230" s="8">
        <v>269310</v>
      </c>
      <c r="M1230" s="8">
        <v>19</v>
      </c>
      <c r="N1230" s="8">
        <v>1</v>
      </c>
      <c r="O1230" s="8">
        <v>10</v>
      </c>
      <c r="P1230" s="8"/>
    </row>
    <row r="1231" spans="1:16" hidden="1" x14ac:dyDescent="0.25">
      <c r="A1231" s="7" t="s">
        <v>37</v>
      </c>
      <c r="B1231" s="7" t="s">
        <v>343</v>
      </c>
      <c r="C1231" s="8">
        <v>27544</v>
      </c>
      <c r="D1231" s="7" t="s">
        <v>16</v>
      </c>
      <c r="E1231" s="7" t="s">
        <v>17</v>
      </c>
      <c r="F1231" s="7" t="s">
        <v>397</v>
      </c>
      <c r="G1231" s="7" t="s">
        <v>18</v>
      </c>
      <c r="H1231" s="7" t="s">
        <v>48</v>
      </c>
      <c r="I1231" s="7" t="s">
        <v>712</v>
      </c>
      <c r="J1231" s="7" t="s">
        <v>691</v>
      </c>
      <c r="K1231" s="8">
        <v>6074469</v>
      </c>
      <c r="L1231" s="8">
        <v>279497</v>
      </c>
      <c r="M1231" s="8">
        <v>19</v>
      </c>
      <c r="N1231" s="8">
        <v>1</v>
      </c>
      <c r="O1231" s="8">
        <v>17</v>
      </c>
      <c r="P1231" s="8"/>
    </row>
    <row r="1232" spans="1:16" hidden="1" x14ac:dyDescent="0.25">
      <c r="A1232" s="7" t="s">
        <v>37</v>
      </c>
      <c r="B1232" s="7" t="s">
        <v>270</v>
      </c>
      <c r="C1232" s="8">
        <v>27545</v>
      </c>
      <c r="D1232" s="7" t="s">
        <v>21</v>
      </c>
      <c r="E1232" s="7" t="s">
        <v>280</v>
      </c>
      <c r="F1232" s="7" t="s">
        <v>281</v>
      </c>
      <c r="G1232" s="7" t="s">
        <v>18</v>
      </c>
      <c r="H1232" s="7" t="s">
        <v>24</v>
      </c>
      <c r="I1232" s="7" t="s">
        <v>712</v>
      </c>
      <c r="J1232" s="7" t="s">
        <v>712</v>
      </c>
      <c r="K1232" s="8">
        <v>6364784</v>
      </c>
      <c r="L1232" s="8">
        <v>313617</v>
      </c>
      <c r="M1232" s="8">
        <v>19</v>
      </c>
      <c r="N1232" s="8">
        <v>1</v>
      </c>
      <c r="O1232" s="8">
        <v>1.6</v>
      </c>
      <c r="P1232" s="8"/>
    </row>
    <row r="1233" spans="1:16" hidden="1" x14ac:dyDescent="0.25">
      <c r="A1233" s="7" t="s">
        <v>19</v>
      </c>
      <c r="B1233" s="7" t="s">
        <v>270</v>
      </c>
      <c r="C1233" s="8">
        <v>27548</v>
      </c>
      <c r="D1233" s="7" t="s">
        <v>52</v>
      </c>
      <c r="E1233" s="7" t="s">
        <v>53</v>
      </c>
      <c r="F1233" s="7" t="s">
        <v>79</v>
      </c>
      <c r="G1233" s="7" t="s">
        <v>18</v>
      </c>
      <c r="H1233" s="7" t="s">
        <v>48</v>
      </c>
      <c r="I1233" s="7" t="s">
        <v>712</v>
      </c>
      <c r="J1233" s="7" t="s">
        <v>691</v>
      </c>
      <c r="K1233" s="8">
        <v>6149195</v>
      </c>
      <c r="L1233" s="8">
        <v>316748</v>
      </c>
      <c r="M1233" s="8">
        <v>19</v>
      </c>
      <c r="N1233" s="8">
        <v>1</v>
      </c>
      <c r="O1233" s="8">
        <v>4</v>
      </c>
      <c r="P1233" s="8"/>
    </row>
    <row r="1234" spans="1:16" hidden="1" x14ac:dyDescent="0.25">
      <c r="A1234" s="7" t="s">
        <v>19</v>
      </c>
      <c r="B1234" s="7" t="s">
        <v>254</v>
      </c>
      <c r="C1234" s="8">
        <v>27549</v>
      </c>
      <c r="D1234" s="7" t="s">
        <v>52</v>
      </c>
      <c r="E1234" s="7" t="s">
        <v>141</v>
      </c>
      <c r="F1234" s="7" t="s">
        <v>141</v>
      </c>
      <c r="G1234" s="7" t="s">
        <v>18</v>
      </c>
      <c r="H1234" s="7" t="s">
        <v>66</v>
      </c>
      <c r="I1234" s="7" t="s">
        <v>712</v>
      </c>
      <c r="J1234" s="7" t="s">
        <v>712</v>
      </c>
      <c r="K1234" s="8">
        <v>6218364</v>
      </c>
      <c r="L1234" s="8">
        <v>336284</v>
      </c>
      <c r="M1234" s="8">
        <v>19</v>
      </c>
      <c r="N1234" s="8">
        <v>1</v>
      </c>
      <c r="O1234" s="8">
        <v>0.02</v>
      </c>
      <c r="P1234" s="8"/>
    </row>
    <row r="1235" spans="1:16" hidden="1" x14ac:dyDescent="0.25">
      <c r="A1235" s="7" t="s">
        <v>19</v>
      </c>
      <c r="B1235" s="7" t="s">
        <v>254</v>
      </c>
      <c r="C1235" s="8">
        <v>27550</v>
      </c>
      <c r="D1235" s="7" t="s">
        <v>52</v>
      </c>
      <c r="E1235" s="7" t="s">
        <v>141</v>
      </c>
      <c r="F1235" s="7" t="s">
        <v>141</v>
      </c>
      <c r="G1235" s="7" t="s">
        <v>18</v>
      </c>
      <c r="H1235" s="7" t="s">
        <v>66</v>
      </c>
      <c r="I1235" s="7" t="s">
        <v>712</v>
      </c>
      <c r="J1235" s="7" t="s">
        <v>712</v>
      </c>
      <c r="K1235" s="8">
        <v>6218364</v>
      </c>
      <c r="L1235" s="8">
        <v>336284</v>
      </c>
      <c r="M1235" s="8">
        <v>19</v>
      </c>
      <c r="N1235" s="8">
        <v>1</v>
      </c>
      <c r="O1235" s="8">
        <v>0.01</v>
      </c>
      <c r="P1235" s="8"/>
    </row>
    <row r="1236" spans="1:16" hidden="1" x14ac:dyDescent="0.25">
      <c r="A1236" s="7" t="s">
        <v>19</v>
      </c>
      <c r="B1236" s="7" t="s">
        <v>254</v>
      </c>
      <c r="C1236" s="8">
        <v>27552</v>
      </c>
      <c r="D1236" s="7" t="s">
        <v>52</v>
      </c>
      <c r="E1236" s="7" t="s">
        <v>141</v>
      </c>
      <c r="F1236" s="7" t="s">
        <v>141</v>
      </c>
      <c r="G1236" s="7" t="s">
        <v>18</v>
      </c>
      <c r="H1236" s="7" t="s">
        <v>66</v>
      </c>
      <c r="I1236" s="7" t="s">
        <v>712</v>
      </c>
      <c r="J1236" s="7" t="s">
        <v>712</v>
      </c>
      <c r="K1236" s="8">
        <v>6218363</v>
      </c>
      <c r="L1236" s="8">
        <v>336284</v>
      </c>
      <c r="M1236" s="8">
        <v>19</v>
      </c>
      <c r="N1236" s="8">
        <v>1</v>
      </c>
      <c r="O1236" s="8">
        <v>0.01</v>
      </c>
      <c r="P1236" s="8"/>
    </row>
    <row r="1237" spans="1:16" hidden="1" x14ac:dyDescent="0.25">
      <c r="A1237" s="7" t="s">
        <v>19</v>
      </c>
      <c r="B1237" s="7" t="s">
        <v>270</v>
      </c>
      <c r="C1237" s="8">
        <v>27553</v>
      </c>
      <c r="D1237" s="7" t="s">
        <v>52</v>
      </c>
      <c r="E1237" s="7" t="s">
        <v>53</v>
      </c>
      <c r="F1237" s="7" t="s">
        <v>79</v>
      </c>
      <c r="G1237" s="7" t="s">
        <v>18</v>
      </c>
      <c r="H1237" s="7" t="s">
        <v>48</v>
      </c>
      <c r="I1237" s="7" t="s">
        <v>712</v>
      </c>
      <c r="J1237" s="7" t="s">
        <v>691</v>
      </c>
      <c r="K1237" s="8">
        <v>6149364</v>
      </c>
      <c r="L1237" s="8">
        <v>316862</v>
      </c>
      <c r="M1237" s="8">
        <v>19</v>
      </c>
      <c r="N1237" s="8">
        <v>3</v>
      </c>
      <c r="O1237" s="8">
        <v>24</v>
      </c>
      <c r="P1237" s="8"/>
    </row>
    <row r="1238" spans="1:16" hidden="1" x14ac:dyDescent="0.25">
      <c r="A1238" s="7" t="s">
        <v>19</v>
      </c>
      <c r="B1238" s="7" t="s">
        <v>270</v>
      </c>
      <c r="C1238" s="8">
        <v>27555</v>
      </c>
      <c r="D1238" s="7" t="s">
        <v>52</v>
      </c>
      <c r="E1238" s="7" t="s">
        <v>53</v>
      </c>
      <c r="F1238" s="7" t="s">
        <v>79</v>
      </c>
      <c r="G1238" s="7" t="s">
        <v>18</v>
      </c>
      <c r="H1238" s="7" t="s">
        <v>48</v>
      </c>
      <c r="I1238" s="7" t="s">
        <v>712</v>
      </c>
      <c r="J1238" s="7" t="s">
        <v>691</v>
      </c>
      <c r="K1238" s="8">
        <v>6149195</v>
      </c>
      <c r="L1238" s="8">
        <v>316748</v>
      </c>
      <c r="M1238" s="8">
        <v>19</v>
      </c>
      <c r="N1238" s="8">
        <v>1</v>
      </c>
      <c r="O1238" s="8">
        <v>4</v>
      </c>
      <c r="P1238" s="8"/>
    </row>
    <row r="1239" spans="1:16" hidden="1" x14ac:dyDescent="0.25">
      <c r="A1239" s="7" t="s">
        <v>19</v>
      </c>
      <c r="B1239" s="7" t="s">
        <v>270</v>
      </c>
      <c r="C1239" s="8">
        <v>27556</v>
      </c>
      <c r="D1239" s="7" t="s">
        <v>16</v>
      </c>
      <c r="E1239" s="7" t="s">
        <v>50</v>
      </c>
      <c r="F1239" s="7" t="s">
        <v>161</v>
      </c>
      <c r="G1239" s="7" t="s">
        <v>18</v>
      </c>
      <c r="H1239" s="7" t="s">
        <v>48</v>
      </c>
      <c r="I1239" s="7" t="s">
        <v>712</v>
      </c>
      <c r="J1239" s="7" t="s">
        <v>691</v>
      </c>
      <c r="K1239" s="8">
        <v>6075892</v>
      </c>
      <c r="L1239" s="8">
        <v>268083</v>
      </c>
      <c r="M1239" s="8">
        <v>19</v>
      </c>
      <c r="N1239" s="8">
        <v>2</v>
      </c>
      <c r="O1239" s="8">
        <v>15</v>
      </c>
      <c r="P1239" s="8"/>
    </row>
    <row r="1240" spans="1:16" hidden="1" x14ac:dyDescent="0.25">
      <c r="A1240" s="7" t="s">
        <v>19</v>
      </c>
      <c r="B1240" s="7" t="s">
        <v>270</v>
      </c>
      <c r="C1240" s="8">
        <v>27557</v>
      </c>
      <c r="D1240" s="7" t="s">
        <v>16</v>
      </c>
      <c r="E1240" s="7" t="s">
        <v>264</v>
      </c>
      <c r="F1240" s="7" t="s">
        <v>265</v>
      </c>
      <c r="G1240" s="7" t="s">
        <v>18</v>
      </c>
      <c r="H1240" s="7" t="s">
        <v>48</v>
      </c>
      <c r="I1240" s="7" t="s">
        <v>712</v>
      </c>
      <c r="J1240" s="7" t="s">
        <v>691</v>
      </c>
      <c r="K1240" s="8">
        <v>6120554</v>
      </c>
      <c r="L1240" s="8">
        <v>288409</v>
      </c>
      <c r="M1240" s="8">
        <v>19</v>
      </c>
      <c r="N1240" s="8">
        <v>1</v>
      </c>
      <c r="O1240" s="8">
        <v>12</v>
      </c>
      <c r="P1240" s="8"/>
    </row>
    <row r="1241" spans="1:16" hidden="1" x14ac:dyDescent="0.25">
      <c r="A1241" s="7" t="s">
        <v>19</v>
      </c>
      <c r="B1241" s="7" t="s">
        <v>270</v>
      </c>
      <c r="C1241" s="8">
        <v>27558</v>
      </c>
      <c r="D1241" s="7" t="s">
        <v>52</v>
      </c>
      <c r="E1241" s="7" t="s">
        <v>53</v>
      </c>
      <c r="F1241" s="7" t="s">
        <v>286</v>
      </c>
      <c r="G1241" s="7" t="s">
        <v>18</v>
      </c>
      <c r="H1241" s="7" t="s">
        <v>48</v>
      </c>
      <c r="I1241" s="7" t="s">
        <v>712</v>
      </c>
      <c r="J1241" s="7" t="s">
        <v>691</v>
      </c>
      <c r="K1241" s="8">
        <v>6165940</v>
      </c>
      <c r="L1241" s="8">
        <v>307572</v>
      </c>
      <c r="M1241" s="8">
        <v>19</v>
      </c>
      <c r="N1241" s="8">
        <v>3</v>
      </c>
      <c r="O1241" s="8">
        <v>7</v>
      </c>
      <c r="P1241" s="8"/>
    </row>
    <row r="1242" spans="1:16" hidden="1" x14ac:dyDescent="0.25">
      <c r="A1242" s="7" t="s">
        <v>19</v>
      </c>
      <c r="B1242" s="7" t="s">
        <v>254</v>
      </c>
      <c r="C1242" s="8">
        <v>27559</v>
      </c>
      <c r="D1242" s="7" t="s">
        <v>52</v>
      </c>
      <c r="E1242" s="7" t="s">
        <v>141</v>
      </c>
      <c r="F1242" s="7" t="s">
        <v>141</v>
      </c>
      <c r="G1242" s="7" t="s">
        <v>18</v>
      </c>
      <c r="H1242" s="7" t="s">
        <v>66</v>
      </c>
      <c r="I1242" s="7" t="s">
        <v>712</v>
      </c>
      <c r="J1242" s="7" t="s">
        <v>712</v>
      </c>
      <c r="K1242" s="8">
        <v>6218364</v>
      </c>
      <c r="L1242" s="8">
        <v>336284</v>
      </c>
      <c r="M1242" s="8">
        <v>19</v>
      </c>
      <c r="N1242" s="8">
        <v>1</v>
      </c>
      <c r="O1242" s="8">
        <v>0</v>
      </c>
      <c r="P1242" s="8"/>
    </row>
    <row r="1243" spans="1:16" hidden="1" x14ac:dyDescent="0.25">
      <c r="A1243" s="7" t="s">
        <v>19</v>
      </c>
      <c r="B1243" s="7" t="s">
        <v>254</v>
      </c>
      <c r="C1243" s="8">
        <v>27560</v>
      </c>
      <c r="D1243" s="7" t="s">
        <v>52</v>
      </c>
      <c r="E1243" s="7" t="s">
        <v>141</v>
      </c>
      <c r="F1243" s="7" t="s">
        <v>141</v>
      </c>
      <c r="G1243" s="7" t="s">
        <v>18</v>
      </c>
      <c r="H1243" s="7" t="s">
        <v>66</v>
      </c>
      <c r="I1243" s="7" t="s">
        <v>712</v>
      </c>
      <c r="J1243" s="7" t="s">
        <v>712</v>
      </c>
      <c r="K1243" s="8">
        <v>6218364</v>
      </c>
      <c r="L1243" s="8">
        <v>336284</v>
      </c>
      <c r="M1243" s="8">
        <v>19</v>
      </c>
      <c r="N1243" s="8">
        <v>1</v>
      </c>
      <c r="O1243" s="8">
        <v>0.01</v>
      </c>
      <c r="P1243" s="8"/>
    </row>
    <row r="1244" spans="1:16" hidden="1" x14ac:dyDescent="0.25">
      <c r="A1244" s="7" t="s">
        <v>19</v>
      </c>
      <c r="B1244" s="7" t="s">
        <v>254</v>
      </c>
      <c r="C1244" s="8">
        <v>27561</v>
      </c>
      <c r="D1244" s="7" t="s">
        <v>52</v>
      </c>
      <c r="E1244" s="7" t="s">
        <v>141</v>
      </c>
      <c r="F1244" s="7" t="s">
        <v>141</v>
      </c>
      <c r="G1244" s="7" t="s">
        <v>18</v>
      </c>
      <c r="H1244" s="7" t="s">
        <v>66</v>
      </c>
      <c r="I1244" s="7" t="s">
        <v>712</v>
      </c>
      <c r="J1244" s="7" t="s">
        <v>712</v>
      </c>
      <c r="K1244" s="8">
        <v>6218364</v>
      </c>
      <c r="L1244" s="8">
        <v>336284</v>
      </c>
      <c r="M1244" s="8">
        <v>19</v>
      </c>
      <c r="N1244" s="8">
        <v>1</v>
      </c>
      <c r="O1244" s="8">
        <v>0.02</v>
      </c>
      <c r="P1244" s="8"/>
    </row>
    <row r="1245" spans="1:16" hidden="1" x14ac:dyDescent="0.25">
      <c r="A1245" s="7" t="s">
        <v>19</v>
      </c>
      <c r="B1245" s="7" t="s">
        <v>270</v>
      </c>
      <c r="C1245" s="8">
        <v>27562</v>
      </c>
      <c r="D1245" s="7" t="s">
        <v>16</v>
      </c>
      <c r="E1245" s="7" t="s">
        <v>50</v>
      </c>
      <c r="F1245" s="7" t="s">
        <v>622</v>
      </c>
      <c r="G1245" s="7" t="s">
        <v>18</v>
      </c>
      <c r="H1245" s="7" t="s">
        <v>48</v>
      </c>
      <c r="I1245" s="7" t="s">
        <v>712</v>
      </c>
      <c r="J1245" s="7" t="s">
        <v>712</v>
      </c>
      <c r="K1245" s="8">
        <v>6075982</v>
      </c>
      <c r="L1245" s="8">
        <v>268613</v>
      </c>
      <c r="M1245" s="8">
        <v>19</v>
      </c>
      <c r="N1245" s="8">
        <v>6</v>
      </c>
      <c r="O1245" s="8">
        <v>12.2</v>
      </c>
      <c r="P1245" s="8"/>
    </row>
    <row r="1246" spans="1:16" hidden="1" x14ac:dyDescent="0.25">
      <c r="A1246" s="7" t="s">
        <v>37</v>
      </c>
      <c r="B1246" s="7" t="s">
        <v>270</v>
      </c>
      <c r="C1246" s="8">
        <v>27564</v>
      </c>
      <c r="D1246" s="7" t="s">
        <v>52</v>
      </c>
      <c r="E1246" s="7" t="s">
        <v>53</v>
      </c>
      <c r="F1246" s="7" t="s">
        <v>87</v>
      </c>
      <c r="G1246" s="7" t="s">
        <v>18</v>
      </c>
      <c r="H1246" s="7" t="s">
        <v>48</v>
      </c>
      <c r="I1246" s="7" t="s">
        <v>712</v>
      </c>
      <c r="J1246" s="7" t="s">
        <v>712</v>
      </c>
      <c r="K1246" s="8">
        <v>6152397</v>
      </c>
      <c r="L1246" s="8">
        <v>317406</v>
      </c>
      <c r="M1246" s="8">
        <v>19</v>
      </c>
      <c r="N1246" s="8">
        <v>1</v>
      </c>
      <c r="O1246" s="8">
        <v>10</v>
      </c>
      <c r="P1246" s="8"/>
    </row>
    <row r="1247" spans="1:16" hidden="1" x14ac:dyDescent="0.25">
      <c r="A1247" s="7" t="s">
        <v>19</v>
      </c>
      <c r="B1247" s="7" t="s">
        <v>254</v>
      </c>
      <c r="C1247" s="8">
        <v>27565</v>
      </c>
      <c r="D1247" s="7" t="s">
        <v>21</v>
      </c>
      <c r="E1247" s="7" t="s">
        <v>280</v>
      </c>
      <c r="F1247" s="7" t="s">
        <v>280</v>
      </c>
      <c r="G1247" s="7" t="s">
        <v>18</v>
      </c>
      <c r="H1247" s="7" t="s">
        <v>66</v>
      </c>
      <c r="I1247" s="7" t="s">
        <v>712</v>
      </c>
      <c r="J1247" s="7" t="s">
        <v>712</v>
      </c>
      <c r="K1247" s="8">
        <v>6362145</v>
      </c>
      <c r="L1247" s="8">
        <v>318598</v>
      </c>
      <c r="M1247" s="8">
        <v>19</v>
      </c>
      <c r="N1247" s="8">
        <v>1</v>
      </c>
      <c r="O1247" s="8">
        <v>0.02</v>
      </c>
      <c r="P1247" s="8"/>
    </row>
    <row r="1248" spans="1:16" hidden="1" x14ac:dyDescent="0.25">
      <c r="A1248" s="7" t="s">
        <v>37</v>
      </c>
      <c r="B1248" s="7" t="s">
        <v>270</v>
      </c>
      <c r="C1248" s="8">
        <v>27566</v>
      </c>
      <c r="D1248" s="7" t="s">
        <v>21</v>
      </c>
      <c r="E1248" s="7" t="s">
        <v>280</v>
      </c>
      <c r="F1248" s="7" t="s">
        <v>281</v>
      </c>
      <c r="G1248" s="7" t="s">
        <v>18</v>
      </c>
      <c r="H1248" s="7" t="s">
        <v>24</v>
      </c>
      <c r="I1248" s="7" t="s">
        <v>712</v>
      </c>
      <c r="J1248" s="7" t="s">
        <v>712</v>
      </c>
      <c r="K1248" s="8">
        <v>6364784</v>
      </c>
      <c r="L1248" s="8">
        <v>313617</v>
      </c>
      <c r="M1248" s="8">
        <v>19</v>
      </c>
      <c r="N1248" s="8">
        <v>1</v>
      </c>
      <c r="O1248" s="8">
        <v>1.2</v>
      </c>
      <c r="P1248" s="8"/>
    </row>
    <row r="1249" spans="1:16" hidden="1" x14ac:dyDescent="0.25">
      <c r="A1249" s="7" t="s">
        <v>37</v>
      </c>
      <c r="B1249" s="7" t="s">
        <v>270</v>
      </c>
      <c r="C1249" s="8">
        <v>27567</v>
      </c>
      <c r="D1249" s="7" t="s">
        <v>21</v>
      </c>
      <c r="E1249" s="7" t="s">
        <v>278</v>
      </c>
      <c r="F1249" s="7" t="s">
        <v>337</v>
      </c>
      <c r="G1249" s="7" t="s">
        <v>18</v>
      </c>
      <c r="H1249" s="7" t="s">
        <v>24</v>
      </c>
      <c r="I1249" s="7" t="s">
        <v>712</v>
      </c>
      <c r="J1249" s="7" t="s">
        <v>712</v>
      </c>
      <c r="K1249" s="8">
        <v>6368481</v>
      </c>
      <c r="L1249" s="8">
        <v>307237</v>
      </c>
      <c r="M1249" s="8">
        <v>19</v>
      </c>
      <c r="N1249" s="8">
        <v>1</v>
      </c>
      <c r="O1249" s="8">
        <v>2.02</v>
      </c>
      <c r="P1249" s="8"/>
    </row>
    <row r="1250" spans="1:16" hidden="1" x14ac:dyDescent="0.25">
      <c r="A1250" s="7" t="s">
        <v>19</v>
      </c>
      <c r="B1250" s="7" t="s">
        <v>270</v>
      </c>
      <c r="C1250" s="8">
        <v>27569</v>
      </c>
      <c r="D1250" s="7" t="s">
        <v>52</v>
      </c>
      <c r="E1250" s="7" t="s">
        <v>153</v>
      </c>
      <c r="F1250" s="7" t="s">
        <v>587</v>
      </c>
      <c r="G1250" s="7" t="s">
        <v>18</v>
      </c>
      <c r="H1250" s="7" t="s">
        <v>48</v>
      </c>
      <c r="I1250" s="7" t="s">
        <v>712</v>
      </c>
      <c r="J1250" s="7" t="s">
        <v>712</v>
      </c>
      <c r="K1250" s="8">
        <v>6201199</v>
      </c>
      <c r="L1250" s="8">
        <v>336373</v>
      </c>
      <c r="M1250" s="8">
        <v>19</v>
      </c>
      <c r="N1250" s="8">
        <v>2</v>
      </c>
      <c r="O1250" s="8">
        <v>23</v>
      </c>
      <c r="P1250" s="8"/>
    </row>
    <row r="1251" spans="1:16" hidden="1" x14ac:dyDescent="0.25">
      <c r="A1251" s="7" t="s">
        <v>14</v>
      </c>
      <c r="B1251" s="7" t="s">
        <v>270</v>
      </c>
      <c r="C1251" s="8">
        <v>27571</v>
      </c>
      <c r="D1251" s="7" t="s">
        <v>52</v>
      </c>
      <c r="E1251" s="7" t="s">
        <v>139</v>
      </c>
      <c r="F1251" s="7" t="s">
        <v>139</v>
      </c>
      <c r="G1251" s="7" t="s">
        <v>18</v>
      </c>
      <c r="H1251" s="7" t="s">
        <v>689</v>
      </c>
      <c r="I1251" s="7" t="s">
        <v>712</v>
      </c>
      <c r="J1251" s="7" t="s">
        <v>712</v>
      </c>
      <c r="K1251" s="8">
        <v>6225010</v>
      </c>
      <c r="L1251" s="8">
        <v>339646</v>
      </c>
      <c r="M1251" s="8">
        <v>19</v>
      </c>
      <c r="N1251" s="8">
        <v>1</v>
      </c>
      <c r="O1251" s="8">
        <v>0.12</v>
      </c>
      <c r="P1251" s="8"/>
    </row>
    <row r="1252" spans="1:16" hidden="1" x14ac:dyDescent="0.25">
      <c r="A1252" s="7" t="s">
        <v>19</v>
      </c>
      <c r="B1252" s="7" t="s">
        <v>270</v>
      </c>
      <c r="C1252" s="8">
        <v>27573</v>
      </c>
      <c r="D1252" s="7" t="s">
        <v>52</v>
      </c>
      <c r="E1252" s="7" t="s">
        <v>53</v>
      </c>
      <c r="F1252" s="7" t="s">
        <v>87</v>
      </c>
      <c r="G1252" s="7" t="s">
        <v>18</v>
      </c>
      <c r="H1252" s="7" t="s">
        <v>48</v>
      </c>
      <c r="I1252" s="7" t="s">
        <v>712</v>
      </c>
      <c r="J1252" s="7" t="s">
        <v>691</v>
      </c>
      <c r="K1252" s="8">
        <v>6142762</v>
      </c>
      <c r="L1252" s="8">
        <v>319172</v>
      </c>
      <c r="M1252" s="8">
        <v>19</v>
      </c>
      <c r="N1252" s="8">
        <v>1</v>
      </c>
      <c r="O1252" s="8">
        <v>8</v>
      </c>
      <c r="P1252" s="8"/>
    </row>
    <row r="1253" spans="1:16" hidden="1" x14ac:dyDescent="0.25">
      <c r="A1253" s="7" t="s">
        <v>37</v>
      </c>
      <c r="B1253" s="7" t="s">
        <v>181</v>
      </c>
      <c r="C1253" s="8">
        <v>27575</v>
      </c>
      <c r="D1253" s="7" t="s">
        <v>119</v>
      </c>
      <c r="E1253" s="7" t="s">
        <v>222</v>
      </c>
      <c r="F1253" s="7" t="s">
        <v>223</v>
      </c>
      <c r="G1253" s="7" t="s">
        <v>43</v>
      </c>
      <c r="H1253" s="7" t="s">
        <v>48</v>
      </c>
      <c r="I1253" s="7" t="s">
        <v>91</v>
      </c>
      <c r="J1253" s="7" t="s">
        <v>91</v>
      </c>
      <c r="K1253" s="8">
        <v>5695152</v>
      </c>
      <c r="L1253" s="8">
        <v>737945</v>
      </c>
      <c r="M1253" s="8">
        <v>18</v>
      </c>
      <c r="N1253" s="8">
        <v>1</v>
      </c>
      <c r="O1253" s="8">
        <v>13</v>
      </c>
      <c r="P1253" s="8"/>
    </row>
    <row r="1254" spans="1:16" hidden="1" x14ac:dyDescent="0.25">
      <c r="A1254" s="7" t="s">
        <v>19</v>
      </c>
      <c r="B1254" s="7" t="s">
        <v>254</v>
      </c>
      <c r="C1254" s="8">
        <v>27576</v>
      </c>
      <c r="D1254" s="7" t="s">
        <v>21</v>
      </c>
      <c r="E1254" s="7" t="s">
        <v>280</v>
      </c>
      <c r="F1254" s="7" t="s">
        <v>280</v>
      </c>
      <c r="G1254" s="7" t="s">
        <v>18</v>
      </c>
      <c r="H1254" s="7" t="s">
        <v>66</v>
      </c>
      <c r="I1254" s="7" t="s">
        <v>712</v>
      </c>
      <c r="J1254" s="7" t="s">
        <v>712</v>
      </c>
      <c r="K1254" s="8">
        <v>6362146</v>
      </c>
      <c r="L1254" s="8">
        <v>318598</v>
      </c>
      <c r="M1254" s="8">
        <v>19</v>
      </c>
      <c r="N1254" s="8">
        <v>1</v>
      </c>
      <c r="O1254" s="8">
        <v>0.01</v>
      </c>
      <c r="P1254" s="8"/>
    </row>
    <row r="1255" spans="1:16" hidden="1" x14ac:dyDescent="0.25">
      <c r="A1255" s="7" t="s">
        <v>19</v>
      </c>
      <c r="B1255" s="7" t="s">
        <v>254</v>
      </c>
      <c r="C1255" s="8">
        <v>27577</v>
      </c>
      <c r="D1255" s="7" t="s">
        <v>21</v>
      </c>
      <c r="E1255" s="7" t="s">
        <v>280</v>
      </c>
      <c r="F1255" s="7" t="s">
        <v>280</v>
      </c>
      <c r="G1255" s="7" t="s">
        <v>18</v>
      </c>
      <c r="H1255" s="7" t="s">
        <v>66</v>
      </c>
      <c r="I1255" s="7" t="s">
        <v>712</v>
      </c>
      <c r="J1255" s="7" t="s">
        <v>712</v>
      </c>
      <c r="K1255" s="8">
        <v>6362146</v>
      </c>
      <c r="L1255" s="8">
        <v>318598</v>
      </c>
      <c r="M1255" s="8">
        <v>19</v>
      </c>
      <c r="N1255" s="8">
        <v>1</v>
      </c>
      <c r="O1255" s="8">
        <v>0.01</v>
      </c>
      <c r="P1255" s="8"/>
    </row>
    <row r="1256" spans="1:16" hidden="1" x14ac:dyDescent="0.25">
      <c r="A1256" s="7" t="s">
        <v>37</v>
      </c>
      <c r="B1256" s="7" t="s">
        <v>181</v>
      </c>
      <c r="C1256" s="8">
        <v>27580</v>
      </c>
      <c r="D1256" s="7" t="s">
        <v>119</v>
      </c>
      <c r="E1256" s="7" t="s">
        <v>123</v>
      </c>
      <c r="F1256" s="7" t="s">
        <v>123</v>
      </c>
      <c r="G1256" s="7" t="s">
        <v>43</v>
      </c>
      <c r="H1256" s="7" t="s">
        <v>48</v>
      </c>
      <c r="I1256" s="7" t="s">
        <v>91</v>
      </c>
      <c r="J1256" s="7" t="s">
        <v>91</v>
      </c>
      <c r="K1256" s="8">
        <v>5826238</v>
      </c>
      <c r="L1256" s="8">
        <v>714297</v>
      </c>
      <c r="M1256" s="8">
        <v>18</v>
      </c>
      <c r="N1256" s="8">
        <v>1</v>
      </c>
      <c r="O1256" s="8">
        <v>30</v>
      </c>
      <c r="P1256" s="8"/>
    </row>
    <row r="1257" spans="1:16" hidden="1" x14ac:dyDescent="0.25">
      <c r="A1257" s="7" t="s">
        <v>19</v>
      </c>
      <c r="B1257" s="7" t="s">
        <v>415</v>
      </c>
      <c r="C1257" s="8">
        <v>27584</v>
      </c>
      <c r="D1257" s="7" t="s">
        <v>28</v>
      </c>
      <c r="E1257" s="7" t="s">
        <v>142</v>
      </c>
      <c r="F1257" s="7" t="s">
        <v>142</v>
      </c>
      <c r="G1257" s="7" t="s">
        <v>18</v>
      </c>
      <c r="H1257" s="7" t="s">
        <v>48</v>
      </c>
      <c r="I1257" s="7" t="s">
        <v>712</v>
      </c>
      <c r="J1257" s="7" t="s">
        <v>691</v>
      </c>
      <c r="K1257" s="8">
        <v>6280419</v>
      </c>
      <c r="L1257" s="8">
        <v>330388</v>
      </c>
      <c r="M1257" s="8">
        <v>19</v>
      </c>
      <c r="N1257" s="8">
        <v>1</v>
      </c>
      <c r="O1257" s="8">
        <v>0.3</v>
      </c>
      <c r="P1257" s="8"/>
    </row>
    <row r="1258" spans="1:16" hidden="1" x14ac:dyDescent="0.25">
      <c r="A1258" s="7" t="s">
        <v>37</v>
      </c>
      <c r="B1258" s="7" t="s">
        <v>415</v>
      </c>
      <c r="C1258" s="8">
        <v>27586</v>
      </c>
      <c r="D1258" s="7" t="s">
        <v>28</v>
      </c>
      <c r="E1258" s="7" t="s">
        <v>32</v>
      </c>
      <c r="F1258" s="7" t="s">
        <v>33</v>
      </c>
      <c r="G1258" s="7" t="s">
        <v>18</v>
      </c>
      <c r="H1258" s="7" t="s">
        <v>48</v>
      </c>
      <c r="I1258" s="7" t="s">
        <v>712</v>
      </c>
      <c r="J1258" s="7" t="s">
        <v>712</v>
      </c>
      <c r="K1258" s="8">
        <v>6276081</v>
      </c>
      <c r="L1258" s="8">
        <v>346959</v>
      </c>
      <c r="M1258" s="8">
        <v>19</v>
      </c>
      <c r="N1258" s="8">
        <v>1</v>
      </c>
      <c r="O1258" s="8">
        <v>2.5099999999999998</v>
      </c>
      <c r="P1258" s="8"/>
    </row>
    <row r="1259" spans="1:16" hidden="1" x14ac:dyDescent="0.25">
      <c r="A1259" s="7" t="s">
        <v>37</v>
      </c>
      <c r="B1259" s="7" t="s">
        <v>415</v>
      </c>
      <c r="C1259" s="8">
        <v>27587</v>
      </c>
      <c r="D1259" s="7" t="s">
        <v>28</v>
      </c>
      <c r="E1259" s="7" t="s">
        <v>344</v>
      </c>
      <c r="F1259" s="7" t="s">
        <v>457</v>
      </c>
      <c r="G1259" s="7" t="s">
        <v>18</v>
      </c>
      <c r="H1259" s="7" t="s">
        <v>24</v>
      </c>
      <c r="I1259" s="7" t="s">
        <v>712</v>
      </c>
      <c r="J1259" s="7" t="s">
        <v>712</v>
      </c>
      <c r="K1259" s="8">
        <v>6276657</v>
      </c>
      <c r="L1259" s="8">
        <v>288746</v>
      </c>
      <c r="M1259" s="8">
        <v>19</v>
      </c>
      <c r="N1259" s="8">
        <v>1</v>
      </c>
      <c r="O1259" s="8">
        <v>1</v>
      </c>
      <c r="P1259" s="8"/>
    </row>
    <row r="1260" spans="1:16" hidden="1" x14ac:dyDescent="0.25">
      <c r="A1260" s="7" t="s">
        <v>37</v>
      </c>
      <c r="B1260" s="7" t="s">
        <v>415</v>
      </c>
      <c r="C1260" s="8">
        <v>27588</v>
      </c>
      <c r="D1260" s="7" t="s">
        <v>52</v>
      </c>
      <c r="E1260" s="7" t="s">
        <v>53</v>
      </c>
      <c r="F1260" s="7" t="s">
        <v>63</v>
      </c>
      <c r="G1260" s="7" t="s">
        <v>18</v>
      </c>
      <c r="H1260" s="7" t="s">
        <v>48</v>
      </c>
      <c r="I1260" s="7" t="s">
        <v>712</v>
      </c>
      <c r="J1260" s="7" t="s">
        <v>691</v>
      </c>
      <c r="K1260" s="8">
        <v>6143818</v>
      </c>
      <c r="L1260" s="8">
        <v>319586</v>
      </c>
      <c r="M1260" s="8">
        <v>19</v>
      </c>
      <c r="N1260" s="8">
        <v>1</v>
      </c>
      <c r="O1260" s="8">
        <v>5</v>
      </c>
      <c r="P1260" s="8"/>
    </row>
    <row r="1261" spans="1:16" hidden="1" x14ac:dyDescent="0.25">
      <c r="A1261" s="7" t="s">
        <v>37</v>
      </c>
      <c r="B1261" s="7" t="s">
        <v>415</v>
      </c>
      <c r="C1261" s="8">
        <v>27589</v>
      </c>
      <c r="D1261" s="7" t="s">
        <v>28</v>
      </c>
      <c r="E1261" s="7" t="s">
        <v>344</v>
      </c>
      <c r="F1261" s="7" t="s">
        <v>505</v>
      </c>
      <c r="G1261" s="7" t="s">
        <v>18</v>
      </c>
      <c r="H1261" s="7" t="s">
        <v>24</v>
      </c>
      <c r="I1261" s="7" t="s">
        <v>712</v>
      </c>
      <c r="J1261" s="7" t="s">
        <v>712</v>
      </c>
      <c r="K1261" s="8">
        <v>6272503</v>
      </c>
      <c r="L1261" s="8">
        <v>303412</v>
      </c>
      <c r="M1261" s="8">
        <v>19</v>
      </c>
      <c r="N1261" s="8">
        <v>1</v>
      </c>
      <c r="O1261" s="8">
        <v>1</v>
      </c>
      <c r="P1261" s="8"/>
    </row>
    <row r="1262" spans="1:16" hidden="1" x14ac:dyDescent="0.25">
      <c r="A1262" s="7" t="s">
        <v>37</v>
      </c>
      <c r="B1262" s="7" t="s">
        <v>415</v>
      </c>
      <c r="C1262" s="8">
        <v>27591</v>
      </c>
      <c r="D1262" s="7" t="s">
        <v>28</v>
      </c>
      <c r="E1262" s="7" t="s">
        <v>344</v>
      </c>
      <c r="F1262" s="7" t="s">
        <v>505</v>
      </c>
      <c r="G1262" s="7" t="s">
        <v>18</v>
      </c>
      <c r="H1262" s="7" t="s">
        <v>24</v>
      </c>
      <c r="I1262" s="7" t="s">
        <v>712</v>
      </c>
      <c r="J1262" s="7" t="s">
        <v>712</v>
      </c>
      <c r="K1262" s="8">
        <v>6272795</v>
      </c>
      <c r="L1262" s="8">
        <v>303479</v>
      </c>
      <c r="M1262" s="8">
        <v>19</v>
      </c>
      <c r="N1262" s="8">
        <v>1</v>
      </c>
      <c r="O1262" s="8">
        <v>0.98</v>
      </c>
      <c r="P1262" s="8"/>
    </row>
    <row r="1263" spans="1:16" hidden="1" x14ac:dyDescent="0.25">
      <c r="A1263" s="7" t="s">
        <v>37</v>
      </c>
      <c r="B1263" s="7" t="s">
        <v>415</v>
      </c>
      <c r="C1263" s="8">
        <v>27592</v>
      </c>
      <c r="D1263" s="7" t="s">
        <v>28</v>
      </c>
      <c r="E1263" s="7" t="s">
        <v>146</v>
      </c>
      <c r="F1263" s="7" t="s">
        <v>458</v>
      </c>
      <c r="G1263" s="7" t="s">
        <v>18</v>
      </c>
      <c r="H1263" s="7" t="s">
        <v>24</v>
      </c>
      <c r="I1263" s="7" t="s">
        <v>712</v>
      </c>
      <c r="J1263" s="7" t="s">
        <v>712</v>
      </c>
      <c r="K1263" s="8">
        <v>6271881</v>
      </c>
      <c r="L1263" s="8">
        <v>326114</v>
      </c>
      <c r="M1263" s="8">
        <v>19</v>
      </c>
      <c r="N1263" s="8">
        <v>1</v>
      </c>
      <c r="O1263" s="8">
        <v>1.05</v>
      </c>
      <c r="P1263" s="8"/>
    </row>
    <row r="1264" spans="1:16" hidden="1" x14ac:dyDescent="0.25">
      <c r="A1264" s="7" t="s">
        <v>37</v>
      </c>
      <c r="B1264" s="7" t="s">
        <v>415</v>
      </c>
      <c r="C1264" s="8">
        <v>27593</v>
      </c>
      <c r="D1264" s="7" t="s">
        <v>28</v>
      </c>
      <c r="E1264" s="7" t="s">
        <v>146</v>
      </c>
      <c r="F1264" s="7" t="s">
        <v>458</v>
      </c>
      <c r="G1264" s="7" t="s">
        <v>18</v>
      </c>
      <c r="H1264" s="7" t="s">
        <v>24</v>
      </c>
      <c r="I1264" s="7" t="s">
        <v>712</v>
      </c>
      <c r="J1264" s="7" t="s">
        <v>712</v>
      </c>
      <c r="K1264" s="8">
        <v>6271556</v>
      </c>
      <c r="L1264" s="8">
        <v>325788</v>
      </c>
      <c r="M1264" s="8">
        <v>19</v>
      </c>
      <c r="N1264" s="8">
        <v>1</v>
      </c>
      <c r="O1264" s="8">
        <v>1</v>
      </c>
      <c r="P1264" s="8"/>
    </row>
    <row r="1265" spans="1:16" hidden="1" x14ac:dyDescent="0.25">
      <c r="A1265" s="7" t="s">
        <v>37</v>
      </c>
      <c r="B1265" s="7" t="s">
        <v>415</v>
      </c>
      <c r="C1265" s="8">
        <v>27594</v>
      </c>
      <c r="D1265" s="7" t="s">
        <v>28</v>
      </c>
      <c r="E1265" s="7" t="s">
        <v>142</v>
      </c>
      <c r="F1265" s="7" t="s">
        <v>142</v>
      </c>
      <c r="G1265" s="7" t="s">
        <v>18</v>
      </c>
      <c r="H1265" s="7" t="s">
        <v>24</v>
      </c>
      <c r="I1265" s="7" t="s">
        <v>712</v>
      </c>
      <c r="J1265" s="7" t="s">
        <v>712</v>
      </c>
      <c r="K1265" s="8">
        <v>6276846</v>
      </c>
      <c r="L1265" s="8">
        <v>330721</v>
      </c>
      <c r="M1265" s="8">
        <v>19</v>
      </c>
      <c r="N1265" s="8">
        <v>1</v>
      </c>
      <c r="O1265" s="8">
        <v>2.5</v>
      </c>
      <c r="P1265" s="8"/>
    </row>
    <row r="1266" spans="1:16" hidden="1" x14ac:dyDescent="0.25">
      <c r="A1266" s="7" t="s">
        <v>37</v>
      </c>
      <c r="B1266" s="7" t="s">
        <v>181</v>
      </c>
      <c r="C1266" s="8">
        <v>27600</v>
      </c>
      <c r="D1266" s="7" t="s">
        <v>34</v>
      </c>
      <c r="E1266" s="7" t="s">
        <v>112</v>
      </c>
      <c r="F1266" s="7" t="s">
        <v>112</v>
      </c>
      <c r="G1266" s="7" t="s">
        <v>43</v>
      </c>
      <c r="H1266" s="7" t="s">
        <v>48</v>
      </c>
      <c r="I1266" s="7" t="s">
        <v>91</v>
      </c>
      <c r="J1266" s="7" t="s">
        <v>91</v>
      </c>
      <c r="K1266" s="8">
        <v>5888861</v>
      </c>
      <c r="L1266" s="8">
        <v>233703</v>
      </c>
      <c r="M1266" s="8">
        <v>19</v>
      </c>
      <c r="N1266" s="8">
        <v>1</v>
      </c>
      <c r="O1266" s="8">
        <v>35</v>
      </c>
      <c r="P1266" s="8"/>
    </row>
    <row r="1267" spans="1:16" hidden="1" x14ac:dyDescent="0.25">
      <c r="A1267" s="7" t="s">
        <v>19</v>
      </c>
      <c r="B1267" s="7" t="s">
        <v>415</v>
      </c>
      <c r="C1267" s="8">
        <v>27601</v>
      </c>
      <c r="D1267" s="7" t="s">
        <v>28</v>
      </c>
      <c r="E1267" s="7" t="s">
        <v>32</v>
      </c>
      <c r="F1267" s="7" t="s">
        <v>147</v>
      </c>
      <c r="G1267" s="7" t="s">
        <v>18</v>
      </c>
      <c r="H1267" s="7" t="s">
        <v>48</v>
      </c>
      <c r="I1267" s="7" t="s">
        <v>712</v>
      </c>
      <c r="J1267" s="7" t="s">
        <v>712</v>
      </c>
      <c r="K1267" s="8">
        <v>6271003</v>
      </c>
      <c r="L1267" s="8">
        <v>335889</v>
      </c>
      <c r="M1267" s="8">
        <v>19</v>
      </c>
      <c r="N1267" s="8">
        <v>1</v>
      </c>
      <c r="O1267" s="8">
        <v>0.4</v>
      </c>
      <c r="P1267" s="8"/>
    </row>
    <row r="1268" spans="1:16" hidden="1" x14ac:dyDescent="0.25">
      <c r="A1268" s="7" t="s">
        <v>19</v>
      </c>
      <c r="B1268" s="7" t="s">
        <v>254</v>
      </c>
      <c r="C1268" s="8">
        <v>27603</v>
      </c>
      <c r="D1268" s="7" t="s">
        <v>21</v>
      </c>
      <c r="E1268" s="7" t="s">
        <v>280</v>
      </c>
      <c r="F1268" s="7" t="s">
        <v>280</v>
      </c>
      <c r="G1268" s="7" t="s">
        <v>18</v>
      </c>
      <c r="H1268" s="7" t="s">
        <v>66</v>
      </c>
      <c r="I1268" s="7" t="s">
        <v>712</v>
      </c>
      <c r="J1268" s="7" t="s">
        <v>712</v>
      </c>
      <c r="K1268" s="8">
        <v>6362146</v>
      </c>
      <c r="L1268" s="8">
        <v>318598</v>
      </c>
      <c r="M1268" s="8">
        <v>19</v>
      </c>
      <c r="N1268" s="8">
        <v>1</v>
      </c>
      <c r="O1268" s="8">
        <v>0</v>
      </c>
      <c r="P1268" s="8"/>
    </row>
    <row r="1269" spans="1:16" hidden="1" x14ac:dyDescent="0.25">
      <c r="A1269" s="7" t="s">
        <v>37</v>
      </c>
      <c r="B1269" s="7" t="s">
        <v>415</v>
      </c>
      <c r="C1269" s="8">
        <v>27604</v>
      </c>
      <c r="D1269" s="7" t="s">
        <v>28</v>
      </c>
      <c r="E1269" s="7" t="s">
        <v>429</v>
      </c>
      <c r="F1269" s="7" t="s">
        <v>430</v>
      </c>
      <c r="G1269" s="7" t="s">
        <v>18</v>
      </c>
      <c r="H1269" s="7" t="s">
        <v>24</v>
      </c>
      <c r="I1269" s="7" t="s">
        <v>712</v>
      </c>
      <c r="J1269" s="7" t="s">
        <v>712</v>
      </c>
      <c r="K1269" s="8">
        <v>6325651</v>
      </c>
      <c r="L1269" s="8">
        <v>324922</v>
      </c>
      <c r="M1269" s="8">
        <v>19</v>
      </c>
      <c r="N1269" s="8">
        <v>1</v>
      </c>
      <c r="O1269" s="8">
        <v>0.9</v>
      </c>
      <c r="P1269" s="8"/>
    </row>
    <row r="1270" spans="1:16" hidden="1" x14ac:dyDescent="0.25">
      <c r="A1270" s="7" t="s">
        <v>37</v>
      </c>
      <c r="B1270" s="7" t="s">
        <v>415</v>
      </c>
      <c r="C1270" s="8">
        <v>27606</v>
      </c>
      <c r="D1270" s="7" t="s">
        <v>28</v>
      </c>
      <c r="E1270" s="7" t="s">
        <v>29</v>
      </c>
      <c r="F1270" s="7" t="s">
        <v>506</v>
      </c>
      <c r="G1270" s="7" t="s">
        <v>18</v>
      </c>
      <c r="H1270" s="7" t="s">
        <v>109</v>
      </c>
      <c r="I1270" s="7" t="s">
        <v>712</v>
      </c>
      <c r="J1270" s="7" t="s">
        <v>691</v>
      </c>
      <c r="K1270" s="8">
        <v>6260787</v>
      </c>
      <c r="L1270" s="8">
        <v>347265</v>
      </c>
      <c r="M1270" s="8">
        <v>19</v>
      </c>
      <c r="N1270" s="8">
        <v>1</v>
      </c>
      <c r="O1270" s="8">
        <v>2.58</v>
      </c>
      <c r="P1270" s="8"/>
    </row>
    <row r="1271" spans="1:16" hidden="1" x14ac:dyDescent="0.25">
      <c r="A1271" s="7" t="s">
        <v>19</v>
      </c>
      <c r="B1271" s="7" t="s">
        <v>415</v>
      </c>
      <c r="C1271" s="8">
        <v>27607</v>
      </c>
      <c r="D1271" s="7" t="s">
        <v>28</v>
      </c>
      <c r="E1271" s="7" t="s">
        <v>32</v>
      </c>
      <c r="F1271" s="7" t="s">
        <v>147</v>
      </c>
      <c r="G1271" s="7" t="s">
        <v>18</v>
      </c>
      <c r="H1271" s="7" t="s">
        <v>48</v>
      </c>
      <c r="I1271" s="7" t="s">
        <v>712</v>
      </c>
      <c r="J1271" s="7" t="s">
        <v>712</v>
      </c>
      <c r="K1271" s="8">
        <v>6271281</v>
      </c>
      <c r="L1271" s="8">
        <v>335653</v>
      </c>
      <c r="M1271" s="8">
        <v>19</v>
      </c>
      <c r="N1271" s="8">
        <v>1</v>
      </c>
      <c r="O1271" s="8">
        <v>0.42</v>
      </c>
      <c r="P1271" s="8"/>
    </row>
    <row r="1272" spans="1:16" hidden="1" x14ac:dyDescent="0.25">
      <c r="A1272" s="7" t="s">
        <v>19</v>
      </c>
      <c r="B1272" s="7" t="s">
        <v>415</v>
      </c>
      <c r="C1272" s="8">
        <v>27608</v>
      </c>
      <c r="D1272" s="7" t="s">
        <v>28</v>
      </c>
      <c r="E1272" s="7" t="s">
        <v>32</v>
      </c>
      <c r="F1272" s="7" t="s">
        <v>337</v>
      </c>
      <c r="G1272" s="7" t="s">
        <v>18</v>
      </c>
      <c r="H1272" s="7" t="s">
        <v>48</v>
      </c>
      <c r="I1272" s="7" t="s">
        <v>712</v>
      </c>
      <c r="J1272" s="7" t="s">
        <v>712</v>
      </c>
      <c r="K1272" s="8">
        <v>6268052</v>
      </c>
      <c r="L1272" s="8">
        <v>333579</v>
      </c>
      <c r="M1272" s="8">
        <v>19</v>
      </c>
      <c r="N1272" s="8">
        <v>1</v>
      </c>
      <c r="O1272" s="8">
        <v>0.4</v>
      </c>
      <c r="P1272" s="8"/>
    </row>
    <row r="1273" spans="1:16" hidden="1" x14ac:dyDescent="0.25">
      <c r="A1273" s="7" t="s">
        <v>19</v>
      </c>
      <c r="B1273" s="7" t="s">
        <v>415</v>
      </c>
      <c r="C1273" s="8">
        <v>27610</v>
      </c>
      <c r="D1273" s="7" t="s">
        <v>28</v>
      </c>
      <c r="E1273" s="7" t="s">
        <v>56</v>
      </c>
      <c r="F1273" s="7" t="s">
        <v>56</v>
      </c>
      <c r="G1273" s="7" t="s">
        <v>18</v>
      </c>
      <c r="H1273" s="7" t="s">
        <v>48</v>
      </c>
      <c r="I1273" s="7" t="s">
        <v>712</v>
      </c>
      <c r="J1273" s="7" t="s">
        <v>712</v>
      </c>
      <c r="K1273" s="8">
        <v>6266103</v>
      </c>
      <c r="L1273" s="8">
        <v>341301</v>
      </c>
      <c r="M1273" s="8">
        <v>19</v>
      </c>
      <c r="N1273" s="8">
        <v>1</v>
      </c>
      <c r="O1273" s="8">
        <v>0.39</v>
      </c>
      <c r="P1273" s="8"/>
    </row>
    <row r="1274" spans="1:16" hidden="1" x14ac:dyDescent="0.25">
      <c r="A1274" s="7" t="s">
        <v>37</v>
      </c>
      <c r="B1274" s="7" t="s">
        <v>415</v>
      </c>
      <c r="C1274" s="8">
        <v>27611</v>
      </c>
      <c r="D1274" s="7" t="s">
        <v>28</v>
      </c>
      <c r="E1274" s="7" t="s">
        <v>29</v>
      </c>
      <c r="F1274" s="7" t="s">
        <v>30</v>
      </c>
      <c r="G1274" s="7" t="s">
        <v>18</v>
      </c>
      <c r="H1274" s="7" t="s">
        <v>24</v>
      </c>
      <c r="I1274" s="7" t="s">
        <v>712</v>
      </c>
      <c r="J1274" s="7" t="s">
        <v>712</v>
      </c>
      <c r="K1274" s="8">
        <v>6279417</v>
      </c>
      <c r="L1274" s="8">
        <v>334649</v>
      </c>
      <c r="M1274" s="8">
        <v>19</v>
      </c>
      <c r="N1274" s="8">
        <v>1</v>
      </c>
      <c r="O1274" s="8">
        <v>4.9000000000000004</v>
      </c>
      <c r="P1274" s="8"/>
    </row>
    <row r="1275" spans="1:16" hidden="1" x14ac:dyDescent="0.25">
      <c r="A1275" s="7" t="s">
        <v>19</v>
      </c>
      <c r="B1275" s="7" t="s">
        <v>254</v>
      </c>
      <c r="C1275" s="8">
        <v>27612</v>
      </c>
      <c r="D1275" s="7" t="s">
        <v>21</v>
      </c>
      <c r="E1275" s="7" t="s">
        <v>280</v>
      </c>
      <c r="F1275" s="7" t="s">
        <v>280</v>
      </c>
      <c r="G1275" s="7" t="s">
        <v>18</v>
      </c>
      <c r="H1275" s="7" t="s">
        <v>66</v>
      </c>
      <c r="I1275" s="7" t="s">
        <v>712</v>
      </c>
      <c r="J1275" s="7" t="s">
        <v>712</v>
      </c>
      <c r="K1275" s="8">
        <v>6362146</v>
      </c>
      <c r="L1275" s="8">
        <v>318598</v>
      </c>
      <c r="M1275" s="8">
        <v>19</v>
      </c>
      <c r="N1275" s="8">
        <v>1</v>
      </c>
      <c r="O1275" s="8">
        <v>0.01</v>
      </c>
      <c r="P1275" s="8"/>
    </row>
    <row r="1276" spans="1:16" hidden="1" x14ac:dyDescent="0.25">
      <c r="A1276" s="7" t="s">
        <v>37</v>
      </c>
      <c r="B1276" s="7" t="s">
        <v>124</v>
      </c>
      <c r="C1276" s="8">
        <v>27613</v>
      </c>
      <c r="D1276" s="7" t="s">
        <v>16</v>
      </c>
      <c r="E1276" s="7" t="s">
        <v>137</v>
      </c>
      <c r="F1276" s="7" t="s">
        <v>137</v>
      </c>
      <c r="G1276" s="7" t="s">
        <v>18</v>
      </c>
      <c r="H1276" s="7" t="s">
        <v>24</v>
      </c>
      <c r="I1276" s="7" t="s">
        <v>712</v>
      </c>
      <c r="J1276" s="7" t="s">
        <v>712</v>
      </c>
      <c r="K1276" s="8">
        <v>6085633</v>
      </c>
      <c r="L1276" s="8">
        <v>245164</v>
      </c>
      <c r="M1276" s="8">
        <v>19</v>
      </c>
      <c r="N1276" s="8">
        <v>1</v>
      </c>
      <c r="O1276" s="8">
        <v>14.2</v>
      </c>
      <c r="P1276" s="8"/>
    </row>
    <row r="1277" spans="1:16" hidden="1" x14ac:dyDescent="0.25">
      <c r="A1277" s="7" t="s">
        <v>19</v>
      </c>
      <c r="B1277" s="7" t="s">
        <v>254</v>
      </c>
      <c r="C1277" s="8">
        <v>27614</v>
      </c>
      <c r="D1277" s="7" t="s">
        <v>21</v>
      </c>
      <c r="E1277" s="7" t="s">
        <v>280</v>
      </c>
      <c r="F1277" s="7" t="s">
        <v>280</v>
      </c>
      <c r="G1277" s="7" t="s">
        <v>18</v>
      </c>
      <c r="H1277" s="7" t="s">
        <v>66</v>
      </c>
      <c r="I1277" s="7" t="s">
        <v>712</v>
      </c>
      <c r="J1277" s="7" t="s">
        <v>712</v>
      </c>
      <c r="K1277" s="8">
        <v>6362146</v>
      </c>
      <c r="L1277" s="8">
        <v>318598</v>
      </c>
      <c r="M1277" s="8">
        <v>19</v>
      </c>
      <c r="N1277" s="8">
        <v>1</v>
      </c>
      <c r="O1277" s="8">
        <v>0.02</v>
      </c>
      <c r="P1277" s="8"/>
    </row>
    <row r="1278" spans="1:16" hidden="1" x14ac:dyDescent="0.25">
      <c r="A1278" s="7" t="s">
        <v>19</v>
      </c>
      <c r="B1278" s="7" t="s">
        <v>124</v>
      </c>
      <c r="C1278" s="8">
        <v>27616</v>
      </c>
      <c r="D1278" s="7" t="s">
        <v>52</v>
      </c>
      <c r="E1278" s="7" t="s">
        <v>141</v>
      </c>
      <c r="F1278" s="7" t="s">
        <v>141</v>
      </c>
      <c r="G1278" s="7" t="s">
        <v>18</v>
      </c>
      <c r="H1278" s="7" t="s">
        <v>48</v>
      </c>
      <c r="I1278" s="7" t="s">
        <v>712</v>
      </c>
      <c r="J1278" s="7" t="s">
        <v>691</v>
      </c>
      <c r="K1278" s="8">
        <v>6217277</v>
      </c>
      <c r="L1278" s="8">
        <v>336626</v>
      </c>
      <c r="M1278" s="8">
        <v>19</v>
      </c>
      <c r="N1278" s="8">
        <v>1</v>
      </c>
      <c r="O1278" s="8">
        <v>7</v>
      </c>
      <c r="P1278" s="8"/>
    </row>
    <row r="1279" spans="1:16" hidden="1" x14ac:dyDescent="0.25">
      <c r="A1279" s="7" t="s">
        <v>37</v>
      </c>
      <c r="B1279" s="7" t="s">
        <v>415</v>
      </c>
      <c r="C1279" s="8">
        <v>27619</v>
      </c>
      <c r="D1279" s="7" t="s">
        <v>28</v>
      </c>
      <c r="E1279" s="7" t="s">
        <v>142</v>
      </c>
      <c r="F1279" s="7" t="s">
        <v>458</v>
      </c>
      <c r="G1279" s="7" t="s">
        <v>18</v>
      </c>
      <c r="H1279" s="7" t="s">
        <v>24</v>
      </c>
      <c r="I1279" s="7" t="s">
        <v>712</v>
      </c>
      <c r="J1279" s="7" t="s">
        <v>712</v>
      </c>
      <c r="K1279" s="8">
        <v>6277406</v>
      </c>
      <c r="L1279" s="8">
        <v>331850</v>
      </c>
      <c r="M1279" s="8">
        <v>19</v>
      </c>
      <c r="N1279" s="8">
        <v>1</v>
      </c>
      <c r="O1279" s="8">
        <v>4.92</v>
      </c>
      <c r="P1279" s="8"/>
    </row>
    <row r="1280" spans="1:16" hidden="1" x14ac:dyDescent="0.25">
      <c r="A1280" s="7" t="s">
        <v>37</v>
      </c>
      <c r="B1280" s="7" t="s">
        <v>124</v>
      </c>
      <c r="C1280" s="8">
        <v>27620</v>
      </c>
      <c r="D1280" s="7" t="s">
        <v>52</v>
      </c>
      <c r="E1280" s="7" t="s">
        <v>132</v>
      </c>
      <c r="F1280" s="7" t="s">
        <v>133</v>
      </c>
      <c r="G1280" s="7" t="s">
        <v>18</v>
      </c>
      <c r="H1280" s="7" t="s">
        <v>48</v>
      </c>
      <c r="I1280" s="7" t="s">
        <v>712</v>
      </c>
      <c r="J1280" s="7" t="s">
        <v>691</v>
      </c>
      <c r="K1280" s="8">
        <v>6217183</v>
      </c>
      <c r="L1280" s="8">
        <v>346078</v>
      </c>
      <c r="M1280" s="8">
        <v>19</v>
      </c>
      <c r="N1280" s="8">
        <v>2</v>
      </c>
      <c r="O1280" s="8">
        <v>36.5</v>
      </c>
      <c r="P1280" s="8"/>
    </row>
    <row r="1281" spans="1:16" hidden="1" x14ac:dyDescent="0.25">
      <c r="A1281" s="7" t="s">
        <v>37</v>
      </c>
      <c r="B1281" s="7" t="s">
        <v>415</v>
      </c>
      <c r="C1281" s="8">
        <v>27622</v>
      </c>
      <c r="D1281" s="7" t="s">
        <v>28</v>
      </c>
      <c r="E1281" s="7" t="s">
        <v>146</v>
      </c>
      <c r="F1281" s="7" t="s">
        <v>146</v>
      </c>
      <c r="G1281" s="7" t="s">
        <v>18</v>
      </c>
      <c r="H1281" s="7" t="s">
        <v>24</v>
      </c>
      <c r="I1281" s="7" t="s">
        <v>712</v>
      </c>
      <c r="J1281" s="7" t="s">
        <v>712</v>
      </c>
      <c r="K1281" s="8">
        <v>6270973</v>
      </c>
      <c r="L1281" s="8">
        <v>325955</v>
      </c>
      <c r="M1281" s="8">
        <v>19</v>
      </c>
      <c r="N1281" s="8">
        <v>1</v>
      </c>
      <c r="O1281" s="8">
        <v>1.02</v>
      </c>
      <c r="P1281" s="8"/>
    </row>
    <row r="1282" spans="1:16" hidden="1" x14ac:dyDescent="0.25">
      <c r="A1282" s="7" t="s">
        <v>19</v>
      </c>
      <c r="B1282" s="7" t="s">
        <v>415</v>
      </c>
      <c r="C1282" s="8">
        <v>27623</v>
      </c>
      <c r="D1282" s="7" t="s">
        <v>28</v>
      </c>
      <c r="E1282" s="7" t="s">
        <v>56</v>
      </c>
      <c r="F1282" s="7" t="s">
        <v>162</v>
      </c>
      <c r="G1282" s="7" t="s">
        <v>18</v>
      </c>
      <c r="H1282" s="7" t="s">
        <v>48</v>
      </c>
      <c r="I1282" s="7" t="s">
        <v>712</v>
      </c>
      <c r="J1282" s="7" t="s">
        <v>712</v>
      </c>
      <c r="K1282" s="8">
        <v>6256859</v>
      </c>
      <c r="L1282" s="8">
        <v>333561</v>
      </c>
      <c r="M1282" s="8">
        <v>19</v>
      </c>
      <c r="N1282" s="8">
        <v>1</v>
      </c>
      <c r="O1282" s="8">
        <v>0.31</v>
      </c>
      <c r="P1282" s="8"/>
    </row>
    <row r="1283" spans="1:16" hidden="1" x14ac:dyDescent="0.25">
      <c r="A1283" s="7" t="s">
        <v>37</v>
      </c>
      <c r="B1283" s="7" t="s">
        <v>415</v>
      </c>
      <c r="C1283" s="8">
        <v>27624</v>
      </c>
      <c r="D1283" s="7" t="s">
        <v>28</v>
      </c>
      <c r="E1283" s="7" t="s">
        <v>344</v>
      </c>
      <c r="F1283" s="7" t="s">
        <v>361</v>
      </c>
      <c r="G1283" s="7" t="s">
        <v>18</v>
      </c>
      <c r="H1283" s="7" t="s">
        <v>24</v>
      </c>
      <c r="I1283" s="7" t="s">
        <v>712</v>
      </c>
      <c r="J1283" s="7" t="s">
        <v>712</v>
      </c>
      <c r="K1283" s="8">
        <v>6274793</v>
      </c>
      <c r="L1283" s="8">
        <v>284731</v>
      </c>
      <c r="M1283" s="8">
        <v>19</v>
      </c>
      <c r="N1283" s="8">
        <v>1</v>
      </c>
      <c r="O1283" s="8">
        <v>1</v>
      </c>
      <c r="P1283" s="8"/>
    </row>
    <row r="1284" spans="1:16" hidden="1" x14ac:dyDescent="0.25">
      <c r="A1284" s="7" t="s">
        <v>19</v>
      </c>
      <c r="B1284" s="7" t="s">
        <v>415</v>
      </c>
      <c r="C1284" s="8">
        <v>27626</v>
      </c>
      <c r="D1284" s="7" t="s">
        <v>28</v>
      </c>
      <c r="E1284" s="7" t="s">
        <v>146</v>
      </c>
      <c r="F1284" s="7" t="s">
        <v>146</v>
      </c>
      <c r="G1284" s="7" t="s">
        <v>18</v>
      </c>
      <c r="H1284" s="7" t="s">
        <v>48</v>
      </c>
      <c r="I1284" s="7" t="s">
        <v>712</v>
      </c>
      <c r="J1284" s="7" t="s">
        <v>712</v>
      </c>
      <c r="K1284" s="8">
        <v>6269617</v>
      </c>
      <c r="L1284" s="8">
        <v>318884</v>
      </c>
      <c r="M1284" s="8">
        <v>19</v>
      </c>
      <c r="N1284" s="8">
        <v>1</v>
      </c>
      <c r="O1284" s="8">
        <v>0.4</v>
      </c>
      <c r="P1284" s="8"/>
    </row>
    <row r="1285" spans="1:16" hidden="1" x14ac:dyDescent="0.25">
      <c r="A1285" s="7" t="s">
        <v>19</v>
      </c>
      <c r="B1285" s="7" t="s">
        <v>415</v>
      </c>
      <c r="C1285" s="8">
        <v>27627</v>
      </c>
      <c r="D1285" s="7" t="s">
        <v>28</v>
      </c>
      <c r="E1285" s="7" t="s">
        <v>142</v>
      </c>
      <c r="F1285" s="7" t="s">
        <v>142</v>
      </c>
      <c r="G1285" s="7" t="s">
        <v>18</v>
      </c>
      <c r="H1285" s="7" t="s">
        <v>48</v>
      </c>
      <c r="I1285" s="7" t="s">
        <v>712</v>
      </c>
      <c r="J1285" s="7" t="s">
        <v>712</v>
      </c>
      <c r="K1285" s="8">
        <v>6278923</v>
      </c>
      <c r="L1285" s="8">
        <v>333228</v>
      </c>
      <c r="M1285" s="8">
        <v>19</v>
      </c>
      <c r="N1285" s="8">
        <v>1</v>
      </c>
      <c r="O1285" s="8">
        <v>0.31</v>
      </c>
      <c r="P1285" s="8"/>
    </row>
    <row r="1286" spans="1:16" hidden="1" x14ac:dyDescent="0.25">
      <c r="A1286" s="7" t="s">
        <v>37</v>
      </c>
      <c r="B1286" s="7" t="s">
        <v>254</v>
      </c>
      <c r="C1286" s="8">
        <v>27629</v>
      </c>
      <c r="D1286" s="7" t="s">
        <v>16</v>
      </c>
      <c r="E1286" s="7" t="s">
        <v>268</v>
      </c>
      <c r="F1286" s="7" t="s">
        <v>282</v>
      </c>
      <c r="G1286" s="7" t="s">
        <v>18</v>
      </c>
      <c r="H1286" s="7" t="s">
        <v>24</v>
      </c>
      <c r="I1286" s="7" t="s">
        <v>712</v>
      </c>
      <c r="J1286" s="7" t="s">
        <v>712</v>
      </c>
      <c r="K1286" s="8">
        <v>6137233</v>
      </c>
      <c r="L1286" s="8">
        <v>315571</v>
      </c>
      <c r="M1286" s="8">
        <v>19</v>
      </c>
      <c r="N1286" s="8">
        <v>1</v>
      </c>
      <c r="O1286" s="8">
        <v>0.6</v>
      </c>
      <c r="P1286" s="8"/>
    </row>
    <row r="1287" spans="1:16" hidden="1" x14ac:dyDescent="0.25">
      <c r="A1287" s="7" t="s">
        <v>14</v>
      </c>
      <c r="B1287" s="7" t="s">
        <v>181</v>
      </c>
      <c r="C1287" s="8">
        <v>27630</v>
      </c>
      <c r="D1287" s="7" t="s">
        <v>119</v>
      </c>
      <c r="E1287" s="7" t="s">
        <v>179</v>
      </c>
      <c r="F1287" s="7" t="s">
        <v>224</v>
      </c>
      <c r="G1287" s="7" t="s">
        <v>43</v>
      </c>
      <c r="H1287" s="7" t="s">
        <v>689</v>
      </c>
      <c r="I1287" s="7" t="s">
        <v>690</v>
      </c>
      <c r="J1287" s="7" t="s">
        <v>690</v>
      </c>
      <c r="K1287" s="8">
        <v>5736419</v>
      </c>
      <c r="L1287" s="8">
        <v>741577</v>
      </c>
      <c r="M1287" s="8">
        <v>18</v>
      </c>
      <c r="N1287" s="8">
        <v>1</v>
      </c>
      <c r="O1287" s="8">
        <v>0</v>
      </c>
      <c r="P1287" s="8"/>
    </row>
    <row r="1288" spans="1:16" hidden="1" x14ac:dyDescent="0.25">
      <c r="A1288" s="7" t="s">
        <v>14</v>
      </c>
      <c r="B1288" s="7" t="s">
        <v>181</v>
      </c>
      <c r="C1288" s="8">
        <v>27631</v>
      </c>
      <c r="D1288" s="7" t="s">
        <v>119</v>
      </c>
      <c r="E1288" s="7" t="s">
        <v>179</v>
      </c>
      <c r="F1288" s="7" t="s">
        <v>224</v>
      </c>
      <c r="G1288" s="7" t="s">
        <v>43</v>
      </c>
      <c r="H1288" s="7" t="s">
        <v>689</v>
      </c>
      <c r="I1288" s="7" t="s">
        <v>690</v>
      </c>
      <c r="J1288" s="7" t="s">
        <v>690</v>
      </c>
      <c r="K1288" s="8">
        <v>5736419</v>
      </c>
      <c r="L1288" s="8">
        <v>741577</v>
      </c>
      <c r="M1288" s="8">
        <v>18</v>
      </c>
      <c r="N1288" s="8">
        <v>1</v>
      </c>
      <c r="O1288" s="8">
        <v>0.85</v>
      </c>
      <c r="P1288" s="8"/>
    </row>
    <row r="1289" spans="1:16" hidden="1" x14ac:dyDescent="0.25">
      <c r="A1289" s="7" t="s">
        <v>14</v>
      </c>
      <c r="B1289" s="7" t="s">
        <v>181</v>
      </c>
      <c r="C1289" s="8">
        <v>27632</v>
      </c>
      <c r="D1289" s="7" t="s">
        <v>119</v>
      </c>
      <c r="E1289" s="7" t="s">
        <v>204</v>
      </c>
      <c r="F1289" s="7" t="s">
        <v>204</v>
      </c>
      <c r="G1289" s="7" t="s">
        <v>43</v>
      </c>
      <c r="H1289" s="7" t="s">
        <v>689</v>
      </c>
      <c r="I1289" s="7" t="s">
        <v>690</v>
      </c>
      <c r="J1289" s="7" t="s">
        <v>690</v>
      </c>
      <c r="K1289" s="8">
        <v>5717875</v>
      </c>
      <c r="L1289" s="8">
        <v>686885</v>
      </c>
      <c r="M1289" s="8">
        <v>18</v>
      </c>
      <c r="N1289" s="8">
        <v>1</v>
      </c>
      <c r="O1289" s="8">
        <v>1.3</v>
      </c>
      <c r="P1289" s="8"/>
    </row>
    <row r="1290" spans="1:16" hidden="1" x14ac:dyDescent="0.25">
      <c r="A1290" s="7" t="s">
        <v>37</v>
      </c>
      <c r="B1290" s="7" t="s">
        <v>181</v>
      </c>
      <c r="C1290" s="8">
        <v>27634</v>
      </c>
      <c r="D1290" s="7" t="s">
        <v>34</v>
      </c>
      <c r="E1290" s="7" t="s">
        <v>35</v>
      </c>
      <c r="F1290" s="7" t="s">
        <v>35</v>
      </c>
      <c r="G1290" s="7" t="s">
        <v>43</v>
      </c>
      <c r="H1290" s="7" t="s">
        <v>48</v>
      </c>
      <c r="I1290" s="7" t="s">
        <v>91</v>
      </c>
      <c r="J1290" s="7" t="s">
        <v>691</v>
      </c>
      <c r="K1290" s="8">
        <v>5848256</v>
      </c>
      <c r="L1290" s="8">
        <v>732487</v>
      </c>
      <c r="M1290" s="8">
        <v>18</v>
      </c>
      <c r="N1290" s="8">
        <v>1</v>
      </c>
      <c r="O1290" s="8">
        <v>17</v>
      </c>
      <c r="P1290" s="8"/>
    </row>
    <row r="1291" spans="1:16" hidden="1" x14ac:dyDescent="0.25">
      <c r="A1291" s="7" t="s">
        <v>37</v>
      </c>
      <c r="B1291" s="7" t="s">
        <v>181</v>
      </c>
      <c r="C1291" s="8">
        <v>27635</v>
      </c>
      <c r="D1291" s="7" t="s">
        <v>34</v>
      </c>
      <c r="E1291" s="7" t="s">
        <v>112</v>
      </c>
      <c r="F1291" s="7" t="s">
        <v>112</v>
      </c>
      <c r="G1291" s="7" t="s">
        <v>43</v>
      </c>
      <c r="H1291" s="7" t="s">
        <v>48</v>
      </c>
      <c r="I1291" s="7" t="s">
        <v>91</v>
      </c>
      <c r="J1291" s="7" t="s">
        <v>691</v>
      </c>
      <c r="K1291" s="8">
        <v>5895521</v>
      </c>
      <c r="L1291" s="8">
        <v>755322</v>
      </c>
      <c r="M1291" s="8">
        <v>18</v>
      </c>
      <c r="N1291" s="8">
        <v>1</v>
      </c>
      <c r="O1291" s="8">
        <v>28</v>
      </c>
      <c r="P1291" s="8"/>
    </row>
    <row r="1292" spans="1:16" hidden="1" x14ac:dyDescent="0.25">
      <c r="A1292" s="7" t="s">
        <v>14</v>
      </c>
      <c r="B1292" s="7" t="s">
        <v>343</v>
      </c>
      <c r="C1292" s="8">
        <v>27636</v>
      </c>
      <c r="D1292" s="7" t="s">
        <v>52</v>
      </c>
      <c r="E1292" s="7" t="s">
        <v>139</v>
      </c>
      <c r="F1292" s="7" t="s">
        <v>234</v>
      </c>
      <c r="G1292" s="7" t="s">
        <v>18</v>
      </c>
      <c r="H1292" s="7" t="s">
        <v>689</v>
      </c>
      <c r="I1292" s="7" t="s">
        <v>712</v>
      </c>
      <c r="J1292" s="7" t="s">
        <v>712</v>
      </c>
      <c r="K1292" s="8">
        <v>6228809</v>
      </c>
      <c r="L1292" s="8">
        <v>336947</v>
      </c>
      <c r="M1292" s="8">
        <v>19</v>
      </c>
      <c r="N1292" s="8">
        <v>1</v>
      </c>
      <c r="O1292" s="8">
        <v>6</v>
      </c>
      <c r="P1292" s="8"/>
    </row>
    <row r="1293" spans="1:16" hidden="1" x14ac:dyDescent="0.25">
      <c r="A1293" s="7" t="s">
        <v>37</v>
      </c>
      <c r="B1293" s="7" t="s">
        <v>415</v>
      </c>
      <c r="C1293" s="8">
        <v>27637</v>
      </c>
      <c r="D1293" s="7" t="s">
        <v>28</v>
      </c>
      <c r="E1293" s="7" t="s">
        <v>483</v>
      </c>
      <c r="F1293" s="7" t="s">
        <v>484</v>
      </c>
      <c r="G1293" s="7" t="s">
        <v>18</v>
      </c>
      <c r="H1293" s="7" t="s">
        <v>24</v>
      </c>
      <c r="I1293" s="7" t="s">
        <v>712</v>
      </c>
      <c r="J1293" s="7" t="s">
        <v>712</v>
      </c>
      <c r="K1293" s="8">
        <v>6324482</v>
      </c>
      <c r="L1293" s="8">
        <v>340131</v>
      </c>
      <c r="M1293" s="8">
        <v>19</v>
      </c>
      <c r="N1293" s="8">
        <v>1</v>
      </c>
      <c r="O1293" s="8">
        <v>2.4</v>
      </c>
      <c r="P1293" s="8"/>
    </row>
    <row r="1294" spans="1:16" hidden="1" x14ac:dyDescent="0.25">
      <c r="A1294" s="7" t="s">
        <v>37</v>
      </c>
      <c r="B1294" s="7" t="s">
        <v>415</v>
      </c>
      <c r="C1294" s="8">
        <v>27639</v>
      </c>
      <c r="D1294" s="7" t="s">
        <v>28</v>
      </c>
      <c r="E1294" s="7" t="s">
        <v>142</v>
      </c>
      <c r="F1294" s="7" t="s">
        <v>142</v>
      </c>
      <c r="G1294" s="7" t="s">
        <v>18</v>
      </c>
      <c r="H1294" s="7" t="s">
        <v>24</v>
      </c>
      <c r="I1294" s="7" t="s">
        <v>712</v>
      </c>
      <c r="J1294" s="7" t="s">
        <v>712</v>
      </c>
      <c r="K1294" s="8">
        <v>6279934</v>
      </c>
      <c r="L1294" s="8">
        <v>333937</v>
      </c>
      <c r="M1294" s="8">
        <v>19</v>
      </c>
      <c r="N1294" s="8">
        <v>1</v>
      </c>
      <c r="O1294" s="8">
        <v>1.1000000000000001</v>
      </c>
      <c r="P1294" s="8"/>
    </row>
    <row r="1295" spans="1:16" hidden="1" x14ac:dyDescent="0.25">
      <c r="A1295" s="7" t="s">
        <v>37</v>
      </c>
      <c r="B1295" s="7" t="s">
        <v>415</v>
      </c>
      <c r="C1295" s="8">
        <v>27640</v>
      </c>
      <c r="D1295" s="7" t="s">
        <v>28</v>
      </c>
      <c r="E1295" s="7" t="s">
        <v>429</v>
      </c>
      <c r="F1295" s="7" t="s">
        <v>430</v>
      </c>
      <c r="G1295" s="7" t="s">
        <v>18</v>
      </c>
      <c r="H1295" s="7" t="s">
        <v>24</v>
      </c>
      <c r="I1295" s="7" t="s">
        <v>712</v>
      </c>
      <c r="J1295" s="7" t="s">
        <v>712</v>
      </c>
      <c r="K1295" s="8">
        <v>6327698</v>
      </c>
      <c r="L1295" s="8">
        <v>324243</v>
      </c>
      <c r="M1295" s="8">
        <v>19</v>
      </c>
      <c r="N1295" s="8">
        <v>1</v>
      </c>
      <c r="O1295" s="8">
        <v>7.44</v>
      </c>
      <c r="P1295" s="8"/>
    </row>
    <row r="1296" spans="1:16" hidden="1" x14ac:dyDescent="0.25">
      <c r="A1296" s="7" t="s">
        <v>37</v>
      </c>
      <c r="B1296" s="7" t="s">
        <v>415</v>
      </c>
      <c r="C1296" s="8">
        <v>27641</v>
      </c>
      <c r="D1296" s="7" t="s">
        <v>28</v>
      </c>
      <c r="E1296" s="7" t="s">
        <v>393</v>
      </c>
      <c r="F1296" s="7" t="s">
        <v>507</v>
      </c>
      <c r="G1296" s="7" t="s">
        <v>18</v>
      </c>
      <c r="H1296" s="7" t="s">
        <v>24</v>
      </c>
      <c r="I1296" s="7" t="s">
        <v>712</v>
      </c>
      <c r="J1296" s="7" t="s">
        <v>712</v>
      </c>
      <c r="K1296" s="8">
        <v>6271427</v>
      </c>
      <c r="L1296" s="8">
        <v>307204</v>
      </c>
      <c r="M1296" s="8">
        <v>19</v>
      </c>
      <c r="N1296" s="8">
        <v>1</v>
      </c>
      <c r="O1296" s="8">
        <v>12.3</v>
      </c>
      <c r="P1296" s="8"/>
    </row>
    <row r="1297" spans="1:16" hidden="1" x14ac:dyDescent="0.25">
      <c r="A1297" s="7" t="s">
        <v>19</v>
      </c>
      <c r="B1297" s="7" t="s">
        <v>415</v>
      </c>
      <c r="C1297" s="8">
        <v>27642</v>
      </c>
      <c r="D1297" s="7" t="s">
        <v>28</v>
      </c>
      <c r="E1297" s="7" t="s">
        <v>32</v>
      </c>
      <c r="F1297" s="7" t="s">
        <v>508</v>
      </c>
      <c r="G1297" s="7" t="s">
        <v>18</v>
      </c>
      <c r="H1297" s="7" t="s">
        <v>48</v>
      </c>
      <c r="I1297" s="7" t="s">
        <v>712</v>
      </c>
      <c r="J1297" s="7" t="s">
        <v>712</v>
      </c>
      <c r="K1297" s="8">
        <v>6270855</v>
      </c>
      <c r="L1297" s="8">
        <v>336164</v>
      </c>
      <c r="M1297" s="8">
        <v>19</v>
      </c>
      <c r="N1297" s="8">
        <v>1</v>
      </c>
      <c r="O1297" s="8">
        <v>0.4</v>
      </c>
      <c r="P1297" s="8"/>
    </row>
    <row r="1298" spans="1:16" hidden="1" x14ac:dyDescent="0.25">
      <c r="A1298" s="7" t="s">
        <v>37</v>
      </c>
      <c r="B1298" s="7" t="s">
        <v>415</v>
      </c>
      <c r="C1298" s="8">
        <v>27643</v>
      </c>
      <c r="D1298" s="7" t="s">
        <v>28</v>
      </c>
      <c r="E1298" s="7" t="s">
        <v>146</v>
      </c>
      <c r="F1298" s="7" t="s">
        <v>146</v>
      </c>
      <c r="G1298" s="7" t="s">
        <v>18</v>
      </c>
      <c r="H1298" s="7" t="s">
        <v>24</v>
      </c>
      <c r="I1298" s="7" t="s">
        <v>712</v>
      </c>
      <c r="J1298" s="7" t="s">
        <v>712</v>
      </c>
      <c r="K1298" s="8">
        <v>6272278</v>
      </c>
      <c r="L1298" s="8">
        <v>320705</v>
      </c>
      <c r="M1298" s="8">
        <v>19</v>
      </c>
      <c r="N1298" s="8">
        <v>1</v>
      </c>
      <c r="O1298" s="8">
        <v>1.1000000000000001</v>
      </c>
      <c r="P1298" s="8"/>
    </row>
    <row r="1299" spans="1:16" hidden="1" x14ac:dyDescent="0.25">
      <c r="A1299" s="7" t="s">
        <v>37</v>
      </c>
      <c r="B1299" s="7" t="s">
        <v>415</v>
      </c>
      <c r="C1299" s="8">
        <v>27644</v>
      </c>
      <c r="D1299" s="7" t="s">
        <v>28</v>
      </c>
      <c r="E1299" s="7" t="s">
        <v>447</v>
      </c>
      <c r="F1299" s="7" t="s">
        <v>390</v>
      </c>
      <c r="G1299" s="7" t="s">
        <v>18</v>
      </c>
      <c r="H1299" s="7" t="s">
        <v>24</v>
      </c>
      <c r="I1299" s="7" t="s">
        <v>712</v>
      </c>
      <c r="J1299" s="7" t="s">
        <v>712</v>
      </c>
      <c r="K1299" s="8">
        <v>6303350</v>
      </c>
      <c r="L1299" s="8">
        <v>335745</v>
      </c>
      <c r="M1299" s="8">
        <v>19</v>
      </c>
      <c r="N1299" s="8">
        <v>1</v>
      </c>
      <c r="O1299" s="8">
        <v>8.16</v>
      </c>
      <c r="P1299" s="8"/>
    </row>
    <row r="1300" spans="1:16" hidden="1" x14ac:dyDescent="0.25">
      <c r="A1300" s="7" t="s">
        <v>14</v>
      </c>
      <c r="B1300" s="7" t="s">
        <v>556</v>
      </c>
      <c r="C1300" s="8">
        <v>27645</v>
      </c>
      <c r="D1300" s="7" t="s">
        <v>119</v>
      </c>
      <c r="E1300" s="7" t="s">
        <v>406</v>
      </c>
      <c r="F1300" s="7" t="s">
        <v>406</v>
      </c>
      <c r="G1300" s="7" t="s">
        <v>43</v>
      </c>
      <c r="H1300" s="7" t="s">
        <v>689</v>
      </c>
      <c r="I1300" s="7" t="s">
        <v>712</v>
      </c>
      <c r="J1300" s="7" t="s">
        <v>712</v>
      </c>
      <c r="K1300" s="8">
        <v>5665640</v>
      </c>
      <c r="L1300" s="8">
        <v>701298</v>
      </c>
      <c r="M1300" s="8">
        <v>18</v>
      </c>
      <c r="N1300" s="8">
        <v>1</v>
      </c>
      <c r="O1300" s="8">
        <v>1</v>
      </c>
      <c r="P1300" s="8"/>
    </row>
    <row r="1301" spans="1:16" hidden="1" x14ac:dyDescent="0.25">
      <c r="A1301" s="7" t="s">
        <v>37</v>
      </c>
      <c r="B1301" s="7" t="s">
        <v>415</v>
      </c>
      <c r="C1301" s="8">
        <v>27648</v>
      </c>
      <c r="D1301" s="7" t="s">
        <v>28</v>
      </c>
      <c r="E1301" s="7" t="s">
        <v>146</v>
      </c>
      <c r="F1301" s="7" t="s">
        <v>487</v>
      </c>
      <c r="G1301" s="7" t="s">
        <v>18</v>
      </c>
      <c r="H1301" s="7" t="s">
        <v>24</v>
      </c>
      <c r="I1301" s="7" t="s">
        <v>712</v>
      </c>
      <c r="J1301" s="7" t="s">
        <v>712</v>
      </c>
      <c r="K1301" s="8">
        <v>6271171</v>
      </c>
      <c r="L1301" s="8">
        <v>318075</v>
      </c>
      <c r="M1301" s="8">
        <v>19</v>
      </c>
      <c r="N1301" s="8">
        <v>1</v>
      </c>
      <c r="O1301" s="8">
        <v>1</v>
      </c>
      <c r="P1301" s="8"/>
    </row>
    <row r="1302" spans="1:16" hidden="1" x14ac:dyDescent="0.25">
      <c r="A1302" s="7" t="s">
        <v>37</v>
      </c>
      <c r="B1302" s="7" t="s">
        <v>343</v>
      </c>
      <c r="C1302" s="8">
        <v>27650</v>
      </c>
      <c r="D1302" s="7" t="s">
        <v>52</v>
      </c>
      <c r="E1302" s="7" t="s">
        <v>273</v>
      </c>
      <c r="F1302" s="7" t="s">
        <v>373</v>
      </c>
      <c r="G1302" s="7" t="s">
        <v>18</v>
      </c>
      <c r="H1302" s="7" t="s">
        <v>48</v>
      </c>
      <c r="I1302" s="7" t="s">
        <v>712</v>
      </c>
      <c r="J1302" s="7" t="s">
        <v>712</v>
      </c>
      <c r="K1302" s="8">
        <v>6163435</v>
      </c>
      <c r="L1302" s="8">
        <v>291377</v>
      </c>
      <c r="M1302" s="8">
        <v>19</v>
      </c>
      <c r="N1302" s="8">
        <v>5</v>
      </c>
      <c r="O1302" s="8">
        <v>45.13</v>
      </c>
      <c r="P1302" s="8"/>
    </row>
    <row r="1303" spans="1:16" hidden="1" x14ac:dyDescent="0.25">
      <c r="A1303" s="7" t="s">
        <v>37</v>
      </c>
      <c r="B1303" s="7" t="s">
        <v>124</v>
      </c>
      <c r="C1303" s="8">
        <v>27652</v>
      </c>
      <c r="D1303" s="7" t="s">
        <v>16</v>
      </c>
      <c r="E1303" s="7" t="s">
        <v>50</v>
      </c>
      <c r="F1303" s="7" t="s">
        <v>50</v>
      </c>
      <c r="G1303" s="7" t="s">
        <v>18</v>
      </c>
      <c r="H1303" s="7" t="s">
        <v>24</v>
      </c>
      <c r="I1303" s="7" t="s">
        <v>712</v>
      </c>
      <c r="J1303" s="7" t="s">
        <v>712</v>
      </c>
      <c r="K1303" s="8">
        <v>6068510</v>
      </c>
      <c r="L1303" s="8">
        <v>264075</v>
      </c>
      <c r="M1303" s="8">
        <v>19</v>
      </c>
      <c r="N1303" s="8">
        <v>1</v>
      </c>
      <c r="O1303" s="8">
        <v>5.3</v>
      </c>
      <c r="P1303" s="8"/>
    </row>
    <row r="1304" spans="1:16" hidden="1" x14ac:dyDescent="0.25">
      <c r="A1304" s="7" t="s">
        <v>37</v>
      </c>
      <c r="B1304" s="7" t="s">
        <v>41</v>
      </c>
      <c r="C1304" s="8">
        <v>27653</v>
      </c>
      <c r="D1304" s="7" t="s">
        <v>28</v>
      </c>
      <c r="E1304" s="7" t="s">
        <v>56</v>
      </c>
      <c r="F1304" s="7" t="s">
        <v>56</v>
      </c>
      <c r="G1304" s="7" t="s">
        <v>18</v>
      </c>
      <c r="H1304" s="7" t="s">
        <v>48</v>
      </c>
      <c r="I1304" s="7" t="s">
        <v>712</v>
      </c>
      <c r="J1304" s="7" t="s">
        <v>691</v>
      </c>
      <c r="K1304" s="8">
        <v>6265074</v>
      </c>
      <c r="L1304" s="8">
        <v>335922</v>
      </c>
      <c r="M1304" s="8">
        <v>19</v>
      </c>
      <c r="N1304" s="8">
        <v>2</v>
      </c>
      <c r="O1304" s="8">
        <v>11</v>
      </c>
      <c r="P1304" s="8"/>
    </row>
    <row r="1305" spans="1:16" hidden="1" x14ac:dyDescent="0.25">
      <c r="A1305" s="7" t="s">
        <v>37</v>
      </c>
      <c r="B1305" s="7" t="s">
        <v>415</v>
      </c>
      <c r="C1305" s="8">
        <v>27654</v>
      </c>
      <c r="D1305" s="7" t="s">
        <v>52</v>
      </c>
      <c r="E1305" s="7" t="s">
        <v>145</v>
      </c>
      <c r="F1305" s="7" t="s">
        <v>145</v>
      </c>
      <c r="G1305" s="7" t="s">
        <v>18</v>
      </c>
      <c r="H1305" s="7" t="s">
        <v>48</v>
      </c>
      <c r="I1305" s="7" t="s">
        <v>712</v>
      </c>
      <c r="J1305" s="7" t="s">
        <v>712</v>
      </c>
      <c r="K1305" s="8">
        <v>6166343</v>
      </c>
      <c r="L1305" s="8">
        <v>321422</v>
      </c>
      <c r="M1305" s="8">
        <v>19</v>
      </c>
      <c r="N1305" s="8">
        <v>2</v>
      </c>
      <c r="O1305" s="8">
        <v>10.53</v>
      </c>
      <c r="P1305" s="8"/>
    </row>
    <row r="1306" spans="1:16" hidden="1" x14ac:dyDescent="0.25">
      <c r="A1306" s="7" t="s">
        <v>37</v>
      </c>
      <c r="B1306" s="7" t="s">
        <v>270</v>
      </c>
      <c r="C1306" s="8">
        <v>27658</v>
      </c>
      <c r="D1306" s="7" t="s">
        <v>16</v>
      </c>
      <c r="E1306" s="7" t="s">
        <v>268</v>
      </c>
      <c r="F1306" s="7" t="s">
        <v>623</v>
      </c>
      <c r="G1306" s="7" t="s">
        <v>18</v>
      </c>
      <c r="H1306" s="7" t="s">
        <v>48</v>
      </c>
      <c r="I1306" s="7" t="s">
        <v>712</v>
      </c>
      <c r="J1306" s="7" t="s">
        <v>712</v>
      </c>
      <c r="K1306" s="8">
        <v>6135581</v>
      </c>
      <c r="L1306" s="8">
        <v>307509</v>
      </c>
      <c r="M1306" s="8">
        <v>19</v>
      </c>
      <c r="N1306" s="8">
        <v>1</v>
      </c>
      <c r="O1306" s="8">
        <v>20</v>
      </c>
      <c r="P1306" s="8"/>
    </row>
    <row r="1307" spans="1:16" hidden="1" x14ac:dyDescent="0.25">
      <c r="A1307" s="7" t="s">
        <v>19</v>
      </c>
      <c r="B1307" s="7" t="s">
        <v>270</v>
      </c>
      <c r="C1307" s="8">
        <v>27659</v>
      </c>
      <c r="D1307" s="7" t="s">
        <v>52</v>
      </c>
      <c r="E1307" s="7" t="s">
        <v>53</v>
      </c>
      <c r="F1307" s="7" t="s">
        <v>87</v>
      </c>
      <c r="G1307" s="7" t="s">
        <v>18</v>
      </c>
      <c r="H1307" s="7" t="s">
        <v>48</v>
      </c>
      <c r="I1307" s="7" t="s">
        <v>712</v>
      </c>
      <c r="J1307" s="7" t="s">
        <v>712</v>
      </c>
      <c r="K1307" s="8">
        <v>6152392</v>
      </c>
      <c r="L1307" s="8">
        <v>317068</v>
      </c>
      <c r="M1307" s="8">
        <v>19</v>
      </c>
      <c r="N1307" s="8">
        <v>2</v>
      </c>
      <c r="O1307" s="8">
        <v>9</v>
      </c>
      <c r="P1307" s="8"/>
    </row>
    <row r="1308" spans="1:16" hidden="1" x14ac:dyDescent="0.25">
      <c r="A1308" s="7" t="s">
        <v>37</v>
      </c>
      <c r="B1308" s="7" t="s">
        <v>41</v>
      </c>
      <c r="C1308" s="8">
        <v>27660</v>
      </c>
      <c r="D1308" s="7" t="s">
        <v>28</v>
      </c>
      <c r="E1308" s="7" t="s">
        <v>56</v>
      </c>
      <c r="F1308" s="7" t="s">
        <v>56</v>
      </c>
      <c r="G1308" s="7" t="s">
        <v>18</v>
      </c>
      <c r="H1308" s="7" t="s">
        <v>48</v>
      </c>
      <c r="I1308" s="7" t="s">
        <v>712</v>
      </c>
      <c r="J1308" s="7" t="s">
        <v>691</v>
      </c>
      <c r="K1308" s="8">
        <v>6264226</v>
      </c>
      <c r="L1308" s="8">
        <v>336138</v>
      </c>
      <c r="M1308" s="8">
        <v>19</v>
      </c>
      <c r="N1308" s="8">
        <v>1</v>
      </c>
      <c r="O1308" s="8">
        <v>8</v>
      </c>
      <c r="P1308" s="8"/>
    </row>
    <row r="1309" spans="1:16" hidden="1" x14ac:dyDescent="0.25">
      <c r="A1309" s="7" t="s">
        <v>14</v>
      </c>
      <c r="B1309" s="7" t="s">
        <v>270</v>
      </c>
      <c r="C1309" s="8">
        <v>27661</v>
      </c>
      <c r="D1309" s="7" t="s">
        <v>52</v>
      </c>
      <c r="E1309" s="7" t="s">
        <v>139</v>
      </c>
      <c r="F1309" s="7" t="s">
        <v>139</v>
      </c>
      <c r="G1309" s="7" t="s">
        <v>18</v>
      </c>
      <c r="H1309" s="7" t="s">
        <v>689</v>
      </c>
      <c r="I1309" s="7" t="s">
        <v>712</v>
      </c>
      <c r="J1309" s="7" t="s">
        <v>712</v>
      </c>
      <c r="K1309" s="8">
        <v>6224997</v>
      </c>
      <c r="L1309" s="8">
        <v>339090</v>
      </c>
      <c r="M1309" s="8">
        <v>19</v>
      </c>
      <c r="N1309" s="8">
        <v>1</v>
      </c>
      <c r="O1309" s="8">
        <v>0.2</v>
      </c>
      <c r="P1309" s="8"/>
    </row>
    <row r="1310" spans="1:16" hidden="1" x14ac:dyDescent="0.25">
      <c r="A1310" s="7" t="s">
        <v>37</v>
      </c>
      <c r="B1310" s="7" t="s">
        <v>124</v>
      </c>
      <c r="C1310" s="8">
        <v>27662</v>
      </c>
      <c r="D1310" s="7" t="s">
        <v>16</v>
      </c>
      <c r="E1310" s="7" t="s">
        <v>155</v>
      </c>
      <c r="F1310" s="7" t="s">
        <v>156</v>
      </c>
      <c r="G1310" s="7" t="s">
        <v>18</v>
      </c>
      <c r="H1310" s="7" t="s">
        <v>48</v>
      </c>
      <c r="I1310" s="7" t="s">
        <v>712</v>
      </c>
      <c r="J1310" s="7" t="s">
        <v>691</v>
      </c>
      <c r="K1310" s="8">
        <v>6123087</v>
      </c>
      <c r="L1310" s="8">
        <v>301746</v>
      </c>
      <c r="M1310" s="8">
        <v>19</v>
      </c>
      <c r="N1310" s="8">
        <v>1</v>
      </c>
      <c r="O1310" s="8">
        <v>3</v>
      </c>
      <c r="P1310" s="8"/>
    </row>
    <row r="1311" spans="1:16" hidden="1" x14ac:dyDescent="0.25">
      <c r="A1311" s="7" t="s">
        <v>37</v>
      </c>
      <c r="B1311" s="7" t="s">
        <v>270</v>
      </c>
      <c r="C1311" s="8">
        <v>27663</v>
      </c>
      <c r="D1311" s="7" t="s">
        <v>28</v>
      </c>
      <c r="E1311" s="7" t="s">
        <v>146</v>
      </c>
      <c r="F1311" s="7" t="s">
        <v>624</v>
      </c>
      <c r="G1311" s="7" t="s">
        <v>18</v>
      </c>
      <c r="H1311" s="7" t="s">
        <v>48</v>
      </c>
      <c r="I1311" s="7" t="s">
        <v>712</v>
      </c>
      <c r="J1311" s="7" t="s">
        <v>712</v>
      </c>
      <c r="K1311" s="8">
        <v>6268922</v>
      </c>
      <c r="L1311" s="8">
        <v>329479</v>
      </c>
      <c r="M1311" s="8">
        <v>19</v>
      </c>
      <c r="N1311" s="8">
        <v>1</v>
      </c>
      <c r="O1311" s="8">
        <v>1.6</v>
      </c>
      <c r="P1311" s="8"/>
    </row>
    <row r="1312" spans="1:16" hidden="1" x14ac:dyDescent="0.25">
      <c r="A1312" s="7" t="s">
        <v>14</v>
      </c>
      <c r="B1312" s="7" t="s">
        <v>558</v>
      </c>
      <c r="C1312" s="8">
        <v>27664</v>
      </c>
      <c r="D1312" s="7" t="s">
        <v>52</v>
      </c>
      <c r="E1312" s="7" t="s">
        <v>151</v>
      </c>
      <c r="F1312" s="7" t="s">
        <v>309</v>
      </c>
      <c r="G1312" s="7" t="s">
        <v>18</v>
      </c>
      <c r="H1312" s="7" t="s">
        <v>689</v>
      </c>
      <c r="I1312" s="7" t="s">
        <v>690</v>
      </c>
      <c r="J1312" s="7" t="s">
        <v>690</v>
      </c>
      <c r="K1312" s="8">
        <v>6187921</v>
      </c>
      <c r="L1312" s="8">
        <v>335048</v>
      </c>
      <c r="M1312" s="8">
        <v>19</v>
      </c>
      <c r="N1312" s="8">
        <v>1</v>
      </c>
      <c r="O1312" s="8">
        <v>0.77</v>
      </c>
      <c r="P1312" s="8"/>
    </row>
    <row r="1313" spans="1:16" hidden="1" x14ac:dyDescent="0.25">
      <c r="A1313" s="7" t="s">
        <v>37</v>
      </c>
      <c r="B1313" s="7" t="s">
        <v>270</v>
      </c>
      <c r="C1313" s="8">
        <v>27665</v>
      </c>
      <c r="D1313" s="7" t="s">
        <v>21</v>
      </c>
      <c r="E1313" s="7" t="s">
        <v>280</v>
      </c>
      <c r="F1313" s="7" t="s">
        <v>302</v>
      </c>
      <c r="G1313" s="7" t="s">
        <v>18</v>
      </c>
      <c r="H1313" s="7" t="s">
        <v>24</v>
      </c>
      <c r="I1313" s="7" t="s">
        <v>712</v>
      </c>
      <c r="J1313" s="7" t="s">
        <v>712</v>
      </c>
      <c r="K1313" s="8">
        <v>6363283</v>
      </c>
      <c r="L1313" s="8">
        <v>317420</v>
      </c>
      <c r="M1313" s="8">
        <v>19</v>
      </c>
      <c r="N1313" s="8">
        <v>1</v>
      </c>
      <c r="O1313" s="8">
        <v>3.1</v>
      </c>
      <c r="P1313" s="8"/>
    </row>
    <row r="1314" spans="1:16" hidden="1" x14ac:dyDescent="0.25">
      <c r="A1314" s="7" t="s">
        <v>37</v>
      </c>
      <c r="B1314" s="7" t="s">
        <v>124</v>
      </c>
      <c r="C1314" s="8">
        <v>27666</v>
      </c>
      <c r="D1314" s="7" t="s">
        <v>16</v>
      </c>
      <c r="E1314" s="7" t="s">
        <v>155</v>
      </c>
      <c r="F1314" s="7" t="s">
        <v>156</v>
      </c>
      <c r="G1314" s="7" t="s">
        <v>18</v>
      </c>
      <c r="H1314" s="7" t="s">
        <v>48</v>
      </c>
      <c r="I1314" s="7" t="s">
        <v>712</v>
      </c>
      <c r="J1314" s="7" t="s">
        <v>691</v>
      </c>
      <c r="K1314" s="8">
        <v>6123158</v>
      </c>
      <c r="L1314" s="8">
        <v>301061</v>
      </c>
      <c r="M1314" s="8">
        <v>19</v>
      </c>
      <c r="N1314" s="8">
        <v>1</v>
      </c>
      <c r="O1314" s="8">
        <v>27</v>
      </c>
      <c r="P1314" s="8"/>
    </row>
    <row r="1315" spans="1:16" hidden="1" x14ac:dyDescent="0.25">
      <c r="A1315" s="7" t="s">
        <v>37</v>
      </c>
      <c r="B1315" s="7" t="s">
        <v>415</v>
      </c>
      <c r="C1315" s="8">
        <v>27667</v>
      </c>
      <c r="D1315" s="7" t="s">
        <v>28</v>
      </c>
      <c r="E1315" s="7" t="s">
        <v>393</v>
      </c>
      <c r="F1315" s="7" t="s">
        <v>509</v>
      </c>
      <c r="G1315" s="7" t="s">
        <v>18</v>
      </c>
      <c r="H1315" s="7" t="s">
        <v>24</v>
      </c>
      <c r="I1315" s="7" t="s">
        <v>712</v>
      </c>
      <c r="J1315" s="7" t="s">
        <v>712</v>
      </c>
      <c r="K1315" s="8">
        <v>6274905</v>
      </c>
      <c r="L1315" s="8">
        <v>315542</v>
      </c>
      <c r="M1315" s="8">
        <v>19</v>
      </c>
      <c r="N1315" s="8">
        <v>1</v>
      </c>
      <c r="O1315" s="8">
        <v>1</v>
      </c>
      <c r="P1315" s="8"/>
    </row>
    <row r="1316" spans="1:16" hidden="1" x14ac:dyDescent="0.25">
      <c r="A1316" s="7" t="s">
        <v>37</v>
      </c>
      <c r="B1316" s="7" t="s">
        <v>270</v>
      </c>
      <c r="C1316" s="8">
        <v>27668</v>
      </c>
      <c r="D1316" s="7" t="s">
        <v>21</v>
      </c>
      <c r="E1316" s="7" t="s">
        <v>434</v>
      </c>
      <c r="F1316" s="7" t="s">
        <v>625</v>
      </c>
      <c r="G1316" s="7" t="s">
        <v>18</v>
      </c>
      <c r="H1316" s="7" t="s">
        <v>24</v>
      </c>
      <c r="I1316" s="7" t="s">
        <v>712</v>
      </c>
      <c r="J1316" s="7" t="s">
        <v>712</v>
      </c>
      <c r="K1316" s="8">
        <v>6363343</v>
      </c>
      <c r="L1316" s="8">
        <v>343006</v>
      </c>
      <c r="M1316" s="8">
        <v>19</v>
      </c>
      <c r="N1316" s="8">
        <v>1</v>
      </c>
      <c r="O1316" s="8">
        <v>2.6</v>
      </c>
      <c r="P1316" s="8"/>
    </row>
    <row r="1317" spans="1:16" hidden="1" x14ac:dyDescent="0.25">
      <c r="A1317" s="7" t="s">
        <v>19</v>
      </c>
      <c r="B1317" s="7" t="s">
        <v>270</v>
      </c>
      <c r="C1317" s="8">
        <v>27669</v>
      </c>
      <c r="D1317" s="7" t="s">
        <v>52</v>
      </c>
      <c r="E1317" s="7" t="s">
        <v>53</v>
      </c>
      <c r="F1317" s="7" t="s">
        <v>63</v>
      </c>
      <c r="G1317" s="7" t="s">
        <v>18</v>
      </c>
      <c r="H1317" s="7" t="s">
        <v>48</v>
      </c>
      <c r="I1317" s="7" t="s">
        <v>712</v>
      </c>
      <c r="J1317" s="7" t="s">
        <v>691</v>
      </c>
      <c r="K1317" s="8">
        <v>6143382</v>
      </c>
      <c r="L1317" s="8">
        <v>319290</v>
      </c>
      <c r="M1317" s="8">
        <v>19</v>
      </c>
      <c r="N1317" s="8">
        <v>2</v>
      </c>
      <c r="O1317" s="8">
        <v>14</v>
      </c>
      <c r="P1317" s="8"/>
    </row>
    <row r="1318" spans="1:16" hidden="1" x14ac:dyDescent="0.25">
      <c r="A1318" s="7" t="s">
        <v>19</v>
      </c>
      <c r="B1318" s="7" t="s">
        <v>270</v>
      </c>
      <c r="C1318" s="8">
        <v>27670</v>
      </c>
      <c r="D1318" s="7" t="s">
        <v>52</v>
      </c>
      <c r="E1318" s="7" t="s">
        <v>273</v>
      </c>
      <c r="F1318" s="7" t="s">
        <v>582</v>
      </c>
      <c r="G1318" s="7" t="s">
        <v>18</v>
      </c>
      <c r="H1318" s="7" t="s">
        <v>48</v>
      </c>
      <c r="I1318" s="7" t="s">
        <v>712</v>
      </c>
      <c r="J1318" s="7" t="s">
        <v>712</v>
      </c>
      <c r="K1318" s="8">
        <v>6161431</v>
      </c>
      <c r="L1318" s="8">
        <v>293856</v>
      </c>
      <c r="M1318" s="8">
        <v>19</v>
      </c>
      <c r="N1318" s="8">
        <v>1</v>
      </c>
      <c r="O1318" s="8">
        <v>18</v>
      </c>
      <c r="P1318" s="8"/>
    </row>
    <row r="1319" spans="1:16" hidden="1" x14ac:dyDescent="0.25">
      <c r="A1319" s="7" t="s">
        <v>37</v>
      </c>
      <c r="B1319" s="7" t="s">
        <v>181</v>
      </c>
      <c r="C1319" s="8">
        <v>27671</v>
      </c>
      <c r="D1319" s="7" t="s">
        <v>119</v>
      </c>
      <c r="E1319" s="7" t="s">
        <v>225</v>
      </c>
      <c r="F1319" s="7" t="s">
        <v>226</v>
      </c>
      <c r="G1319" s="7" t="s">
        <v>43</v>
      </c>
      <c r="H1319" s="7" t="s">
        <v>48</v>
      </c>
      <c r="I1319" s="7" t="s">
        <v>91</v>
      </c>
      <c r="J1319" s="7" t="s">
        <v>91</v>
      </c>
      <c r="K1319" s="8">
        <v>5763823</v>
      </c>
      <c r="L1319" s="8">
        <v>741944</v>
      </c>
      <c r="M1319" s="8">
        <v>18</v>
      </c>
      <c r="N1319" s="8">
        <v>1</v>
      </c>
      <c r="O1319" s="8">
        <v>23</v>
      </c>
      <c r="P1319" s="8"/>
    </row>
    <row r="1320" spans="1:16" hidden="1" x14ac:dyDescent="0.25">
      <c r="A1320" s="7" t="s">
        <v>37</v>
      </c>
      <c r="B1320" s="7" t="s">
        <v>270</v>
      </c>
      <c r="C1320" s="8">
        <v>27672</v>
      </c>
      <c r="D1320" s="7" t="s">
        <v>28</v>
      </c>
      <c r="E1320" s="7" t="s">
        <v>166</v>
      </c>
      <c r="F1320" s="7" t="s">
        <v>599</v>
      </c>
      <c r="G1320" s="7" t="s">
        <v>18</v>
      </c>
      <c r="H1320" s="7" t="s">
        <v>24</v>
      </c>
      <c r="I1320" s="7" t="s">
        <v>712</v>
      </c>
      <c r="J1320" s="7" t="s">
        <v>712</v>
      </c>
      <c r="K1320" s="8">
        <v>6269167</v>
      </c>
      <c r="L1320" s="8">
        <v>322093</v>
      </c>
      <c r="M1320" s="8">
        <v>19</v>
      </c>
      <c r="N1320" s="8">
        <v>1</v>
      </c>
      <c r="O1320" s="8">
        <v>1.2</v>
      </c>
      <c r="P1320" s="8"/>
    </row>
    <row r="1321" spans="1:16" hidden="1" x14ac:dyDescent="0.25">
      <c r="A1321" s="7" t="s">
        <v>19</v>
      </c>
      <c r="B1321" s="7" t="s">
        <v>270</v>
      </c>
      <c r="C1321" s="8">
        <v>27673</v>
      </c>
      <c r="D1321" s="7" t="s">
        <v>16</v>
      </c>
      <c r="E1321" s="7" t="s">
        <v>50</v>
      </c>
      <c r="F1321" s="7" t="s">
        <v>591</v>
      </c>
      <c r="G1321" s="7" t="s">
        <v>18</v>
      </c>
      <c r="H1321" s="7" t="s">
        <v>48</v>
      </c>
      <c r="I1321" s="7" t="s">
        <v>712</v>
      </c>
      <c r="J1321" s="7" t="s">
        <v>691</v>
      </c>
      <c r="K1321" s="8">
        <v>6076655</v>
      </c>
      <c r="L1321" s="8">
        <v>267696</v>
      </c>
      <c r="M1321" s="8">
        <v>19</v>
      </c>
      <c r="N1321" s="8">
        <v>2</v>
      </c>
      <c r="O1321" s="8">
        <v>20</v>
      </c>
      <c r="P1321" s="8"/>
    </row>
    <row r="1322" spans="1:16" hidden="1" x14ac:dyDescent="0.25">
      <c r="A1322" s="7" t="s">
        <v>14</v>
      </c>
      <c r="B1322" s="7" t="s">
        <v>415</v>
      </c>
      <c r="C1322" s="8">
        <v>27674</v>
      </c>
      <c r="D1322" s="7" t="s">
        <v>28</v>
      </c>
      <c r="E1322" s="7" t="s">
        <v>56</v>
      </c>
      <c r="F1322" s="7" t="s">
        <v>162</v>
      </c>
      <c r="G1322" s="7" t="s">
        <v>18</v>
      </c>
      <c r="H1322" s="7" t="s">
        <v>689</v>
      </c>
      <c r="I1322" s="7" t="s">
        <v>712</v>
      </c>
      <c r="J1322" s="7" t="s">
        <v>712</v>
      </c>
      <c r="K1322" s="8">
        <v>6258855</v>
      </c>
      <c r="L1322" s="8">
        <v>332443</v>
      </c>
      <c r="M1322" s="8">
        <v>19</v>
      </c>
      <c r="N1322" s="8">
        <v>1</v>
      </c>
      <c r="O1322" s="8">
        <v>0.11</v>
      </c>
      <c r="P1322" s="8"/>
    </row>
    <row r="1323" spans="1:16" hidden="1" x14ac:dyDescent="0.25">
      <c r="A1323" s="7" t="s">
        <v>37</v>
      </c>
      <c r="B1323" s="7" t="s">
        <v>124</v>
      </c>
      <c r="C1323" s="8">
        <v>27675</v>
      </c>
      <c r="D1323" s="7" t="s">
        <v>52</v>
      </c>
      <c r="E1323" s="7" t="s">
        <v>82</v>
      </c>
      <c r="F1323" s="7" t="s">
        <v>157</v>
      </c>
      <c r="G1323" s="7" t="s">
        <v>18</v>
      </c>
      <c r="H1323" s="7" t="s">
        <v>48</v>
      </c>
      <c r="I1323" s="7" t="s">
        <v>712</v>
      </c>
      <c r="J1323" s="7" t="s">
        <v>691</v>
      </c>
      <c r="K1323" s="8">
        <v>6149869</v>
      </c>
      <c r="L1323" s="8">
        <v>303789</v>
      </c>
      <c r="M1323" s="8">
        <v>19</v>
      </c>
      <c r="N1323" s="8">
        <v>1</v>
      </c>
      <c r="O1323" s="8">
        <v>27</v>
      </c>
      <c r="P1323" s="8"/>
    </row>
    <row r="1324" spans="1:16" hidden="1" x14ac:dyDescent="0.25">
      <c r="A1324" s="7" t="s">
        <v>19</v>
      </c>
      <c r="B1324" s="7" t="s">
        <v>124</v>
      </c>
      <c r="C1324" s="8">
        <v>27676</v>
      </c>
      <c r="D1324" s="7" t="s">
        <v>52</v>
      </c>
      <c r="E1324" s="7" t="s">
        <v>141</v>
      </c>
      <c r="F1324" s="7" t="s">
        <v>141</v>
      </c>
      <c r="G1324" s="7" t="s">
        <v>18</v>
      </c>
      <c r="H1324" s="7" t="s">
        <v>48</v>
      </c>
      <c r="I1324" s="7" t="s">
        <v>712</v>
      </c>
      <c r="J1324" s="7" t="s">
        <v>691</v>
      </c>
      <c r="K1324" s="8">
        <v>6221375</v>
      </c>
      <c r="L1324" s="8">
        <v>340662</v>
      </c>
      <c r="M1324" s="8">
        <v>19</v>
      </c>
      <c r="N1324" s="8">
        <v>1</v>
      </c>
      <c r="O1324" s="8">
        <v>17</v>
      </c>
      <c r="P1324" s="8"/>
    </row>
    <row r="1325" spans="1:16" hidden="1" x14ac:dyDescent="0.25">
      <c r="A1325" s="7" t="s">
        <v>19</v>
      </c>
      <c r="B1325" s="7" t="s">
        <v>270</v>
      </c>
      <c r="C1325" s="8">
        <v>27677</v>
      </c>
      <c r="D1325" s="7" t="s">
        <v>16</v>
      </c>
      <c r="E1325" s="7" t="s">
        <v>50</v>
      </c>
      <c r="F1325" s="7" t="s">
        <v>591</v>
      </c>
      <c r="G1325" s="7" t="s">
        <v>18</v>
      </c>
      <c r="H1325" s="7" t="s">
        <v>48</v>
      </c>
      <c r="I1325" s="7" t="s">
        <v>712</v>
      </c>
      <c r="J1325" s="7" t="s">
        <v>691</v>
      </c>
      <c r="K1325" s="8">
        <v>6076563</v>
      </c>
      <c r="L1325" s="8">
        <v>267903</v>
      </c>
      <c r="M1325" s="8">
        <v>19</v>
      </c>
      <c r="N1325" s="8">
        <v>3</v>
      </c>
      <c r="O1325" s="8">
        <v>15</v>
      </c>
      <c r="P1325" s="8"/>
    </row>
    <row r="1326" spans="1:16" hidden="1" x14ac:dyDescent="0.25">
      <c r="A1326" s="7" t="s">
        <v>37</v>
      </c>
      <c r="B1326" s="7" t="s">
        <v>254</v>
      </c>
      <c r="C1326" s="8">
        <v>27678</v>
      </c>
      <c r="D1326" s="7" t="s">
        <v>16</v>
      </c>
      <c r="E1326" s="7" t="s">
        <v>46</v>
      </c>
      <c r="F1326" s="7" t="s">
        <v>312</v>
      </c>
      <c r="G1326" s="7" t="s">
        <v>18</v>
      </c>
      <c r="H1326" s="7" t="s">
        <v>48</v>
      </c>
      <c r="I1326" s="7" t="s">
        <v>712</v>
      </c>
      <c r="J1326" s="7" t="s">
        <v>691</v>
      </c>
      <c r="K1326" s="8">
        <v>6106530</v>
      </c>
      <c r="L1326" s="8">
        <v>300810</v>
      </c>
      <c r="M1326" s="8">
        <v>19</v>
      </c>
      <c r="N1326" s="8">
        <v>1</v>
      </c>
      <c r="O1326" s="8">
        <v>2.7</v>
      </c>
      <c r="P1326" s="8"/>
    </row>
    <row r="1327" spans="1:16" hidden="1" x14ac:dyDescent="0.25">
      <c r="A1327" s="7" t="s">
        <v>19</v>
      </c>
      <c r="B1327" s="7" t="s">
        <v>124</v>
      </c>
      <c r="C1327" s="8">
        <v>27680</v>
      </c>
      <c r="D1327" s="7" t="s">
        <v>52</v>
      </c>
      <c r="E1327" s="7" t="s">
        <v>53</v>
      </c>
      <c r="F1327" s="7" t="s">
        <v>53</v>
      </c>
      <c r="G1327" s="7" t="s">
        <v>18</v>
      </c>
      <c r="H1327" s="7" t="s">
        <v>48</v>
      </c>
      <c r="I1327" s="7" t="s">
        <v>712</v>
      </c>
      <c r="J1327" s="7" t="s">
        <v>712</v>
      </c>
      <c r="K1327" s="8">
        <v>6149471</v>
      </c>
      <c r="L1327" s="8">
        <v>319798</v>
      </c>
      <c r="M1327" s="8">
        <v>19</v>
      </c>
      <c r="N1327" s="8">
        <v>1</v>
      </c>
      <c r="O1327" s="8">
        <v>25</v>
      </c>
      <c r="P1327" s="8"/>
    </row>
    <row r="1328" spans="1:16" hidden="1" x14ac:dyDescent="0.25">
      <c r="A1328" s="7" t="s">
        <v>19</v>
      </c>
      <c r="B1328" s="7" t="s">
        <v>270</v>
      </c>
      <c r="C1328" s="8">
        <v>27681</v>
      </c>
      <c r="D1328" s="7" t="s">
        <v>16</v>
      </c>
      <c r="E1328" s="7" t="s">
        <v>50</v>
      </c>
      <c r="F1328" s="7" t="s">
        <v>626</v>
      </c>
      <c r="G1328" s="7" t="s">
        <v>18</v>
      </c>
      <c r="H1328" s="7" t="s">
        <v>48</v>
      </c>
      <c r="I1328" s="7" t="s">
        <v>712</v>
      </c>
      <c r="J1328" s="7" t="s">
        <v>691</v>
      </c>
      <c r="K1328" s="8">
        <v>6076266</v>
      </c>
      <c r="L1328" s="8">
        <v>266980</v>
      </c>
      <c r="M1328" s="8">
        <v>19</v>
      </c>
      <c r="N1328" s="8">
        <v>2</v>
      </c>
      <c r="O1328" s="8">
        <v>10</v>
      </c>
      <c r="P1328" s="8"/>
    </row>
    <row r="1329" spans="1:16" hidden="1" x14ac:dyDescent="0.25">
      <c r="A1329" s="7" t="s">
        <v>37</v>
      </c>
      <c r="B1329" s="7" t="s">
        <v>254</v>
      </c>
      <c r="C1329" s="8">
        <v>27683</v>
      </c>
      <c r="D1329" s="7" t="s">
        <v>16</v>
      </c>
      <c r="E1329" s="7" t="s">
        <v>169</v>
      </c>
      <c r="F1329" s="7" t="s">
        <v>170</v>
      </c>
      <c r="G1329" s="7" t="s">
        <v>18</v>
      </c>
      <c r="H1329" s="7" t="s">
        <v>48</v>
      </c>
      <c r="I1329" s="7" t="s">
        <v>712</v>
      </c>
      <c r="J1329" s="7" t="s">
        <v>691</v>
      </c>
      <c r="K1329" s="8">
        <v>6030180</v>
      </c>
      <c r="L1329" s="8">
        <v>268832</v>
      </c>
      <c r="M1329" s="8">
        <v>19</v>
      </c>
      <c r="N1329" s="8">
        <v>1</v>
      </c>
      <c r="O1329" s="8">
        <v>2.7</v>
      </c>
      <c r="P1329" s="8"/>
    </row>
    <row r="1330" spans="1:16" hidden="1" x14ac:dyDescent="0.25">
      <c r="A1330" s="7" t="s">
        <v>14</v>
      </c>
      <c r="B1330" s="7" t="s">
        <v>558</v>
      </c>
      <c r="C1330" s="8">
        <v>27685</v>
      </c>
      <c r="D1330" s="7" t="s">
        <v>28</v>
      </c>
      <c r="E1330" s="7" t="s">
        <v>142</v>
      </c>
      <c r="F1330" s="7" t="s">
        <v>362</v>
      </c>
      <c r="G1330" s="7" t="s">
        <v>18</v>
      </c>
      <c r="H1330" s="7" t="s">
        <v>689</v>
      </c>
      <c r="I1330" s="7" t="s">
        <v>690</v>
      </c>
      <c r="J1330" s="7" t="s">
        <v>690</v>
      </c>
      <c r="K1330" s="8">
        <v>6275282</v>
      </c>
      <c r="L1330" s="8">
        <v>328156</v>
      </c>
      <c r="M1330" s="8">
        <v>19</v>
      </c>
      <c r="N1330" s="8">
        <v>1</v>
      </c>
      <c r="O1330" s="8">
        <v>0.83</v>
      </c>
      <c r="P1330" s="8"/>
    </row>
    <row r="1331" spans="1:16" hidden="1" x14ac:dyDescent="0.25">
      <c r="A1331" s="7" t="s">
        <v>37</v>
      </c>
      <c r="B1331" s="7" t="s">
        <v>254</v>
      </c>
      <c r="C1331" s="8">
        <v>27687</v>
      </c>
      <c r="D1331" s="7" t="s">
        <v>16</v>
      </c>
      <c r="E1331" s="7" t="s">
        <v>127</v>
      </c>
      <c r="F1331" s="7" t="s">
        <v>275</v>
      </c>
      <c r="G1331" s="7" t="s">
        <v>18</v>
      </c>
      <c r="H1331" s="7" t="s">
        <v>48</v>
      </c>
      <c r="I1331" s="7" t="s">
        <v>712</v>
      </c>
      <c r="J1331" s="7" t="s">
        <v>691</v>
      </c>
      <c r="K1331" s="8">
        <v>6053442</v>
      </c>
      <c r="L1331" s="8">
        <v>279965</v>
      </c>
      <c r="M1331" s="8">
        <v>19</v>
      </c>
      <c r="N1331" s="8">
        <v>1</v>
      </c>
      <c r="O1331" s="8">
        <v>2.1</v>
      </c>
      <c r="P1331" s="8"/>
    </row>
    <row r="1332" spans="1:16" hidden="1" x14ac:dyDescent="0.25">
      <c r="A1332" s="7" t="s">
        <v>37</v>
      </c>
      <c r="B1332" s="7" t="s">
        <v>254</v>
      </c>
      <c r="C1332" s="8">
        <v>27688</v>
      </c>
      <c r="D1332" s="7" t="s">
        <v>21</v>
      </c>
      <c r="E1332" s="7" t="s">
        <v>280</v>
      </c>
      <c r="F1332" s="7" t="s">
        <v>313</v>
      </c>
      <c r="G1332" s="7" t="s">
        <v>18</v>
      </c>
      <c r="H1332" s="7" t="s">
        <v>24</v>
      </c>
      <c r="I1332" s="7" t="s">
        <v>712</v>
      </c>
      <c r="J1332" s="7" t="s">
        <v>712</v>
      </c>
      <c r="K1332" s="8">
        <v>6363397</v>
      </c>
      <c r="L1332" s="8">
        <v>315878</v>
      </c>
      <c r="M1332" s="8">
        <v>19</v>
      </c>
      <c r="N1332" s="8">
        <v>2</v>
      </c>
      <c r="O1332" s="8">
        <v>1.5</v>
      </c>
      <c r="P1332" s="8"/>
    </row>
    <row r="1333" spans="1:16" hidden="1" x14ac:dyDescent="0.25">
      <c r="A1333" s="7" t="s">
        <v>37</v>
      </c>
      <c r="B1333" s="7" t="s">
        <v>254</v>
      </c>
      <c r="C1333" s="8">
        <v>27689</v>
      </c>
      <c r="D1333" s="7" t="s">
        <v>16</v>
      </c>
      <c r="E1333" s="7" t="s">
        <v>127</v>
      </c>
      <c r="F1333" s="7" t="s">
        <v>262</v>
      </c>
      <c r="G1333" s="7" t="s">
        <v>18</v>
      </c>
      <c r="H1333" s="7" t="s">
        <v>48</v>
      </c>
      <c r="I1333" s="7" t="s">
        <v>712</v>
      </c>
      <c r="J1333" s="7" t="s">
        <v>691</v>
      </c>
      <c r="K1333" s="8">
        <v>6039678</v>
      </c>
      <c r="L1333" s="8">
        <v>274183</v>
      </c>
      <c r="M1333" s="8">
        <v>19</v>
      </c>
      <c r="N1333" s="8">
        <v>5</v>
      </c>
      <c r="O1333" s="8">
        <v>26.1</v>
      </c>
      <c r="P1333" s="8"/>
    </row>
    <row r="1334" spans="1:16" hidden="1" x14ac:dyDescent="0.25">
      <c r="A1334" s="7" t="s">
        <v>37</v>
      </c>
      <c r="B1334" s="7" t="s">
        <v>254</v>
      </c>
      <c r="C1334" s="8">
        <v>27690</v>
      </c>
      <c r="D1334" s="7" t="s">
        <v>16</v>
      </c>
      <c r="E1334" s="7" t="s">
        <v>127</v>
      </c>
      <c r="F1334" s="7" t="s">
        <v>262</v>
      </c>
      <c r="G1334" s="7" t="s">
        <v>18</v>
      </c>
      <c r="H1334" s="7" t="s">
        <v>48</v>
      </c>
      <c r="I1334" s="7" t="s">
        <v>712</v>
      </c>
      <c r="J1334" s="7" t="s">
        <v>691</v>
      </c>
      <c r="K1334" s="8">
        <v>6039913</v>
      </c>
      <c r="L1334" s="8">
        <v>274619</v>
      </c>
      <c r="M1334" s="8">
        <v>19</v>
      </c>
      <c r="N1334" s="8">
        <v>5</v>
      </c>
      <c r="O1334" s="8">
        <v>24.9</v>
      </c>
      <c r="P1334" s="8"/>
    </row>
    <row r="1335" spans="1:16" hidden="1" x14ac:dyDescent="0.25">
      <c r="A1335" s="7" t="s">
        <v>14</v>
      </c>
      <c r="B1335" s="7" t="s">
        <v>415</v>
      </c>
      <c r="C1335" s="8">
        <v>27691</v>
      </c>
      <c r="D1335" s="7" t="s">
        <v>322</v>
      </c>
      <c r="E1335" s="7" t="s">
        <v>323</v>
      </c>
      <c r="F1335" s="7" t="s">
        <v>510</v>
      </c>
      <c r="G1335" s="7" t="s">
        <v>18</v>
      </c>
      <c r="H1335" s="7" t="s">
        <v>689</v>
      </c>
      <c r="I1335" s="7" t="s">
        <v>712</v>
      </c>
      <c r="J1335" s="7" t="s">
        <v>712</v>
      </c>
      <c r="K1335" s="8">
        <v>7918724</v>
      </c>
      <c r="L1335" s="8">
        <v>379940</v>
      </c>
      <c r="M1335" s="8">
        <v>19</v>
      </c>
      <c r="N1335" s="8">
        <v>1</v>
      </c>
      <c r="O1335" s="8">
        <v>0.25</v>
      </c>
      <c r="P1335" s="8"/>
    </row>
    <row r="1336" spans="1:16" hidden="1" x14ac:dyDescent="0.25">
      <c r="A1336" s="7" t="s">
        <v>14</v>
      </c>
      <c r="B1336" s="7" t="s">
        <v>415</v>
      </c>
      <c r="C1336" s="8">
        <v>27692</v>
      </c>
      <c r="D1336" s="7" t="s">
        <v>322</v>
      </c>
      <c r="E1336" s="7" t="s">
        <v>323</v>
      </c>
      <c r="F1336" s="7" t="s">
        <v>422</v>
      </c>
      <c r="G1336" s="7" t="s">
        <v>18</v>
      </c>
      <c r="H1336" s="7" t="s">
        <v>689</v>
      </c>
      <c r="I1336" s="7" t="s">
        <v>712</v>
      </c>
      <c r="J1336" s="7" t="s">
        <v>712</v>
      </c>
      <c r="K1336" s="8">
        <v>7948387</v>
      </c>
      <c r="L1336" s="8">
        <v>381428</v>
      </c>
      <c r="M1336" s="8">
        <v>19</v>
      </c>
      <c r="N1336" s="8">
        <v>1</v>
      </c>
      <c r="O1336" s="8">
        <v>0.7</v>
      </c>
      <c r="P1336" s="8"/>
    </row>
    <row r="1337" spans="1:16" hidden="1" x14ac:dyDescent="0.25">
      <c r="A1337" s="7" t="s">
        <v>19</v>
      </c>
      <c r="B1337" s="7" t="s">
        <v>270</v>
      </c>
      <c r="C1337" s="8">
        <v>27693</v>
      </c>
      <c r="D1337" s="7" t="s">
        <v>16</v>
      </c>
      <c r="E1337" s="7" t="s">
        <v>72</v>
      </c>
      <c r="F1337" s="7" t="s">
        <v>627</v>
      </c>
      <c r="G1337" s="7" t="s">
        <v>18</v>
      </c>
      <c r="H1337" s="7" t="s">
        <v>48</v>
      </c>
      <c r="I1337" s="7" t="s">
        <v>712</v>
      </c>
      <c r="J1337" s="7" t="s">
        <v>691</v>
      </c>
      <c r="K1337" s="8">
        <v>6098328</v>
      </c>
      <c r="L1337" s="8">
        <v>293142</v>
      </c>
      <c r="M1337" s="8">
        <v>19</v>
      </c>
      <c r="N1337" s="8">
        <v>1</v>
      </c>
      <c r="O1337" s="8">
        <v>10</v>
      </c>
      <c r="P1337" s="8"/>
    </row>
    <row r="1338" spans="1:16" hidden="1" x14ac:dyDescent="0.25">
      <c r="A1338" s="7" t="s">
        <v>37</v>
      </c>
      <c r="B1338" s="7" t="s">
        <v>270</v>
      </c>
      <c r="C1338" s="8">
        <v>27694</v>
      </c>
      <c r="D1338" s="7" t="s">
        <v>16</v>
      </c>
      <c r="E1338" s="7" t="s">
        <v>337</v>
      </c>
      <c r="F1338" s="7" t="s">
        <v>588</v>
      </c>
      <c r="G1338" s="7" t="s">
        <v>18</v>
      </c>
      <c r="H1338" s="7" t="s">
        <v>48</v>
      </c>
      <c r="I1338" s="7" t="s">
        <v>712</v>
      </c>
      <c r="J1338" s="7" t="s">
        <v>691</v>
      </c>
      <c r="K1338" s="8">
        <v>6125492</v>
      </c>
      <c r="L1338" s="8">
        <v>311607</v>
      </c>
      <c r="M1338" s="8">
        <v>19</v>
      </c>
      <c r="N1338" s="8">
        <v>2</v>
      </c>
      <c r="O1338" s="8">
        <v>27</v>
      </c>
      <c r="P1338" s="8"/>
    </row>
    <row r="1339" spans="1:16" hidden="1" x14ac:dyDescent="0.25">
      <c r="A1339" s="7" t="s">
        <v>19</v>
      </c>
      <c r="B1339" s="7" t="s">
        <v>270</v>
      </c>
      <c r="C1339" s="8">
        <v>27696</v>
      </c>
      <c r="D1339" s="7" t="s">
        <v>16</v>
      </c>
      <c r="E1339" s="7" t="s">
        <v>17</v>
      </c>
      <c r="F1339" s="7" t="s">
        <v>628</v>
      </c>
      <c r="G1339" s="7" t="s">
        <v>18</v>
      </c>
      <c r="H1339" s="7" t="s">
        <v>48</v>
      </c>
      <c r="I1339" s="7" t="s">
        <v>712</v>
      </c>
      <c r="J1339" s="7" t="s">
        <v>712</v>
      </c>
      <c r="K1339" s="8">
        <v>6067057</v>
      </c>
      <c r="L1339" s="8">
        <v>274676</v>
      </c>
      <c r="M1339" s="8">
        <v>19</v>
      </c>
      <c r="N1339" s="8">
        <v>4</v>
      </c>
      <c r="O1339" s="8">
        <v>68</v>
      </c>
      <c r="P1339" s="8"/>
    </row>
    <row r="1340" spans="1:16" hidden="1" x14ac:dyDescent="0.25">
      <c r="A1340" s="7" t="s">
        <v>37</v>
      </c>
      <c r="B1340" s="7" t="s">
        <v>415</v>
      </c>
      <c r="C1340" s="8">
        <v>27697</v>
      </c>
      <c r="D1340" s="7" t="s">
        <v>28</v>
      </c>
      <c r="E1340" s="7" t="s">
        <v>29</v>
      </c>
      <c r="F1340" s="7" t="s">
        <v>30</v>
      </c>
      <c r="G1340" s="7" t="s">
        <v>18</v>
      </c>
      <c r="H1340" s="7" t="s">
        <v>24</v>
      </c>
      <c r="I1340" s="7" t="s">
        <v>712</v>
      </c>
      <c r="J1340" s="7" t="s">
        <v>712</v>
      </c>
      <c r="K1340" s="8">
        <v>6254749</v>
      </c>
      <c r="L1340" s="8">
        <v>345338</v>
      </c>
      <c r="M1340" s="8">
        <v>19</v>
      </c>
      <c r="N1340" s="8">
        <v>1</v>
      </c>
      <c r="O1340" s="8">
        <v>0.92</v>
      </c>
      <c r="P1340" s="8"/>
    </row>
    <row r="1341" spans="1:16" hidden="1" x14ac:dyDescent="0.25">
      <c r="A1341" s="7" t="s">
        <v>37</v>
      </c>
      <c r="B1341" s="7" t="s">
        <v>254</v>
      </c>
      <c r="C1341" s="8">
        <v>27698</v>
      </c>
      <c r="D1341" s="7" t="s">
        <v>16</v>
      </c>
      <c r="E1341" s="7" t="s">
        <v>50</v>
      </c>
      <c r="F1341" s="7" t="s">
        <v>255</v>
      </c>
      <c r="G1341" s="7" t="s">
        <v>18</v>
      </c>
      <c r="H1341" s="7" t="s">
        <v>24</v>
      </c>
      <c r="I1341" s="7" t="s">
        <v>712</v>
      </c>
      <c r="J1341" s="7" t="s">
        <v>712</v>
      </c>
      <c r="K1341" s="8">
        <v>6083249</v>
      </c>
      <c r="L1341" s="8">
        <v>263707</v>
      </c>
      <c r="M1341" s="8">
        <v>19</v>
      </c>
      <c r="N1341" s="8">
        <v>1</v>
      </c>
      <c r="O1341" s="8">
        <v>2.2999999999999998</v>
      </c>
      <c r="P1341" s="8"/>
    </row>
    <row r="1342" spans="1:16" hidden="1" x14ac:dyDescent="0.25">
      <c r="A1342" s="7" t="s">
        <v>37</v>
      </c>
      <c r="B1342" s="7" t="s">
        <v>254</v>
      </c>
      <c r="C1342" s="8">
        <v>27699</v>
      </c>
      <c r="D1342" s="7" t="s">
        <v>16</v>
      </c>
      <c r="E1342" s="7" t="s">
        <v>50</v>
      </c>
      <c r="F1342" s="7" t="s">
        <v>314</v>
      </c>
      <c r="G1342" s="7" t="s">
        <v>18</v>
      </c>
      <c r="H1342" s="7" t="s">
        <v>48</v>
      </c>
      <c r="I1342" s="7" t="s">
        <v>712</v>
      </c>
      <c r="J1342" s="7" t="s">
        <v>712</v>
      </c>
      <c r="K1342" s="8">
        <v>6082308</v>
      </c>
      <c r="L1342" s="8">
        <v>266968</v>
      </c>
      <c r="M1342" s="8">
        <v>19</v>
      </c>
      <c r="N1342" s="8">
        <v>1</v>
      </c>
      <c r="O1342" s="8">
        <v>2</v>
      </c>
      <c r="P1342" s="8"/>
    </row>
    <row r="1343" spans="1:16" hidden="1" x14ac:dyDescent="0.25">
      <c r="A1343" s="7" t="s">
        <v>37</v>
      </c>
      <c r="B1343" s="7" t="s">
        <v>254</v>
      </c>
      <c r="C1343" s="8">
        <v>27700</v>
      </c>
      <c r="D1343" s="7" t="s">
        <v>16</v>
      </c>
      <c r="E1343" s="7" t="s">
        <v>60</v>
      </c>
      <c r="F1343" s="7" t="s">
        <v>314</v>
      </c>
      <c r="G1343" s="7" t="s">
        <v>18</v>
      </c>
      <c r="H1343" s="7" t="s">
        <v>48</v>
      </c>
      <c r="I1343" s="7" t="s">
        <v>712</v>
      </c>
      <c r="J1343" s="7" t="s">
        <v>712</v>
      </c>
      <c r="K1343" s="8">
        <v>6032510</v>
      </c>
      <c r="L1343" s="8">
        <v>266978</v>
      </c>
      <c r="M1343" s="8">
        <v>19</v>
      </c>
      <c r="N1343" s="8">
        <v>1</v>
      </c>
      <c r="O1343" s="8">
        <v>2.4</v>
      </c>
      <c r="P1343" s="8"/>
    </row>
    <row r="1344" spans="1:16" hidden="1" x14ac:dyDescent="0.25">
      <c r="A1344" s="7" t="s">
        <v>37</v>
      </c>
      <c r="B1344" s="7" t="s">
        <v>41</v>
      </c>
      <c r="C1344" s="8">
        <v>27701</v>
      </c>
      <c r="D1344" s="7" t="s">
        <v>52</v>
      </c>
      <c r="E1344" s="7" t="s">
        <v>53</v>
      </c>
      <c r="F1344" s="7" t="s">
        <v>54</v>
      </c>
      <c r="G1344" s="7" t="s">
        <v>18</v>
      </c>
      <c r="H1344" s="7" t="s">
        <v>48</v>
      </c>
      <c r="I1344" s="7" t="s">
        <v>712</v>
      </c>
      <c r="J1344" s="7" t="s">
        <v>712</v>
      </c>
      <c r="K1344" s="8">
        <v>6150676</v>
      </c>
      <c r="L1344" s="8">
        <v>316146</v>
      </c>
      <c r="M1344" s="8">
        <v>19</v>
      </c>
      <c r="N1344" s="8">
        <v>1</v>
      </c>
      <c r="O1344" s="8">
        <v>9</v>
      </c>
      <c r="P1344" s="8"/>
    </row>
    <row r="1345" spans="1:16" hidden="1" x14ac:dyDescent="0.25">
      <c r="A1345" s="7" t="s">
        <v>37</v>
      </c>
      <c r="B1345" s="7" t="s">
        <v>41</v>
      </c>
      <c r="C1345" s="8">
        <v>27703</v>
      </c>
      <c r="D1345" s="7" t="s">
        <v>52</v>
      </c>
      <c r="E1345" s="7" t="s">
        <v>53</v>
      </c>
      <c r="F1345" s="7" t="s">
        <v>54</v>
      </c>
      <c r="G1345" s="7" t="s">
        <v>18</v>
      </c>
      <c r="H1345" s="7" t="s">
        <v>48</v>
      </c>
      <c r="I1345" s="7" t="s">
        <v>712</v>
      </c>
      <c r="J1345" s="7" t="s">
        <v>691</v>
      </c>
      <c r="K1345" s="8">
        <v>6151635</v>
      </c>
      <c r="L1345" s="8">
        <v>316190</v>
      </c>
      <c r="M1345" s="8">
        <v>19</v>
      </c>
      <c r="N1345" s="8">
        <v>2</v>
      </c>
      <c r="O1345" s="8">
        <v>49</v>
      </c>
      <c r="P1345" s="8"/>
    </row>
    <row r="1346" spans="1:16" hidden="1" x14ac:dyDescent="0.25">
      <c r="A1346" s="7" t="s">
        <v>37</v>
      </c>
      <c r="B1346" s="7" t="s">
        <v>415</v>
      </c>
      <c r="C1346" s="8">
        <v>27704</v>
      </c>
      <c r="D1346" s="7" t="s">
        <v>28</v>
      </c>
      <c r="E1346" s="7" t="s">
        <v>146</v>
      </c>
      <c r="F1346" s="7" t="s">
        <v>146</v>
      </c>
      <c r="G1346" s="7" t="s">
        <v>18</v>
      </c>
      <c r="H1346" s="7" t="s">
        <v>24</v>
      </c>
      <c r="I1346" s="7" t="s">
        <v>712</v>
      </c>
      <c r="J1346" s="7" t="s">
        <v>712</v>
      </c>
      <c r="K1346" s="8">
        <v>6271178</v>
      </c>
      <c r="L1346" s="8">
        <v>319772</v>
      </c>
      <c r="M1346" s="8">
        <v>19</v>
      </c>
      <c r="N1346" s="8">
        <v>1</v>
      </c>
      <c r="O1346" s="8">
        <v>4.8</v>
      </c>
      <c r="P1346" s="8"/>
    </row>
    <row r="1347" spans="1:16" hidden="1" x14ac:dyDescent="0.25">
      <c r="A1347" s="7" t="s">
        <v>37</v>
      </c>
      <c r="B1347" s="7" t="s">
        <v>254</v>
      </c>
      <c r="C1347" s="8">
        <v>27705</v>
      </c>
      <c r="D1347" s="7" t="s">
        <v>16</v>
      </c>
      <c r="E1347" s="7" t="s">
        <v>292</v>
      </c>
      <c r="F1347" s="7" t="s">
        <v>315</v>
      </c>
      <c r="G1347" s="7" t="s">
        <v>18</v>
      </c>
      <c r="H1347" s="7" t="s">
        <v>24</v>
      </c>
      <c r="I1347" s="7" t="s">
        <v>712</v>
      </c>
      <c r="J1347" s="7" t="s">
        <v>712</v>
      </c>
      <c r="K1347" s="8">
        <v>6092460</v>
      </c>
      <c r="L1347" s="8">
        <v>274631</v>
      </c>
      <c r="M1347" s="8">
        <v>19</v>
      </c>
      <c r="N1347" s="8">
        <v>1</v>
      </c>
      <c r="O1347" s="8">
        <v>1.3</v>
      </c>
      <c r="P1347" s="8"/>
    </row>
    <row r="1348" spans="1:16" hidden="1" x14ac:dyDescent="0.25">
      <c r="A1348" s="7" t="s">
        <v>37</v>
      </c>
      <c r="B1348" s="7" t="s">
        <v>415</v>
      </c>
      <c r="C1348" s="8">
        <v>27707</v>
      </c>
      <c r="D1348" s="7" t="s">
        <v>28</v>
      </c>
      <c r="E1348" s="7" t="s">
        <v>393</v>
      </c>
      <c r="F1348" s="7" t="s">
        <v>509</v>
      </c>
      <c r="G1348" s="7" t="s">
        <v>18</v>
      </c>
      <c r="H1348" s="7" t="s">
        <v>24</v>
      </c>
      <c r="I1348" s="7" t="s">
        <v>712</v>
      </c>
      <c r="J1348" s="7" t="s">
        <v>712</v>
      </c>
      <c r="K1348" s="8">
        <v>6274600</v>
      </c>
      <c r="L1348" s="8">
        <v>315462</v>
      </c>
      <c r="M1348" s="8">
        <v>19</v>
      </c>
      <c r="N1348" s="8">
        <v>1</v>
      </c>
      <c r="O1348" s="8">
        <v>1</v>
      </c>
      <c r="P1348" s="8"/>
    </row>
    <row r="1349" spans="1:16" hidden="1" x14ac:dyDescent="0.25">
      <c r="A1349" s="7" t="s">
        <v>37</v>
      </c>
      <c r="B1349" s="7" t="s">
        <v>415</v>
      </c>
      <c r="C1349" s="8">
        <v>27709</v>
      </c>
      <c r="D1349" s="7" t="s">
        <v>28</v>
      </c>
      <c r="E1349" s="7" t="s">
        <v>344</v>
      </c>
      <c r="F1349" s="7" t="s">
        <v>505</v>
      </c>
      <c r="G1349" s="7" t="s">
        <v>18</v>
      </c>
      <c r="H1349" s="7" t="s">
        <v>109</v>
      </c>
      <c r="I1349" s="7" t="s">
        <v>712</v>
      </c>
      <c r="J1349" s="7" t="s">
        <v>691</v>
      </c>
      <c r="K1349" s="8">
        <v>6273674</v>
      </c>
      <c r="L1349" s="8">
        <v>303315</v>
      </c>
      <c r="M1349" s="8">
        <v>19</v>
      </c>
      <c r="N1349" s="8">
        <v>1</v>
      </c>
      <c r="O1349" s="8">
        <v>1.6</v>
      </c>
      <c r="P1349" s="8"/>
    </row>
    <row r="1350" spans="1:16" hidden="1" x14ac:dyDescent="0.25">
      <c r="A1350" s="7" t="s">
        <v>19</v>
      </c>
      <c r="B1350" s="7" t="s">
        <v>415</v>
      </c>
      <c r="C1350" s="8">
        <v>27710</v>
      </c>
      <c r="D1350" s="7" t="s">
        <v>28</v>
      </c>
      <c r="E1350" s="7" t="s">
        <v>146</v>
      </c>
      <c r="F1350" s="7" t="s">
        <v>511</v>
      </c>
      <c r="G1350" s="7" t="s">
        <v>18</v>
      </c>
      <c r="H1350" s="7" t="s">
        <v>48</v>
      </c>
      <c r="I1350" s="7" t="s">
        <v>712</v>
      </c>
      <c r="J1350" s="7" t="s">
        <v>712</v>
      </c>
      <c r="K1350" s="8">
        <v>6276768</v>
      </c>
      <c r="L1350" s="8">
        <v>328935</v>
      </c>
      <c r="M1350" s="8">
        <v>19</v>
      </c>
      <c r="N1350" s="8">
        <v>1</v>
      </c>
      <c r="O1350" s="8">
        <v>0.4</v>
      </c>
      <c r="P1350" s="8"/>
    </row>
    <row r="1351" spans="1:16" hidden="1" x14ac:dyDescent="0.25">
      <c r="A1351" s="7" t="s">
        <v>19</v>
      </c>
      <c r="B1351" s="7" t="s">
        <v>415</v>
      </c>
      <c r="C1351" s="8">
        <v>27711</v>
      </c>
      <c r="D1351" s="7" t="s">
        <v>28</v>
      </c>
      <c r="E1351" s="7" t="s">
        <v>146</v>
      </c>
      <c r="F1351" s="7" t="s">
        <v>511</v>
      </c>
      <c r="G1351" s="7" t="s">
        <v>18</v>
      </c>
      <c r="H1351" s="7" t="s">
        <v>48</v>
      </c>
      <c r="I1351" s="7" t="s">
        <v>712</v>
      </c>
      <c r="J1351" s="7" t="s">
        <v>691</v>
      </c>
      <c r="K1351" s="8">
        <v>6277451</v>
      </c>
      <c r="L1351" s="8">
        <v>328081</v>
      </c>
      <c r="M1351" s="8">
        <v>19</v>
      </c>
      <c r="N1351" s="8">
        <v>1</v>
      </c>
      <c r="O1351" s="8">
        <v>0.4</v>
      </c>
      <c r="P1351" s="8"/>
    </row>
    <row r="1352" spans="1:16" hidden="1" x14ac:dyDescent="0.25">
      <c r="A1352" s="7" t="s">
        <v>19</v>
      </c>
      <c r="B1352" s="7" t="s">
        <v>415</v>
      </c>
      <c r="C1352" s="8">
        <v>27712</v>
      </c>
      <c r="D1352" s="7" t="s">
        <v>28</v>
      </c>
      <c r="E1352" s="7" t="s">
        <v>146</v>
      </c>
      <c r="F1352" s="7" t="s">
        <v>511</v>
      </c>
      <c r="G1352" s="7" t="s">
        <v>18</v>
      </c>
      <c r="H1352" s="7" t="s">
        <v>48</v>
      </c>
      <c r="I1352" s="7" t="s">
        <v>712</v>
      </c>
      <c r="J1352" s="7" t="s">
        <v>691</v>
      </c>
      <c r="K1352" s="8">
        <v>6277061</v>
      </c>
      <c r="L1352" s="8">
        <v>328646</v>
      </c>
      <c r="M1352" s="8">
        <v>19</v>
      </c>
      <c r="N1352" s="8">
        <v>1</v>
      </c>
      <c r="O1352" s="8">
        <v>0.4</v>
      </c>
      <c r="P1352" s="8"/>
    </row>
    <row r="1353" spans="1:16" hidden="1" x14ac:dyDescent="0.25">
      <c r="A1353" s="7" t="s">
        <v>37</v>
      </c>
      <c r="B1353" s="7" t="s">
        <v>415</v>
      </c>
      <c r="C1353" s="8">
        <v>27713</v>
      </c>
      <c r="D1353" s="7" t="s">
        <v>28</v>
      </c>
      <c r="E1353" s="7" t="s">
        <v>56</v>
      </c>
      <c r="F1353" s="7" t="s">
        <v>512</v>
      </c>
      <c r="G1353" s="7" t="s">
        <v>18</v>
      </c>
      <c r="H1353" s="7" t="s">
        <v>24</v>
      </c>
      <c r="I1353" s="7" t="s">
        <v>712</v>
      </c>
      <c r="J1353" s="7" t="s">
        <v>712</v>
      </c>
      <c r="K1353" s="8">
        <v>6264934</v>
      </c>
      <c r="L1353" s="8">
        <v>333826</v>
      </c>
      <c r="M1353" s="8">
        <v>19</v>
      </c>
      <c r="N1353" s="8">
        <v>1</v>
      </c>
      <c r="O1353" s="8">
        <v>1.03</v>
      </c>
      <c r="P1353" s="8"/>
    </row>
    <row r="1354" spans="1:16" hidden="1" x14ac:dyDescent="0.25">
      <c r="A1354" s="7" t="s">
        <v>37</v>
      </c>
      <c r="B1354" s="7" t="s">
        <v>415</v>
      </c>
      <c r="C1354" s="8">
        <v>27714</v>
      </c>
      <c r="D1354" s="7" t="s">
        <v>28</v>
      </c>
      <c r="E1354" s="7" t="s">
        <v>56</v>
      </c>
      <c r="F1354" s="7" t="s">
        <v>512</v>
      </c>
      <c r="G1354" s="7" t="s">
        <v>18</v>
      </c>
      <c r="H1354" s="7" t="s">
        <v>24</v>
      </c>
      <c r="I1354" s="7" t="s">
        <v>712</v>
      </c>
      <c r="J1354" s="7" t="s">
        <v>712</v>
      </c>
      <c r="K1354" s="8">
        <v>6264595</v>
      </c>
      <c r="L1354" s="8">
        <v>333868</v>
      </c>
      <c r="M1354" s="8">
        <v>19</v>
      </c>
      <c r="N1354" s="8">
        <v>1</v>
      </c>
      <c r="O1354" s="8">
        <v>0.99</v>
      </c>
      <c r="P1354" s="8"/>
    </row>
    <row r="1355" spans="1:16" hidden="1" x14ac:dyDescent="0.25">
      <c r="A1355" s="7" t="s">
        <v>19</v>
      </c>
      <c r="B1355" s="7" t="s">
        <v>408</v>
      </c>
      <c r="C1355" s="8">
        <v>27715</v>
      </c>
      <c r="D1355" s="7" t="s">
        <v>28</v>
      </c>
      <c r="E1355" s="7" t="s">
        <v>344</v>
      </c>
      <c r="F1355" s="7" t="s">
        <v>234</v>
      </c>
      <c r="G1355" s="7" t="s">
        <v>18</v>
      </c>
      <c r="H1355" s="7" t="s">
        <v>48</v>
      </c>
      <c r="I1355" s="7" t="s">
        <v>712</v>
      </c>
      <c r="J1355" s="7" t="s">
        <v>691</v>
      </c>
      <c r="K1355" s="8">
        <v>6273202</v>
      </c>
      <c r="L1355" s="8">
        <v>293127</v>
      </c>
      <c r="M1355" s="8">
        <v>19</v>
      </c>
      <c r="N1355" s="8">
        <v>1</v>
      </c>
      <c r="O1355" s="8">
        <v>5</v>
      </c>
      <c r="P1355" s="8"/>
    </row>
    <row r="1356" spans="1:16" hidden="1" x14ac:dyDescent="0.25">
      <c r="A1356" s="7" t="s">
        <v>37</v>
      </c>
      <c r="B1356" s="7" t="s">
        <v>415</v>
      </c>
      <c r="C1356" s="8">
        <v>27717</v>
      </c>
      <c r="D1356" s="7" t="s">
        <v>28</v>
      </c>
      <c r="E1356" s="7" t="s">
        <v>29</v>
      </c>
      <c r="F1356" s="7" t="s">
        <v>513</v>
      </c>
      <c r="G1356" s="7" t="s">
        <v>18</v>
      </c>
      <c r="H1356" s="7" t="s">
        <v>109</v>
      </c>
      <c r="I1356" s="7" t="s">
        <v>712</v>
      </c>
      <c r="J1356" s="7" t="s">
        <v>691</v>
      </c>
      <c r="K1356" s="8">
        <v>6260942</v>
      </c>
      <c r="L1356" s="8">
        <v>347528</v>
      </c>
      <c r="M1356" s="8">
        <v>19</v>
      </c>
      <c r="N1356" s="8">
        <v>1</v>
      </c>
      <c r="O1356" s="8">
        <v>2.2999999999999998</v>
      </c>
      <c r="P1356" s="8"/>
    </row>
    <row r="1357" spans="1:16" hidden="1" x14ac:dyDescent="0.25">
      <c r="A1357" s="7" t="s">
        <v>37</v>
      </c>
      <c r="B1357" s="7" t="s">
        <v>415</v>
      </c>
      <c r="C1357" s="8">
        <v>27719</v>
      </c>
      <c r="D1357" s="7" t="s">
        <v>28</v>
      </c>
      <c r="E1357" s="7" t="s">
        <v>29</v>
      </c>
      <c r="F1357" s="7" t="s">
        <v>30</v>
      </c>
      <c r="G1357" s="7" t="s">
        <v>18</v>
      </c>
      <c r="H1357" s="7" t="s">
        <v>24</v>
      </c>
      <c r="I1357" s="7" t="s">
        <v>712</v>
      </c>
      <c r="J1357" s="7" t="s">
        <v>712</v>
      </c>
      <c r="K1357" s="8">
        <v>6255095</v>
      </c>
      <c r="L1357" s="8">
        <v>345067</v>
      </c>
      <c r="M1357" s="8">
        <v>19</v>
      </c>
      <c r="N1357" s="8">
        <v>1</v>
      </c>
      <c r="O1357" s="8">
        <v>1.05</v>
      </c>
      <c r="P1357" s="8"/>
    </row>
    <row r="1358" spans="1:16" hidden="1" x14ac:dyDescent="0.25">
      <c r="A1358" s="7" t="s">
        <v>37</v>
      </c>
      <c r="B1358" s="7" t="s">
        <v>415</v>
      </c>
      <c r="C1358" s="8">
        <v>27720</v>
      </c>
      <c r="D1358" s="7" t="s">
        <v>28</v>
      </c>
      <c r="E1358" s="7" t="s">
        <v>344</v>
      </c>
      <c r="F1358" s="7" t="s">
        <v>361</v>
      </c>
      <c r="G1358" s="7" t="s">
        <v>18</v>
      </c>
      <c r="H1358" s="7" t="s">
        <v>24</v>
      </c>
      <c r="I1358" s="7" t="s">
        <v>712</v>
      </c>
      <c r="J1358" s="7" t="s">
        <v>712</v>
      </c>
      <c r="K1358" s="8">
        <v>6274524</v>
      </c>
      <c r="L1358" s="8">
        <v>284842</v>
      </c>
      <c r="M1358" s="8">
        <v>19</v>
      </c>
      <c r="N1358" s="8">
        <v>1</v>
      </c>
      <c r="O1358" s="8">
        <v>1.01</v>
      </c>
      <c r="P1358" s="8"/>
    </row>
    <row r="1359" spans="1:16" hidden="1" x14ac:dyDescent="0.25">
      <c r="A1359" s="7" t="s">
        <v>19</v>
      </c>
      <c r="B1359" s="7" t="s">
        <v>415</v>
      </c>
      <c r="C1359" s="8">
        <v>27721</v>
      </c>
      <c r="D1359" s="7" t="s">
        <v>28</v>
      </c>
      <c r="E1359" s="7" t="s">
        <v>29</v>
      </c>
      <c r="F1359" s="7" t="s">
        <v>29</v>
      </c>
      <c r="G1359" s="7" t="s">
        <v>18</v>
      </c>
      <c r="H1359" s="7" t="s">
        <v>48</v>
      </c>
      <c r="I1359" s="7" t="s">
        <v>712</v>
      </c>
      <c r="J1359" s="7" t="s">
        <v>712</v>
      </c>
      <c r="K1359" s="8">
        <v>6261279</v>
      </c>
      <c r="L1359" s="8">
        <v>340989</v>
      </c>
      <c r="M1359" s="8">
        <v>19</v>
      </c>
      <c r="N1359" s="8">
        <v>1</v>
      </c>
      <c r="O1359" s="8">
        <v>0.4</v>
      </c>
      <c r="P1359" s="8"/>
    </row>
    <row r="1360" spans="1:16" hidden="1" x14ac:dyDescent="0.25">
      <c r="A1360" s="7" t="s">
        <v>37</v>
      </c>
      <c r="B1360" s="7" t="s">
        <v>415</v>
      </c>
      <c r="C1360" s="8">
        <v>27723</v>
      </c>
      <c r="D1360" s="7" t="s">
        <v>28</v>
      </c>
      <c r="E1360" s="7" t="s">
        <v>29</v>
      </c>
      <c r="F1360" s="7" t="s">
        <v>478</v>
      </c>
      <c r="G1360" s="7" t="s">
        <v>18</v>
      </c>
      <c r="H1360" s="7" t="s">
        <v>24</v>
      </c>
      <c r="I1360" s="7" t="s">
        <v>712</v>
      </c>
      <c r="J1360" s="7" t="s">
        <v>712</v>
      </c>
      <c r="K1360" s="8">
        <v>6256017</v>
      </c>
      <c r="L1360" s="8">
        <v>320784</v>
      </c>
      <c r="M1360" s="8">
        <v>19</v>
      </c>
      <c r="N1360" s="8">
        <v>1</v>
      </c>
      <c r="O1360" s="8">
        <v>0.15</v>
      </c>
      <c r="P1360" s="8"/>
    </row>
    <row r="1361" spans="1:16" hidden="1" x14ac:dyDescent="0.25">
      <c r="A1361" s="7" t="s">
        <v>19</v>
      </c>
      <c r="B1361" s="7" t="s">
        <v>408</v>
      </c>
      <c r="C1361" s="8">
        <v>27727</v>
      </c>
      <c r="D1361" s="7" t="s">
        <v>28</v>
      </c>
      <c r="E1361" s="7" t="s">
        <v>32</v>
      </c>
      <c r="F1361" s="7" t="s">
        <v>147</v>
      </c>
      <c r="G1361" s="7" t="s">
        <v>18</v>
      </c>
      <c r="H1361" s="7" t="s">
        <v>48</v>
      </c>
      <c r="I1361" s="7" t="s">
        <v>712</v>
      </c>
      <c r="J1361" s="7" t="s">
        <v>691</v>
      </c>
      <c r="K1361" s="8">
        <v>6273300</v>
      </c>
      <c r="L1361" s="8">
        <v>336970</v>
      </c>
      <c r="M1361" s="8">
        <v>19</v>
      </c>
      <c r="N1361" s="8">
        <v>1</v>
      </c>
      <c r="O1361" s="8">
        <v>16</v>
      </c>
      <c r="P1361" s="8"/>
    </row>
    <row r="1362" spans="1:16" hidden="1" x14ac:dyDescent="0.25">
      <c r="A1362" s="7" t="s">
        <v>37</v>
      </c>
      <c r="B1362" s="7" t="s">
        <v>415</v>
      </c>
      <c r="C1362" s="8">
        <v>27728</v>
      </c>
      <c r="D1362" s="7" t="s">
        <v>28</v>
      </c>
      <c r="E1362" s="7" t="s">
        <v>344</v>
      </c>
      <c r="F1362" s="7" t="s">
        <v>514</v>
      </c>
      <c r="G1362" s="7" t="s">
        <v>18</v>
      </c>
      <c r="H1362" s="7" t="s">
        <v>24</v>
      </c>
      <c r="I1362" s="7" t="s">
        <v>712</v>
      </c>
      <c r="J1362" s="7" t="s">
        <v>712</v>
      </c>
      <c r="K1362" s="8">
        <v>6273233</v>
      </c>
      <c r="L1362" s="8">
        <v>300525</v>
      </c>
      <c r="M1362" s="8">
        <v>19</v>
      </c>
      <c r="N1362" s="8">
        <v>1</v>
      </c>
      <c r="O1362" s="8">
        <v>1</v>
      </c>
      <c r="P1362" s="8"/>
    </row>
    <row r="1363" spans="1:16" hidden="1" x14ac:dyDescent="0.25">
      <c r="A1363" s="7" t="s">
        <v>37</v>
      </c>
      <c r="B1363" s="7" t="s">
        <v>254</v>
      </c>
      <c r="C1363" s="8">
        <v>27729</v>
      </c>
      <c r="D1363" s="7" t="s">
        <v>16</v>
      </c>
      <c r="E1363" s="7" t="s">
        <v>50</v>
      </c>
      <c r="F1363" s="7" t="s">
        <v>255</v>
      </c>
      <c r="G1363" s="7" t="s">
        <v>18</v>
      </c>
      <c r="H1363" s="7" t="s">
        <v>48</v>
      </c>
      <c r="I1363" s="7" t="s">
        <v>712</v>
      </c>
      <c r="J1363" s="7" t="s">
        <v>691</v>
      </c>
      <c r="K1363" s="8">
        <v>6083009</v>
      </c>
      <c r="L1363" s="8">
        <v>265576</v>
      </c>
      <c r="M1363" s="8">
        <v>19</v>
      </c>
      <c r="N1363" s="8">
        <v>1</v>
      </c>
      <c r="O1363" s="8">
        <v>1.3</v>
      </c>
      <c r="P1363" s="8"/>
    </row>
    <row r="1364" spans="1:16" hidden="1" x14ac:dyDescent="0.25">
      <c r="A1364" s="7" t="s">
        <v>19</v>
      </c>
      <c r="B1364" s="7" t="s">
        <v>408</v>
      </c>
      <c r="C1364" s="8">
        <v>27732</v>
      </c>
      <c r="D1364" s="7" t="s">
        <v>28</v>
      </c>
      <c r="E1364" s="7" t="s">
        <v>344</v>
      </c>
      <c r="F1364" s="7" t="s">
        <v>411</v>
      </c>
      <c r="G1364" s="7" t="s">
        <v>18</v>
      </c>
      <c r="H1364" s="7" t="s">
        <v>48</v>
      </c>
      <c r="I1364" s="7" t="s">
        <v>712</v>
      </c>
      <c r="J1364" s="7" t="s">
        <v>691</v>
      </c>
      <c r="K1364" s="8">
        <v>6263859</v>
      </c>
      <c r="L1364" s="8">
        <v>294788</v>
      </c>
      <c r="M1364" s="8">
        <v>19</v>
      </c>
      <c r="N1364" s="8">
        <v>1</v>
      </c>
      <c r="O1364" s="8">
        <v>14</v>
      </c>
      <c r="P1364" s="8"/>
    </row>
    <row r="1365" spans="1:16" hidden="1" x14ac:dyDescent="0.25">
      <c r="A1365" s="7" t="s">
        <v>37</v>
      </c>
      <c r="B1365" s="7" t="s">
        <v>254</v>
      </c>
      <c r="C1365" s="8">
        <v>27733</v>
      </c>
      <c r="D1365" s="7" t="s">
        <v>16</v>
      </c>
      <c r="E1365" s="7" t="s">
        <v>155</v>
      </c>
      <c r="F1365" s="7" t="s">
        <v>289</v>
      </c>
      <c r="G1365" s="7" t="s">
        <v>18</v>
      </c>
      <c r="H1365" s="7" t="s">
        <v>24</v>
      </c>
      <c r="I1365" s="7" t="s">
        <v>712</v>
      </c>
      <c r="J1365" s="7" t="s">
        <v>712</v>
      </c>
      <c r="K1365" s="8">
        <v>6117875</v>
      </c>
      <c r="L1365" s="8">
        <v>305430</v>
      </c>
      <c r="M1365" s="8">
        <v>19</v>
      </c>
      <c r="N1365" s="8">
        <v>1</v>
      </c>
      <c r="O1365" s="8">
        <v>3.7</v>
      </c>
      <c r="P1365" s="8"/>
    </row>
    <row r="1366" spans="1:16" hidden="1" x14ac:dyDescent="0.25">
      <c r="A1366" s="7" t="s">
        <v>37</v>
      </c>
      <c r="B1366" s="7" t="s">
        <v>254</v>
      </c>
      <c r="C1366" s="8">
        <v>27734</v>
      </c>
      <c r="D1366" s="7" t="s">
        <v>16</v>
      </c>
      <c r="E1366" s="7" t="s">
        <v>50</v>
      </c>
      <c r="F1366" s="7" t="s">
        <v>257</v>
      </c>
      <c r="G1366" s="7" t="s">
        <v>18</v>
      </c>
      <c r="H1366" s="7" t="s">
        <v>48</v>
      </c>
      <c r="I1366" s="7" t="s">
        <v>712</v>
      </c>
      <c r="J1366" s="7" t="s">
        <v>691</v>
      </c>
      <c r="K1366" s="8">
        <v>6079164</v>
      </c>
      <c r="L1366" s="8">
        <v>265569</v>
      </c>
      <c r="M1366" s="8">
        <v>19</v>
      </c>
      <c r="N1366" s="8">
        <v>1</v>
      </c>
      <c r="O1366" s="8">
        <v>3</v>
      </c>
      <c r="P1366" s="8"/>
    </row>
    <row r="1367" spans="1:16" hidden="1" x14ac:dyDescent="0.25">
      <c r="A1367" s="7" t="s">
        <v>19</v>
      </c>
      <c r="B1367" s="7" t="s">
        <v>408</v>
      </c>
      <c r="C1367" s="8">
        <v>27735</v>
      </c>
      <c r="D1367" s="7" t="s">
        <v>28</v>
      </c>
      <c r="E1367" s="7" t="s">
        <v>32</v>
      </c>
      <c r="F1367" s="7" t="s">
        <v>147</v>
      </c>
      <c r="G1367" s="7" t="s">
        <v>18</v>
      </c>
      <c r="H1367" s="7" t="s">
        <v>48</v>
      </c>
      <c r="I1367" s="7" t="s">
        <v>712</v>
      </c>
      <c r="J1367" s="7" t="s">
        <v>691</v>
      </c>
      <c r="K1367" s="8">
        <v>6273440</v>
      </c>
      <c r="L1367" s="8">
        <v>336900</v>
      </c>
      <c r="M1367" s="8">
        <v>19</v>
      </c>
      <c r="N1367" s="8">
        <v>1</v>
      </c>
      <c r="O1367" s="8">
        <v>13.5</v>
      </c>
      <c r="P1367" s="8"/>
    </row>
    <row r="1368" spans="1:16" hidden="1" x14ac:dyDescent="0.25">
      <c r="A1368" s="7" t="s">
        <v>37</v>
      </c>
      <c r="B1368" s="7" t="s">
        <v>254</v>
      </c>
      <c r="C1368" s="8">
        <v>27736</v>
      </c>
      <c r="D1368" s="7" t="s">
        <v>16</v>
      </c>
      <c r="E1368" s="7" t="s">
        <v>50</v>
      </c>
      <c r="F1368" s="7" t="s">
        <v>257</v>
      </c>
      <c r="G1368" s="7" t="s">
        <v>18</v>
      </c>
      <c r="H1368" s="7" t="s">
        <v>48</v>
      </c>
      <c r="I1368" s="7" t="s">
        <v>712</v>
      </c>
      <c r="J1368" s="7" t="s">
        <v>691</v>
      </c>
      <c r="K1368" s="8">
        <v>6079119</v>
      </c>
      <c r="L1368" s="8">
        <v>265890</v>
      </c>
      <c r="M1368" s="8">
        <v>19</v>
      </c>
      <c r="N1368" s="8">
        <v>1</v>
      </c>
      <c r="O1368" s="8">
        <v>1.1000000000000001</v>
      </c>
      <c r="P1368" s="8"/>
    </row>
    <row r="1369" spans="1:16" hidden="1" x14ac:dyDescent="0.25">
      <c r="A1369" s="7" t="s">
        <v>19</v>
      </c>
      <c r="B1369" s="7" t="s">
        <v>124</v>
      </c>
      <c r="C1369" s="8">
        <v>27739</v>
      </c>
      <c r="D1369" s="7" t="s">
        <v>52</v>
      </c>
      <c r="E1369" s="7" t="s">
        <v>53</v>
      </c>
      <c r="F1369" s="7" t="s">
        <v>53</v>
      </c>
      <c r="G1369" s="7" t="s">
        <v>18</v>
      </c>
      <c r="H1369" s="7" t="s">
        <v>48</v>
      </c>
      <c r="I1369" s="7" t="s">
        <v>712</v>
      </c>
      <c r="J1369" s="7" t="s">
        <v>712</v>
      </c>
      <c r="K1369" s="8">
        <v>6148947</v>
      </c>
      <c r="L1369" s="8">
        <v>319969</v>
      </c>
      <c r="M1369" s="8">
        <v>19</v>
      </c>
      <c r="N1369" s="8">
        <v>1</v>
      </c>
      <c r="O1369" s="8">
        <v>4</v>
      </c>
      <c r="P1369" s="8"/>
    </row>
    <row r="1370" spans="1:16" hidden="1" x14ac:dyDescent="0.25">
      <c r="A1370" s="7" t="s">
        <v>37</v>
      </c>
      <c r="B1370" s="7" t="s">
        <v>124</v>
      </c>
      <c r="C1370" s="8">
        <v>27740</v>
      </c>
      <c r="D1370" s="7" t="s">
        <v>52</v>
      </c>
      <c r="E1370" s="7" t="s">
        <v>53</v>
      </c>
      <c r="F1370" s="7" t="s">
        <v>53</v>
      </c>
      <c r="G1370" s="7" t="s">
        <v>18</v>
      </c>
      <c r="H1370" s="7" t="s">
        <v>48</v>
      </c>
      <c r="I1370" s="7" t="s">
        <v>712</v>
      </c>
      <c r="J1370" s="7" t="s">
        <v>691</v>
      </c>
      <c r="K1370" s="8">
        <v>6148134</v>
      </c>
      <c r="L1370" s="8">
        <v>319566</v>
      </c>
      <c r="M1370" s="8">
        <v>19</v>
      </c>
      <c r="N1370" s="8">
        <v>1</v>
      </c>
      <c r="O1370" s="8">
        <v>12</v>
      </c>
      <c r="P1370" s="8"/>
    </row>
    <row r="1371" spans="1:16" hidden="1" x14ac:dyDescent="0.25">
      <c r="A1371" s="7" t="s">
        <v>19</v>
      </c>
      <c r="B1371" s="7" t="s">
        <v>124</v>
      </c>
      <c r="C1371" s="8">
        <v>27742</v>
      </c>
      <c r="D1371" s="7" t="s">
        <v>52</v>
      </c>
      <c r="E1371" s="7" t="s">
        <v>53</v>
      </c>
      <c r="F1371" s="7" t="s">
        <v>53</v>
      </c>
      <c r="G1371" s="7" t="s">
        <v>18</v>
      </c>
      <c r="H1371" s="7" t="s">
        <v>48</v>
      </c>
      <c r="I1371" s="7" t="s">
        <v>712</v>
      </c>
      <c r="J1371" s="7" t="s">
        <v>712</v>
      </c>
      <c r="K1371" s="8">
        <v>6148858</v>
      </c>
      <c r="L1371" s="8">
        <v>320212</v>
      </c>
      <c r="M1371" s="8">
        <v>19</v>
      </c>
      <c r="N1371" s="8">
        <v>1</v>
      </c>
      <c r="O1371" s="8">
        <v>4</v>
      </c>
      <c r="P1371" s="8"/>
    </row>
    <row r="1372" spans="1:16" hidden="1" x14ac:dyDescent="0.25">
      <c r="A1372" s="7" t="s">
        <v>19</v>
      </c>
      <c r="B1372" s="7" t="s">
        <v>408</v>
      </c>
      <c r="C1372" s="8">
        <v>27743</v>
      </c>
      <c r="D1372" s="7" t="s">
        <v>52</v>
      </c>
      <c r="E1372" s="7" t="s">
        <v>139</v>
      </c>
      <c r="F1372" s="7" t="s">
        <v>139</v>
      </c>
      <c r="G1372" s="7" t="s">
        <v>18</v>
      </c>
      <c r="H1372" s="7" t="s">
        <v>48</v>
      </c>
      <c r="I1372" s="7" t="s">
        <v>712</v>
      </c>
      <c r="J1372" s="7" t="s">
        <v>712</v>
      </c>
      <c r="K1372" s="8">
        <v>6228356</v>
      </c>
      <c r="L1372" s="8">
        <v>342528</v>
      </c>
      <c r="M1372" s="8">
        <v>19</v>
      </c>
      <c r="N1372" s="8">
        <v>1</v>
      </c>
      <c r="O1372" s="8">
        <v>41</v>
      </c>
      <c r="P1372" s="8"/>
    </row>
    <row r="1373" spans="1:16" hidden="1" x14ac:dyDescent="0.25">
      <c r="A1373" s="7" t="s">
        <v>37</v>
      </c>
      <c r="B1373" s="7" t="s">
        <v>124</v>
      </c>
      <c r="C1373" s="8">
        <v>27744</v>
      </c>
      <c r="D1373" s="7" t="s">
        <v>52</v>
      </c>
      <c r="E1373" s="7" t="s">
        <v>53</v>
      </c>
      <c r="F1373" s="7" t="s">
        <v>53</v>
      </c>
      <c r="G1373" s="7" t="s">
        <v>18</v>
      </c>
      <c r="H1373" s="7" t="s">
        <v>48</v>
      </c>
      <c r="I1373" s="7" t="s">
        <v>712</v>
      </c>
      <c r="J1373" s="7" t="s">
        <v>691</v>
      </c>
      <c r="K1373" s="8">
        <v>6157801</v>
      </c>
      <c r="L1373" s="8">
        <v>311232</v>
      </c>
      <c r="M1373" s="8">
        <v>19</v>
      </c>
      <c r="N1373" s="8">
        <v>1</v>
      </c>
      <c r="O1373" s="8">
        <v>10</v>
      </c>
      <c r="P1373" s="8"/>
    </row>
    <row r="1374" spans="1:16" hidden="1" x14ac:dyDescent="0.25">
      <c r="A1374" s="7" t="s">
        <v>19</v>
      </c>
      <c r="B1374" s="7" t="s">
        <v>254</v>
      </c>
      <c r="C1374" s="8">
        <v>27745</v>
      </c>
      <c r="D1374" s="7" t="s">
        <v>16</v>
      </c>
      <c r="E1374" s="7" t="s">
        <v>268</v>
      </c>
      <c r="F1374" s="7" t="s">
        <v>282</v>
      </c>
      <c r="G1374" s="7" t="s">
        <v>18</v>
      </c>
      <c r="H1374" s="7" t="s">
        <v>24</v>
      </c>
      <c r="I1374" s="7" t="s">
        <v>712</v>
      </c>
      <c r="J1374" s="7" t="s">
        <v>712</v>
      </c>
      <c r="K1374" s="8">
        <v>6131185</v>
      </c>
      <c r="L1374" s="8">
        <v>321154</v>
      </c>
      <c r="M1374" s="8">
        <v>19</v>
      </c>
      <c r="N1374" s="8">
        <v>1</v>
      </c>
      <c r="O1374" s="8">
        <v>0.4</v>
      </c>
      <c r="P1374" s="8"/>
    </row>
    <row r="1375" spans="1:16" hidden="1" x14ac:dyDescent="0.25">
      <c r="A1375" s="7" t="s">
        <v>37</v>
      </c>
      <c r="B1375" s="7" t="s">
        <v>124</v>
      </c>
      <c r="C1375" s="8">
        <v>27746</v>
      </c>
      <c r="D1375" s="7" t="s">
        <v>52</v>
      </c>
      <c r="E1375" s="7" t="s">
        <v>53</v>
      </c>
      <c r="F1375" s="7" t="s">
        <v>53</v>
      </c>
      <c r="G1375" s="7" t="s">
        <v>18</v>
      </c>
      <c r="H1375" s="7" t="s">
        <v>48</v>
      </c>
      <c r="I1375" s="7" t="s">
        <v>712</v>
      </c>
      <c r="J1375" s="7" t="s">
        <v>691</v>
      </c>
      <c r="K1375" s="8">
        <v>6148450</v>
      </c>
      <c r="L1375" s="8">
        <v>320063</v>
      </c>
      <c r="M1375" s="8">
        <v>19</v>
      </c>
      <c r="N1375" s="8">
        <v>1</v>
      </c>
      <c r="O1375" s="8">
        <v>10.199999999999999</v>
      </c>
      <c r="P1375" s="8"/>
    </row>
    <row r="1376" spans="1:16" hidden="1" x14ac:dyDescent="0.25">
      <c r="A1376" s="7" t="s">
        <v>14</v>
      </c>
      <c r="B1376" s="7" t="s">
        <v>415</v>
      </c>
      <c r="C1376" s="8">
        <v>27747</v>
      </c>
      <c r="D1376" s="7" t="s">
        <v>28</v>
      </c>
      <c r="E1376" s="7" t="s">
        <v>56</v>
      </c>
      <c r="F1376" s="7" t="s">
        <v>439</v>
      </c>
      <c r="G1376" s="7" t="s">
        <v>18</v>
      </c>
      <c r="H1376" s="7" t="s">
        <v>689</v>
      </c>
      <c r="I1376" s="7" t="s">
        <v>712</v>
      </c>
      <c r="J1376" s="7" t="s">
        <v>712</v>
      </c>
      <c r="K1376" s="8">
        <v>6261981</v>
      </c>
      <c r="L1376" s="8">
        <v>336296</v>
      </c>
      <c r="M1376" s="8">
        <v>19</v>
      </c>
      <c r="N1376" s="8">
        <v>1</v>
      </c>
      <c r="O1376" s="8">
        <v>1.85</v>
      </c>
      <c r="P1376" s="8"/>
    </row>
    <row r="1377" spans="1:16" hidden="1" x14ac:dyDescent="0.25">
      <c r="A1377" s="7" t="s">
        <v>14</v>
      </c>
      <c r="B1377" s="7" t="s">
        <v>415</v>
      </c>
      <c r="C1377" s="8">
        <v>27748</v>
      </c>
      <c r="D1377" s="7" t="s">
        <v>28</v>
      </c>
      <c r="E1377" s="7" t="s">
        <v>56</v>
      </c>
      <c r="F1377" s="7" t="s">
        <v>439</v>
      </c>
      <c r="G1377" s="7" t="s">
        <v>18</v>
      </c>
      <c r="H1377" s="7" t="s">
        <v>689</v>
      </c>
      <c r="I1377" s="7" t="s">
        <v>712</v>
      </c>
      <c r="J1377" s="7" t="s">
        <v>712</v>
      </c>
      <c r="K1377" s="8">
        <v>6261885</v>
      </c>
      <c r="L1377" s="8">
        <v>336187</v>
      </c>
      <c r="M1377" s="8">
        <v>19</v>
      </c>
      <c r="N1377" s="8">
        <v>1</v>
      </c>
      <c r="O1377" s="8">
        <v>0.26</v>
      </c>
      <c r="P1377" s="8"/>
    </row>
    <row r="1378" spans="1:16" hidden="1" x14ac:dyDescent="0.25">
      <c r="A1378" s="7" t="s">
        <v>37</v>
      </c>
      <c r="B1378" s="7" t="s">
        <v>254</v>
      </c>
      <c r="C1378" s="8">
        <v>27750</v>
      </c>
      <c r="D1378" s="7" t="s">
        <v>16</v>
      </c>
      <c r="E1378" s="7" t="s">
        <v>17</v>
      </c>
      <c r="F1378" s="7" t="s">
        <v>290</v>
      </c>
      <c r="G1378" s="7" t="s">
        <v>18</v>
      </c>
      <c r="H1378" s="7" t="s">
        <v>48</v>
      </c>
      <c r="I1378" s="7" t="s">
        <v>712</v>
      </c>
      <c r="J1378" s="7" t="s">
        <v>712</v>
      </c>
      <c r="K1378" s="8">
        <v>6074207</v>
      </c>
      <c r="L1378" s="8">
        <v>275492</v>
      </c>
      <c r="M1378" s="8">
        <v>19</v>
      </c>
      <c r="N1378" s="8">
        <v>4</v>
      </c>
      <c r="O1378" s="8">
        <v>28</v>
      </c>
      <c r="P1378" s="8"/>
    </row>
    <row r="1379" spans="1:16" hidden="1" x14ac:dyDescent="0.25">
      <c r="A1379" s="7" t="s">
        <v>19</v>
      </c>
      <c r="B1379" s="7" t="s">
        <v>254</v>
      </c>
      <c r="C1379" s="8">
        <v>27751</v>
      </c>
      <c r="D1379" s="7" t="s">
        <v>21</v>
      </c>
      <c r="E1379" s="7" t="s">
        <v>278</v>
      </c>
      <c r="F1379" s="7" t="s">
        <v>316</v>
      </c>
      <c r="G1379" s="7" t="s">
        <v>18</v>
      </c>
      <c r="H1379" s="7" t="s">
        <v>24</v>
      </c>
      <c r="I1379" s="7" t="s">
        <v>712</v>
      </c>
      <c r="J1379" s="7" t="s">
        <v>712</v>
      </c>
      <c r="K1379" s="8">
        <v>6366407</v>
      </c>
      <c r="L1379" s="8">
        <v>310494</v>
      </c>
      <c r="M1379" s="8">
        <v>19</v>
      </c>
      <c r="N1379" s="8">
        <v>1</v>
      </c>
      <c r="O1379" s="8">
        <v>0.4</v>
      </c>
      <c r="P1379" s="8"/>
    </row>
    <row r="1380" spans="1:16" hidden="1" x14ac:dyDescent="0.25">
      <c r="A1380" s="7" t="s">
        <v>37</v>
      </c>
      <c r="B1380" s="7" t="s">
        <v>254</v>
      </c>
      <c r="C1380" s="8">
        <v>27752</v>
      </c>
      <c r="D1380" s="7" t="s">
        <v>16</v>
      </c>
      <c r="E1380" s="7" t="s">
        <v>46</v>
      </c>
      <c r="F1380" s="7" t="s">
        <v>306</v>
      </c>
      <c r="G1380" s="7" t="s">
        <v>18</v>
      </c>
      <c r="H1380" s="7" t="s">
        <v>48</v>
      </c>
      <c r="I1380" s="7" t="s">
        <v>712</v>
      </c>
      <c r="J1380" s="7" t="s">
        <v>691</v>
      </c>
      <c r="K1380" s="8">
        <v>6110195</v>
      </c>
      <c r="L1380" s="8">
        <v>285857</v>
      </c>
      <c r="M1380" s="8">
        <v>19</v>
      </c>
      <c r="N1380" s="8">
        <v>1</v>
      </c>
      <c r="O1380" s="8">
        <v>2.7</v>
      </c>
      <c r="P1380" s="8"/>
    </row>
    <row r="1381" spans="1:16" hidden="1" x14ac:dyDescent="0.25">
      <c r="A1381" s="7" t="s">
        <v>19</v>
      </c>
      <c r="B1381" s="7" t="s">
        <v>254</v>
      </c>
      <c r="C1381" s="8">
        <v>27754</v>
      </c>
      <c r="D1381" s="7" t="s">
        <v>52</v>
      </c>
      <c r="E1381" s="7" t="s">
        <v>145</v>
      </c>
      <c r="F1381" s="7" t="s">
        <v>317</v>
      </c>
      <c r="G1381" s="7" t="s">
        <v>18</v>
      </c>
      <c r="H1381" s="7" t="s">
        <v>48</v>
      </c>
      <c r="I1381" s="7" t="s">
        <v>712</v>
      </c>
      <c r="J1381" s="7" t="s">
        <v>712</v>
      </c>
      <c r="K1381" s="8">
        <v>6165932</v>
      </c>
      <c r="L1381" s="8">
        <v>329281</v>
      </c>
      <c r="M1381" s="8">
        <v>19</v>
      </c>
      <c r="N1381" s="8">
        <v>1</v>
      </c>
      <c r="O1381" s="8">
        <v>1.9</v>
      </c>
      <c r="P1381" s="8"/>
    </row>
    <row r="1382" spans="1:16" hidden="1" x14ac:dyDescent="0.25">
      <c r="A1382" s="7" t="s">
        <v>37</v>
      </c>
      <c r="B1382" s="7" t="s">
        <v>254</v>
      </c>
      <c r="C1382" s="8">
        <v>27755</v>
      </c>
      <c r="D1382" s="7" t="s">
        <v>21</v>
      </c>
      <c r="E1382" s="7" t="s">
        <v>278</v>
      </c>
      <c r="F1382" s="7" t="s">
        <v>316</v>
      </c>
      <c r="G1382" s="7" t="s">
        <v>18</v>
      </c>
      <c r="H1382" s="7" t="s">
        <v>24</v>
      </c>
      <c r="I1382" s="7" t="s">
        <v>712</v>
      </c>
      <c r="J1382" s="7" t="s">
        <v>712</v>
      </c>
      <c r="K1382" s="8">
        <v>6366913</v>
      </c>
      <c r="L1382" s="8">
        <v>308366</v>
      </c>
      <c r="M1382" s="8">
        <v>19</v>
      </c>
      <c r="N1382" s="8">
        <v>1</v>
      </c>
      <c r="O1382" s="8">
        <v>0.5</v>
      </c>
      <c r="P1382" s="8"/>
    </row>
    <row r="1383" spans="1:16" hidden="1" x14ac:dyDescent="0.25">
      <c r="A1383" s="7" t="s">
        <v>37</v>
      </c>
      <c r="B1383" s="7" t="s">
        <v>343</v>
      </c>
      <c r="C1383" s="8">
        <v>27756</v>
      </c>
      <c r="D1383" s="7" t="s">
        <v>52</v>
      </c>
      <c r="E1383" s="7" t="s">
        <v>151</v>
      </c>
      <c r="F1383" s="7" t="s">
        <v>151</v>
      </c>
      <c r="G1383" s="7" t="s">
        <v>18</v>
      </c>
      <c r="H1383" s="7" t="s">
        <v>48</v>
      </c>
      <c r="I1383" s="7" t="s">
        <v>712</v>
      </c>
      <c r="J1383" s="7" t="s">
        <v>712</v>
      </c>
      <c r="K1383" s="8">
        <v>6196444</v>
      </c>
      <c r="L1383" s="8">
        <v>326524</v>
      </c>
      <c r="M1383" s="8">
        <v>19</v>
      </c>
      <c r="N1383" s="8">
        <v>2</v>
      </c>
      <c r="O1383" s="8">
        <v>46</v>
      </c>
      <c r="P1383" s="8"/>
    </row>
    <row r="1384" spans="1:16" hidden="1" x14ac:dyDescent="0.25">
      <c r="A1384" s="7" t="s">
        <v>37</v>
      </c>
      <c r="B1384" s="7" t="s">
        <v>124</v>
      </c>
      <c r="C1384" s="8">
        <v>27758</v>
      </c>
      <c r="D1384" s="7" t="s">
        <v>28</v>
      </c>
      <c r="E1384" s="7" t="s">
        <v>32</v>
      </c>
      <c r="F1384" s="7" t="s">
        <v>148</v>
      </c>
      <c r="G1384" s="7" t="s">
        <v>18</v>
      </c>
      <c r="H1384" s="7" t="s">
        <v>48</v>
      </c>
      <c r="I1384" s="7" t="s">
        <v>712</v>
      </c>
      <c r="J1384" s="7" t="s">
        <v>691</v>
      </c>
      <c r="K1384" s="8">
        <v>6284569</v>
      </c>
      <c r="L1384" s="8">
        <v>339211</v>
      </c>
      <c r="M1384" s="8">
        <v>19</v>
      </c>
      <c r="N1384" s="8">
        <v>1</v>
      </c>
      <c r="O1384" s="8">
        <v>5</v>
      </c>
      <c r="P1384" s="8"/>
    </row>
    <row r="1385" spans="1:16" hidden="1" x14ac:dyDescent="0.25">
      <c r="A1385" s="7" t="s">
        <v>37</v>
      </c>
      <c r="B1385" s="7" t="s">
        <v>343</v>
      </c>
      <c r="C1385" s="8">
        <v>27759</v>
      </c>
      <c r="D1385" s="7" t="s">
        <v>52</v>
      </c>
      <c r="E1385" s="7" t="s">
        <v>53</v>
      </c>
      <c r="F1385" s="7" t="s">
        <v>53</v>
      </c>
      <c r="G1385" s="7" t="s">
        <v>18</v>
      </c>
      <c r="H1385" s="7" t="s">
        <v>48</v>
      </c>
      <c r="I1385" s="7" t="s">
        <v>712</v>
      </c>
      <c r="J1385" s="7" t="s">
        <v>712</v>
      </c>
      <c r="K1385" s="8">
        <v>6162778</v>
      </c>
      <c r="L1385" s="8">
        <v>314445</v>
      </c>
      <c r="M1385" s="8">
        <v>19</v>
      </c>
      <c r="N1385" s="8">
        <v>6</v>
      </c>
      <c r="O1385" s="8">
        <v>53</v>
      </c>
      <c r="P1385" s="8"/>
    </row>
    <row r="1386" spans="1:16" hidden="1" x14ac:dyDescent="0.25">
      <c r="A1386" s="7" t="s">
        <v>37</v>
      </c>
      <c r="B1386" s="7" t="s">
        <v>254</v>
      </c>
      <c r="C1386" s="8">
        <v>27760</v>
      </c>
      <c r="D1386" s="7" t="s">
        <v>16</v>
      </c>
      <c r="E1386" s="7" t="s">
        <v>292</v>
      </c>
      <c r="F1386" s="7" t="s">
        <v>318</v>
      </c>
      <c r="G1386" s="7" t="s">
        <v>18</v>
      </c>
      <c r="H1386" s="7" t="s">
        <v>24</v>
      </c>
      <c r="I1386" s="7" t="s">
        <v>712</v>
      </c>
      <c r="J1386" s="7" t="s">
        <v>712</v>
      </c>
      <c r="K1386" s="8">
        <v>6096446</v>
      </c>
      <c r="L1386" s="8">
        <v>274551</v>
      </c>
      <c r="M1386" s="8">
        <v>19</v>
      </c>
      <c r="N1386" s="8">
        <v>1</v>
      </c>
      <c r="O1386" s="8">
        <v>0.6</v>
      </c>
      <c r="P1386" s="8"/>
    </row>
    <row r="1387" spans="1:16" hidden="1" x14ac:dyDescent="0.25">
      <c r="A1387" s="7" t="s">
        <v>37</v>
      </c>
      <c r="B1387" s="7" t="s">
        <v>254</v>
      </c>
      <c r="C1387" s="8">
        <v>27762</v>
      </c>
      <c r="D1387" s="7" t="s">
        <v>16</v>
      </c>
      <c r="E1387" s="7" t="s">
        <v>268</v>
      </c>
      <c r="F1387" s="7" t="s">
        <v>282</v>
      </c>
      <c r="G1387" s="7" t="s">
        <v>18</v>
      </c>
      <c r="H1387" s="7" t="s">
        <v>48</v>
      </c>
      <c r="I1387" s="7" t="s">
        <v>712</v>
      </c>
      <c r="J1387" s="7" t="s">
        <v>691</v>
      </c>
      <c r="K1387" s="8">
        <v>6135123</v>
      </c>
      <c r="L1387" s="8">
        <v>315686</v>
      </c>
      <c r="M1387" s="8">
        <v>19</v>
      </c>
      <c r="N1387" s="8">
        <v>1</v>
      </c>
      <c r="O1387" s="8">
        <v>2.7</v>
      </c>
      <c r="P1387" s="8"/>
    </row>
    <row r="1388" spans="1:16" hidden="1" x14ac:dyDescent="0.25">
      <c r="A1388" s="7" t="s">
        <v>14</v>
      </c>
      <c r="B1388" s="7" t="s">
        <v>415</v>
      </c>
      <c r="C1388" s="8">
        <v>27766</v>
      </c>
      <c r="D1388" s="7" t="s">
        <v>28</v>
      </c>
      <c r="E1388" s="7" t="s">
        <v>56</v>
      </c>
      <c r="F1388" s="7" t="s">
        <v>162</v>
      </c>
      <c r="G1388" s="7" t="s">
        <v>18</v>
      </c>
      <c r="H1388" s="7" t="s">
        <v>689</v>
      </c>
      <c r="I1388" s="7" t="s">
        <v>712</v>
      </c>
      <c r="J1388" s="7" t="s">
        <v>712</v>
      </c>
      <c r="K1388" s="8">
        <v>6259925</v>
      </c>
      <c r="L1388" s="8">
        <v>332477</v>
      </c>
      <c r="M1388" s="8">
        <v>19</v>
      </c>
      <c r="N1388" s="8">
        <v>1</v>
      </c>
      <c r="O1388" s="8">
        <v>2.31</v>
      </c>
      <c r="P1388" s="8"/>
    </row>
    <row r="1389" spans="1:16" hidden="1" x14ac:dyDescent="0.25">
      <c r="A1389" s="7" t="s">
        <v>14</v>
      </c>
      <c r="B1389" s="7" t="s">
        <v>415</v>
      </c>
      <c r="C1389" s="8">
        <v>27769</v>
      </c>
      <c r="D1389" s="7" t="s">
        <v>28</v>
      </c>
      <c r="E1389" s="7" t="s">
        <v>56</v>
      </c>
      <c r="F1389" s="7" t="s">
        <v>162</v>
      </c>
      <c r="G1389" s="7" t="s">
        <v>18</v>
      </c>
      <c r="H1389" s="7" t="s">
        <v>689</v>
      </c>
      <c r="I1389" s="7" t="s">
        <v>712</v>
      </c>
      <c r="J1389" s="7" t="s">
        <v>712</v>
      </c>
      <c r="K1389" s="8">
        <v>6259854</v>
      </c>
      <c r="L1389" s="8">
        <v>332547</v>
      </c>
      <c r="M1389" s="8">
        <v>19</v>
      </c>
      <c r="N1389" s="8">
        <v>1</v>
      </c>
      <c r="O1389" s="8">
        <v>0.99</v>
      </c>
      <c r="P1389" s="8"/>
    </row>
    <row r="1390" spans="1:16" hidden="1" x14ac:dyDescent="0.25">
      <c r="A1390" s="7" t="s">
        <v>37</v>
      </c>
      <c r="B1390" s="7" t="s">
        <v>254</v>
      </c>
      <c r="C1390" s="8">
        <v>27770</v>
      </c>
      <c r="D1390" s="7" t="s">
        <v>16</v>
      </c>
      <c r="E1390" s="7" t="s">
        <v>46</v>
      </c>
      <c r="F1390" s="7" t="s">
        <v>306</v>
      </c>
      <c r="G1390" s="7" t="s">
        <v>18</v>
      </c>
      <c r="H1390" s="7" t="s">
        <v>48</v>
      </c>
      <c r="I1390" s="7" t="s">
        <v>712</v>
      </c>
      <c r="J1390" s="7" t="s">
        <v>691</v>
      </c>
      <c r="K1390" s="8">
        <v>6110083</v>
      </c>
      <c r="L1390" s="8">
        <v>285765</v>
      </c>
      <c r="M1390" s="8">
        <v>19</v>
      </c>
      <c r="N1390" s="8">
        <v>1</v>
      </c>
      <c r="O1390" s="8">
        <v>2.7</v>
      </c>
      <c r="P1390" s="8"/>
    </row>
    <row r="1391" spans="1:16" hidden="1" x14ac:dyDescent="0.25">
      <c r="A1391" s="7" t="s">
        <v>14</v>
      </c>
      <c r="B1391" s="7" t="s">
        <v>270</v>
      </c>
      <c r="C1391" s="8">
        <v>27771</v>
      </c>
      <c r="D1391" s="7" t="s">
        <v>16</v>
      </c>
      <c r="E1391" s="7" t="s">
        <v>268</v>
      </c>
      <c r="F1391" s="7" t="s">
        <v>320</v>
      </c>
      <c r="G1391" s="7" t="s">
        <v>18</v>
      </c>
      <c r="H1391" s="7" t="s">
        <v>689</v>
      </c>
      <c r="I1391" s="7" t="s">
        <v>712</v>
      </c>
      <c r="J1391" s="7" t="s">
        <v>712</v>
      </c>
      <c r="K1391" s="8">
        <v>6146733</v>
      </c>
      <c r="L1391" s="8">
        <v>313590</v>
      </c>
      <c r="M1391" s="8">
        <v>19</v>
      </c>
      <c r="N1391" s="8">
        <v>1</v>
      </c>
      <c r="O1391" s="8">
        <v>1.24</v>
      </c>
      <c r="P1391" s="8"/>
    </row>
    <row r="1392" spans="1:16" hidden="1" x14ac:dyDescent="0.25">
      <c r="A1392" s="7" t="s">
        <v>37</v>
      </c>
      <c r="B1392" s="7" t="s">
        <v>254</v>
      </c>
      <c r="C1392" s="8">
        <v>27773</v>
      </c>
      <c r="D1392" s="7" t="s">
        <v>16</v>
      </c>
      <c r="E1392" s="7" t="s">
        <v>155</v>
      </c>
      <c r="F1392" s="7" t="s">
        <v>319</v>
      </c>
      <c r="G1392" s="7" t="s">
        <v>18</v>
      </c>
      <c r="H1392" s="7" t="s">
        <v>48</v>
      </c>
      <c r="I1392" s="7" t="s">
        <v>712</v>
      </c>
      <c r="J1392" s="7" t="s">
        <v>691</v>
      </c>
      <c r="K1392" s="8">
        <v>6123586</v>
      </c>
      <c r="L1392" s="8">
        <v>298792</v>
      </c>
      <c r="M1392" s="8">
        <v>19</v>
      </c>
      <c r="N1392" s="8">
        <v>1</v>
      </c>
      <c r="O1392" s="8">
        <v>9</v>
      </c>
      <c r="P1392" s="8"/>
    </row>
    <row r="1393" spans="1:16" hidden="1" x14ac:dyDescent="0.25">
      <c r="A1393" s="7" t="s">
        <v>14</v>
      </c>
      <c r="B1393" s="7" t="s">
        <v>415</v>
      </c>
      <c r="C1393" s="8">
        <v>27774</v>
      </c>
      <c r="D1393" s="7" t="s">
        <v>28</v>
      </c>
      <c r="E1393" s="7" t="s">
        <v>56</v>
      </c>
      <c r="F1393" s="7" t="s">
        <v>162</v>
      </c>
      <c r="G1393" s="7" t="s">
        <v>18</v>
      </c>
      <c r="H1393" s="7" t="s">
        <v>689</v>
      </c>
      <c r="I1393" s="7" t="s">
        <v>712</v>
      </c>
      <c r="J1393" s="7" t="s">
        <v>712</v>
      </c>
      <c r="K1393" s="8">
        <v>6259510</v>
      </c>
      <c r="L1393" s="8">
        <v>332250</v>
      </c>
      <c r="M1393" s="8">
        <v>19</v>
      </c>
      <c r="N1393" s="8">
        <v>2</v>
      </c>
      <c r="O1393" s="8">
        <v>0.82</v>
      </c>
      <c r="P1393" s="8"/>
    </row>
    <row r="1394" spans="1:16" hidden="1" x14ac:dyDescent="0.25">
      <c r="A1394" s="7" t="s">
        <v>14</v>
      </c>
      <c r="B1394" s="7" t="s">
        <v>415</v>
      </c>
      <c r="C1394" s="8">
        <v>27775</v>
      </c>
      <c r="D1394" s="7" t="s">
        <v>28</v>
      </c>
      <c r="E1394" s="7" t="s">
        <v>56</v>
      </c>
      <c r="F1394" s="7" t="s">
        <v>162</v>
      </c>
      <c r="G1394" s="7" t="s">
        <v>18</v>
      </c>
      <c r="H1394" s="7" t="s">
        <v>689</v>
      </c>
      <c r="I1394" s="7" t="s">
        <v>712</v>
      </c>
      <c r="J1394" s="7" t="s">
        <v>712</v>
      </c>
      <c r="K1394" s="8">
        <v>6259627</v>
      </c>
      <c r="L1394" s="8">
        <v>332448</v>
      </c>
      <c r="M1394" s="8">
        <v>19</v>
      </c>
      <c r="N1394" s="8">
        <v>1</v>
      </c>
      <c r="O1394" s="8">
        <v>0.75</v>
      </c>
      <c r="P1394" s="8"/>
    </row>
    <row r="1395" spans="1:16" hidden="1" x14ac:dyDescent="0.25">
      <c r="A1395" s="7" t="s">
        <v>37</v>
      </c>
      <c r="B1395" s="7" t="s">
        <v>254</v>
      </c>
      <c r="C1395" s="8">
        <v>27777</v>
      </c>
      <c r="D1395" s="7" t="s">
        <v>16</v>
      </c>
      <c r="E1395" s="7" t="s">
        <v>268</v>
      </c>
      <c r="F1395" s="7" t="s">
        <v>320</v>
      </c>
      <c r="G1395" s="7" t="s">
        <v>18</v>
      </c>
      <c r="H1395" s="7" t="s">
        <v>48</v>
      </c>
      <c r="I1395" s="7" t="s">
        <v>712</v>
      </c>
      <c r="J1395" s="7" t="s">
        <v>691</v>
      </c>
      <c r="K1395" s="8">
        <v>6142001</v>
      </c>
      <c r="L1395" s="8">
        <v>314672</v>
      </c>
      <c r="M1395" s="8">
        <v>19</v>
      </c>
      <c r="N1395" s="8">
        <v>1</v>
      </c>
      <c r="O1395" s="8">
        <v>2.7</v>
      </c>
      <c r="P1395" s="8"/>
    </row>
    <row r="1396" spans="1:16" hidden="1" x14ac:dyDescent="0.25">
      <c r="A1396" s="7" t="s">
        <v>14</v>
      </c>
      <c r="B1396" s="7" t="s">
        <v>270</v>
      </c>
      <c r="C1396" s="8">
        <v>27778</v>
      </c>
      <c r="D1396" s="7" t="s">
        <v>52</v>
      </c>
      <c r="E1396" s="7" t="s">
        <v>453</v>
      </c>
      <c r="F1396" s="7" t="s">
        <v>629</v>
      </c>
      <c r="G1396" s="7" t="s">
        <v>18</v>
      </c>
      <c r="H1396" s="7" t="s">
        <v>689</v>
      </c>
      <c r="I1396" s="7" t="s">
        <v>712</v>
      </c>
      <c r="J1396" s="7" t="s">
        <v>712</v>
      </c>
      <c r="K1396" s="8">
        <v>6179462</v>
      </c>
      <c r="L1396" s="8">
        <v>277259</v>
      </c>
      <c r="M1396" s="8">
        <v>19</v>
      </c>
      <c r="N1396" s="8">
        <v>1</v>
      </c>
      <c r="O1396" s="8">
        <v>2.39</v>
      </c>
      <c r="P1396" s="8"/>
    </row>
    <row r="1397" spans="1:16" hidden="1" x14ac:dyDescent="0.25">
      <c r="A1397" s="7" t="s">
        <v>14</v>
      </c>
      <c r="B1397" s="7" t="s">
        <v>415</v>
      </c>
      <c r="C1397" s="8">
        <v>27779</v>
      </c>
      <c r="D1397" s="7" t="s">
        <v>28</v>
      </c>
      <c r="E1397" s="7" t="s">
        <v>56</v>
      </c>
      <c r="F1397" s="7" t="s">
        <v>162</v>
      </c>
      <c r="G1397" s="7" t="s">
        <v>18</v>
      </c>
      <c r="H1397" s="7" t="s">
        <v>689</v>
      </c>
      <c r="I1397" s="7" t="s">
        <v>712</v>
      </c>
      <c r="J1397" s="7" t="s">
        <v>712</v>
      </c>
      <c r="K1397" s="8">
        <v>6260031</v>
      </c>
      <c r="L1397" s="8">
        <v>332876</v>
      </c>
      <c r="M1397" s="8">
        <v>19</v>
      </c>
      <c r="N1397" s="8">
        <v>1</v>
      </c>
      <c r="O1397" s="8">
        <v>0.01</v>
      </c>
      <c r="P1397" s="8"/>
    </row>
    <row r="1398" spans="1:16" hidden="1" x14ac:dyDescent="0.25">
      <c r="A1398" s="7" t="s">
        <v>37</v>
      </c>
      <c r="B1398" s="7" t="s">
        <v>124</v>
      </c>
      <c r="C1398" s="8">
        <v>27780</v>
      </c>
      <c r="D1398" s="7" t="s">
        <v>28</v>
      </c>
      <c r="E1398" s="7" t="s">
        <v>135</v>
      </c>
      <c r="F1398" s="7" t="s">
        <v>158</v>
      </c>
      <c r="G1398" s="7" t="s">
        <v>18</v>
      </c>
      <c r="H1398" s="7" t="s">
        <v>48</v>
      </c>
      <c r="I1398" s="7" t="s">
        <v>712</v>
      </c>
      <c r="J1398" s="7" t="s">
        <v>691</v>
      </c>
      <c r="K1398" s="8">
        <v>6284486</v>
      </c>
      <c r="L1398" s="8">
        <v>347047</v>
      </c>
      <c r="M1398" s="8">
        <v>19</v>
      </c>
      <c r="N1398" s="8">
        <v>2</v>
      </c>
      <c r="O1398" s="8">
        <v>35</v>
      </c>
      <c r="P1398" s="8"/>
    </row>
    <row r="1399" spans="1:16" hidden="1" x14ac:dyDescent="0.25">
      <c r="A1399" s="7" t="s">
        <v>14</v>
      </c>
      <c r="B1399" s="7" t="s">
        <v>270</v>
      </c>
      <c r="C1399" s="8">
        <v>27781</v>
      </c>
      <c r="D1399" s="7" t="s">
        <v>52</v>
      </c>
      <c r="E1399" s="7" t="s">
        <v>139</v>
      </c>
      <c r="F1399" s="7" t="s">
        <v>139</v>
      </c>
      <c r="G1399" s="7" t="s">
        <v>18</v>
      </c>
      <c r="H1399" s="7" t="s">
        <v>689</v>
      </c>
      <c r="I1399" s="7" t="s">
        <v>712</v>
      </c>
      <c r="J1399" s="7" t="s">
        <v>712</v>
      </c>
      <c r="K1399" s="8">
        <v>6224640</v>
      </c>
      <c r="L1399" s="8">
        <v>339344</v>
      </c>
      <c r="M1399" s="8">
        <v>19</v>
      </c>
      <c r="N1399" s="8">
        <v>1</v>
      </c>
      <c r="O1399" s="8">
        <v>0.3</v>
      </c>
      <c r="P1399" s="8"/>
    </row>
    <row r="1400" spans="1:16" hidden="1" x14ac:dyDescent="0.25">
      <c r="A1400" s="7" t="s">
        <v>37</v>
      </c>
      <c r="B1400" s="7" t="s">
        <v>254</v>
      </c>
      <c r="C1400" s="8">
        <v>27783</v>
      </c>
      <c r="D1400" s="7" t="s">
        <v>16</v>
      </c>
      <c r="E1400" s="7" t="s">
        <v>46</v>
      </c>
      <c r="F1400" s="7" t="s">
        <v>263</v>
      </c>
      <c r="G1400" s="7" t="s">
        <v>18</v>
      </c>
      <c r="H1400" s="7" t="s">
        <v>48</v>
      </c>
      <c r="I1400" s="7" t="s">
        <v>712</v>
      </c>
      <c r="J1400" s="7" t="s">
        <v>691</v>
      </c>
      <c r="K1400" s="8">
        <v>6115806</v>
      </c>
      <c r="L1400" s="8">
        <v>290439</v>
      </c>
      <c r="M1400" s="8">
        <v>19</v>
      </c>
      <c r="N1400" s="8">
        <v>1</v>
      </c>
      <c r="O1400" s="8">
        <v>2.1</v>
      </c>
      <c r="P1400" s="8"/>
    </row>
    <row r="1401" spans="1:16" hidden="1" x14ac:dyDescent="0.25">
      <c r="A1401" s="7" t="s">
        <v>37</v>
      </c>
      <c r="B1401" s="7" t="s">
        <v>254</v>
      </c>
      <c r="C1401" s="8">
        <v>27785</v>
      </c>
      <c r="D1401" s="7" t="s">
        <v>16</v>
      </c>
      <c r="E1401" s="7" t="s">
        <v>46</v>
      </c>
      <c r="F1401" s="7" t="s">
        <v>46</v>
      </c>
      <c r="G1401" s="7" t="s">
        <v>18</v>
      </c>
      <c r="H1401" s="7" t="s">
        <v>48</v>
      </c>
      <c r="I1401" s="7" t="s">
        <v>712</v>
      </c>
      <c r="J1401" s="7" t="s">
        <v>691</v>
      </c>
      <c r="K1401" s="8">
        <v>6114867</v>
      </c>
      <c r="L1401" s="8">
        <v>292285</v>
      </c>
      <c r="M1401" s="8">
        <v>19</v>
      </c>
      <c r="N1401" s="8">
        <v>1</v>
      </c>
      <c r="O1401" s="8">
        <v>2.7</v>
      </c>
      <c r="P1401" s="8"/>
    </row>
    <row r="1402" spans="1:16" hidden="1" x14ac:dyDescent="0.25">
      <c r="A1402" s="7" t="s">
        <v>37</v>
      </c>
      <c r="B1402" s="7" t="s">
        <v>254</v>
      </c>
      <c r="C1402" s="8">
        <v>27788</v>
      </c>
      <c r="D1402" s="7" t="s">
        <v>16</v>
      </c>
      <c r="E1402" s="7" t="s">
        <v>268</v>
      </c>
      <c r="F1402" s="7" t="s">
        <v>268</v>
      </c>
      <c r="G1402" s="7" t="s">
        <v>18</v>
      </c>
      <c r="H1402" s="7" t="s">
        <v>24</v>
      </c>
      <c r="I1402" s="7" t="s">
        <v>712</v>
      </c>
      <c r="J1402" s="7" t="s">
        <v>712</v>
      </c>
      <c r="K1402" s="8">
        <v>6136220</v>
      </c>
      <c r="L1402" s="8">
        <v>315916</v>
      </c>
      <c r="M1402" s="8">
        <v>19</v>
      </c>
      <c r="N1402" s="8">
        <v>1</v>
      </c>
      <c r="O1402" s="8">
        <v>0.4</v>
      </c>
      <c r="P1402" s="8"/>
    </row>
    <row r="1403" spans="1:16" hidden="1" x14ac:dyDescent="0.25">
      <c r="A1403" s="7" t="s">
        <v>37</v>
      </c>
      <c r="B1403" s="7" t="s">
        <v>254</v>
      </c>
      <c r="C1403" s="8">
        <v>27789</v>
      </c>
      <c r="D1403" s="7" t="s">
        <v>16</v>
      </c>
      <c r="E1403" s="7" t="s">
        <v>72</v>
      </c>
      <c r="F1403" s="7" t="s">
        <v>302</v>
      </c>
      <c r="G1403" s="7" t="s">
        <v>18</v>
      </c>
      <c r="H1403" s="7" t="s">
        <v>24</v>
      </c>
      <c r="I1403" s="7" t="s">
        <v>712</v>
      </c>
      <c r="J1403" s="7" t="s">
        <v>712</v>
      </c>
      <c r="K1403" s="8">
        <v>6106527</v>
      </c>
      <c r="L1403" s="8">
        <v>293099</v>
      </c>
      <c r="M1403" s="8">
        <v>19</v>
      </c>
      <c r="N1403" s="8">
        <v>1</v>
      </c>
      <c r="O1403" s="8">
        <v>8</v>
      </c>
      <c r="P1403" s="8"/>
    </row>
    <row r="1404" spans="1:16" hidden="1" x14ac:dyDescent="0.25">
      <c r="A1404" s="7" t="s">
        <v>14</v>
      </c>
      <c r="B1404" s="7" t="s">
        <v>415</v>
      </c>
      <c r="C1404" s="8">
        <v>27790</v>
      </c>
      <c r="D1404" s="7" t="s">
        <v>52</v>
      </c>
      <c r="E1404" s="7" t="s">
        <v>249</v>
      </c>
      <c r="F1404" s="7" t="s">
        <v>374</v>
      </c>
      <c r="G1404" s="7" t="s">
        <v>18</v>
      </c>
      <c r="H1404" s="7" t="s">
        <v>689</v>
      </c>
      <c r="I1404" s="7" t="s">
        <v>712</v>
      </c>
      <c r="J1404" s="7" t="s">
        <v>712</v>
      </c>
      <c r="K1404" s="8">
        <v>6183653</v>
      </c>
      <c r="L1404" s="8">
        <v>318626</v>
      </c>
      <c r="M1404" s="8">
        <v>19</v>
      </c>
      <c r="N1404" s="8">
        <v>1</v>
      </c>
      <c r="O1404" s="8">
        <v>1.2</v>
      </c>
      <c r="P1404" s="8"/>
    </row>
    <row r="1405" spans="1:16" hidden="1" x14ac:dyDescent="0.25">
      <c r="A1405" s="7" t="s">
        <v>37</v>
      </c>
      <c r="B1405" s="7" t="s">
        <v>343</v>
      </c>
      <c r="C1405" s="8">
        <v>27793</v>
      </c>
      <c r="D1405" s="7" t="s">
        <v>28</v>
      </c>
      <c r="E1405" s="7" t="s">
        <v>56</v>
      </c>
      <c r="F1405" s="7" t="s">
        <v>398</v>
      </c>
      <c r="G1405" s="7" t="s">
        <v>18</v>
      </c>
      <c r="H1405" s="7" t="s">
        <v>48</v>
      </c>
      <c r="I1405" s="7" t="s">
        <v>712</v>
      </c>
      <c r="J1405" s="7" t="s">
        <v>712</v>
      </c>
      <c r="K1405" s="8">
        <v>6267663</v>
      </c>
      <c r="L1405" s="8">
        <v>343450</v>
      </c>
      <c r="M1405" s="8">
        <v>19</v>
      </c>
      <c r="N1405" s="8">
        <v>2</v>
      </c>
      <c r="O1405" s="8">
        <v>14</v>
      </c>
      <c r="P1405" s="8"/>
    </row>
    <row r="1406" spans="1:16" hidden="1" x14ac:dyDescent="0.25">
      <c r="A1406" s="7" t="s">
        <v>37</v>
      </c>
      <c r="B1406" s="7" t="s">
        <v>343</v>
      </c>
      <c r="C1406" s="8">
        <v>27794</v>
      </c>
      <c r="D1406" s="7" t="s">
        <v>28</v>
      </c>
      <c r="E1406" s="7" t="s">
        <v>56</v>
      </c>
      <c r="F1406" s="7" t="s">
        <v>398</v>
      </c>
      <c r="G1406" s="7" t="s">
        <v>18</v>
      </c>
      <c r="H1406" s="7" t="s">
        <v>48</v>
      </c>
      <c r="I1406" s="7" t="s">
        <v>712</v>
      </c>
      <c r="J1406" s="7" t="s">
        <v>712</v>
      </c>
      <c r="K1406" s="8">
        <v>6267663</v>
      </c>
      <c r="L1406" s="8">
        <v>343450</v>
      </c>
      <c r="M1406" s="8">
        <v>19</v>
      </c>
      <c r="N1406" s="8">
        <v>1</v>
      </c>
      <c r="O1406" s="8">
        <v>3</v>
      </c>
      <c r="P1406" s="8"/>
    </row>
    <row r="1407" spans="1:16" hidden="1" x14ac:dyDescent="0.25">
      <c r="A1407" s="7" t="s">
        <v>37</v>
      </c>
      <c r="B1407" s="7" t="s">
        <v>254</v>
      </c>
      <c r="C1407" s="8">
        <v>27799</v>
      </c>
      <c r="D1407" s="7" t="s">
        <v>16</v>
      </c>
      <c r="E1407" s="7" t="s">
        <v>17</v>
      </c>
      <c r="F1407" s="7" t="s">
        <v>55</v>
      </c>
      <c r="G1407" s="7" t="s">
        <v>18</v>
      </c>
      <c r="H1407" s="7" t="s">
        <v>24</v>
      </c>
      <c r="I1407" s="7" t="s">
        <v>712</v>
      </c>
      <c r="J1407" s="7" t="s">
        <v>712</v>
      </c>
      <c r="K1407" s="8">
        <v>6063010</v>
      </c>
      <c r="L1407" s="8">
        <v>283276</v>
      </c>
      <c r="M1407" s="8">
        <v>19</v>
      </c>
      <c r="N1407" s="8">
        <v>1</v>
      </c>
      <c r="O1407" s="8">
        <v>1.7</v>
      </c>
      <c r="P1407" s="8"/>
    </row>
    <row r="1408" spans="1:16" hidden="1" x14ac:dyDescent="0.25">
      <c r="A1408" s="7" t="s">
        <v>37</v>
      </c>
      <c r="B1408" s="7" t="s">
        <v>415</v>
      </c>
      <c r="C1408" s="8">
        <v>27801</v>
      </c>
      <c r="D1408" s="7" t="s">
        <v>28</v>
      </c>
      <c r="E1408" s="7" t="s">
        <v>142</v>
      </c>
      <c r="F1408" s="7" t="s">
        <v>142</v>
      </c>
      <c r="G1408" s="7" t="s">
        <v>18</v>
      </c>
      <c r="H1408" s="7" t="s">
        <v>24</v>
      </c>
      <c r="I1408" s="7" t="s">
        <v>712</v>
      </c>
      <c r="J1408" s="7" t="s">
        <v>712</v>
      </c>
      <c r="K1408" s="8">
        <v>6278474</v>
      </c>
      <c r="L1408" s="8">
        <v>335263</v>
      </c>
      <c r="M1408" s="8">
        <v>19</v>
      </c>
      <c r="N1408" s="8">
        <v>1</v>
      </c>
      <c r="O1408" s="8">
        <v>1.52</v>
      </c>
      <c r="P1408" s="8"/>
    </row>
    <row r="1409" spans="1:16" hidden="1" x14ac:dyDescent="0.25">
      <c r="A1409" s="7" t="s">
        <v>37</v>
      </c>
      <c r="B1409" s="7" t="s">
        <v>415</v>
      </c>
      <c r="C1409" s="8">
        <v>27802</v>
      </c>
      <c r="D1409" s="7" t="s">
        <v>28</v>
      </c>
      <c r="E1409" s="7" t="s">
        <v>146</v>
      </c>
      <c r="F1409" s="7" t="s">
        <v>487</v>
      </c>
      <c r="G1409" s="7" t="s">
        <v>18</v>
      </c>
      <c r="H1409" s="7" t="s">
        <v>109</v>
      </c>
      <c r="I1409" s="7" t="s">
        <v>712</v>
      </c>
      <c r="J1409" s="7" t="s">
        <v>691</v>
      </c>
      <c r="K1409" s="8">
        <v>6268844</v>
      </c>
      <c r="L1409" s="8">
        <v>318277</v>
      </c>
      <c r="M1409" s="8">
        <v>19</v>
      </c>
      <c r="N1409" s="8">
        <v>1</v>
      </c>
      <c r="O1409" s="8">
        <v>3.68</v>
      </c>
      <c r="P1409" s="8"/>
    </row>
    <row r="1410" spans="1:16" hidden="1" x14ac:dyDescent="0.25">
      <c r="A1410" s="7" t="s">
        <v>37</v>
      </c>
      <c r="B1410" s="7" t="s">
        <v>254</v>
      </c>
      <c r="C1410" s="8">
        <v>27803</v>
      </c>
      <c r="D1410" s="7" t="s">
        <v>16</v>
      </c>
      <c r="E1410" s="7" t="s">
        <v>268</v>
      </c>
      <c r="F1410" s="7" t="s">
        <v>321</v>
      </c>
      <c r="G1410" s="7" t="s">
        <v>18</v>
      </c>
      <c r="H1410" s="7" t="s">
        <v>24</v>
      </c>
      <c r="I1410" s="7" t="s">
        <v>712</v>
      </c>
      <c r="J1410" s="7" t="s">
        <v>712</v>
      </c>
      <c r="K1410" s="8">
        <v>6132665</v>
      </c>
      <c r="L1410" s="8">
        <v>317443</v>
      </c>
      <c r="M1410" s="8">
        <v>19</v>
      </c>
      <c r="N1410" s="8">
        <v>1</v>
      </c>
      <c r="O1410" s="8">
        <v>4</v>
      </c>
      <c r="P1410" s="8"/>
    </row>
    <row r="1411" spans="1:16" hidden="1" x14ac:dyDescent="0.25">
      <c r="A1411" s="7" t="s">
        <v>37</v>
      </c>
      <c r="B1411" s="7" t="s">
        <v>415</v>
      </c>
      <c r="C1411" s="8">
        <v>27804</v>
      </c>
      <c r="D1411" s="7" t="s">
        <v>28</v>
      </c>
      <c r="E1411" s="7" t="s">
        <v>286</v>
      </c>
      <c r="F1411" s="7" t="s">
        <v>286</v>
      </c>
      <c r="G1411" s="7" t="s">
        <v>18</v>
      </c>
      <c r="H1411" s="7" t="s">
        <v>24</v>
      </c>
      <c r="I1411" s="7" t="s">
        <v>712</v>
      </c>
      <c r="J1411" s="7" t="s">
        <v>712</v>
      </c>
      <c r="K1411" s="8">
        <v>6271770</v>
      </c>
      <c r="L1411" s="8">
        <v>321288</v>
      </c>
      <c r="M1411" s="8">
        <v>19</v>
      </c>
      <c r="N1411" s="8">
        <v>1</v>
      </c>
      <c r="O1411" s="8">
        <v>6.3</v>
      </c>
      <c r="P1411" s="8"/>
    </row>
    <row r="1412" spans="1:16" hidden="1" x14ac:dyDescent="0.25">
      <c r="A1412" s="7" t="s">
        <v>37</v>
      </c>
      <c r="B1412" s="7" t="s">
        <v>415</v>
      </c>
      <c r="C1412" s="8">
        <v>27805</v>
      </c>
      <c r="D1412" s="7" t="s">
        <v>28</v>
      </c>
      <c r="E1412" s="7" t="s">
        <v>56</v>
      </c>
      <c r="F1412" s="7" t="s">
        <v>512</v>
      </c>
      <c r="G1412" s="7" t="s">
        <v>18</v>
      </c>
      <c r="H1412" s="7" t="s">
        <v>24</v>
      </c>
      <c r="I1412" s="7" t="s">
        <v>712</v>
      </c>
      <c r="J1412" s="7" t="s">
        <v>712</v>
      </c>
      <c r="K1412" s="8">
        <v>6264240</v>
      </c>
      <c r="L1412" s="8">
        <v>333824</v>
      </c>
      <c r="M1412" s="8">
        <v>19</v>
      </c>
      <c r="N1412" s="8">
        <v>1</v>
      </c>
      <c r="O1412" s="8">
        <v>1</v>
      </c>
      <c r="P1412" s="8"/>
    </row>
    <row r="1413" spans="1:16" hidden="1" x14ac:dyDescent="0.25">
      <c r="A1413" s="7" t="s">
        <v>19</v>
      </c>
      <c r="B1413" s="7" t="s">
        <v>415</v>
      </c>
      <c r="C1413" s="8">
        <v>27806</v>
      </c>
      <c r="D1413" s="7" t="s">
        <v>28</v>
      </c>
      <c r="E1413" s="7" t="s">
        <v>344</v>
      </c>
      <c r="F1413" s="7" t="s">
        <v>345</v>
      </c>
      <c r="G1413" s="7" t="s">
        <v>18</v>
      </c>
      <c r="H1413" s="7" t="s">
        <v>48</v>
      </c>
      <c r="I1413" s="7" t="s">
        <v>712</v>
      </c>
      <c r="J1413" s="7" t="s">
        <v>712</v>
      </c>
      <c r="K1413" s="8">
        <v>6272758</v>
      </c>
      <c r="L1413" s="8">
        <v>299929</v>
      </c>
      <c r="M1413" s="8">
        <v>19</v>
      </c>
      <c r="N1413" s="8">
        <v>1</v>
      </c>
      <c r="O1413" s="8">
        <v>2.4700000000000002</v>
      </c>
      <c r="P1413" s="8"/>
    </row>
    <row r="1414" spans="1:16" hidden="1" x14ac:dyDescent="0.25">
      <c r="A1414" s="7" t="s">
        <v>37</v>
      </c>
      <c r="B1414" s="7" t="s">
        <v>343</v>
      </c>
      <c r="C1414" s="8">
        <v>27807</v>
      </c>
      <c r="D1414" s="7" t="s">
        <v>28</v>
      </c>
      <c r="E1414" s="7" t="s">
        <v>344</v>
      </c>
      <c r="F1414" s="7" t="s">
        <v>345</v>
      </c>
      <c r="G1414" s="7" t="s">
        <v>18</v>
      </c>
      <c r="H1414" s="7" t="s">
        <v>48</v>
      </c>
      <c r="I1414" s="7" t="s">
        <v>712</v>
      </c>
      <c r="J1414" s="7" t="s">
        <v>691</v>
      </c>
      <c r="K1414" s="8">
        <v>6276280</v>
      </c>
      <c r="L1414" s="8">
        <v>299592</v>
      </c>
      <c r="M1414" s="8">
        <v>19</v>
      </c>
      <c r="N1414" s="8">
        <v>1</v>
      </c>
      <c r="O1414" s="8">
        <v>4.5</v>
      </c>
      <c r="P1414" s="8"/>
    </row>
    <row r="1415" spans="1:16" hidden="1" x14ac:dyDescent="0.25">
      <c r="A1415" s="7" t="s">
        <v>37</v>
      </c>
      <c r="B1415" s="7" t="s">
        <v>415</v>
      </c>
      <c r="C1415" s="8">
        <v>27808</v>
      </c>
      <c r="D1415" s="7" t="s">
        <v>28</v>
      </c>
      <c r="E1415" s="7" t="s">
        <v>393</v>
      </c>
      <c r="F1415" s="7" t="s">
        <v>492</v>
      </c>
      <c r="G1415" s="7" t="s">
        <v>18</v>
      </c>
      <c r="H1415" s="7" t="s">
        <v>48</v>
      </c>
      <c r="I1415" s="7" t="s">
        <v>712</v>
      </c>
      <c r="J1415" s="7" t="s">
        <v>691</v>
      </c>
      <c r="K1415" s="8">
        <v>6269871</v>
      </c>
      <c r="L1415" s="8">
        <v>307679</v>
      </c>
      <c r="M1415" s="8">
        <v>19</v>
      </c>
      <c r="N1415" s="8">
        <v>1</v>
      </c>
      <c r="O1415" s="8">
        <v>2.39</v>
      </c>
      <c r="P1415" s="8"/>
    </row>
    <row r="1416" spans="1:16" hidden="1" x14ac:dyDescent="0.25">
      <c r="A1416" s="7" t="s">
        <v>19</v>
      </c>
      <c r="B1416" s="7" t="s">
        <v>415</v>
      </c>
      <c r="C1416" s="8">
        <v>27809</v>
      </c>
      <c r="D1416" s="7" t="s">
        <v>28</v>
      </c>
      <c r="E1416" s="7" t="s">
        <v>32</v>
      </c>
      <c r="F1416" s="7" t="s">
        <v>33</v>
      </c>
      <c r="G1416" s="7" t="s">
        <v>18</v>
      </c>
      <c r="H1416" s="7" t="s">
        <v>48</v>
      </c>
      <c r="I1416" s="7" t="s">
        <v>712</v>
      </c>
      <c r="J1416" s="7" t="s">
        <v>712</v>
      </c>
      <c r="K1416" s="8">
        <v>6275421</v>
      </c>
      <c r="L1416" s="8">
        <v>340294</v>
      </c>
      <c r="M1416" s="8">
        <v>19</v>
      </c>
      <c r="N1416" s="8">
        <v>1</v>
      </c>
      <c r="O1416" s="8">
        <v>0.37</v>
      </c>
      <c r="P1416" s="8"/>
    </row>
    <row r="1417" spans="1:16" hidden="1" x14ac:dyDescent="0.25">
      <c r="A1417" s="7" t="s">
        <v>37</v>
      </c>
      <c r="B1417" s="7" t="s">
        <v>124</v>
      </c>
      <c r="C1417" s="8">
        <v>27810</v>
      </c>
      <c r="D1417" s="7" t="s">
        <v>52</v>
      </c>
      <c r="E1417" s="7" t="s">
        <v>53</v>
      </c>
      <c r="F1417" s="7" t="s">
        <v>53</v>
      </c>
      <c r="G1417" s="7" t="s">
        <v>18</v>
      </c>
      <c r="H1417" s="7" t="s">
        <v>48</v>
      </c>
      <c r="I1417" s="7" t="s">
        <v>712</v>
      </c>
      <c r="J1417" s="7" t="s">
        <v>691</v>
      </c>
      <c r="K1417" s="8">
        <v>6158296</v>
      </c>
      <c r="L1417" s="8">
        <v>311353</v>
      </c>
      <c r="M1417" s="8">
        <v>19</v>
      </c>
      <c r="N1417" s="8">
        <v>1</v>
      </c>
      <c r="O1417" s="8">
        <v>10</v>
      </c>
      <c r="P1417" s="8"/>
    </row>
    <row r="1418" spans="1:16" hidden="1" x14ac:dyDescent="0.25">
      <c r="A1418" s="7" t="s">
        <v>19</v>
      </c>
      <c r="B1418" s="7" t="s">
        <v>254</v>
      </c>
      <c r="C1418" s="8">
        <v>27811</v>
      </c>
      <c r="D1418" s="7" t="s">
        <v>322</v>
      </c>
      <c r="E1418" s="7" t="s">
        <v>323</v>
      </c>
      <c r="F1418" s="7" t="s">
        <v>323</v>
      </c>
      <c r="G1418" s="7" t="s">
        <v>43</v>
      </c>
      <c r="H1418" s="7" t="s">
        <v>24</v>
      </c>
      <c r="I1418" s="7" t="s">
        <v>712</v>
      </c>
      <c r="J1418" s="7" t="s">
        <v>712</v>
      </c>
      <c r="K1418" s="8">
        <v>7953435</v>
      </c>
      <c r="L1418" s="8">
        <v>372120</v>
      </c>
      <c r="M1418" s="8">
        <v>19</v>
      </c>
      <c r="N1418" s="8">
        <v>1</v>
      </c>
      <c r="O1418" s="8">
        <v>0.14000000000000001</v>
      </c>
      <c r="P1418" s="8"/>
    </row>
    <row r="1419" spans="1:16" hidden="1" x14ac:dyDescent="0.25">
      <c r="A1419" s="7" t="s">
        <v>19</v>
      </c>
      <c r="B1419" s="7" t="s">
        <v>124</v>
      </c>
      <c r="C1419" s="8">
        <v>27812</v>
      </c>
      <c r="D1419" s="7" t="s">
        <v>52</v>
      </c>
      <c r="E1419" s="7" t="s">
        <v>139</v>
      </c>
      <c r="F1419" s="7" t="s">
        <v>140</v>
      </c>
      <c r="G1419" s="7" t="s">
        <v>18</v>
      </c>
      <c r="H1419" s="7" t="s">
        <v>48</v>
      </c>
      <c r="I1419" s="7" t="s">
        <v>712</v>
      </c>
      <c r="J1419" s="7" t="s">
        <v>691</v>
      </c>
      <c r="K1419" s="8">
        <v>6226451</v>
      </c>
      <c r="L1419" s="8">
        <v>342282</v>
      </c>
      <c r="M1419" s="8">
        <v>19</v>
      </c>
      <c r="N1419" s="8">
        <v>1</v>
      </c>
      <c r="O1419" s="8">
        <v>16</v>
      </c>
      <c r="P1419" s="8"/>
    </row>
    <row r="1420" spans="1:16" hidden="1" x14ac:dyDescent="0.25">
      <c r="A1420" s="7" t="s">
        <v>37</v>
      </c>
      <c r="B1420" s="7" t="s">
        <v>124</v>
      </c>
      <c r="C1420" s="8">
        <v>27813</v>
      </c>
      <c r="D1420" s="7" t="s">
        <v>52</v>
      </c>
      <c r="E1420" s="7" t="s">
        <v>53</v>
      </c>
      <c r="F1420" s="7" t="s">
        <v>53</v>
      </c>
      <c r="G1420" s="7" t="s">
        <v>18</v>
      </c>
      <c r="H1420" s="7" t="s">
        <v>48</v>
      </c>
      <c r="I1420" s="7" t="s">
        <v>712</v>
      </c>
      <c r="J1420" s="7" t="s">
        <v>691</v>
      </c>
      <c r="K1420" s="8">
        <v>6158415</v>
      </c>
      <c r="L1420" s="8">
        <v>311204</v>
      </c>
      <c r="M1420" s="8">
        <v>19</v>
      </c>
      <c r="N1420" s="8">
        <v>1</v>
      </c>
      <c r="O1420" s="8">
        <v>5</v>
      </c>
      <c r="P1420" s="8"/>
    </row>
    <row r="1421" spans="1:16" hidden="1" x14ac:dyDescent="0.25">
      <c r="A1421" s="7" t="s">
        <v>19</v>
      </c>
      <c r="B1421" s="7" t="s">
        <v>254</v>
      </c>
      <c r="C1421" s="8">
        <v>27814</v>
      </c>
      <c r="D1421" s="7" t="s">
        <v>322</v>
      </c>
      <c r="E1421" s="7" t="s">
        <v>323</v>
      </c>
      <c r="F1421" s="7" t="s">
        <v>324</v>
      </c>
      <c r="G1421" s="7" t="s">
        <v>43</v>
      </c>
      <c r="H1421" s="7" t="s">
        <v>24</v>
      </c>
      <c r="I1421" s="7" t="s">
        <v>712</v>
      </c>
      <c r="J1421" s="7" t="s">
        <v>712</v>
      </c>
      <c r="K1421" s="8">
        <v>7923164</v>
      </c>
      <c r="L1421" s="8">
        <v>371703</v>
      </c>
      <c r="M1421" s="8">
        <v>19</v>
      </c>
      <c r="N1421" s="8">
        <v>1</v>
      </c>
      <c r="O1421" s="8">
        <v>0.04</v>
      </c>
      <c r="P1421" s="8"/>
    </row>
    <row r="1422" spans="1:16" hidden="1" x14ac:dyDescent="0.25">
      <c r="A1422" s="7" t="s">
        <v>37</v>
      </c>
      <c r="B1422" s="7" t="s">
        <v>254</v>
      </c>
      <c r="C1422" s="8">
        <v>27816</v>
      </c>
      <c r="D1422" s="7" t="s">
        <v>16</v>
      </c>
      <c r="E1422" s="7" t="s">
        <v>60</v>
      </c>
      <c r="F1422" s="7" t="s">
        <v>290</v>
      </c>
      <c r="G1422" s="7" t="s">
        <v>18</v>
      </c>
      <c r="H1422" s="7" t="s">
        <v>48</v>
      </c>
      <c r="I1422" s="7" t="s">
        <v>712</v>
      </c>
      <c r="J1422" s="7" t="s">
        <v>712</v>
      </c>
      <c r="K1422" s="8">
        <v>6083166</v>
      </c>
      <c r="L1422" s="8">
        <v>280685</v>
      </c>
      <c r="M1422" s="8">
        <v>19</v>
      </c>
      <c r="N1422" s="8">
        <v>2</v>
      </c>
      <c r="O1422" s="8">
        <v>4.0999999999999996</v>
      </c>
      <c r="P1422" s="8"/>
    </row>
    <row r="1423" spans="1:16" hidden="1" x14ac:dyDescent="0.25">
      <c r="A1423" s="7" t="s">
        <v>19</v>
      </c>
      <c r="B1423" s="7" t="s">
        <v>124</v>
      </c>
      <c r="C1423" s="8">
        <v>27817</v>
      </c>
      <c r="D1423" s="7" t="s">
        <v>52</v>
      </c>
      <c r="E1423" s="7" t="s">
        <v>53</v>
      </c>
      <c r="F1423" s="7" t="s">
        <v>53</v>
      </c>
      <c r="G1423" s="7" t="s">
        <v>18</v>
      </c>
      <c r="H1423" s="7" t="s">
        <v>48</v>
      </c>
      <c r="I1423" s="7" t="s">
        <v>712</v>
      </c>
      <c r="J1423" s="7" t="s">
        <v>712</v>
      </c>
      <c r="K1423" s="8">
        <v>6148913</v>
      </c>
      <c r="L1423" s="8">
        <v>319600</v>
      </c>
      <c r="M1423" s="8">
        <v>19</v>
      </c>
      <c r="N1423" s="8">
        <v>1</v>
      </c>
      <c r="O1423" s="8">
        <v>30</v>
      </c>
      <c r="P1423" s="8"/>
    </row>
    <row r="1424" spans="1:16" hidden="1" x14ac:dyDescent="0.25">
      <c r="A1424" s="7" t="s">
        <v>37</v>
      </c>
      <c r="B1424" s="7" t="s">
        <v>124</v>
      </c>
      <c r="C1424" s="8">
        <v>27818</v>
      </c>
      <c r="D1424" s="7" t="s">
        <v>52</v>
      </c>
      <c r="E1424" s="7" t="s">
        <v>53</v>
      </c>
      <c r="F1424" s="7" t="s">
        <v>53</v>
      </c>
      <c r="G1424" s="7" t="s">
        <v>18</v>
      </c>
      <c r="H1424" s="7" t="s">
        <v>48</v>
      </c>
      <c r="I1424" s="7" t="s">
        <v>712</v>
      </c>
      <c r="J1424" s="7" t="s">
        <v>691</v>
      </c>
      <c r="K1424" s="8">
        <v>6158458</v>
      </c>
      <c r="L1424" s="8">
        <v>310502</v>
      </c>
      <c r="M1424" s="8">
        <v>19</v>
      </c>
      <c r="N1424" s="8">
        <v>1</v>
      </c>
      <c r="O1424" s="8">
        <v>4</v>
      </c>
      <c r="P1424" s="8"/>
    </row>
    <row r="1425" spans="1:16" hidden="1" x14ac:dyDescent="0.25">
      <c r="A1425" s="7" t="s">
        <v>37</v>
      </c>
      <c r="B1425" s="7" t="s">
        <v>41</v>
      </c>
      <c r="C1425" s="8">
        <v>27819</v>
      </c>
      <c r="D1425" s="7" t="s">
        <v>52</v>
      </c>
      <c r="E1425" s="7" t="s">
        <v>53</v>
      </c>
      <c r="F1425" s="7" t="s">
        <v>54</v>
      </c>
      <c r="G1425" s="7" t="s">
        <v>18</v>
      </c>
      <c r="H1425" s="7" t="s">
        <v>48</v>
      </c>
      <c r="I1425" s="7" t="s">
        <v>712</v>
      </c>
      <c r="J1425" s="7" t="s">
        <v>712</v>
      </c>
      <c r="K1425" s="8">
        <v>6151802</v>
      </c>
      <c r="L1425" s="8">
        <v>317128</v>
      </c>
      <c r="M1425" s="8">
        <v>19</v>
      </c>
      <c r="N1425" s="8">
        <v>4</v>
      </c>
      <c r="O1425" s="8">
        <v>30</v>
      </c>
      <c r="P1425" s="8"/>
    </row>
    <row r="1426" spans="1:16" hidden="1" x14ac:dyDescent="0.25">
      <c r="A1426" s="7" t="s">
        <v>37</v>
      </c>
      <c r="B1426" s="7" t="s">
        <v>124</v>
      </c>
      <c r="C1426" s="8">
        <v>27820</v>
      </c>
      <c r="D1426" s="7" t="s">
        <v>52</v>
      </c>
      <c r="E1426" s="7" t="s">
        <v>53</v>
      </c>
      <c r="F1426" s="7" t="s">
        <v>53</v>
      </c>
      <c r="G1426" s="7" t="s">
        <v>18</v>
      </c>
      <c r="H1426" s="7" t="s">
        <v>48</v>
      </c>
      <c r="I1426" s="7" t="s">
        <v>712</v>
      </c>
      <c r="J1426" s="7" t="s">
        <v>691</v>
      </c>
      <c r="K1426" s="8">
        <v>6148376</v>
      </c>
      <c r="L1426" s="8">
        <v>319604</v>
      </c>
      <c r="M1426" s="8">
        <v>19</v>
      </c>
      <c r="N1426" s="8">
        <v>1</v>
      </c>
      <c r="O1426" s="8">
        <v>10</v>
      </c>
      <c r="P1426" s="8"/>
    </row>
    <row r="1427" spans="1:16" hidden="1" x14ac:dyDescent="0.25">
      <c r="A1427" s="7" t="s">
        <v>14</v>
      </c>
      <c r="B1427" s="7" t="s">
        <v>270</v>
      </c>
      <c r="C1427" s="8">
        <v>27828</v>
      </c>
      <c r="D1427" s="7" t="s">
        <v>52</v>
      </c>
      <c r="E1427" s="7" t="s">
        <v>139</v>
      </c>
      <c r="F1427" s="7" t="s">
        <v>139</v>
      </c>
      <c r="G1427" s="7" t="s">
        <v>18</v>
      </c>
      <c r="H1427" s="7" t="s">
        <v>689</v>
      </c>
      <c r="I1427" s="7" t="s">
        <v>712</v>
      </c>
      <c r="J1427" s="7" t="s">
        <v>712</v>
      </c>
      <c r="K1427" s="8">
        <v>6225010</v>
      </c>
      <c r="L1427" s="8">
        <v>339646</v>
      </c>
      <c r="M1427" s="8">
        <v>19</v>
      </c>
      <c r="N1427" s="8">
        <v>1</v>
      </c>
      <c r="O1427" s="8">
        <v>0.28000000000000003</v>
      </c>
      <c r="P1427" s="8"/>
    </row>
    <row r="1428" spans="1:16" hidden="1" x14ac:dyDescent="0.25">
      <c r="A1428" s="7" t="s">
        <v>19</v>
      </c>
      <c r="B1428" s="7" t="s">
        <v>270</v>
      </c>
      <c r="C1428" s="8">
        <v>27829</v>
      </c>
      <c r="D1428" s="7" t="s">
        <v>16</v>
      </c>
      <c r="E1428" s="7" t="s">
        <v>72</v>
      </c>
      <c r="F1428" s="7" t="s">
        <v>84</v>
      </c>
      <c r="G1428" s="7" t="s">
        <v>18</v>
      </c>
      <c r="H1428" s="7" t="s">
        <v>48</v>
      </c>
      <c r="I1428" s="7" t="s">
        <v>712</v>
      </c>
      <c r="J1428" s="7" t="s">
        <v>712</v>
      </c>
      <c r="K1428" s="8">
        <v>6101416</v>
      </c>
      <c r="L1428" s="8">
        <v>292875</v>
      </c>
      <c r="M1428" s="8">
        <v>19</v>
      </c>
      <c r="N1428" s="8">
        <v>2</v>
      </c>
      <c r="O1428" s="8">
        <v>20</v>
      </c>
      <c r="P1428" s="8"/>
    </row>
    <row r="1429" spans="1:16" hidden="1" x14ac:dyDescent="0.25">
      <c r="A1429" s="7" t="s">
        <v>37</v>
      </c>
      <c r="B1429" s="7" t="s">
        <v>254</v>
      </c>
      <c r="C1429" s="8">
        <v>27830</v>
      </c>
      <c r="D1429" s="7" t="s">
        <v>16</v>
      </c>
      <c r="E1429" s="7" t="s">
        <v>268</v>
      </c>
      <c r="F1429" s="7" t="s">
        <v>282</v>
      </c>
      <c r="G1429" s="7" t="s">
        <v>18</v>
      </c>
      <c r="H1429" s="7" t="s">
        <v>48</v>
      </c>
      <c r="I1429" s="7" t="s">
        <v>712</v>
      </c>
      <c r="J1429" s="7" t="s">
        <v>712</v>
      </c>
      <c r="K1429" s="8">
        <v>6128460</v>
      </c>
      <c r="L1429" s="8">
        <v>323454</v>
      </c>
      <c r="M1429" s="8">
        <v>19</v>
      </c>
      <c r="N1429" s="8">
        <v>1</v>
      </c>
      <c r="O1429" s="8">
        <v>4.0999999999999996</v>
      </c>
      <c r="P1429" s="8"/>
    </row>
    <row r="1430" spans="1:16" hidden="1" x14ac:dyDescent="0.25">
      <c r="A1430" s="7" t="s">
        <v>37</v>
      </c>
      <c r="B1430" s="7" t="s">
        <v>41</v>
      </c>
      <c r="C1430" s="8">
        <v>27831</v>
      </c>
      <c r="D1430" s="7" t="s">
        <v>52</v>
      </c>
      <c r="E1430" s="7" t="s">
        <v>53</v>
      </c>
      <c r="F1430" s="7" t="s">
        <v>63</v>
      </c>
      <c r="G1430" s="7" t="s">
        <v>18</v>
      </c>
      <c r="H1430" s="7" t="s">
        <v>48</v>
      </c>
      <c r="I1430" s="7" t="s">
        <v>712</v>
      </c>
      <c r="J1430" s="7" t="s">
        <v>691</v>
      </c>
      <c r="K1430" s="8">
        <v>6146315</v>
      </c>
      <c r="L1430" s="8">
        <v>317907</v>
      </c>
      <c r="M1430" s="8">
        <v>19</v>
      </c>
      <c r="N1430" s="8">
        <v>1</v>
      </c>
      <c r="O1430" s="8">
        <v>5</v>
      </c>
      <c r="P1430" s="8"/>
    </row>
    <row r="1431" spans="1:16" hidden="1" x14ac:dyDescent="0.25">
      <c r="A1431" s="7" t="s">
        <v>37</v>
      </c>
      <c r="B1431" s="7" t="s">
        <v>124</v>
      </c>
      <c r="C1431" s="8">
        <v>27832</v>
      </c>
      <c r="D1431" s="7" t="s">
        <v>52</v>
      </c>
      <c r="E1431" s="7" t="s">
        <v>53</v>
      </c>
      <c r="F1431" s="7" t="s">
        <v>53</v>
      </c>
      <c r="G1431" s="7" t="s">
        <v>18</v>
      </c>
      <c r="H1431" s="7" t="s">
        <v>48</v>
      </c>
      <c r="I1431" s="7" t="s">
        <v>712</v>
      </c>
      <c r="J1431" s="7" t="s">
        <v>691</v>
      </c>
      <c r="K1431" s="8">
        <v>6157830</v>
      </c>
      <c r="L1431" s="8">
        <v>310794</v>
      </c>
      <c r="M1431" s="8">
        <v>19</v>
      </c>
      <c r="N1431" s="8">
        <v>1</v>
      </c>
      <c r="O1431" s="8">
        <v>0.9</v>
      </c>
      <c r="P1431" s="8"/>
    </row>
    <row r="1432" spans="1:16" hidden="1" x14ac:dyDescent="0.25">
      <c r="A1432" s="7" t="s">
        <v>14</v>
      </c>
      <c r="B1432" s="7" t="s">
        <v>415</v>
      </c>
      <c r="C1432" s="8">
        <v>27833</v>
      </c>
      <c r="D1432" s="7" t="s">
        <v>28</v>
      </c>
      <c r="E1432" s="7" t="s">
        <v>56</v>
      </c>
      <c r="F1432" s="7" t="s">
        <v>378</v>
      </c>
      <c r="G1432" s="7" t="s">
        <v>18</v>
      </c>
      <c r="H1432" s="7" t="s">
        <v>689</v>
      </c>
      <c r="I1432" s="7" t="s">
        <v>712</v>
      </c>
      <c r="J1432" s="7" t="s">
        <v>712</v>
      </c>
      <c r="K1432" s="8">
        <v>6260194</v>
      </c>
      <c r="L1432" s="8">
        <v>331021</v>
      </c>
      <c r="M1432" s="8">
        <v>19</v>
      </c>
      <c r="N1432" s="8">
        <v>1</v>
      </c>
      <c r="O1432" s="8">
        <v>0.56999999999999995</v>
      </c>
      <c r="P1432" s="8"/>
    </row>
    <row r="1433" spans="1:16" hidden="1" x14ac:dyDescent="0.25">
      <c r="A1433" s="7" t="s">
        <v>37</v>
      </c>
      <c r="B1433" s="7" t="s">
        <v>343</v>
      </c>
      <c r="C1433" s="8">
        <v>27835</v>
      </c>
      <c r="D1433" s="7" t="s">
        <v>28</v>
      </c>
      <c r="E1433" s="7" t="s">
        <v>29</v>
      </c>
      <c r="F1433" s="7" t="s">
        <v>29</v>
      </c>
      <c r="G1433" s="7" t="s">
        <v>18</v>
      </c>
      <c r="H1433" s="7" t="s">
        <v>24</v>
      </c>
      <c r="I1433" s="7" t="s">
        <v>712</v>
      </c>
      <c r="J1433" s="7" t="s">
        <v>712</v>
      </c>
      <c r="K1433" s="8">
        <v>6259776</v>
      </c>
      <c r="L1433" s="8">
        <v>340851</v>
      </c>
      <c r="M1433" s="8">
        <v>19</v>
      </c>
      <c r="N1433" s="8">
        <v>1</v>
      </c>
      <c r="O1433" s="8">
        <v>4</v>
      </c>
      <c r="P1433" s="8"/>
    </row>
    <row r="1434" spans="1:16" hidden="1" x14ac:dyDescent="0.25">
      <c r="A1434" s="7" t="s">
        <v>14</v>
      </c>
      <c r="B1434" s="7" t="s">
        <v>415</v>
      </c>
      <c r="C1434" s="8">
        <v>27837</v>
      </c>
      <c r="D1434" s="7" t="s">
        <v>28</v>
      </c>
      <c r="E1434" s="7" t="s">
        <v>56</v>
      </c>
      <c r="F1434" s="7" t="s">
        <v>378</v>
      </c>
      <c r="G1434" s="7" t="s">
        <v>18</v>
      </c>
      <c r="H1434" s="7" t="s">
        <v>689</v>
      </c>
      <c r="I1434" s="7" t="s">
        <v>712</v>
      </c>
      <c r="J1434" s="7" t="s">
        <v>712</v>
      </c>
      <c r="K1434" s="8">
        <v>6260125</v>
      </c>
      <c r="L1434" s="8">
        <v>330981</v>
      </c>
      <c r="M1434" s="8">
        <v>19</v>
      </c>
      <c r="N1434" s="8">
        <v>1</v>
      </c>
      <c r="O1434" s="8">
        <v>0.93</v>
      </c>
      <c r="P1434" s="8"/>
    </row>
    <row r="1435" spans="1:16" hidden="1" x14ac:dyDescent="0.25">
      <c r="A1435" s="7" t="s">
        <v>14</v>
      </c>
      <c r="B1435" s="7" t="s">
        <v>415</v>
      </c>
      <c r="C1435" s="8">
        <v>27838</v>
      </c>
      <c r="D1435" s="7" t="s">
        <v>28</v>
      </c>
      <c r="E1435" s="7" t="s">
        <v>56</v>
      </c>
      <c r="F1435" s="7" t="s">
        <v>378</v>
      </c>
      <c r="G1435" s="7" t="s">
        <v>18</v>
      </c>
      <c r="H1435" s="7" t="s">
        <v>689</v>
      </c>
      <c r="I1435" s="7" t="s">
        <v>712</v>
      </c>
      <c r="J1435" s="7" t="s">
        <v>712</v>
      </c>
      <c r="K1435" s="8">
        <v>6260089</v>
      </c>
      <c r="L1435" s="8">
        <v>331060</v>
      </c>
      <c r="M1435" s="8">
        <v>19</v>
      </c>
      <c r="N1435" s="8">
        <v>1</v>
      </c>
      <c r="O1435" s="8">
        <v>0.31</v>
      </c>
      <c r="P1435" s="8"/>
    </row>
    <row r="1436" spans="1:16" hidden="1" x14ac:dyDescent="0.25">
      <c r="A1436" s="7" t="s">
        <v>37</v>
      </c>
      <c r="B1436" s="7" t="s">
        <v>124</v>
      </c>
      <c r="C1436" s="8">
        <v>27839</v>
      </c>
      <c r="D1436" s="7" t="s">
        <v>52</v>
      </c>
      <c r="E1436" s="7" t="s">
        <v>53</v>
      </c>
      <c r="F1436" s="7" t="s">
        <v>53</v>
      </c>
      <c r="G1436" s="7" t="s">
        <v>18</v>
      </c>
      <c r="H1436" s="7" t="s">
        <v>48</v>
      </c>
      <c r="I1436" s="7" t="s">
        <v>712</v>
      </c>
      <c r="J1436" s="7" t="s">
        <v>691</v>
      </c>
      <c r="K1436" s="8">
        <v>6157984</v>
      </c>
      <c r="L1436" s="8">
        <v>310999</v>
      </c>
      <c r="M1436" s="8">
        <v>19</v>
      </c>
      <c r="N1436" s="8">
        <v>1</v>
      </c>
      <c r="O1436" s="8">
        <v>9.5</v>
      </c>
      <c r="P1436" s="8"/>
    </row>
    <row r="1437" spans="1:16" hidden="1" x14ac:dyDescent="0.25">
      <c r="A1437" s="7" t="s">
        <v>14</v>
      </c>
      <c r="B1437" s="7" t="s">
        <v>181</v>
      </c>
      <c r="C1437" s="8">
        <v>27840</v>
      </c>
      <c r="D1437" s="7" t="s">
        <v>119</v>
      </c>
      <c r="E1437" s="7" t="s">
        <v>204</v>
      </c>
      <c r="F1437" s="7" t="s">
        <v>227</v>
      </c>
      <c r="G1437" s="7" t="s">
        <v>43</v>
      </c>
      <c r="H1437" s="7" t="s">
        <v>689</v>
      </c>
      <c r="I1437" s="7" t="s">
        <v>690</v>
      </c>
      <c r="J1437" s="7" t="s">
        <v>690</v>
      </c>
      <c r="K1437" s="8">
        <v>5726247</v>
      </c>
      <c r="L1437" s="8">
        <v>692831</v>
      </c>
      <c r="M1437" s="8">
        <v>18</v>
      </c>
      <c r="N1437" s="8">
        <v>1</v>
      </c>
      <c r="O1437" s="8">
        <v>1.1000000000000001</v>
      </c>
      <c r="P1437" s="8"/>
    </row>
    <row r="1438" spans="1:16" hidden="1" x14ac:dyDescent="0.25">
      <c r="A1438" s="7" t="s">
        <v>37</v>
      </c>
      <c r="B1438" s="7" t="s">
        <v>254</v>
      </c>
      <c r="C1438" s="8">
        <v>27843</v>
      </c>
      <c r="D1438" s="7" t="s">
        <v>16</v>
      </c>
      <c r="E1438" s="7" t="s">
        <v>268</v>
      </c>
      <c r="F1438" s="7" t="s">
        <v>282</v>
      </c>
      <c r="G1438" s="7" t="s">
        <v>18</v>
      </c>
      <c r="H1438" s="7" t="s">
        <v>48</v>
      </c>
      <c r="I1438" s="7" t="s">
        <v>712</v>
      </c>
      <c r="J1438" s="7" t="s">
        <v>691</v>
      </c>
      <c r="K1438" s="8">
        <v>6137956</v>
      </c>
      <c r="L1438" s="8">
        <v>311384</v>
      </c>
      <c r="M1438" s="8">
        <v>19</v>
      </c>
      <c r="N1438" s="8">
        <v>2</v>
      </c>
      <c r="O1438" s="8">
        <v>10</v>
      </c>
      <c r="P1438" s="8"/>
    </row>
    <row r="1439" spans="1:16" hidden="1" x14ac:dyDescent="0.25">
      <c r="A1439" s="7" t="s">
        <v>14</v>
      </c>
      <c r="B1439" s="7" t="s">
        <v>415</v>
      </c>
      <c r="C1439" s="8">
        <v>27844</v>
      </c>
      <c r="D1439" s="7" t="s">
        <v>28</v>
      </c>
      <c r="E1439" s="7" t="s">
        <v>56</v>
      </c>
      <c r="F1439" s="7" t="s">
        <v>378</v>
      </c>
      <c r="G1439" s="7" t="s">
        <v>18</v>
      </c>
      <c r="H1439" s="7" t="s">
        <v>689</v>
      </c>
      <c r="I1439" s="7" t="s">
        <v>712</v>
      </c>
      <c r="J1439" s="7" t="s">
        <v>712</v>
      </c>
      <c r="K1439" s="8">
        <v>6259837</v>
      </c>
      <c r="L1439" s="8">
        <v>331047</v>
      </c>
      <c r="M1439" s="8">
        <v>19</v>
      </c>
      <c r="N1439" s="8">
        <v>1</v>
      </c>
      <c r="O1439" s="8">
        <v>1.08</v>
      </c>
      <c r="P1439" s="8"/>
    </row>
    <row r="1440" spans="1:16" hidden="1" x14ac:dyDescent="0.25">
      <c r="A1440" s="7" t="s">
        <v>37</v>
      </c>
      <c r="B1440" s="7" t="s">
        <v>254</v>
      </c>
      <c r="C1440" s="8">
        <v>27846</v>
      </c>
      <c r="D1440" s="7" t="s">
        <v>21</v>
      </c>
      <c r="E1440" s="7" t="s">
        <v>325</v>
      </c>
      <c r="F1440" s="7" t="s">
        <v>326</v>
      </c>
      <c r="G1440" s="7" t="s">
        <v>18</v>
      </c>
      <c r="H1440" s="7" t="s">
        <v>24</v>
      </c>
      <c r="I1440" s="7" t="s">
        <v>712</v>
      </c>
      <c r="J1440" s="7" t="s">
        <v>712</v>
      </c>
      <c r="K1440" s="8">
        <v>6369473</v>
      </c>
      <c r="L1440" s="8">
        <v>324601</v>
      </c>
      <c r="M1440" s="8">
        <v>19</v>
      </c>
      <c r="N1440" s="8">
        <v>3</v>
      </c>
      <c r="O1440" s="8">
        <v>10</v>
      </c>
      <c r="P1440" s="8"/>
    </row>
    <row r="1441" spans="1:16" hidden="1" x14ac:dyDescent="0.25">
      <c r="A1441" s="7" t="s">
        <v>37</v>
      </c>
      <c r="B1441" s="7" t="s">
        <v>254</v>
      </c>
      <c r="C1441" s="8">
        <v>27848</v>
      </c>
      <c r="D1441" s="7" t="s">
        <v>52</v>
      </c>
      <c r="E1441" s="7" t="s">
        <v>145</v>
      </c>
      <c r="F1441" s="7" t="s">
        <v>247</v>
      </c>
      <c r="G1441" s="7" t="s">
        <v>18</v>
      </c>
      <c r="H1441" s="7" t="s">
        <v>48</v>
      </c>
      <c r="I1441" s="7" t="s">
        <v>712</v>
      </c>
      <c r="J1441" s="7" t="s">
        <v>712</v>
      </c>
      <c r="K1441" s="8">
        <v>6169420</v>
      </c>
      <c r="L1441" s="8">
        <v>322044</v>
      </c>
      <c r="M1441" s="8">
        <v>19</v>
      </c>
      <c r="N1441" s="8">
        <v>1</v>
      </c>
      <c r="O1441" s="8">
        <v>15</v>
      </c>
      <c r="P1441" s="8"/>
    </row>
    <row r="1442" spans="1:16" hidden="1" x14ac:dyDescent="0.25">
      <c r="A1442" s="7" t="s">
        <v>37</v>
      </c>
      <c r="B1442" s="7" t="s">
        <v>124</v>
      </c>
      <c r="C1442" s="8">
        <v>27851</v>
      </c>
      <c r="D1442" s="7" t="s">
        <v>52</v>
      </c>
      <c r="E1442" s="7" t="s">
        <v>53</v>
      </c>
      <c r="F1442" s="7" t="s">
        <v>53</v>
      </c>
      <c r="G1442" s="7" t="s">
        <v>18</v>
      </c>
      <c r="H1442" s="7" t="s">
        <v>48</v>
      </c>
      <c r="I1442" s="7" t="s">
        <v>712</v>
      </c>
      <c r="J1442" s="7" t="s">
        <v>691</v>
      </c>
      <c r="K1442" s="8">
        <v>6158387</v>
      </c>
      <c r="L1442" s="8">
        <v>310852</v>
      </c>
      <c r="M1442" s="8">
        <v>19</v>
      </c>
      <c r="N1442" s="8">
        <v>1</v>
      </c>
      <c r="O1442" s="8">
        <v>7.5</v>
      </c>
      <c r="P1442" s="8"/>
    </row>
    <row r="1443" spans="1:16" hidden="1" x14ac:dyDescent="0.25">
      <c r="A1443" s="7" t="s">
        <v>14</v>
      </c>
      <c r="B1443" s="7" t="s">
        <v>415</v>
      </c>
      <c r="C1443" s="8">
        <v>27852</v>
      </c>
      <c r="D1443" s="7" t="s">
        <v>28</v>
      </c>
      <c r="E1443" s="7" t="s">
        <v>56</v>
      </c>
      <c r="F1443" s="7" t="s">
        <v>378</v>
      </c>
      <c r="G1443" s="7" t="s">
        <v>18</v>
      </c>
      <c r="H1443" s="7" t="s">
        <v>689</v>
      </c>
      <c r="I1443" s="7" t="s">
        <v>712</v>
      </c>
      <c r="J1443" s="7" t="s">
        <v>712</v>
      </c>
      <c r="K1443" s="8">
        <v>6259647</v>
      </c>
      <c r="L1443" s="8">
        <v>331082</v>
      </c>
      <c r="M1443" s="8">
        <v>19</v>
      </c>
      <c r="N1443" s="8">
        <v>1</v>
      </c>
      <c r="O1443" s="8">
        <v>0.85</v>
      </c>
      <c r="P1443" s="8"/>
    </row>
    <row r="1444" spans="1:16" hidden="1" x14ac:dyDescent="0.25">
      <c r="A1444" s="7" t="s">
        <v>14</v>
      </c>
      <c r="B1444" s="7" t="s">
        <v>415</v>
      </c>
      <c r="C1444" s="8">
        <v>27854</v>
      </c>
      <c r="D1444" s="7" t="s">
        <v>28</v>
      </c>
      <c r="E1444" s="7" t="s">
        <v>56</v>
      </c>
      <c r="F1444" s="7" t="s">
        <v>378</v>
      </c>
      <c r="G1444" s="7" t="s">
        <v>18</v>
      </c>
      <c r="H1444" s="7" t="s">
        <v>689</v>
      </c>
      <c r="I1444" s="7" t="s">
        <v>712</v>
      </c>
      <c r="J1444" s="7" t="s">
        <v>712</v>
      </c>
      <c r="K1444" s="8">
        <v>6259683</v>
      </c>
      <c r="L1444" s="8">
        <v>330965</v>
      </c>
      <c r="M1444" s="8">
        <v>19</v>
      </c>
      <c r="N1444" s="8">
        <v>1</v>
      </c>
      <c r="O1444" s="8">
        <v>1.02</v>
      </c>
      <c r="P1444" s="8"/>
    </row>
    <row r="1445" spans="1:16" hidden="1" x14ac:dyDescent="0.25">
      <c r="A1445" s="7" t="s">
        <v>37</v>
      </c>
      <c r="B1445" s="7" t="s">
        <v>254</v>
      </c>
      <c r="C1445" s="8">
        <v>27856</v>
      </c>
      <c r="D1445" s="7" t="s">
        <v>52</v>
      </c>
      <c r="E1445" s="7" t="s">
        <v>145</v>
      </c>
      <c r="F1445" s="7" t="s">
        <v>301</v>
      </c>
      <c r="G1445" s="7" t="s">
        <v>18</v>
      </c>
      <c r="H1445" s="7" t="s">
        <v>48</v>
      </c>
      <c r="I1445" s="7" t="s">
        <v>712</v>
      </c>
      <c r="J1445" s="7" t="s">
        <v>712</v>
      </c>
      <c r="K1445" s="8">
        <v>6169667</v>
      </c>
      <c r="L1445" s="8">
        <v>318296</v>
      </c>
      <c r="M1445" s="8">
        <v>19</v>
      </c>
      <c r="N1445" s="8">
        <v>1</v>
      </c>
      <c r="O1445" s="8">
        <v>2.7</v>
      </c>
      <c r="P1445" s="8"/>
    </row>
    <row r="1446" spans="1:16" hidden="1" x14ac:dyDescent="0.25">
      <c r="A1446" s="7" t="s">
        <v>14</v>
      </c>
      <c r="B1446" s="7" t="s">
        <v>415</v>
      </c>
      <c r="C1446" s="8">
        <v>27858</v>
      </c>
      <c r="D1446" s="7" t="s">
        <v>28</v>
      </c>
      <c r="E1446" s="7" t="s">
        <v>56</v>
      </c>
      <c r="F1446" s="7" t="s">
        <v>378</v>
      </c>
      <c r="G1446" s="7" t="s">
        <v>65</v>
      </c>
      <c r="H1446" s="7" t="s">
        <v>689</v>
      </c>
      <c r="I1446" s="7" t="s">
        <v>712</v>
      </c>
      <c r="J1446" s="7" t="s">
        <v>712</v>
      </c>
      <c r="K1446" s="8">
        <v>6260441</v>
      </c>
      <c r="L1446" s="8">
        <v>331598</v>
      </c>
      <c r="M1446" s="8">
        <v>19</v>
      </c>
      <c r="N1446" s="8">
        <v>1</v>
      </c>
      <c r="O1446" s="8">
        <v>1.2</v>
      </c>
      <c r="P1446" s="8"/>
    </row>
    <row r="1447" spans="1:16" hidden="1" x14ac:dyDescent="0.25">
      <c r="A1447" s="7" t="s">
        <v>14</v>
      </c>
      <c r="B1447" s="7" t="s">
        <v>415</v>
      </c>
      <c r="C1447" s="8">
        <v>27861</v>
      </c>
      <c r="D1447" s="7" t="s">
        <v>28</v>
      </c>
      <c r="E1447" s="7" t="s">
        <v>56</v>
      </c>
      <c r="F1447" s="7" t="s">
        <v>378</v>
      </c>
      <c r="G1447" s="7" t="s">
        <v>65</v>
      </c>
      <c r="H1447" s="7" t="s">
        <v>689</v>
      </c>
      <c r="I1447" s="7" t="s">
        <v>712</v>
      </c>
      <c r="J1447" s="7" t="s">
        <v>712</v>
      </c>
      <c r="K1447" s="8">
        <v>6260331</v>
      </c>
      <c r="L1447" s="8">
        <v>331549</v>
      </c>
      <c r="M1447" s="8">
        <v>19</v>
      </c>
      <c r="N1447" s="8">
        <v>1</v>
      </c>
      <c r="O1447" s="8">
        <v>1.2</v>
      </c>
      <c r="P1447" s="8"/>
    </row>
    <row r="1448" spans="1:16" hidden="1" x14ac:dyDescent="0.25">
      <c r="A1448" s="7" t="s">
        <v>37</v>
      </c>
      <c r="B1448" s="7" t="s">
        <v>415</v>
      </c>
      <c r="C1448" s="8">
        <v>27863</v>
      </c>
      <c r="D1448" s="7" t="s">
        <v>28</v>
      </c>
      <c r="E1448" s="7" t="s">
        <v>146</v>
      </c>
      <c r="F1448" s="7" t="s">
        <v>515</v>
      </c>
      <c r="G1448" s="7" t="s">
        <v>18</v>
      </c>
      <c r="H1448" s="7" t="s">
        <v>24</v>
      </c>
      <c r="I1448" s="7" t="s">
        <v>712</v>
      </c>
      <c r="J1448" s="7" t="s">
        <v>712</v>
      </c>
      <c r="K1448" s="8">
        <v>6272405</v>
      </c>
      <c r="L1448" s="8">
        <v>327004</v>
      </c>
      <c r="M1448" s="8">
        <v>19</v>
      </c>
      <c r="N1448" s="8">
        <v>1</v>
      </c>
      <c r="O1448" s="8">
        <v>1.6</v>
      </c>
      <c r="P1448" s="8"/>
    </row>
    <row r="1449" spans="1:16" hidden="1" x14ac:dyDescent="0.25">
      <c r="A1449" s="7" t="s">
        <v>19</v>
      </c>
      <c r="B1449" s="7" t="s">
        <v>415</v>
      </c>
      <c r="C1449" s="8">
        <v>27864</v>
      </c>
      <c r="D1449" s="7" t="s">
        <v>28</v>
      </c>
      <c r="E1449" s="7" t="s">
        <v>29</v>
      </c>
      <c r="F1449" s="7" t="s">
        <v>104</v>
      </c>
      <c r="G1449" s="7" t="s">
        <v>18</v>
      </c>
      <c r="H1449" s="7" t="s">
        <v>48</v>
      </c>
      <c r="I1449" s="7" t="s">
        <v>712</v>
      </c>
      <c r="J1449" s="7" t="s">
        <v>712</v>
      </c>
      <c r="K1449" s="8">
        <v>6254062</v>
      </c>
      <c r="L1449" s="8">
        <v>342197</v>
      </c>
      <c r="M1449" s="8">
        <v>19</v>
      </c>
      <c r="N1449" s="8">
        <v>1</v>
      </c>
      <c r="O1449" s="8">
        <v>2.5499999999999998</v>
      </c>
      <c r="P1449" s="8"/>
    </row>
    <row r="1450" spans="1:16" hidden="1" x14ac:dyDescent="0.25">
      <c r="A1450" s="7" t="s">
        <v>37</v>
      </c>
      <c r="B1450" s="7" t="s">
        <v>415</v>
      </c>
      <c r="C1450" s="8">
        <v>27867</v>
      </c>
      <c r="D1450" s="7" t="s">
        <v>28</v>
      </c>
      <c r="E1450" s="7" t="s">
        <v>146</v>
      </c>
      <c r="F1450" s="7" t="s">
        <v>515</v>
      </c>
      <c r="G1450" s="7" t="s">
        <v>18</v>
      </c>
      <c r="H1450" s="7" t="s">
        <v>24</v>
      </c>
      <c r="I1450" s="7" t="s">
        <v>712</v>
      </c>
      <c r="J1450" s="7" t="s">
        <v>712</v>
      </c>
      <c r="K1450" s="8">
        <v>6272055</v>
      </c>
      <c r="L1450" s="8">
        <v>327329</v>
      </c>
      <c r="M1450" s="8">
        <v>19</v>
      </c>
      <c r="N1450" s="8">
        <v>1</v>
      </c>
      <c r="O1450" s="8">
        <v>1.68</v>
      </c>
      <c r="P1450" s="8"/>
    </row>
    <row r="1451" spans="1:16" hidden="1" x14ac:dyDescent="0.25">
      <c r="A1451" s="7" t="s">
        <v>37</v>
      </c>
      <c r="B1451" s="7" t="s">
        <v>415</v>
      </c>
      <c r="C1451" s="8">
        <v>27868</v>
      </c>
      <c r="D1451" s="7" t="s">
        <v>28</v>
      </c>
      <c r="E1451" s="7" t="s">
        <v>166</v>
      </c>
      <c r="F1451" s="7" t="s">
        <v>363</v>
      </c>
      <c r="G1451" s="7" t="s">
        <v>18</v>
      </c>
      <c r="H1451" s="7" t="s">
        <v>109</v>
      </c>
      <c r="I1451" s="7" t="s">
        <v>712</v>
      </c>
      <c r="J1451" s="7" t="s">
        <v>691</v>
      </c>
      <c r="K1451" s="8">
        <v>6265918</v>
      </c>
      <c r="L1451" s="8">
        <v>327432</v>
      </c>
      <c r="M1451" s="8">
        <v>19</v>
      </c>
      <c r="N1451" s="8">
        <v>1</v>
      </c>
      <c r="O1451" s="8">
        <v>4.87</v>
      </c>
      <c r="P1451" s="8"/>
    </row>
    <row r="1452" spans="1:16" hidden="1" x14ac:dyDescent="0.25">
      <c r="A1452" s="7" t="s">
        <v>37</v>
      </c>
      <c r="B1452" s="7" t="s">
        <v>415</v>
      </c>
      <c r="C1452" s="8">
        <v>27874</v>
      </c>
      <c r="D1452" s="7" t="s">
        <v>28</v>
      </c>
      <c r="E1452" s="7" t="s">
        <v>344</v>
      </c>
      <c r="F1452" s="7" t="s">
        <v>345</v>
      </c>
      <c r="G1452" s="7" t="s">
        <v>18</v>
      </c>
      <c r="H1452" s="7" t="s">
        <v>24</v>
      </c>
      <c r="I1452" s="7" t="s">
        <v>712</v>
      </c>
      <c r="J1452" s="7" t="s">
        <v>712</v>
      </c>
      <c r="K1452" s="8">
        <v>6273234</v>
      </c>
      <c r="L1452" s="8">
        <v>300040</v>
      </c>
      <c r="M1452" s="8">
        <v>19</v>
      </c>
      <c r="N1452" s="8">
        <v>1</v>
      </c>
      <c r="O1452" s="8">
        <v>1.07</v>
      </c>
      <c r="P1452" s="8"/>
    </row>
    <row r="1453" spans="1:16" hidden="1" x14ac:dyDescent="0.25">
      <c r="A1453" s="7" t="s">
        <v>37</v>
      </c>
      <c r="B1453" s="7" t="s">
        <v>415</v>
      </c>
      <c r="C1453" s="8">
        <v>27877</v>
      </c>
      <c r="D1453" s="7" t="s">
        <v>28</v>
      </c>
      <c r="E1453" s="7" t="s">
        <v>344</v>
      </c>
      <c r="F1453" s="7" t="s">
        <v>345</v>
      </c>
      <c r="G1453" s="7" t="s">
        <v>18</v>
      </c>
      <c r="H1453" s="7" t="s">
        <v>24</v>
      </c>
      <c r="I1453" s="7" t="s">
        <v>712</v>
      </c>
      <c r="J1453" s="7" t="s">
        <v>712</v>
      </c>
      <c r="K1453" s="8">
        <v>6272491</v>
      </c>
      <c r="L1453" s="8">
        <v>300206</v>
      </c>
      <c r="M1453" s="8">
        <v>19</v>
      </c>
      <c r="N1453" s="8">
        <v>1</v>
      </c>
      <c r="O1453" s="8">
        <v>0.97</v>
      </c>
      <c r="P1453" s="8"/>
    </row>
    <row r="1454" spans="1:16" hidden="1" x14ac:dyDescent="0.25">
      <c r="A1454" s="7" t="s">
        <v>37</v>
      </c>
      <c r="B1454" s="7" t="s">
        <v>415</v>
      </c>
      <c r="C1454" s="8">
        <v>27878</v>
      </c>
      <c r="D1454" s="7" t="s">
        <v>28</v>
      </c>
      <c r="E1454" s="7" t="s">
        <v>344</v>
      </c>
      <c r="F1454" s="7" t="s">
        <v>492</v>
      </c>
      <c r="G1454" s="7" t="s">
        <v>18</v>
      </c>
      <c r="H1454" s="7" t="s">
        <v>24</v>
      </c>
      <c r="I1454" s="7" t="s">
        <v>712</v>
      </c>
      <c r="J1454" s="7" t="s">
        <v>712</v>
      </c>
      <c r="K1454" s="8">
        <v>6268157</v>
      </c>
      <c r="L1454" s="8">
        <v>308421</v>
      </c>
      <c r="M1454" s="8">
        <v>19</v>
      </c>
      <c r="N1454" s="8">
        <v>1</v>
      </c>
      <c r="O1454" s="8">
        <v>1.5</v>
      </c>
      <c r="P1454" s="8"/>
    </row>
    <row r="1455" spans="1:16" x14ac:dyDescent="0.25">
      <c r="A1455" s="7" t="s">
        <v>14</v>
      </c>
      <c r="B1455" s="7" t="s">
        <v>713</v>
      </c>
      <c r="C1455" s="8">
        <v>27881</v>
      </c>
      <c r="D1455" s="7" t="s">
        <v>52</v>
      </c>
      <c r="E1455" s="7" t="s">
        <v>139</v>
      </c>
      <c r="F1455" s="7" t="s">
        <v>139</v>
      </c>
      <c r="G1455" s="7" t="s">
        <v>18</v>
      </c>
      <c r="H1455" s="7" t="s">
        <v>689</v>
      </c>
      <c r="I1455" s="7" t="s">
        <v>712</v>
      </c>
      <c r="J1455" s="7" t="s">
        <v>712</v>
      </c>
      <c r="K1455" s="8">
        <v>6228337</v>
      </c>
      <c r="L1455" s="8">
        <v>336834</v>
      </c>
      <c r="M1455" s="8">
        <v>19</v>
      </c>
      <c r="N1455" s="8">
        <v>1</v>
      </c>
      <c r="O1455" s="8">
        <v>1.36</v>
      </c>
      <c r="P1455" s="8"/>
    </row>
    <row r="1456" spans="1:16" hidden="1" x14ac:dyDescent="0.25">
      <c r="A1456" s="7" t="s">
        <v>14</v>
      </c>
      <c r="B1456" s="7" t="s">
        <v>181</v>
      </c>
      <c r="C1456" s="8">
        <v>27882</v>
      </c>
      <c r="D1456" s="7" t="s">
        <v>119</v>
      </c>
      <c r="E1456" s="7" t="s">
        <v>204</v>
      </c>
      <c r="F1456" s="7" t="s">
        <v>207</v>
      </c>
      <c r="G1456" s="7" t="s">
        <v>43</v>
      </c>
      <c r="H1456" s="7" t="s">
        <v>689</v>
      </c>
      <c r="I1456" s="7" t="s">
        <v>690</v>
      </c>
      <c r="J1456" s="7" t="s">
        <v>690</v>
      </c>
      <c r="K1456" s="8">
        <v>5733237</v>
      </c>
      <c r="L1456" s="8">
        <v>684228</v>
      </c>
      <c r="M1456" s="8">
        <v>18</v>
      </c>
      <c r="N1456" s="8">
        <v>1</v>
      </c>
      <c r="O1456" s="8">
        <v>1.1000000000000001</v>
      </c>
      <c r="P1456" s="8"/>
    </row>
    <row r="1457" spans="1:16" x14ac:dyDescent="0.25">
      <c r="A1457" s="7" t="s">
        <v>14</v>
      </c>
      <c r="B1457" s="7" t="s">
        <v>713</v>
      </c>
      <c r="C1457" s="8">
        <v>27883</v>
      </c>
      <c r="D1457" s="7" t="s">
        <v>52</v>
      </c>
      <c r="E1457" s="7" t="s">
        <v>139</v>
      </c>
      <c r="F1457" s="7" t="s">
        <v>139</v>
      </c>
      <c r="G1457" s="7" t="s">
        <v>18</v>
      </c>
      <c r="H1457" s="7" t="s">
        <v>689</v>
      </c>
      <c r="I1457" s="7" t="s">
        <v>712</v>
      </c>
      <c r="J1457" s="7" t="s">
        <v>712</v>
      </c>
      <c r="K1457" s="8">
        <v>6227916</v>
      </c>
      <c r="L1457" s="8">
        <v>339479</v>
      </c>
      <c r="M1457" s="8">
        <v>19</v>
      </c>
      <c r="N1457" s="8">
        <v>1</v>
      </c>
      <c r="O1457" s="8">
        <v>0.39</v>
      </c>
      <c r="P1457" s="8"/>
    </row>
    <row r="1458" spans="1:16" hidden="1" x14ac:dyDescent="0.25">
      <c r="A1458" s="7" t="s">
        <v>14</v>
      </c>
      <c r="B1458" s="7" t="s">
        <v>651</v>
      </c>
      <c r="C1458" s="8">
        <v>27884</v>
      </c>
      <c r="D1458" s="7" t="s">
        <v>52</v>
      </c>
      <c r="E1458" s="7" t="s">
        <v>159</v>
      </c>
      <c r="F1458" s="7" t="s">
        <v>160</v>
      </c>
      <c r="G1458" s="7" t="s">
        <v>18</v>
      </c>
      <c r="H1458" s="7" t="s">
        <v>689</v>
      </c>
      <c r="I1458" s="7" t="s">
        <v>712</v>
      </c>
      <c r="J1458" s="7" t="s">
        <v>712</v>
      </c>
      <c r="K1458" s="8">
        <v>6236084</v>
      </c>
      <c r="L1458" s="8">
        <v>343755</v>
      </c>
      <c r="M1458" s="8">
        <v>19</v>
      </c>
      <c r="N1458" s="8">
        <v>1</v>
      </c>
      <c r="O1458" s="8">
        <v>0.18</v>
      </c>
      <c r="P1458" s="8"/>
    </row>
    <row r="1459" spans="1:16" x14ac:dyDescent="0.25">
      <c r="A1459" s="7" t="s">
        <v>14</v>
      </c>
      <c r="B1459" s="7" t="s">
        <v>713</v>
      </c>
      <c r="C1459" s="8">
        <v>27885</v>
      </c>
      <c r="D1459" s="7" t="s">
        <v>52</v>
      </c>
      <c r="E1459" s="7" t="s">
        <v>139</v>
      </c>
      <c r="F1459" s="7" t="s">
        <v>139</v>
      </c>
      <c r="G1459" s="7" t="s">
        <v>65</v>
      </c>
      <c r="H1459" s="7" t="s">
        <v>689</v>
      </c>
      <c r="I1459" s="7" t="s">
        <v>712</v>
      </c>
      <c r="J1459" s="7" t="s">
        <v>712</v>
      </c>
      <c r="K1459" s="8">
        <v>6228125</v>
      </c>
      <c r="L1459" s="8">
        <v>338078</v>
      </c>
      <c r="M1459" s="8">
        <v>19</v>
      </c>
      <c r="N1459" s="8">
        <v>1</v>
      </c>
      <c r="O1459" s="8">
        <v>1.9</v>
      </c>
      <c r="P1459" s="8"/>
    </row>
    <row r="1460" spans="1:16" hidden="1" x14ac:dyDescent="0.25">
      <c r="A1460" s="7" t="s">
        <v>14</v>
      </c>
      <c r="B1460" s="7" t="s">
        <v>415</v>
      </c>
      <c r="C1460" s="8">
        <v>27886</v>
      </c>
      <c r="D1460" s="7" t="s">
        <v>322</v>
      </c>
      <c r="E1460" s="7" t="s">
        <v>323</v>
      </c>
      <c r="F1460" s="7" t="s">
        <v>422</v>
      </c>
      <c r="G1460" s="7" t="s">
        <v>18</v>
      </c>
      <c r="H1460" s="7" t="s">
        <v>689</v>
      </c>
      <c r="I1460" s="7" t="s">
        <v>712</v>
      </c>
      <c r="J1460" s="7" t="s">
        <v>712</v>
      </c>
      <c r="K1460" s="8">
        <v>7952485</v>
      </c>
      <c r="L1460" s="8">
        <v>371327</v>
      </c>
      <c r="M1460" s="8">
        <v>19</v>
      </c>
      <c r="N1460" s="8">
        <v>1</v>
      </c>
      <c r="O1460" s="8">
        <v>0.53</v>
      </c>
      <c r="P1460" s="8"/>
    </row>
    <row r="1461" spans="1:16" hidden="1" x14ac:dyDescent="0.25">
      <c r="A1461" s="7" t="s">
        <v>14</v>
      </c>
      <c r="B1461" s="7" t="s">
        <v>415</v>
      </c>
      <c r="C1461" s="8">
        <v>27887</v>
      </c>
      <c r="D1461" s="7" t="s">
        <v>322</v>
      </c>
      <c r="E1461" s="7" t="s">
        <v>323</v>
      </c>
      <c r="F1461" s="7" t="s">
        <v>422</v>
      </c>
      <c r="G1461" s="7" t="s">
        <v>18</v>
      </c>
      <c r="H1461" s="7" t="s">
        <v>689</v>
      </c>
      <c r="I1461" s="7" t="s">
        <v>712</v>
      </c>
      <c r="J1461" s="7" t="s">
        <v>712</v>
      </c>
      <c r="K1461" s="8">
        <v>7952353</v>
      </c>
      <c r="L1461" s="8">
        <v>371429</v>
      </c>
      <c r="M1461" s="8">
        <v>19</v>
      </c>
      <c r="N1461" s="8">
        <v>1</v>
      </c>
      <c r="O1461" s="8">
        <v>1.5</v>
      </c>
      <c r="P1461" s="8"/>
    </row>
    <row r="1462" spans="1:16" hidden="1" x14ac:dyDescent="0.25">
      <c r="A1462" s="7" t="s">
        <v>14</v>
      </c>
      <c r="B1462" s="7" t="s">
        <v>415</v>
      </c>
      <c r="C1462" s="8">
        <v>27888</v>
      </c>
      <c r="D1462" s="7" t="s">
        <v>322</v>
      </c>
      <c r="E1462" s="7" t="s">
        <v>323</v>
      </c>
      <c r="F1462" s="7" t="s">
        <v>422</v>
      </c>
      <c r="G1462" s="7" t="s">
        <v>18</v>
      </c>
      <c r="H1462" s="7" t="s">
        <v>689</v>
      </c>
      <c r="I1462" s="7" t="s">
        <v>712</v>
      </c>
      <c r="J1462" s="7" t="s">
        <v>712</v>
      </c>
      <c r="K1462" s="8">
        <v>7953403</v>
      </c>
      <c r="L1462" s="8">
        <v>370706</v>
      </c>
      <c r="M1462" s="8">
        <v>19</v>
      </c>
      <c r="N1462" s="8">
        <v>1</v>
      </c>
      <c r="O1462" s="8">
        <v>0.16</v>
      </c>
      <c r="P1462" s="8"/>
    </row>
    <row r="1463" spans="1:16" hidden="1" x14ac:dyDescent="0.25">
      <c r="A1463" s="7" t="s">
        <v>37</v>
      </c>
      <c r="B1463" s="7" t="s">
        <v>181</v>
      </c>
      <c r="C1463" s="8">
        <v>27890</v>
      </c>
      <c r="D1463" s="7" t="s">
        <v>119</v>
      </c>
      <c r="E1463" s="7" t="s">
        <v>225</v>
      </c>
      <c r="F1463" s="7" t="s">
        <v>228</v>
      </c>
      <c r="G1463" s="7" t="s">
        <v>43</v>
      </c>
      <c r="H1463" s="7" t="s">
        <v>48</v>
      </c>
      <c r="I1463" s="7" t="s">
        <v>91</v>
      </c>
      <c r="J1463" s="7" t="s">
        <v>691</v>
      </c>
      <c r="K1463" s="8">
        <v>5752294</v>
      </c>
      <c r="L1463" s="8">
        <v>735160</v>
      </c>
      <c r="M1463" s="8">
        <v>18</v>
      </c>
      <c r="N1463" s="8">
        <v>1</v>
      </c>
      <c r="O1463" s="8">
        <v>18</v>
      </c>
      <c r="P1463" s="8"/>
    </row>
    <row r="1464" spans="1:16" hidden="1" x14ac:dyDescent="0.25">
      <c r="A1464" s="7" t="s">
        <v>37</v>
      </c>
      <c r="B1464" s="7" t="s">
        <v>343</v>
      </c>
      <c r="C1464" s="8">
        <v>27895</v>
      </c>
      <c r="D1464" s="7" t="s">
        <v>52</v>
      </c>
      <c r="E1464" s="7" t="s">
        <v>273</v>
      </c>
      <c r="F1464" s="7" t="s">
        <v>273</v>
      </c>
      <c r="G1464" s="7" t="s">
        <v>18</v>
      </c>
      <c r="H1464" s="7" t="s">
        <v>48</v>
      </c>
      <c r="I1464" s="7" t="s">
        <v>712</v>
      </c>
      <c r="J1464" s="7" t="s">
        <v>712</v>
      </c>
      <c r="K1464" s="8">
        <v>6160494</v>
      </c>
      <c r="L1464" s="8">
        <v>294571</v>
      </c>
      <c r="M1464" s="8">
        <v>19</v>
      </c>
      <c r="N1464" s="8">
        <v>2</v>
      </c>
      <c r="O1464" s="8">
        <v>24</v>
      </c>
      <c r="P1464" s="8"/>
    </row>
    <row r="1465" spans="1:16" hidden="1" x14ac:dyDescent="0.25">
      <c r="A1465" s="7" t="s">
        <v>37</v>
      </c>
      <c r="B1465" s="7" t="s">
        <v>343</v>
      </c>
      <c r="C1465" s="8">
        <v>27896</v>
      </c>
      <c r="D1465" s="7" t="s">
        <v>52</v>
      </c>
      <c r="E1465" s="7" t="s">
        <v>273</v>
      </c>
      <c r="F1465" s="7" t="s">
        <v>373</v>
      </c>
      <c r="G1465" s="7" t="s">
        <v>18</v>
      </c>
      <c r="H1465" s="7" t="s">
        <v>48</v>
      </c>
      <c r="I1465" s="7" t="s">
        <v>712</v>
      </c>
      <c r="J1465" s="7" t="s">
        <v>712</v>
      </c>
      <c r="K1465" s="8">
        <v>6163278</v>
      </c>
      <c r="L1465" s="8">
        <v>287526</v>
      </c>
      <c r="M1465" s="8">
        <v>19</v>
      </c>
      <c r="N1465" s="8">
        <v>5</v>
      </c>
      <c r="O1465" s="8">
        <v>33.9</v>
      </c>
      <c r="P1465" s="8"/>
    </row>
    <row r="1466" spans="1:16" hidden="1" x14ac:dyDescent="0.25">
      <c r="A1466" s="7" t="s">
        <v>37</v>
      </c>
      <c r="B1466" s="7" t="s">
        <v>343</v>
      </c>
      <c r="C1466" s="8">
        <v>27897</v>
      </c>
      <c r="D1466" s="7" t="s">
        <v>16</v>
      </c>
      <c r="E1466" s="7" t="s">
        <v>155</v>
      </c>
      <c r="F1466" s="7" t="s">
        <v>156</v>
      </c>
      <c r="G1466" s="7" t="s">
        <v>18</v>
      </c>
      <c r="H1466" s="7" t="s">
        <v>48</v>
      </c>
      <c r="I1466" s="7" t="s">
        <v>712</v>
      </c>
      <c r="J1466" s="7" t="s">
        <v>712</v>
      </c>
      <c r="K1466" s="8">
        <v>6114523</v>
      </c>
      <c r="L1466" s="8">
        <v>305911</v>
      </c>
      <c r="M1466" s="8">
        <v>19</v>
      </c>
      <c r="N1466" s="8">
        <v>2</v>
      </c>
      <c r="O1466" s="8">
        <v>33.9</v>
      </c>
      <c r="P1466" s="8"/>
    </row>
    <row r="1467" spans="1:16" hidden="1" x14ac:dyDescent="0.25">
      <c r="A1467" s="7" t="s">
        <v>37</v>
      </c>
      <c r="B1467" s="7" t="s">
        <v>343</v>
      </c>
      <c r="C1467" s="8">
        <v>27898</v>
      </c>
      <c r="D1467" s="7" t="s">
        <v>16</v>
      </c>
      <c r="E1467" s="7" t="s">
        <v>264</v>
      </c>
      <c r="F1467" s="7" t="s">
        <v>264</v>
      </c>
      <c r="G1467" s="7" t="s">
        <v>18</v>
      </c>
      <c r="H1467" s="7" t="s">
        <v>48</v>
      </c>
      <c r="I1467" s="7" t="s">
        <v>712</v>
      </c>
      <c r="J1467" s="7" t="s">
        <v>712</v>
      </c>
      <c r="K1467" s="8">
        <v>6121815</v>
      </c>
      <c r="L1467" s="8">
        <v>278042</v>
      </c>
      <c r="M1467" s="8">
        <v>19</v>
      </c>
      <c r="N1467" s="8">
        <v>1</v>
      </c>
      <c r="O1467" s="8">
        <v>16</v>
      </c>
      <c r="P1467" s="8"/>
    </row>
    <row r="1468" spans="1:16" hidden="1" x14ac:dyDescent="0.25">
      <c r="A1468" s="7" t="s">
        <v>14</v>
      </c>
      <c r="B1468" s="7" t="s">
        <v>343</v>
      </c>
      <c r="C1468" s="8">
        <v>27899</v>
      </c>
      <c r="D1468" s="7" t="s">
        <v>52</v>
      </c>
      <c r="E1468" s="7" t="s">
        <v>151</v>
      </c>
      <c r="F1468" s="7" t="s">
        <v>151</v>
      </c>
      <c r="G1468" s="7" t="s">
        <v>18</v>
      </c>
      <c r="H1468" s="7" t="s">
        <v>689</v>
      </c>
      <c r="I1468" s="7" t="s">
        <v>712</v>
      </c>
      <c r="J1468" s="7" t="s">
        <v>712</v>
      </c>
      <c r="K1468" s="8">
        <v>6190300</v>
      </c>
      <c r="L1468" s="8">
        <v>328138</v>
      </c>
      <c r="M1468" s="8">
        <v>19</v>
      </c>
      <c r="N1468" s="8">
        <v>1</v>
      </c>
      <c r="O1468" s="8">
        <v>0.04</v>
      </c>
      <c r="P1468" s="8"/>
    </row>
    <row r="1469" spans="1:16" hidden="1" x14ac:dyDescent="0.25">
      <c r="A1469" s="7" t="s">
        <v>14</v>
      </c>
      <c r="B1469" s="7" t="s">
        <v>343</v>
      </c>
      <c r="C1469" s="8">
        <v>27900</v>
      </c>
      <c r="D1469" s="7" t="s">
        <v>52</v>
      </c>
      <c r="E1469" s="7" t="s">
        <v>151</v>
      </c>
      <c r="F1469" s="7" t="s">
        <v>151</v>
      </c>
      <c r="G1469" s="7" t="s">
        <v>18</v>
      </c>
      <c r="H1469" s="7" t="s">
        <v>689</v>
      </c>
      <c r="I1469" s="7" t="s">
        <v>712</v>
      </c>
      <c r="J1469" s="7" t="s">
        <v>712</v>
      </c>
      <c r="K1469" s="8">
        <v>6190300</v>
      </c>
      <c r="L1469" s="8">
        <v>328138</v>
      </c>
      <c r="M1469" s="8">
        <v>19</v>
      </c>
      <c r="N1469" s="8">
        <v>1</v>
      </c>
      <c r="O1469" s="8">
        <v>7.0000000000000007E-2</v>
      </c>
      <c r="P1469" s="8"/>
    </row>
    <row r="1470" spans="1:16" hidden="1" x14ac:dyDescent="0.25">
      <c r="A1470" s="7" t="s">
        <v>14</v>
      </c>
      <c r="B1470" s="7" t="s">
        <v>343</v>
      </c>
      <c r="C1470" s="8">
        <v>27901</v>
      </c>
      <c r="D1470" s="7" t="s">
        <v>52</v>
      </c>
      <c r="E1470" s="7" t="s">
        <v>151</v>
      </c>
      <c r="F1470" s="7" t="s">
        <v>151</v>
      </c>
      <c r="G1470" s="7" t="s">
        <v>18</v>
      </c>
      <c r="H1470" s="7" t="s">
        <v>689</v>
      </c>
      <c r="I1470" s="7" t="s">
        <v>712</v>
      </c>
      <c r="J1470" s="7" t="s">
        <v>712</v>
      </c>
      <c r="K1470" s="8">
        <v>6190300</v>
      </c>
      <c r="L1470" s="8">
        <v>328138</v>
      </c>
      <c r="M1470" s="8">
        <v>19</v>
      </c>
      <c r="N1470" s="8">
        <v>1</v>
      </c>
      <c r="O1470" s="8">
        <v>0.14000000000000001</v>
      </c>
      <c r="P1470" s="8"/>
    </row>
    <row r="1471" spans="1:16" hidden="1" x14ac:dyDescent="0.25">
      <c r="A1471" s="7" t="s">
        <v>37</v>
      </c>
      <c r="B1471" s="7" t="s">
        <v>270</v>
      </c>
      <c r="C1471" s="8">
        <v>27905</v>
      </c>
      <c r="D1471" s="7" t="s">
        <v>28</v>
      </c>
      <c r="E1471" s="7" t="s">
        <v>146</v>
      </c>
      <c r="F1471" s="7" t="s">
        <v>527</v>
      </c>
      <c r="G1471" s="7" t="s">
        <v>18</v>
      </c>
      <c r="H1471" s="7" t="s">
        <v>24</v>
      </c>
      <c r="I1471" s="7" t="s">
        <v>712</v>
      </c>
      <c r="J1471" s="7" t="s">
        <v>712</v>
      </c>
      <c r="K1471" s="8">
        <v>6272819</v>
      </c>
      <c r="L1471" s="8">
        <v>327502</v>
      </c>
      <c r="M1471" s="8">
        <v>19</v>
      </c>
      <c r="N1471" s="8">
        <v>1</v>
      </c>
      <c r="O1471" s="8">
        <v>0.8</v>
      </c>
      <c r="P1471" s="8"/>
    </row>
    <row r="1472" spans="1:16" hidden="1" x14ac:dyDescent="0.25">
      <c r="A1472" s="7" t="s">
        <v>37</v>
      </c>
      <c r="B1472" s="7" t="s">
        <v>254</v>
      </c>
      <c r="C1472" s="8">
        <v>27907</v>
      </c>
      <c r="D1472" s="7" t="s">
        <v>16</v>
      </c>
      <c r="E1472" s="7" t="s">
        <v>17</v>
      </c>
      <c r="F1472" s="7" t="s">
        <v>327</v>
      </c>
      <c r="G1472" s="7" t="s">
        <v>18</v>
      </c>
      <c r="H1472" s="7" t="s">
        <v>24</v>
      </c>
      <c r="I1472" s="7" t="s">
        <v>712</v>
      </c>
      <c r="J1472" s="7" t="s">
        <v>712</v>
      </c>
      <c r="K1472" s="8">
        <v>6065530</v>
      </c>
      <c r="L1472" s="8">
        <v>288662</v>
      </c>
      <c r="M1472" s="8">
        <v>19</v>
      </c>
      <c r="N1472" s="8">
        <v>1</v>
      </c>
      <c r="O1472" s="8">
        <v>0.4</v>
      </c>
      <c r="P1472" s="8"/>
    </row>
    <row r="1473" spans="1:16" hidden="1" x14ac:dyDescent="0.25">
      <c r="A1473" s="7" t="s">
        <v>19</v>
      </c>
      <c r="B1473" s="7" t="s">
        <v>270</v>
      </c>
      <c r="C1473" s="8">
        <v>27908</v>
      </c>
      <c r="D1473" s="7" t="s">
        <v>16</v>
      </c>
      <c r="E1473" s="7" t="s">
        <v>137</v>
      </c>
      <c r="F1473" s="7" t="s">
        <v>137</v>
      </c>
      <c r="G1473" s="7" t="s">
        <v>18</v>
      </c>
      <c r="H1473" s="7" t="s">
        <v>48</v>
      </c>
      <c r="I1473" s="7" t="s">
        <v>712</v>
      </c>
      <c r="J1473" s="7" t="s">
        <v>712</v>
      </c>
      <c r="K1473" s="8">
        <v>6087860</v>
      </c>
      <c r="L1473" s="8">
        <v>249243</v>
      </c>
      <c r="M1473" s="8">
        <v>19</v>
      </c>
      <c r="N1473" s="8">
        <v>2</v>
      </c>
      <c r="O1473" s="8">
        <v>2.7</v>
      </c>
      <c r="P1473" s="8"/>
    </row>
    <row r="1474" spans="1:16" hidden="1" x14ac:dyDescent="0.25">
      <c r="A1474" s="7" t="s">
        <v>14</v>
      </c>
      <c r="B1474" s="7" t="s">
        <v>270</v>
      </c>
      <c r="C1474" s="8">
        <v>27910</v>
      </c>
      <c r="D1474" s="7" t="s">
        <v>52</v>
      </c>
      <c r="E1474" s="7" t="s">
        <v>139</v>
      </c>
      <c r="F1474" s="7" t="s">
        <v>139</v>
      </c>
      <c r="G1474" s="7" t="s">
        <v>18</v>
      </c>
      <c r="H1474" s="7" t="s">
        <v>689</v>
      </c>
      <c r="I1474" s="7" t="s">
        <v>712</v>
      </c>
      <c r="J1474" s="7" t="s">
        <v>712</v>
      </c>
      <c r="K1474" s="8">
        <v>6224997</v>
      </c>
      <c r="L1474" s="8">
        <v>339090</v>
      </c>
      <c r="M1474" s="8">
        <v>19</v>
      </c>
      <c r="N1474" s="8">
        <v>1</v>
      </c>
      <c r="O1474" s="8">
        <v>0</v>
      </c>
      <c r="P1474" s="8"/>
    </row>
    <row r="1475" spans="1:16" hidden="1" x14ac:dyDescent="0.25">
      <c r="A1475" s="7" t="s">
        <v>37</v>
      </c>
      <c r="B1475" s="7" t="s">
        <v>254</v>
      </c>
      <c r="C1475" s="8">
        <v>27915</v>
      </c>
      <c r="D1475" s="7" t="s">
        <v>21</v>
      </c>
      <c r="E1475" s="7" t="s">
        <v>278</v>
      </c>
      <c r="F1475" s="7" t="s">
        <v>279</v>
      </c>
      <c r="G1475" s="7" t="s">
        <v>18</v>
      </c>
      <c r="H1475" s="7" t="s">
        <v>24</v>
      </c>
      <c r="I1475" s="7" t="s">
        <v>712</v>
      </c>
      <c r="J1475" s="7" t="s">
        <v>712</v>
      </c>
      <c r="K1475" s="8">
        <v>6365017</v>
      </c>
      <c r="L1475" s="8">
        <v>310593</v>
      </c>
      <c r="M1475" s="8">
        <v>19</v>
      </c>
      <c r="N1475" s="8">
        <v>1</v>
      </c>
      <c r="O1475" s="8">
        <v>0.4</v>
      </c>
      <c r="P1475" s="8"/>
    </row>
    <row r="1476" spans="1:16" hidden="1" x14ac:dyDescent="0.25">
      <c r="A1476" s="7" t="s">
        <v>19</v>
      </c>
      <c r="B1476" s="7" t="s">
        <v>124</v>
      </c>
      <c r="C1476" s="8">
        <v>27917</v>
      </c>
      <c r="D1476" s="7" t="s">
        <v>52</v>
      </c>
      <c r="E1476" s="7" t="s">
        <v>159</v>
      </c>
      <c r="F1476" s="7" t="s">
        <v>160</v>
      </c>
      <c r="G1476" s="7" t="s">
        <v>18</v>
      </c>
      <c r="H1476" s="7" t="s">
        <v>48</v>
      </c>
      <c r="I1476" s="7" t="s">
        <v>712</v>
      </c>
      <c r="J1476" s="7" t="s">
        <v>691</v>
      </c>
      <c r="K1476" s="8">
        <v>6236470</v>
      </c>
      <c r="L1476" s="8">
        <v>340987</v>
      </c>
      <c r="M1476" s="8">
        <v>19</v>
      </c>
      <c r="N1476" s="8">
        <v>1</v>
      </c>
      <c r="O1476" s="8">
        <v>7.5</v>
      </c>
      <c r="P1476" s="8"/>
    </row>
    <row r="1477" spans="1:16" hidden="1" x14ac:dyDescent="0.25">
      <c r="A1477" s="7" t="s">
        <v>19</v>
      </c>
      <c r="B1477" s="7" t="s">
        <v>124</v>
      </c>
      <c r="C1477" s="8">
        <v>27925</v>
      </c>
      <c r="D1477" s="7" t="s">
        <v>52</v>
      </c>
      <c r="E1477" s="7" t="s">
        <v>53</v>
      </c>
      <c r="F1477" s="7" t="s">
        <v>53</v>
      </c>
      <c r="G1477" s="7" t="s">
        <v>18</v>
      </c>
      <c r="H1477" s="7" t="s">
        <v>48</v>
      </c>
      <c r="I1477" s="7" t="s">
        <v>712</v>
      </c>
      <c r="J1477" s="7" t="s">
        <v>691</v>
      </c>
      <c r="K1477" s="8">
        <v>6157089</v>
      </c>
      <c r="L1477" s="8">
        <v>314828</v>
      </c>
      <c r="M1477" s="8">
        <v>19</v>
      </c>
      <c r="N1477" s="8">
        <v>1</v>
      </c>
      <c r="O1477" s="8">
        <v>18.8</v>
      </c>
      <c r="P1477" s="8"/>
    </row>
    <row r="1478" spans="1:16" hidden="1" x14ac:dyDescent="0.25">
      <c r="A1478" s="7" t="s">
        <v>19</v>
      </c>
      <c r="B1478" s="7" t="s">
        <v>415</v>
      </c>
      <c r="C1478" s="8">
        <v>27926</v>
      </c>
      <c r="D1478" s="7" t="s">
        <v>28</v>
      </c>
      <c r="E1478" s="7" t="s">
        <v>32</v>
      </c>
      <c r="F1478" s="7" t="s">
        <v>147</v>
      </c>
      <c r="G1478" s="7" t="s">
        <v>18</v>
      </c>
      <c r="H1478" s="7" t="s">
        <v>48</v>
      </c>
      <c r="I1478" s="7" t="s">
        <v>712</v>
      </c>
      <c r="J1478" s="7" t="s">
        <v>691</v>
      </c>
      <c r="K1478" s="8">
        <v>6269993</v>
      </c>
      <c r="L1478" s="8">
        <v>329227</v>
      </c>
      <c r="M1478" s="8">
        <v>19</v>
      </c>
      <c r="N1478" s="8">
        <v>1</v>
      </c>
      <c r="O1478" s="8">
        <v>0.4</v>
      </c>
      <c r="P1478" s="8"/>
    </row>
    <row r="1479" spans="1:16" hidden="1" x14ac:dyDescent="0.25">
      <c r="A1479" s="7" t="s">
        <v>37</v>
      </c>
      <c r="B1479" s="7" t="s">
        <v>415</v>
      </c>
      <c r="C1479" s="8">
        <v>27927</v>
      </c>
      <c r="D1479" s="7" t="s">
        <v>28</v>
      </c>
      <c r="E1479" s="7" t="s">
        <v>56</v>
      </c>
      <c r="F1479" s="7" t="s">
        <v>162</v>
      </c>
      <c r="G1479" s="7" t="s">
        <v>18</v>
      </c>
      <c r="H1479" s="7" t="s">
        <v>24</v>
      </c>
      <c r="I1479" s="7" t="s">
        <v>712</v>
      </c>
      <c r="J1479" s="7" t="s">
        <v>712</v>
      </c>
      <c r="K1479" s="8">
        <v>6255920</v>
      </c>
      <c r="L1479" s="8">
        <v>333482</v>
      </c>
      <c r="M1479" s="8">
        <v>19</v>
      </c>
      <c r="N1479" s="8">
        <v>1</v>
      </c>
      <c r="O1479" s="8">
        <v>0.11</v>
      </c>
      <c r="P1479" s="8"/>
    </row>
    <row r="1480" spans="1:16" hidden="1" x14ac:dyDescent="0.25">
      <c r="A1480" s="7" t="s">
        <v>37</v>
      </c>
      <c r="B1480" s="7" t="s">
        <v>415</v>
      </c>
      <c r="C1480" s="8">
        <v>27929</v>
      </c>
      <c r="D1480" s="7" t="s">
        <v>28</v>
      </c>
      <c r="E1480" s="7" t="s">
        <v>452</v>
      </c>
      <c r="F1480" s="7" t="s">
        <v>453</v>
      </c>
      <c r="G1480" s="7" t="s">
        <v>18</v>
      </c>
      <c r="H1480" s="7" t="s">
        <v>24</v>
      </c>
      <c r="I1480" s="7" t="s">
        <v>712</v>
      </c>
      <c r="J1480" s="7" t="s">
        <v>712</v>
      </c>
      <c r="K1480" s="8">
        <v>6306349</v>
      </c>
      <c r="L1480" s="8">
        <v>330083</v>
      </c>
      <c r="M1480" s="8">
        <v>19</v>
      </c>
      <c r="N1480" s="8">
        <v>1</v>
      </c>
      <c r="O1480" s="8">
        <v>0.12</v>
      </c>
      <c r="P1480" s="8"/>
    </row>
    <row r="1481" spans="1:16" hidden="1" x14ac:dyDescent="0.25">
      <c r="A1481" s="7" t="s">
        <v>37</v>
      </c>
      <c r="B1481" s="7" t="s">
        <v>270</v>
      </c>
      <c r="C1481" s="8">
        <v>27930</v>
      </c>
      <c r="D1481" s="7" t="s">
        <v>52</v>
      </c>
      <c r="E1481" s="7" t="s">
        <v>53</v>
      </c>
      <c r="F1481" s="7" t="s">
        <v>87</v>
      </c>
      <c r="G1481" s="7" t="s">
        <v>18</v>
      </c>
      <c r="H1481" s="7" t="s">
        <v>48</v>
      </c>
      <c r="I1481" s="7" t="s">
        <v>712</v>
      </c>
      <c r="J1481" s="7" t="s">
        <v>712</v>
      </c>
      <c r="K1481" s="8">
        <v>6151314</v>
      </c>
      <c r="L1481" s="8">
        <v>323755</v>
      </c>
      <c r="M1481" s="8">
        <v>19</v>
      </c>
      <c r="N1481" s="8">
        <v>1</v>
      </c>
      <c r="O1481" s="8">
        <v>6</v>
      </c>
      <c r="P1481" s="8"/>
    </row>
    <row r="1482" spans="1:16" hidden="1" x14ac:dyDescent="0.25">
      <c r="A1482" s="7" t="s">
        <v>37</v>
      </c>
      <c r="B1482" s="7" t="s">
        <v>415</v>
      </c>
      <c r="C1482" s="8">
        <v>27931</v>
      </c>
      <c r="D1482" s="7" t="s">
        <v>28</v>
      </c>
      <c r="E1482" s="7" t="s">
        <v>32</v>
      </c>
      <c r="F1482" s="7" t="s">
        <v>337</v>
      </c>
      <c r="G1482" s="7" t="s">
        <v>18</v>
      </c>
      <c r="H1482" s="7" t="s">
        <v>24</v>
      </c>
      <c r="I1482" s="7" t="s">
        <v>712</v>
      </c>
      <c r="J1482" s="7" t="s">
        <v>712</v>
      </c>
      <c r="K1482" s="8">
        <v>6268250</v>
      </c>
      <c r="L1482" s="8">
        <v>333804</v>
      </c>
      <c r="M1482" s="8">
        <v>19</v>
      </c>
      <c r="N1482" s="8">
        <v>1</v>
      </c>
      <c r="O1482" s="8">
        <v>0.97</v>
      </c>
      <c r="P1482" s="8"/>
    </row>
    <row r="1483" spans="1:16" hidden="1" x14ac:dyDescent="0.25">
      <c r="A1483" s="7" t="s">
        <v>19</v>
      </c>
      <c r="B1483" s="7" t="s">
        <v>415</v>
      </c>
      <c r="C1483" s="8">
        <v>27932</v>
      </c>
      <c r="D1483" s="7" t="s">
        <v>28</v>
      </c>
      <c r="E1483" s="7" t="s">
        <v>146</v>
      </c>
      <c r="F1483" s="7" t="s">
        <v>511</v>
      </c>
      <c r="G1483" s="7" t="s">
        <v>18</v>
      </c>
      <c r="H1483" s="7" t="s">
        <v>48</v>
      </c>
      <c r="I1483" s="7" t="s">
        <v>712</v>
      </c>
      <c r="J1483" s="7" t="s">
        <v>712</v>
      </c>
      <c r="K1483" s="8">
        <v>6277318</v>
      </c>
      <c r="L1483" s="8">
        <v>328415</v>
      </c>
      <c r="M1483" s="8">
        <v>19</v>
      </c>
      <c r="N1483" s="8">
        <v>1</v>
      </c>
      <c r="O1483" s="8">
        <v>0.41</v>
      </c>
      <c r="P1483" s="8"/>
    </row>
    <row r="1484" spans="1:16" hidden="1" x14ac:dyDescent="0.25">
      <c r="A1484" s="7" t="s">
        <v>19</v>
      </c>
      <c r="B1484" s="7" t="s">
        <v>415</v>
      </c>
      <c r="C1484" s="8">
        <v>27933</v>
      </c>
      <c r="D1484" s="7" t="s">
        <v>28</v>
      </c>
      <c r="E1484" s="7" t="s">
        <v>146</v>
      </c>
      <c r="F1484" s="7" t="s">
        <v>511</v>
      </c>
      <c r="G1484" s="7" t="s">
        <v>18</v>
      </c>
      <c r="H1484" s="7" t="s">
        <v>48</v>
      </c>
      <c r="I1484" s="7" t="s">
        <v>712</v>
      </c>
      <c r="J1484" s="7" t="s">
        <v>712</v>
      </c>
      <c r="K1484" s="8">
        <v>6277318</v>
      </c>
      <c r="L1484" s="8">
        <v>328415</v>
      </c>
      <c r="M1484" s="8">
        <v>19</v>
      </c>
      <c r="N1484" s="8">
        <v>1</v>
      </c>
      <c r="O1484" s="8">
        <v>0.41</v>
      </c>
      <c r="P1484" s="8"/>
    </row>
    <row r="1485" spans="1:16" hidden="1" x14ac:dyDescent="0.25">
      <c r="A1485" s="7" t="s">
        <v>37</v>
      </c>
      <c r="B1485" s="7" t="s">
        <v>415</v>
      </c>
      <c r="C1485" s="8">
        <v>27935</v>
      </c>
      <c r="D1485" s="7" t="s">
        <v>28</v>
      </c>
      <c r="E1485" s="7" t="s">
        <v>344</v>
      </c>
      <c r="F1485" s="7" t="s">
        <v>505</v>
      </c>
      <c r="G1485" s="7" t="s">
        <v>18</v>
      </c>
      <c r="H1485" s="7" t="s">
        <v>24</v>
      </c>
      <c r="I1485" s="7" t="s">
        <v>712</v>
      </c>
      <c r="J1485" s="7" t="s">
        <v>712</v>
      </c>
      <c r="K1485" s="8">
        <v>6272937</v>
      </c>
      <c r="L1485" s="8">
        <v>302909</v>
      </c>
      <c r="M1485" s="8">
        <v>19</v>
      </c>
      <c r="N1485" s="8">
        <v>1</v>
      </c>
      <c r="O1485" s="8">
        <v>1.06</v>
      </c>
      <c r="P1485" s="8"/>
    </row>
    <row r="1486" spans="1:16" hidden="1" x14ac:dyDescent="0.25">
      <c r="A1486" s="7" t="s">
        <v>19</v>
      </c>
      <c r="B1486" s="7" t="s">
        <v>415</v>
      </c>
      <c r="C1486" s="8">
        <v>27936</v>
      </c>
      <c r="D1486" s="7" t="s">
        <v>28</v>
      </c>
      <c r="E1486" s="7" t="s">
        <v>29</v>
      </c>
      <c r="F1486" s="7" t="s">
        <v>480</v>
      </c>
      <c r="G1486" s="7" t="s">
        <v>18</v>
      </c>
      <c r="H1486" s="7" t="s">
        <v>48</v>
      </c>
      <c r="I1486" s="7" t="s">
        <v>712</v>
      </c>
      <c r="J1486" s="7" t="s">
        <v>712</v>
      </c>
      <c r="K1486" s="8">
        <v>6247479</v>
      </c>
      <c r="L1486" s="8">
        <v>339433</v>
      </c>
      <c r="M1486" s="8">
        <v>19</v>
      </c>
      <c r="N1486" s="8">
        <v>1</v>
      </c>
      <c r="O1486" s="8">
        <v>0.41</v>
      </c>
      <c r="P1486" s="8"/>
    </row>
    <row r="1487" spans="1:16" hidden="1" x14ac:dyDescent="0.25">
      <c r="A1487" s="7" t="s">
        <v>19</v>
      </c>
      <c r="B1487" s="7" t="s">
        <v>415</v>
      </c>
      <c r="C1487" s="8">
        <v>27937</v>
      </c>
      <c r="D1487" s="7" t="s">
        <v>28</v>
      </c>
      <c r="E1487" s="7" t="s">
        <v>29</v>
      </c>
      <c r="F1487" s="7" t="s">
        <v>474</v>
      </c>
      <c r="G1487" s="7" t="s">
        <v>18</v>
      </c>
      <c r="H1487" s="7" t="s">
        <v>48</v>
      </c>
      <c r="I1487" s="7" t="s">
        <v>712</v>
      </c>
      <c r="J1487" s="7" t="s">
        <v>712</v>
      </c>
      <c r="K1487" s="8">
        <v>6251500</v>
      </c>
      <c r="L1487" s="8">
        <v>330475</v>
      </c>
      <c r="M1487" s="8">
        <v>19</v>
      </c>
      <c r="N1487" s="8">
        <v>1</v>
      </c>
      <c r="O1487" s="8">
        <v>0.41</v>
      </c>
      <c r="P1487" s="8"/>
    </row>
    <row r="1488" spans="1:16" hidden="1" x14ac:dyDescent="0.25">
      <c r="A1488" s="7" t="s">
        <v>37</v>
      </c>
      <c r="B1488" s="7" t="s">
        <v>415</v>
      </c>
      <c r="C1488" s="8">
        <v>27939</v>
      </c>
      <c r="D1488" s="7" t="s">
        <v>28</v>
      </c>
      <c r="E1488" s="7" t="s">
        <v>56</v>
      </c>
      <c r="F1488" s="7" t="s">
        <v>516</v>
      </c>
      <c r="G1488" s="7" t="s">
        <v>18</v>
      </c>
      <c r="H1488" s="7" t="s">
        <v>24</v>
      </c>
      <c r="I1488" s="7" t="s">
        <v>712</v>
      </c>
      <c r="J1488" s="7" t="s">
        <v>712</v>
      </c>
      <c r="K1488" s="8">
        <v>6271234</v>
      </c>
      <c r="L1488" s="8">
        <v>344435</v>
      </c>
      <c r="M1488" s="8">
        <v>19</v>
      </c>
      <c r="N1488" s="8">
        <v>1</v>
      </c>
      <c r="O1488" s="8">
        <v>12.2</v>
      </c>
      <c r="P1488" s="8"/>
    </row>
    <row r="1489" spans="1:16" hidden="1" x14ac:dyDescent="0.25">
      <c r="A1489" s="7" t="s">
        <v>19</v>
      </c>
      <c r="B1489" s="7" t="s">
        <v>415</v>
      </c>
      <c r="C1489" s="8">
        <v>27940</v>
      </c>
      <c r="D1489" s="7" t="s">
        <v>28</v>
      </c>
      <c r="E1489" s="7" t="s">
        <v>56</v>
      </c>
      <c r="F1489" s="7" t="s">
        <v>56</v>
      </c>
      <c r="G1489" s="7" t="s">
        <v>18</v>
      </c>
      <c r="H1489" s="7" t="s">
        <v>48</v>
      </c>
      <c r="I1489" s="7" t="s">
        <v>712</v>
      </c>
      <c r="J1489" s="7" t="s">
        <v>712</v>
      </c>
      <c r="K1489" s="8">
        <v>6267720</v>
      </c>
      <c r="L1489" s="8">
        <v>341499</v>
      </c>
      <c r="M1489" s="8">
        <v>19</v>
      </c>
      <c r="N1489" s="8">
        <v>1</v>
      </c>
      <c r="O1489" s="8">
        <v>0.41</v>
      </c>
      <c r="P1489" s="8"/>
    </row>
    <row r="1490" spans="1:16" hidden="1" x14ac:dyDescent="0.25">
      <c r="A1490" s="7" t="s">
        <v>19</v>
      </c>
      <c r="B1490" s="7" t="s">
        <v>415</v>
      </c>
      <c r="C1490" s="8">
        <v>27942</v>
      </c>
      <c r="D1490" s="7" t="s">
        <v>28</v>
      </c>
      <c r="E1490" s="7" t="s">
        <v>56</v>
      </c>
      <c r="F1490" s="7" t="s">
        <v>56</v>
      </c>
      <c r="G1490" s="7" t="s">
        <v>18</v>
      </c>
      <c r="H1490" s="7" t="s">
        <v>48</v>
      </c>
      <c r="I1490" s="7" t="s">
        <v>712</v>
      </c>
      <c r="J1490" s="7" t="s">
        <v>712</v>
      </c>
      <c r="K1490" s="8">
        <v>6267733</v>
      </c>
      <c r="L1490" s="8">
        <v>341864</v>
      </c>
      <c r="M1490" s="8">
        <v>19</v>
      </c>
      <c r="N1490" s="8">
        <v>1</v>
      </c>
      <c r="O1490" s="8">
        <v>0.4</v>
      </c>
      <c r="P1490" s="8"/>
    </row>
    <row r="1491" spans="1:16" hidden="1" x14ac:dyDescent="0.25">
      <c r="A1491" s="7" t="s">
        <v>19</v>
      </c>
      <c r="B1491" s="7" t="s">
        <v>415</v>
      </c>
      <c r="C1491" s="8">
        <v>27943</v>
      </c>
      <c r="D1491" s="7" t="s">
        <v>28</v>
      </c>
      <c r="E1491" s="7" t="s">
        <v>56</v>
      </c>
      <c r="F1491" s="7" t="s">
        <v>56</v>
      </c>
      <c r="G1491" s="7" t="s">
        <v>18</v>
      </c>
      <c r="H1491" s="7" t="s">
        <v>48</v>
      </c>
      <c r="I1491" s="7" t="s">
        <v>712</v>
      </c>
      <c r="J1491" s="7" t="s">
        <v>712</v>
      </c>
      <c r="K1491" s="8">
        <v>6267733</v>
      </c>
      <c r="L1491" s="8">
        <v>341864</v>
      </c>
      <c r="M1491" s="8">
        <v>19</v>
      </c>
      <c r="N1491" s="8">
        <v>1</v>
      </c>
      <c r="O1491" s="8">
        <v>0.4</v>
      </c>
      <c r="P1491" s="8"/>
    </row>
    <row r="1492" spans="1:16" hidden="1" x14ac:dyDescent="0.25">
      <c r="A1492" s="7" t="s">
        <v>19</v>
      </c>
      <c r="B1492" s="7" t="s">
        <v>415</v>
      </c>
      <c r="C1492" s="8">
        <v>27944</v>
      </c>
      <c r="D1492" s="7" t="s">
        <v>28</v>
      </c>
      <c r="E1492" s="7" t="s">
        <v>56</v>
      </c>
      <c r="F1492" s="7" t="s">
        <v>56</v>
      </c>
      <c r="G1492" s="7" t="s">
        <v>18</v>
      </c>
      <c r="H1492" s="7" t="s">
        <v>48</v>
      </c>
      <c r="I1492" s="7" t="s">
        <v>712</v>
      </c>
      <c r="J1492" s="7" t="s">
        <v>712</v>
      </c>
      <c r="K1492" s="8">
        <v>6267733</v>
      </c>
      <c r="L1492" s="8">
        <v>341864</v>
      </c>
      <c r="M1492" s="8">
        <v>19</v>
      </c>
      <c r="N1492" s="8">
        <v>1</v>
      </c>
      <c r="O1492" s="8">
        <v>0.4</v>
      </c>
      <c r="P1492" s="8"/>
    </row>
    <row r="1493" spans="1:16" hidden="1" x14ac:dyDescent="0.25">
      <c r="A1493" s="7" t="s">
        <v>19</v>
      </c>
      <c r="B1493" s="7" t="s">
        <v>270</v>
      </c>
      <c r="C1493" s="8">
        <v>27945</v>
      </c>
      <c r="D1493" s="7" t="s">
        <v>52</v>
      </c>
      <c r="E1493" s="7" t="s">
        <v>53</v>
      </c>
      <c r="F1493" s="7" t="s">
        <v>87</v>
      </c>
      <c r="G1493" s="7" t="s">
        <v>18</v>
      </c>
      <c r="H1493" s="7" t="s">
        <v>48</v>
      </c>
      <c r="I1493" s="7" t="s">
        <v>712</v>
      </c>
      <c r="J1493" s="7" t="s">
        <v>712</v>
      </c>
      <c r="K1493" s="8">
        <v>6150351</v>
      </c>
      <c r="L1493" s="8">
        <v>320078</v>
      </c>
      <c r="M1493" s="8">
        <v>19</v>
      </c>
      <c r="N1493" s="8">
        <v>2</v>
      </c>
      <c r="O1493" s="8">
        <v>45</v>
      </c>
      <c r="P1493" s="8"/>
    </row>
    <row r="1494" spans="1:16" hidden="1" x14ac:dyDescent="0.25">
      <c r="A1494" s="7" t="s">
        <v>37</v>
      </c>
      <c r="B1494" s="7" t="s">
        <v>415</v>
      </c>
      <c r="C1494" s="8">
        <v>27946</v>
      </c>
      <c r="D1494" s="7" t="s">
        <v>28</v>
      </c>
      <c r="E1494" s="7" t="s">
        <v>146</v>
      </c>
      <c r="F1494" s="7" t="s">
        <v>146</v>
      </c>
      <c r="G1494" s="7" t="s">
        <v>18</v>
      </c>
      <c r="H1494" s="7" t="s">
        <v>24</v>
      </c>
      <c r="I1494" s="7" t="s">
        <v>712</v>
      </c>
      <c r="J1494" s="7" t="s">
        <v>712</v>
      </c>
      <c r="K1494" s="8">
        <v>6273957</v>
      </c>
      <c r="L1494" s="8">
        <v>322662</v>
      </c>
      <c r="M1494" s="8">
        <v>19</v>
      </c>
      <c r="N1494" s="8">
        <v>1</v>
      </c>
      <c r="O1494" s="8">
        <v>8.1999999999999993</v>
      </c>
      <c r="P1494" s="8"/>
    </row>
    <row r="1495" spans="1:16" hidden="1" x14ac:dyDescent="0.25">
      <c r="A1495" s="7" t="s">
        <v>19</v>
      </c>
      <c r="B1495" s="7" t="s">
        <v>415</v>
      </c>
      <c r="C1495" s="8">
        <v>27947</v>
      </c>
      <c r="D1495" s="7" t="s">
        <v>28</v>
      </c>
      <c r="E1495" s="7" t="s">
        <v>56</v>
      </c>
      <c r="F1495" s="7" t="s">
        <v>56</v>
      </c>
      <c r="G1495" s="7" t="s">
        <v>18</v>
      </c>
      <c r="H1495" s="7" t="s">
        <v>48</v>
      </c>
      <c r="I1495" s="7" t="s">
        <v>712</v>
      </c>
      <c r="J1495" s="7" t="s">
        <v>712</v>
      </c>
      <c r="K1495" s="8">
        <v>6267733</v>
      </c>
      <c r="L1495" s="8">
        <v>341864</v>
      </c>
      <c r="M1495" s="8">
        <v>19</v>
      </c>
      <c r="N1495" s="8">
        <v>1</v>
      </c>
      <c r="O1495" s="8">
        <v>0.4</v>
      </c>
      <c r="P1495" s="8"/>
    </row>
    <row r="1496" spans="1:16" hidden="1" x14ac:dyDescent="0.25">
      <c r="A1496" s="7" t="s">
        <v>19</v>
      </c>
      <c r="B1496" s="7" t="s">
        <v>415</v>
      </c>
      <c r="C1496" s="8">
        <v>27948</v>
      </c>
      <c r="D1496" s="7" t="s">
        <v>28</v>
      </c>
      <c r="E1496" s="7" t="s">
        <v>56</v>
      </c>
      <c r="F1496" s="7" t="s">
        <v>56</v>
      </c>
      <c r="G1496" s="7" t="s">
        <v>18</v>
      </c>
      <c r="H1496" s="7" t="s">
        <v>48</v>
      </c>
      <c r="I1496" s="7" t="s">
        <v>712</v>
      </c>
      <c r="J1496" s="7" t="s">
        <v>712</v>
      </c>
      <c r="K1496" s="8">
        <v>6267733</v>
      </c>
      <c r="L1496" s="8">
        <v>341864</v>
      </c>
      <c r="M1496" s="8">
        <v>19</v>
      </c>
      <c r="N1496" s="8">
        <v>1</v>
      </c>
      <c r="O1496" s="8">
        <v>0.4</v>
      </c>
      <c r="P1496" s="8"/>
    </row>
    <row r="1497" spans="1:16" hidden="1" x14ac:dyDescent="0.25">
      <c r="A1497" s="7" t="s">
        <v>37</v>
      </c>
      <c r="B1497" s="7" t="s">
        <v>415</v>
      </c>
      <c r="C1497" s="8">
        <v>27950</v>
      </c>
      <c r="D1497" s="7" t="s">
        <v>28</v>
      </c>
      <c r="E1497" s="7" t="s">
        <v>387</v>
      </c>
      <c r="F1497" s="7" t="s">
        <v>435</v>
      </c>
      <c r="G1497" s="7" t="s">
        <v>18</v>
      </c>
      <c r="H1497" s="7" t="s">
        <v>24</v>
      </c>
      <c r="I1497" s="7" t="s">
        <v>712</v>
      </c>
      <c r="J1497" s="7" t="s">
        <v>712</v>
      </c>
      <c r="K1497" s="8">
        <v>6303499</v>
      </c>
      <c r="L1497" s="8">
        <v>327283</v>
      </c>
      <c r="M1497" s="8">
        <v>19</v>
      </c>
      <c r="N1497" s="8">
        <v>1</v>
      </c>
      <c r="O1497" s="8">
        <v>0.21</v>
      </c>
      <c r="P1497" s="8"/>
    </row>
    <row r="1498" spans="1:16" hidden="1" x14ac:dyDescent="0.25">
      <c r="A1498" s="7" t="s">
        <v>37</v>
      </c>
      <c r="B1498" s="7" t="s">
        <v>415</v>
      </c>
      <c r="C1498" s="8">
        <v>27951</v>
      </c>
      <c r="D1498" s="7" t="s">
        <v>28</v>
      </c>
      <c r="E1498" s="7" t="s">
        <v>146</v>
      </c>
      <c r="F1498" s="7" t="s">
        <v>458</v>
      </c>
      <c r="G1498" s="7" t="s">
        <v>18</v>
      </c>
      <c r="H1498" s="7" t="s">
        <v>24</v>
      </c>
      <c r="I1498" s="7" t="s">
        <v>712</v>
      </c>
      <c r="J1498" s="7" t="s">
        <v>712</v>
      </c>
      <c r="K1498" s="8">
        <v>6271080</v>
      </c>
      <c r="L1498" s="8">
        <v>327158</v>
      </c>
      <c r="M1498" s="8">
        <v>19</v>
      </c>
      <c r="N1498" s="8">
        <v>1</v>
      </c>
      <c r="O1498" s="8">
        <v>1.1299999999999999</v>
      </c>
      <c r="P1498" s="8"/>
    </row>
    <row r="1499" spans="1:16" hidden="1" x14ac:dyDescent="0.25">
      <c r="A1499" s="7" t="s">
        <v>37</v>
      </c>
      <c r="B1499" s="7" t="s">
        <v>415</v>
      </c>
      <c r="C1499" s="8">
        <v>27952</v>
      </c>
      <c r="D1499" s="7" t="s">
        <v>28</v>
      </c>
      <c r="E1499" s="7" t="s">
        <v>344</v>
      </c>
      <c r="F1499" s="7" t="s">
        <v>457</v>
      </c>
      <c r="G1499" s="7" t="s">
        <v>18</v>
      </c>
      <c r="H1499" s="7" t="s">
        <v>24</v>
      </c>
      <c r="I1499" s="7" t="s">
        <v>712</v>
      </c>
      <c r="J1499" s="7" t="s">
        <v>712</v>
      </c>
      <c r="K1499" s="8">
        <v>6276711</v>
      </c>
      <c r="L1499" s="8">
        <v>289453</v>
      </c>
      <c r="M1499" s="8">
        <v>19</v>
      </c>
      <c r="N1499" s="8">
        <v>1</v>
      </c>
      <c r="O1499" s="8">
        <v>1.06</v>
      </c>
      <c r="P1499" s="8"/>
    </row>
    <row r="1500" spans="1:16" hidden="1" x14ac:dyDescent="0.25">
      <c r="A1500" s="7" t="s">
        <v>37</v>
      </c>
      <c r="B1500" s="7" t="s">
        <v>415</v>
      </c>
      <c r="C1500" s="8">
        <v>27953</v>
      </c>
      <c r="D1500" s="7" t="s">
        <v>28</v>
      </c>
      <c r="E1500" s="7" t="s">
        <v>393</v>
      </c>
      <c r="F1500" s="7" t="s">
        <v>517</v>
      </c>
      <c r="G1500" s="7" t="s">
        <v>18</v>
      </c>
      <c r="H1500" s="7" t="s">
        <v>24</v>
      </c>
      <c r="I1500" s="7" t="s">
        <v>712</v>
      </c>
      <c r="J1500" s="7" t="s">
        <v>712</v>
      </c>
      <c r="K1500" s="8">
        <v>6272744</v>
      </c>
      <c r="L1500" s="8">
        <v>306215</v>
      </c>
      <c r="M1500" s="8">
        <v>19</v>
      </c>
      <c r="N1500" s="8">
        <v>1</v>
      </c>
      <c r="O1500" s="8">
        <v>1</v>
      </c>
      <c r="P1500" s="8"/>
    </row>
    <row r="1501" spans="1:16" hidden="1" x14ac:dyDescent="0.25">
      <c r="A1501" s="7" t="s">
        <v>37</v>
      </c>
      <c r="B1501" s="7" t="s">
        <v>415</v>
      </c>
      <c r="C1501" s="8">
        <v>27956</v>
      </c>
      <c r="D1501" s="7" t="s">
        <v>28</v>
      </c>
      <c r="E1501" s="7" t="s">
        <v>29</v>
      </c>
      <c r="F1501" s="7" t="s">
        <v>518</v>
      </c>
      <c r="G1501" s="7" t="s">
        <v>18</v>
      </c>
      <c r="H1501" s="7" t="s">
        <v>109</v>
      </c>
      <c r="I1501" s="7" t="s">
        <v>712</v>
      </c>
      <c r="J1501" s="7" t="s">
        <v>691</v>
      </c>
      <c r="K1501" s="8">
        <v>6260137</v>
      </c>
      <c r="L1501" s="8">
        <v>347479</v>
      </c>
      <c r="M1501" s="8">
        <v>19</v>
      </c>
      <c r="N1501" s="8">
        <v>1</v>
      </c>
      <c r="O1501" s="8">
        <v>3.63</v>
      </c>
      <c r="P1501" s="8"/>
    </row>
    <row r="1502" spans="1:16" hidden="1" x14ac:dyDescent="0.25">
      <c r="A1502" s="7" t="s">
        <v>19</v>
      </c>
      <c r="B1502" s="7" t="s">
        <v>415</v>
      </c>
      <c r="C1502" s="8">
        <v>27958</v>
      </c>
      <c r="D1502" s="7" t="s">
        <v>28</v>
      </c>
      <c r="E1502" s="7" t="s">
        <v>32</v>
      </c>
      <c r="F1502" s="7" t="s">
        <v>476</v>
      </c>
      <c r="G1502" s="7" t="s">
        <v>18</v>
      </c>
      <c r="H1502" s="7" t="s">
        <v>48</v>
      </c>
      <c r="I1502" s="7" t="s">
        <v>712</v>
      </c>
      <c r="J1502" s="7" t="s">
        <v>712</v>
      </c>
      <c r="K1502" s="8">
        <v>6273952</v>
      </c>
      <c r="L1502" s="8">
        <v>339819</v>
      </c>
      <c r="M1502" s="8">
        <v>19</v>
      </c>
      <c r="N1502" s="8">
        <v>1</v>
      </c>
      <c r="O1502" s="8">
        <v>0.38</v>
      </c>
      <c r="P1502" s="8"/>
    </row>
    <row r="1503" spans="1:16" hidden="1" x14ac:dyDescent="0.25">
      <c r="A1503" s="7" t="s">
        <v>19</v>
      </c>
      <c r="B1503" s="7" t="s">
        <v>415</v>
      </c>
      <c r="C1503" s="8">
        <v>27959</v>
      </c>
      <c r="D1503" s="7" t="s">
        <v>28</v>
      </c>
      <c r="E1503" s="7" t="s">
        <v>483</v>
      </c>
      <c r="F1503" s="7" t="s">
        <v>483</v>
      </c>
      <c r="G1503" s="7" t="s">
        <v>18</v>
      </c>
      <c r="H1503" s="7" t="s">
        <v>48</v>
      </c>
      <c r="I1503" s="7" t="s">
        <v>712</v>
      </c>
      <c r="J1503" s="7" t="s">
        <v>712</v>
      </c>
      <c r="K1503" s="8">
        <v>6252071</v>
      </c>
      <c r="L1503" s="8">
        <v>330342</v>
      </c>
      <c r="M1503" s="8">
        <v>19</v>
      </c>
      <c r="N1503" s="8">
        <v>1</v>
      </c>
      <c r="O1503" s="8">
        <v>0.4</v>
      </c>
      <c r="P1503" s="8"/>
    </row>
    <row r="1504" spans="1:16" hidden="1" x14ac:dyDescent="0.25">
      <c r="A1504" s="7" t="s">
        <v>37</v>
      </c>
      <c r="B1504" s="7" t="s">
        <v>415</v>
      </c>
      <c r="C1504" s="8">
        <v>27960</v>
      </c>
      <c r="D1504" s="7" t="s">
        <v>28</v>
      </c>
      <c r="E1504" s="7" t="s">
        <v>364</v>
      </c>
      <c r="F1504" s="7" t="s">
        <v>489</v>
      </c>
      <c r="G1504" s="7" t="s">
        <v>18</v>
      </c>
      <c r="H1504" s="7" t="s">
        <v>24</v>
      </c>
      <c r="I1504" s="7" t="s">
        <v>712</v>
      </c>
      <c r="J1504" s="7" t="s">
        <v>712</v>
      </c>
      <c r="K1504" s="8">
        <v>6294763</v>
      </c>
      <c r="L1504" s="8">
        <v>336033</v>
      </c>
      <c r="M1504" s="8">
        <v>19</v>
      </c>
      <c r="N1504" s="8">
        <v>1</v>
      </c>
      <c r="O1504" s="8">
        <v>0.08</v>
      </c>
      <c r="P1504" s="8"/>
    </row>
    <row r="1505" spans="1:16" hidden="1" x14ac:dyDescent="0.25">
      <c r="A1505" s="7" t="s">
        <v>19</v>
      </c>
      <c r="B1505" s="7" t="s">
        <v>415</v>
      </c>
      <c r="C1505" s="8">
        <v>27961</v>
      </c>
      <c r="D1505" s="7" t="s">
        <v>28</v>
      </c>
      <c r="E1505" s="7" t="s">
        <v>56</v>
      </c>
      <c r="F1505" s="7" t="s">
        <v>56</v>
      </c>
      <c r="G1505" s="7" t="s">
        <v>18</v>
      </c>
      <c r="H1505" s="7" t="s">
        <v>48</v>
      </c>
      <c r="I1505" s="7" t="s">
        <v>712</v>
      </c>
      <c r="J1505" s="7" t="s">
        <v>712</v>
      </c>
      <c r="K1505" s="8">
        <v>6267733</v>
      </c>
      <c r="L1505" s="8">
        <v>341864</v>
      </c>
      <c r="M1505" s="8">
        <v>19</v>
      </c>
      <c r="N1505" s="8">
        <v>1</v>
      </c>
      <c r="O1505" s="8">
        <v>0.4</v>
      </c>
      <c r="P1505" s="8"/>
    </row>
    <row r="1506" spans="1:16" hidden="1" x14ac:dyDescent="0.25">
      <c r="A1506" s="7" t="s">
        <v>19</v>
      </c>
      <c r="B1506" s="7" t="s">
        <v>415</v>
      </c>
      <c r="C1506" s="8">
        <v>27963</v>
      </c>
      <c r="D1506" s="7" t="s">
        <v>28</v>
      </c>
      <c r="E1506" s="7" t="s">
        <v>56</v>
      </c>
      <c r="F1506" s="7" t="s">
        <v>382</v>
      </c>
      <c r="G1506" s="7" t="s">
        <v>18</v>
      </c>
      <c r="H1506" s="7" t="s">
        <v>48</v>
      </c>
      <c r="I1506" s="7" t="s">
        <v>712</v>
      </c>
      <c r="J1506" s="7" t="s">
        <v>712</v>
      </c>
      <c r="K1506" s="8">
        <v>6264087</v>
      </c>
      <c r="L1506" s="8">
        <v>337823</v>
      </c>
      <c r="M1506" s="8">
        <v>19</v>
      </c>
      <c r="N1506" s="8">
        <v>1</v>
      </c>
      <c r="O1506" s="8">
        <v>0.4</v>
      </c>
      <c r="P1506" s="8"/>
    </row>
    <row r="1507" spans="1:16" hidden="1" x14ac:dyDescent="0.25">
      <c r="A1507" s="7" t="s">
        <v>37</v>
      </c>
      <c r="B1507" s="7" t="s">
        <v>415</v>
      </c>
      <c r="C1507" s="8">
        <v>27964</v>
      </c>
      <c r="D1507" s="7" t="s">
        <v>28</v>
      </c>
      <c r="E1507" s="7" t="s">
        <v>146</v>
      </c>
      <c r="F1507" s="7" t="s">
        <v>465</v>
      </c>
      <c r="G1507" s="7" t="s">
        <v>18</v>
      </c>
      <c r="H1507" s="7" t="s">
        <v>24</v>
      </c>
      <c r="I1507" s="7" t="s">
        <v>712</v>
      </c>
      <c r="J1507" s="7" t="s">
        <v>712</v>
      </c>
      <c r="K1507" s="8">
        <v>6271899</v>
      </c>
      <c r="L1507" s="8">
        <v>322882</v>
      </c>
      <c r="M1507" s="8">
        <v>19</v>
      </c>
      <c r="N1507" s="8">
        <v>1</v>
      </c>
      <c r="O1507" s="8">
        <v>1</v>
      </c>
      <c r="P1507" s="8"/>
    </row>
    <row r="1508" spans="1:16" hidden="1" x14ac:dyDescent="0.25">
      <c r="A1508" s="7" t="s">
        <v>19</v>
      </c>
      <c r="B1508" s="7" t="s">
        <v>415</v>
      </c>
      <c r="C1508" s="8">
        <v>27965</v>
      </c>
      <c r="D1508" s="7" t="s">
        <v>28</v>
      </c>
      <c r="E1508" s="7" t="s">
        <v>29</v>
      </c>
      <c r="F1508" s="7" t="s">
        <v>519</v>
      </c>
      <c r="G1508" s="7" t="s">
        <v>18</v>
      </c>
      <c r="H1508" s="7" t="s">
        <v>48</v>
      </c>
      <c r="I1508" s="7" t="s">
        <v>712</v>
      </c>
      <c r="J1508" s="7" t="s">
        <v>712</v>
      </c>
      <c r="K1508" s="8">
        <v>6259500</v>
      </c>
      <c r="L1508" s="8">
        <v>342631</v>
      </c>
      <c r="M1508" s="8">
        <v>19</v>
      </c>
      <c r="N1508" s="8">
        <v>1</v>
      </c>
      <c r="O1508" s="8">
        <v>0.4</v>
      </c>
      <c r="P1508" s="8"/>
    </row>
    <row r="1509" spans="1:16" hidden="1" x14ac:dyDescent="0.25">
      <c r="A1509" s="7" t="s">
        <v>19</v>
      </c>
      <c r="B1509" s="7" t="s">
        <v>415</v>
      </c>
      <c r="C1509" s="8">
        <v>27966</v>
      </c>
      <c r="D1509" s="7" t="s">
        <v>28</v>
      </c>
      <c r="E1509" s="7" t="s">
        <v>32</v>
      </c>
      <c r="F1509" s="7" t="s">
        <v>32</v>
      </c>
      <c r="G1509" s="7" t="s">
        <v>18</v>
      </c>
      <c r="H1509" s="7" t="s">
        <v>48</v>
      </c>
      <c r="I1509" s="7" t="s">
        <v>712</v>
      </c>
      <c r="J1509" s="7" t="s">
        <v>712</v>
      </c>
      <c r="K1509" s="8">
        <v>6274614</v>
      </c>
      <c r="L1509" s="8">
        <v>344171</v>
      </c>
      <c r="M1509" s="8">
        <v>19</v>
      </c>
      <c r="N1509" s="8">
        <v>1</v>
      </c>
      <c r="O1509" s="8">
        <v>0.4</v>
      </c>
      <c r="P1509" s="8"/>
    </row>
    <row r="1510" spans="1:16" hidden="1" x14ac:dyDescent="0.25">
      <c r="A1510" s="7" t="s">
        <v>37</v>
      </c>
      <c r="B1510" s="7" t="s">
        <v>415</v>
      </c>
      <c r="C1510" s="8">
        <v>27968</v>
      </c>
      <c r="D1510" s="7" t="s">
        <v>28</v>
      </c>
      <c r="E1510" s="7" t="s">
        <v>344</v>
      </c>
      <c r="F1510" s="7" t="s">
        <v>505</v>
      </c>
      <c r="G1510" s="7" t="s">
        <v>18</v>
      </c>
      <c r="H1510" s="7" t="s">
        <v>24</v>
      </c>
      <c r="I1510" s="7" t="s">
        <v>712</v>
      </c>
      <c r="J1510" s="7" t="s">
        <v>712</v>
      </c>
      <c r="K1510" s="8">
        <v>6272909</v>
      </c>
      <c r="L1510" s="8">
        <v>303178</v>
      </c>
      <c r="M1510" s="8">
        <v>19</v>
      </c>
      <c r="N1510" s="8">
        <v>1</v>
      </c>
      <c r="O1510" s="8">
        <v>1.1000000000000001</v>
      </c>
      <c r="P1510" s="8"/>
    </row>
    <row r="1511" spans="1:16" hidden="1" x14ac:dyDescent="0.25">
      <c r="A1511" s="7" t="s">
        <v>19</v>
      </c>
      <c r="B1511" s="7" t="s">
        <v>415</v>
      </c>
      <c r="C1511" s="8">
        <v>27969</v>
      </c>
      <c r="D1511" s="7" t="s">
        <v>28</v>
      </c>
      <c r="E1511" s="7" t="s">
        <v>32</v>
      </c>
      <c r="F1511" s="7" t="s">
        <v>32</v>
      </c>
      <c r="G1511" s="7" t="s">
        <v>18</v>
      </c>
      <c r="H1511" s="7" t="s">
        <v>48</v>
      </c>
      <c r="I1511" s="7" t="s">
        <v>712</v>
      </c>
      <c r="J1511" s="7" t="s">
        <v>712</v>
      </c>
      <c r="K1511" s="8">
        <v>6274614</v>
      </c>
      <c r="L1511" s="8">
        <v>344171</v>
      </c>
      <c r="M1511" s="8">
        <v>19</v>
      </c>
      <c r="N1511" s="8">
        <v>1</v>
      </c>
      <c r="O1511" s="8">
        <v>0.4</v>
      </c>
      <c r="P1511" s="8"/>
    </row>
    <row r="1512" spans="1:16" hidden="1" x14ac:dyDescent="0.25">
      <c r="A1512" s="7" t="s">
        <v>37</v>
      </c>
      <c r="B1512" s="7" t="s">
        <v>415</v>
      </c>
      <c r="C1512" s="8">
        <v>27970</v>
      </c>
      <c r="D1512" s="7" t="s">
        <v>28</v>
      </c>
      <c r="E1512" s="7" t="s">
        <v>344</v>
      </c>
      <c r="F1512" s="7" t="s">
        <v>448</v>
      </c>
      <c r="G1512" s="7" t="s">
        <v>18</v>
      </c>
      <c r="H1512" s="7" t="s">
        <v>24</v>
      </c>
      <c r="I1512" s="7" t="s">
        <v>712</v>
      </c>
      <c r="J1512" s="7" t="s">
        <v>712</v>
      </c>
      <c r="K1512" s="8">
        <v>6277443</v>
      </c>
      <c r="L1512" s="8">
        <v>291334</v>
      </c>
      <c r="M1512" s="8">
        <v>19</v>
      </c>
      <c r="N1512" s="8">
        <v>1</v>
      </c>
      <c r="O1512" s="8">
        <v>1.08</v>
      </c>
      <c r="P1512" s="8"/>
    </row>
    <row r="1513" spans="1:16" hidden="1" x14ac:dyDescent="0.25">
      <c r="A1513" s="7" t="s">
        <v>37</v>
      </c>
      <c r="B1513" s="7" t="s">
        <v>415</v>
      </c>
      <c r="C1513" s="8">
        <v>27971</v>
      </c>
      <c r="D1513" s="7" t="s">
        <v>28</v>
      </c>
      <c r="E1513" s="7" t="s">
        <v>344</v>
      </c>
      <c r="F1513" s="7" t="s">
        <v>345</v>
      </c>
      <c r="G1513" s="7" t="s">
        <v>18</v>
      </c>
      <c r="H1513" s="7" t="s">
        <v>24</v>
      </c>
      <c r="I1513" s="7" t="s">
        <v>712</v>
      </c>
      <c r="J1513" s="7" t="s">
        <v>712</v>
      </c>
      <c r="K1513" s="8">
        <v>6272376</v>
      </c>
      <c r="L1513" s="8">
        <v>299050</v>
      </c>
      <c r="M1513" s="8">
        <v>19</v>
      </c>
      <c r="N1513" s="8">
        <v>1</v>
      </c>
      <c r="O1513" s="8">
        <v>3.55</v>
      </c>
      <c r="P1513" s="8"/>
    </row>
    <row r="1514" spans="1:16" hidden="1" x14ac:dyDescent="0.25">
      <c r="A1514" s="7" t="s">
        <v>37</v>
      </c>
      <c r="B1514" s="7" t="s">
        <v>254</v>
      </c>
      <c r="C1514" s="8">
        <v>27972</v>
      </c>
      <c r="D1514" s="7" t="s">
        <v>21</v>
      </c>
      <c r="E1514" s="7" t="s">
        <v>280</v>
      </c>
      <c r="F1514" s="7" t="s">
        <v>281</v>
      </c>
      <c r="G1514" s="7" t="s">
        <v>18</v>
      </c>
      <c r="H1514" s="7" t="s">
        <v>24</v>
      </c>
      <c r="I1514" s="7" t="s">
        <v>712</v>
      </c>
      <c r="J1514" s="7" t="s">
        <v>712</v>
      </c>
      <c r="K1514" s="8">
        <v>6363596</v>
      </c>
      <c r="L1514" s="8">
        <v>312885</v>
      </c>
      <c r="M1514" s="8">
        <v>19</v>
      </c>
      <c r="N1514" s="8">
        <v>1</v>
      </c>
      <c r="O1514" s="8">
        <v>0.4</v>
      </c>
      <c r="P1514" s="8"/>
    </row>
    <row r="1515" spans="1:16" hidden="1" x14ac:dyDescent="0.25">
      <c r="A1515" s="7" t="s">
        <v>37</v>
      </c>
      <c r="B1515" s="7" t="s">
        <v>415</v>
      </c>
      <c r="C1515" s="8">
        <v>27975</v>
      </c>
      <c r="D1515" s="7" t="s">
        <v>28</v>
      </c>
      <c r="E1515" s="7" t="s">
        <v>32</v>
      </c>
      <c r="F1515" s="7" t="s">
        <v>337</v>
      </c>
      <c r="G1515" s="7" t="s">
        <v>18</v>
      </c>
      <c r="H1515" s="7" t="s">
        <v>24</v>
      </c>
      <c r="I1515" s="7" t="s">
        <v>712</v>
      </c>
      <c r="J1515" s="7" t="s">
        <v>712</v>
      </c>
      <c r="K1515" s="8">
        <v>6267949</v>
      </c>
      <c r="L1515" s="8">
        <v>334056</v>
      </c>
      <c r="M1515" s="8">
        <v>19</v>
      </c>
      <c r="N1515" s="8">
        <v>1</v>
      </c>
      <c r="O1515" s="8">
        <v>1</v>
      </c>
      <c r="P1515" s="8"/>
    </row>
    <row r="1516" spans="1:16" hidden="1" x14ac:dyDescent="0.25">
      <c r="A1516" s="7" t="s">
        <v>37</v>
      </c>
      <c r="B1516" s="7" t="s">
        <v>415</v>
      </c>
      <c r="C1516" s="8">
        <v>27977</v>
      </c>
      <c r="D1516" s="7" t="s">
        <v>28</v>
      </c>
      <c r="E1516" s="7" t="s">
        <v>32</v>
      </c>
      <c r="F1516" s="7" t="s">
        <v>337</v>
      </c>
      <c r="G1516" s="7" t="s">
        <v>18</v>
      </c>
      <c r="H1516" s="7" t="s">
        <v>24</v>
      </c>
      <c r="I1516" s="7" t="s">
        <v>712</v>
      </c>
      <c r="J1516" s="7" t="s">
        <v>712</v>
      </c>
      <c r="K1516" s="8">
        <v>6268469</v>
      </c>
      <c r="L1516" s="8">
        <v>333995</v>
      </c>
      <c r="M1516" s="8">
        <v>19</v>
      </c>
      <c r="N1516" s="8">
        <v>1</v>
      </c>
      <c r="O1516" s="8">
        <v>1</v>
      </c>
      <c r="P1516" s="8"/>
    </row>
    <row r="1517" spans="1:16" hidden="1" x14ac:dyDescent="0.25">
      <c r="A1517" s="7" t="s">
        <v>37</v>
      </c>
      <c r="B1517" s="7" t="s">
        <v>415</v>
      </c>
      <c r="C1517" s="8">
        <v>27978</v>
      </c>
      <c r="D1517" s="7" t="s">
        <v>28</v>
      </c>
      <c r="E1517" s="7" t="s">
        <v>344</v>
      </c>
      <c r="F1517" s="7" t="s">
        <v>345</v>
      </c>
      <c r="G1517" s="7" t="s">
        <v>18</v>
      </c>
      <c r="H1517" s="7" t="s">
        <v>24</v>
      </c>
      <c r="I1517" s="7" t="s">
        <v>712</v>
      </c>
      <c r="J1517" s="7" t="s">
        <v>712</v>
      </c>
      <c r="K1517" s="8">
        <v>6272571</v>
      </c>
      <c r="L1517" s="8">
        <v>301318</v>
      </c>
      <c r="M1517" s="8">
        <v>19</v>
      </c>
      <c r="N1517" s="8">
        <v>1</v>
      </c>
      <c r="O1517" s="8">
        <v>1.38</v>
      </c>
      <c r="P1517" s="8"/>
    </row>
    <row r="1518" spans="1:16" hidden="1" x14ac:dyDescent="0.25">
      <c r="A1518" s="7" t="s">
        <v>37</v>
      </c>
      <c r="B1518" s="7" t="s">
        <v>415</v>
      </c>
      <c r="C1518" s="8">
        <v>27979</v>
      </c>
      <c r="D1518" s="7" t="s">
        <v>28</v>
      </c>
      <c r="E1518" s="7" t="s">
        <v>29</v>
      </c>
      <c r="F1518" s="7" t="s">
        <v>495</v>
      </c>
      <c r="G1518" s="7" t="s">
        <v>18</v>
      </c>
      <c r="H1518" s="7" t="s">
        <v>109</v>
      </c>
      <c r="I1518" s="7" t="s">
        <v>712</v>
      </c>
      <c r="J1518" s="7" t="s">
        <v>691</v>
      </c>
      <c r="K1518" s="8">
        <v>6259409</v>
      </c>
      <c r="L1518" s="8">
        <v>343270</v>
      </c>
      <c r="M1518" s="8">
        <v>19</v>
      </c>
      <c r="N1518" s="8">
        <v>1</v>
      </c>
      <c r="O1518" s="8">
        <v>12.5</v>
      </c>
      <c r="P1518" s="8"/>
    </row>
    <row r="1519" spans="1:16" hidden="1" x14ac:dyDescent="0.25">
      <c r="A1519" s="7" t="s">
        <v>37</v>
      </c>
      <c r="B1519" s="7" t="s">
        <v>415</v>
      </c>
      <c r="C1519" s="8">
        <v>27980</v>
      </c>
      <c r="D1519" s="7" t="s">
        <v>28</v>
      </c>
      <c r="E1519" s="7" t="s">
        <v>344</v>
      </c>
      <c r="F1519" s="7" t="s">
        <v>345</v>
      </c>
      <c r="G1519" s="7" t="s">
        <v>18</v>
      </c>
      <c r="H1519" s="7" t="s">
        <v>24</v>
      </c>
      <c r="I1519" s="7" t="s">
        <v>712</v>
      </c>
      <c r="J1519" s="7" t="s">
        <v>712</v>
      </c>
      <c r="K1519" s="8">
        <v>6272564</v>
      </c>
      <c r="L1519" s="8">
        <v>300820</v>
      </c>
      <c r="M1519" s="8">
        <v>19</v>
      </c>
      <c r="N1519" s="8">
        <v>1</v>
      </c>
      <c r="O1519" s="8">
        <v>1.17</v>
      </c>
      <c r="P1519" s="8"/>
    </row>
    <row r="1520" spans="1:16" hidden="1" x14ac:dyDescent="0.25">
      <c r="A1520" s="7" t="s">
        <v>14</v>
      </c>
      <c r="B1520" s="7" t="s">
        <v>415</v>
      </c>
      <c r="C1520" s="8">
        <v>27982</v>
      </c>
      <c r="D1520" s="7" t="s">
        <v>28</v>
      </c>
      <c r="E1520" s="7" t="s">
        <v>56</v>
      </c>
      <c r="F1520" s="7" t="s">
        <v>162</v>
      </c>
      <c r="G1520" s="7" t="s">
        <v>65</v>
      </c>
      <c r="H1520" s="7" t="s">
        <v>689</v>
      </c>
      <c r="I1520" s="7" t="s">
        <v>712</v>
      </c>
      <c r="J1520" s="7" t="s">
        <v>712</v>
      </c>
      <c r="K1520" s="8">
        <v>6258628</v>
      </c>
      <c r="L1520" s="8">
        <v>332357</v>
      </c>
      <c r="M1520" s="8">
        <v>19</v>
      </c>
      <c r="N1520" s="8">
        <v>5</v>
      </c>
      <c r="O1520" s="8">
        <v>0.75</v>
      </c>
      <c r="P1520" s="8"/>
    </row>
    <row r="1521" spans="1:16" hidden="1" x14ac:dyDescent="0.25">
      <c r="A1521" s="7" t="s">
        <v>37</v>
      </c>
      <c r="B1521" s="7" t="s">
        <v>415</v>
      </c>
      <c r="C1521" s="8">
        <v>27983</v>
      </c>
      <c r="D1521" s="7" t="s">
        <v>28</v>
      </c>
      <c r="E1521" s="7" t="s">
        <v>344</v>
      </c>
      <c r="F1521" s="7" t="s">
        <v>345</v>
      </c>
      <c r="G1521" s="7" t="s">
        <v>18</v>
      </c>
      <c r="H1521" s="7" t="s">
        <v>24</v>
      </c>
      <c r="I1521" s="7" t="s">
        <v>712</v>
      </c>
      <c r="J1521" s="7" t="s">
        <v>712</v>
      </c>
      <c r="K1521" s="8">
        <v>6272258</v>
      </c>
      <c r="L1521" s="8">
        <v>300745</v>
      </c>
      <c r="M1521" s="8">
        <v>19</v>
      </c>
      <c r="N1521" s="8">
        <v>1</v>
      </c>
      <c r="O1521" s="8">
        <v>1</v>
      </c>
      <c r="P1521" s="8"/>
    </row>
    <row r="1522" spans="1:16" hidden="1" x14ac:dyDescent="0.25">
      <c r="A1522" s="7" t="s">
        <v>37</v>
      </c>
      <c r="B1522" s="7" t="s">
        <v>415</v>
      </c>
      <c r="C1522" s="8">
        <v>27984</v>
      </c>
      <c r="D1522" s="7" t="s">
        <v>28</v>
      </c>
      <c r="E1522" s="7" t="s">
        <v>344</v>
      </c>
      <c r="F1522" s="7" t="s">
        <v>345</v>
      </c>
      <c r="G1522" s="7" t="s">
        <v>18</v>
      </c>
      <c r="H1522" s="7" t="s">
        <v>24</v>
      </c>
      <c r="I1522" s="7" t="s">
        <v>712</v>
      </c>
      <c r="J1522" s="7" t="s">
        <v>712</v>
      </c>
      <c r="K1522" s="8">
        <v>6272559</v>
      </c>
      <c r="L1522" s="8">
        <v>302245</v>
      </c>
      <c r="M1522" s="8">
        <v>19</v>
      </c>
      <c r="N1522" s="8">
        <v>1</v>
      </c>
      <c r="O1522" s="8">
        <v>1.66</v>
      </c>
      <c r="P1522" s="8"/>
    </row>
    <row r="1523" spans="1:16" hidden="1" x14ac:dyDescent="0.25">
      <c r="A1523" s="7" t="s">
        <v>37</v>
      </c>
      <c r="B1523" s="7" t="s">
        <v>415</v>
      </c>
      <c r="C1523" s="8">
        <v>27985</v>
      </c>
      <c r="D1523" s="7" t="s">
        <v>28</v>
      </c>
      <c r="E1523" s="7" t="s">
        <v>32</v>
      </c>
      <c r="F1523" s="7" t="s">
        <v>450</v>
      </c>
      <c r="G1523" s="7" t="s">
        <v>18</v>
      </c>
      <c r="H1523" s="7" t="s">
        <v>24</v>
      </c>
      <c r="I1523" s="7" t="s">
        <v>712</v>
      </c>
      <c r="J1523" s="7" t="s">
        <v>712</v>
      </c>
      <c r="K1523" s="8">
        <v>6279261</v>
      </c>
      <c r="L1523" s="8">
        <v>339099</v>
      </c>
      <c r="M1523" s="8">
        <v>19</v>
      </c>
      <c r="N1523" s="8">
        <v>1</v>
      </c>
      <c r="O1523" s="8">
        <v>1.1000000000000001</v>
      </c>
      <c r="P1523" s="8"/>
    </row>
    <row r="1524" spans="1:16" hidden="1" x14ac:dyDescent="0.25">
      <c r="A1524" s="7" t="s">
        <v>37</v>
      </c>
      <c r="B1524" s="7" t="s">
        <v>415</v>
      </c>
      <c r="C1524" s="8">
        <v>27986</v>
      </c>
      <c r="D1524" s="7" t="s">
        <v>28</v>
      </c>
      <c r="E1524" s="7" t="s">
        <v>146</v>
      </c>
      <c r="F1524" s="7" t="s">
        <v>479</v>
      </c>
      <c r="G1524" s="7" t="s">
        <v>18</v>
      </c>
      <c r="H1524" s="7" t="s">
        <v>24</v>
      </c>
      <c r="I1524" s="7" t="s">
        <v>712</v>
      </c>
      <c r="J1524" s="7" t="s">
        <v>712</v>
      </c>
      <c r="K1524" s="8">
        <v>6275998</v>
      </c>
      <c r="L1524" s="8">
        <v>322096</v>
      </c>
      <c r="M1524" s="8">
        <v>19</v>
      </c>
      <c r="N1524" s="8">
        <v>1</v>
      </c>
      <c r="O1524" s="8">
        <v>1</v>
      </c>
      <c r="P1524" s="8"/>
    </row>
    <row r="1525" spans="1:16" hidden="1" x14ac:dyDescent="0.25">
      <c r="A1525" s="7" t="s">
        <v>37</v>
      </c>
      <c r="B1525" s="7" t="s">
        <v>415</v>
      </c>
      <c r="C1525" s="8">
        <v>27987</v>
      </c>
      <c r="D1525" s="7" t="s">
        <v>28</v>
      </c>
      <c r="E1525" s="7" t="s">
        <v>142</v>
      </c>
      <c r="F1525" s="7" t="s">
        <v>458</v>
      </c>
      <c r="G1525" s="7" t="s">
        <v>18</v>
      </c>
      <c r="H1525" s="7" t="s">
        <v>24</v>
      </c>
      <c r="I1525" s="7" t="s">
        <v>712</v>
      </c>
      <c r="J1525" s="7" t="s">
        <v>712</v>
      </c>
      <c r="K1525" s="8">
        <v>6281769</v>
      </c>
      <c r="L1525" s="8">
        <v>335166</v>
      </c>
      <c r="M1525" s="8">
        <v>19</v>
      </c>
      <c r="N1525" s="8">
        <v>1</v>
      </c>
      <c r="O1525" s="8">
        <v>1.1000000000000001</v>
      </c>
      <c r="P1525" s="8"/>
    </row>
    <row r="1526" spans="1:16" hidden="1" x14ac:dyDescent="0.25">
      <c r="A1526" s="7" t="s">
        <v>37</v>
      </c>
      <c r="B1526" s="7" t="s">
        <v>415</v>
      </c>
      <c r="C1526" s="8">
        <v>27988</v>
      </c>
      <c r="D1526" s="7" t="s">
        <v>28</v>
      </c>
      <c r="E1526" s="7" t="s">
        <v>56</v>
      </c>
      <c r="F1526" s="7" t="s">
        <v>462</v>
      </c>
      <c r="G1526" s="7" t="s">
        <v>18</v>
      </c>
      <c r="H1526" s="7" t="s">
        <v>24</v>
      </c>
      <c r="I1526" s="7" t="s">
        <v>712</v>
      </c>
      <c r="J1526" s="7" t="s">
        <v>712</v>
      </c>
      <c r="K1526" s="8">
        <v>6256212</v>
      </c>
      <c r="L1526" s="8">
        <v>333378</v>
      </c>
      <c r="M1526" s="8">
        <v>19</v>
      </c>
      <c r="N1526" s="8">
        <v>1</v>
      </c>
      <c r="O1526" s="8">
        <v>0.1</v>
      </c>
      <c r="P1526" s="8"/>
    </row>
    <row r="1527" spans="1:16" hidden="1" x14ac:dyDescent="0.25">
      <c r="A1527" s="7" t="s">
        <v>37</v>
      </c>
      <c r="B1527" s="7" t="s">
        <v>415</v>
      </c>
      <c r="C1527" s="8">
        <v>27989</v>
      </c>
      <c r="D1527" s="7" t="s">
        <v>28</v>
      </c>
      <c r="E1527" s="7" t="s">
        <v>344</v>
      </c>
      <c r="F1527" s="7" t="s">
        <v>520</v>
      </c>
      <c r="G1527" s="7" t="s">
        <v>18</v>
      </c>
      <c r="H1527" s="7" t="s">
        <v>24</v>
      </c>
      <c r="I1527" s="7" t="s">
        <v>712</v>
      </c>
      <c r="J1527" s="7" t="s">
        <v>712</v>
      </c>
      <c r="K1527" s="8">
        <v>6276231</v>
      </c>
      <c r="L1527" s="8">
        <v>296980</v>
      </c>
      <c r="M1527" s="8">
        <v>19</v>
      </c>
      <c r="N1527" s="8">
        <v>1</v>
      </c>
      <c r="O1527" s="8">
        <v>1.08</v>
      </c>
      <c r="P1527" s="8"/>
    </row>
    <row r="1528" spans="1:16" hidden="1" x14ac:dyDescent="0.25">
      <c r="A1528" s="7" t="s">
        <v>37</v>
      </c>
      <c r="B1528" s="7" t="s">
        <v>415</v>
      </c>
      <c r="C1528" s="8">
        <v>27990</v>
      </c>
      <c r="D1528" s="7" t="s">
        <v>28</v>
      </c>
      <c r="E1528" s="7" t="s">
        <v>56</v>
      </c>
      <c r="F1528" s="7" t="s">
        <v>512</v>
      </c>
      <c r="G1528" s="7" t="s">
        <v>18</v>
      </c>
      <c r="H1528" s="7" t="s">
        <v>24</v>
      </c>
      <c r="I1528" s="7" t="s">
        <v>712</v>
      </c>
      <c r="J1528" s="7" t="s">
        <v>712</v>
      </c>
      <c r="K1528" s="8">
        <v>6258594</v>
      </c>
      <c r="L1528" s="8">
        <v>327538</v>
      </c>
      <c r="M1528" s="8">
        <v>19</v>
      </c>
      <c r="N1528" s="8">
        <v>1</v>
      </c>
      <c r="O1528" s="8">
        <v>0.09</v>
      </c>
      <c r="P1528" s="8"/>
    </row>
    <row r="1529" spans="1:16" hidden="1" x14ac:dyDescent="0.25">
      <c r="A1529" s="7" t="s">
        <v>37</v>
      </c>
      <c r="B1529" s="7" t="s">
        <v>415</v>
      </c>
      <c r="C1529" s="8">
        <v>27991</v>
      </c>
      <c r="D1529" s="7" t="s">
        <v>28</v>
      </c>
      <c r="E1529" s="7" t="s">
        <v>344</v>
      </c>
      <c r="F1529" s="7" t="s">
        <v>345</v>
      </c>
      <c r="G1529" s="7" t="s">
        <v>18</v>
      </c>
      <c r="H1529" s="7" t="s">
        <v>24</v>
      </c>
      <c r="I1529" s="7" t="s">
        <v>712</v>
      </c>
      <c r="J1529" s="7" t="s">
        <v>712</v>
      </c>
      <c r="K1529" s="8">
        <v>6275420</v>
      </c>
      <c r="L1529" s="8">
        <v>296245</v>
      </c>
      <c r="M1529" s="8">
        <v>19</v>
      </c>
      <c r="N1529" s="8">
        <v>1</v>
      </c>
      <c r="O1529" s="8">
        <v>3.73</v>
      </c>
      <c r="P1529" s="8"/>
    </row>
    <row r="1530" spans="1:16" hidden="1" x14ac:dyDescent="0.25">
      <c r="A1530" s="7" t="s">
        <v>37</v>
      </c>
      <c r="B1530" s="7" t="s">
        <v>415</v>
      </c>
      <c r="C1530" s="8">
        <v>27992</v>
      </c>
      <c r="D1530" s="7" t="s">
        <v>28</v>
      </c>
      <c r="E1530" s="7" t="s">
        <v>344</v>
      </c>
      <c r="F1530" s="7" t="s">
        <v>495</v>
      </c>
      <c r="G1530" s="7" t="s">
        <v>18</v>
      </c>
      <c r="H1530" s="7" t="s">
        <v>24</v>
      </c>
      <c r="I1530" s="7" t="s">
        <v>712</v>
      </c>
      <c r="J1530" s="7" t="s">
        <v>712</v>
      </c>
      <c r="K1530" s="8">
        <v>6277058</v>
      </c>
      <c r="L1530" s="8">
        <v>297889</v>
      </c>
      <c r="M1530" s="8">
        <v>19</v>
      </c>
      <c r="N1530" s="8">
        <v>1</v>
      </c>
      <c r="O1530" s="8">
        <v>0.95</v>
      </c>
      <c r="P1530" s="8"/>
    </row>
    <row r="1531" spans="1:16" hidden="1" x14ac:dyDescent="0.25">
      <c r="A1531" s="7" t="s">
        <v>37</v>
      </c>
      <c r="B1531" s="7" t="s">
        <v>415</v>
      </c>
      <c r="C1531" s="8">
        <v>27993</v>
      </c>
      <c r="D1531" s="7" t="s">
        <v>28</v>
      </c>
      <c r="E1531" s="7" t="s">
        <v>29</v>
      </c>
      <c r="F1531" s="7" t="s">
        <v>30</v>
      </c>
      <c r="G1531" s="7" t="s">
        <v>18</v>
      </c>
      <c r="H1531" s="7" t="s">
        <v>24</v>
      </c>
      <c r="I1531" s="7" t="s">
        <v>712</v>
      </c>
      <c r="J1531" s="7" t="s">
        <v>712</v>
      </c>
      <c r="K1531" s="8">
        <v>6254679</v>
      </c>
      <c r="L1531" s="8">
        <v>344592</v>
      </c>
      <c r="M1531" s="8">
        <v>19</v>
      </c>
      <c r="N1531" s="8">
        <v>1</v>
      </c>
      <c r="O1531" s="8">
        <v>1.1000000000000001</v>
      </c>
      <c r="P1531" s="8"/>
    </row>
    <row r="1532" spans="1:16" hidden="1" x14ac:dyDescent="0.25">
      <c r="A1532" s="7" t="s">
        <v>37</v>
      </c>
      <c r="B1532" s="7" t="s">
        <v>415</v>
      </c>
      <c r="C1532" s="8">
        <v>27995</v>
      </c>
      <c r="D1532" s="7" t="s">
        <v>28</v>
      </c>
      <c r="E1532" s="7" t="s">
        <v>146</v>
      </c>
      <c r="F1532" s="7" t="s">
        <v>362</v>
      </c>
      <c r="G1532" s="7" t="s">
        <v>18</v>
      </c>
      <c r="H1532" s="7" t="s">
        <v>24</v>
      </c>
      <c r="I1532" s="7" t="s">
        <v>712</v>
      </c>
      <c r="J1532" s="7" t="s">
        <v>712</v>
      </c>
      <c r="K1532" s="8">
        <v>6276710</v>
      </c>
      <c r="L1532" s="8">
        <v>326252</v>
      </c>
      <c r="M1532" s="8">
        <v>19</v>
      </c>
      <c r="N1532" s="8">
        <v>1</v>
      </c>
      <c r="O1532" s="8">
        <v>1.01</v>
      </c>
      <c r="P1532" s="8"/>
    </row>
    <row r="1533" spans="1:16" hidden="1" x14ac:dyDescent="0.25">
      <c r="A1533" s="7" t="s">
        <v>37</v>
      </c>
      <c r="B1533" s="7" t="s">
        <v>415</v>
      </c>
      <c r="C1533" s="8">
        <v>27996</v>
      </c>
      <c r="D1533" s="7" t="s">
        <v>28</v>
      </c>
      <c r="E1533" s="7" t="s">
        <v>56</v>
      </c>
      <c r="F1533" s="7" t="s">
        <v>512</v>
      </c>
      <c r="G1533" s="7" t="s">
        <v>18</v>
      </c>
      <c r="H1533" s="7" t="s">
        <v>109</v>
      </c>
      <c r="I1533" s="7" t="s">
        <v>712</v>
      </c>
      <c r="J1533" s="7" t="s">
        <v>691</v>
      </c>
      <c r="K1533" s="8">
        <v>6263377</v>
      </c>
      <c r="L1533" s="8">
        <v>333771</v>
      </c>
      <c r="M1533" s="8">
        <v>19</v>
      </c>
      <c r="N1533" s="8">
        <v>1</v>
      </c>
      <c r="O1533" s="8">
        <v>5.6</v>
      </c>
      <c r="P1533" s="8"/>
    </row>
    <row r="1534" spans="1:16" hidden="1" x14ac:dyDescent="0.25">
      <c r="A1534" s="7" t="s">
        <v>37</v>
      </c>
      <c r="B1534" s="7" t="s">
        <v>415</v>
      </c>
      <c r="C1534" s="8">
        <v>27998</v>
      </c>
      <c r="D1534" s="7" t="s">
        <v>28</v>
      </c>
      <c r="E1534" s="7" t="s">
        <v>56</v>
      </c>
      <c r="F1534" s="7" t="s">
        <v>512</v>
      </c>
      <c r="G1534" s="7" t="s">
        <v>18</v>
      </c>
      <c r="H1534" s="7" t="s">
        <v>24</v>
      </c>
      <c r="I1534" s="7" t="s">
        <v>712</v>
      </c>
      <c r="J1534" s="7" t="s">
        <v>712</v>
      </c>
      <c r="K1534" s="8">
        <v>6264807</v>
      </c>
      <c r="L1534" s="8">
        <v>334281</v>
      </c>
      <c r="M1534" s="8">
        <v>19</v>
      </c>
      <c r="N1534" s="8">
        <v>1</v>
      </c>
      <c r="O1534" s="8">
        <v>1.02</v>
      </c>
      <c r="P1534" s="8"/>
    </row>
    <row r="1535" spans="1:16" hidden="1" x14ac:dyDescent="0.25">
      <c r="A1535" s="7" t="s">
        <v>37</v>
      </c>
      <c r="B1535" s="7" t="s">
        <v>254</v>
      </c>
      <c r="C1535" s="8">
        <v>28000</v>
      </c>
      <c r="D1535" s="7" t="s">
        <v>16</v>
      </c>
      <c r="E1535" s="7" t="s">
        <v>17</v>
      </c>
      <c r="F1535" s="7" t="s">
        <v>328</v>
      </c>
      <c r="G1535" s="7" t="s">
        <v>18</v>
      </c>
      <c r="H1535" s="7" t="s">
        <v>24</v>
      </c>
      <c r="I1535" s="7" t="s">
        <v>712</v>
      </c>
      <c r="J1535" s="7" t="s">
        <v>712</v>
      </c>
      <c r="K1535" s="8">
        <v>6067839</v>
      </c>
      <c r="L1535" s="8">
        <v>286722</v>
      </c>
      <c r="M1535" s="8">
        <v>19</v>
      </c>
      <c r="N1535" s="8">
        <v>1</v>
      </c>
      <c r="O1535" s="8">
        <v>0.4</v>
      </c>
      <c r="P1535" s="8"/>
    </row>
    <row r="1536" spans="1:16" hidden="1" x14ac:dyDescent="0.25">
      <c r="A1536" s="7" t="s">
        <v>19</v>
      </c>
      <c r="B1536" s="7" t="s">
        <v>415</v>
      </c>
      <c r="C1536" s="8">
        <v>28002</v>
      </c>
      <c r="D1536" s="7" t="s">
        <v>28</v>
      </c>
      <c r="E1536" s="7" t="s">
        <v>364</v>
      </c>
      <c r="F1536" s="7" t="s">
        <v>441</v>
      </c>
      <c r="G1536" s="7" t="s">
        <v>18</v>
      </c>
      <c r="H1536" s="7" t="s">
        <v>48</v>
      </c>
      <c r="I1536" s="7" t="s">
        <v>712</v>
      </c>
      <c r="J1536" s="7" t="s">
        <v>691</v>
      </c>
      <c r="K1536" s="8">
        <v>6294216</v>
      </c>
      <c r="L1536" s="8">
        <v>335070</v>
      </c>
      <c r="M1536" s="8">
        <v>19</v>
      </c>
      <c r="N1536" s="8">
        <v>1</v>
      </c>
      <c r="O1536" s="8">
        <v>0.33</v>
      </c>
      <c r="P1536" s="8"/>
    </row>
    <row r="1537" spans="1:16" hidden="1" x14ac:dyDescent="0.25">
      <c r="A1537" s="7" t="s">
        <v>37</v>
      </c>
      <c r="B1537" s="7" t="s">
        <v>415</v>
      </c>
      <c r="C1537" s="8">
        <v>28003</v>
      </c>
      <c r="D1537" s="7" t="s">
        <v>28</v>
      </c>
      <c r="E1537" s="7" t="s">
        <v>393</v>
      </c>
      <c r="F1537" s="7" t="s">
        <v>487</v>
      </c>
      <c r="G1537" s="7" t="s">
        <v>18</v>
      </c>
      <c r="H1537" s="7" t="s">
        <v>24</v>
      </c>
      <c r="I1537" s="7" t="s">
        <v>712</v>
      </c>
      <c r="J1537" s="7" t="s">
        <v>712</v>
      </c>
      <c r="K1537" s="8">
        <v>6270829</v>
      </c>
      <c r="L1537" s="8">
        <v>317542</v>
      </c>
      <c r="M1537" s="8">
        <v>19</v>
      </c>
      <c r="N1537" s="8">
        <v>1</v>
      </c>
      <c r="O1537" s="8">
        <v>2.4</v>
      </c>
      <c r="P1537" s="8"/>
    </row>
    <row r="1538" spans="1:16" hidden="1" x14ac:dyDescent="0.25">
      <c r="A1538" s="7" t="s">
        <v>14</v>
      </c>
      <c r="B1538" s="7" t="s">
        <v>415</v>
      </c>
      <c r="C1538" s="8">
        <v>28004</v>
      </c>
      <c r="D1538" s="7" t="s">
        <v>28</v>
      </c>
      <c r="E1538" s="7" t="s">
        <v>56</v>
      </c>
      <c r="F1538" s="7" t="s">
        <v>162</v>
      </c>
      <c r="G1538" s="7" t="s">
        <v>65</v>
      </c>
      <c r="H1538" s="7" t="s">
        <v>689</v>
      </c>
      <c r="I1538" s="7" t="s">
        <v>712</v>
      </c>
      <c r="J1538" s="7" t="s">
        <v>712</v>
      </c>
      <c r="K1538" s="8">
        <v>6258716</v>
      </c>
      <c r="L1538" s="8">
        <v>332419</v>
      </c>
      <c r="M1538" s="8">
        <v>19</v>
      </c>
      <c r="N1538" s="8">
        <v>1</v>
      </c>
      <c r="O1538" s="8">
        <v>0.1</v>
      </c>
      <c r="P1538" s="8"/>
    </row>
    <row r="1539" spans="1:16" hidden="1" x14ac:dyDescent="0.25">
      <c r="A1539" s="7" t="s">
        <v>37</v>
      </c>
      <c r="B1539" s="7" t="s">
        <v>254</v>
      </c>
      <c r="C1539" s="8">
        <v>28006</v>
      </c>
      <c r="D1539" s="7" t="s">
        <v>16</v>
      </c>
      <c r="E1539" s="7" t="s">
        <v>50</v>
      </c>
      <c r="F1539" s="7" t="s">
        <v>255</v>
      </c>
      <c r="G1539" s="7" t="s">
        <v>18</v>
      </c>
      <c r="H1539" s="7" t="s">
        <v>48</v>
      </c>
      <c r="I1539" s="7" t="s">
        <v>712</v>
      </c>
      <c r="J1539" s="7" t="s">
        <v>712</v>
      </c>
      <c r="K1539" s="8">
        <v>6082275</v>
      </c>
      <c r="L1539" s="8">
        <v>263047</v>
      </c>
      <c r="M1539" s="8">
        <v>19</v>
      </c>
      <c r="N1539" s="8">
        <v>1</v>
      </c>
      <c r="O1539" s="8">
        <v>2.7</v>
      </c>
      <c r="P1539" s="8"/>
    </row>
    <row r="1540" spans="1:16" hidden="1" x14ac:dyDescent="0.25">
      <c r="A1540" s="7" t="s">
        <v>37</v>
      </c>
      <c r="B1540" s="7" t="s">
        <v>254</v>
      </c>
      <c r="C1540" s="8">
        <v>28007</v>
      </c>
      <c r="D1540" s="7" t="s">
        <v>16</v>
      </c>
      <c r="E1540" s="7" t="s">
        <v>268</v>
      </c>
      <c r="F1540" s="7" t="s">
        <v>329</v>
      </c>
      <c r="G1540" s="7" t="s">
        <v>18</v>
      </c>
      <c r="H1540" s="7" t="s">
        <v>24</v>
      </c>
      <c r="I1540" s="7" t="s">
        <v>712</v>
      </c>
      <c r="J1540" s="7" t="s">
        <v>712</v>
      </c>
      <c r="K1540" s="8">
        <v>6139247</v>
      </c>
      <c r="L1540" s="8">
        <v>313739</v>
      </c>
      <c r="M1540" s="8">
        <v>19</v>
      </c>
      <c r="N1540" s="8">
        <v>1</v>
      </c>
      <c r="O1540" s="8">
        <v>0.8</v>
      </c>
      <c r="P1540" s="8"/>
    </row>
    <row r="1541" spans="1:16" hidden="1" x14ac:dyDescent="0.25">
      <c r="A1541" s="7" t="s">
        <v>37</v>
      </c>
      <c r="B1541" s="7" t="s">
        <v>254</v>
      </c>
      <c r="C1541" s="8">
        <v>28009</v>
      </c>
      <c r="D1541" s="7" t="s">
        <v>16</v>
      </c>
      <c r="E1541" s="7" t="s">
        <v>50</v>
      </c>
      <c r="F1541" s="7" t="s">
        <v>255</v>
      </c>
      <c r="G1541" s="7" t="s">
        <v>18</v>
      </c>
      <c r="H1541" s="7" t="s">
        <v>48</v>
      </c>
      <c r="I1541" s="7" t="s">
        <v>712</v>
      </c>
      <c r="J1541" s="7" t="s">
        <v>712</v>
      </c>
      <c r="K1541" s="8">
        <v>6082224</v>
      </c>
      <c r="L1541" s="8">
        <v>262392</v>
      </c>
      <c r="M1541" s="8">
        <v>19</v>
      </c>
      <c r="N1541" s="8">
        <v>1</v>
      </c>
      <c r="O1541" s="8">
        <v>2.1</v>
      </c>
      <c r="P1541" s="8"/>
    </row>
    <row r="1542" spans="1:16" hidden="1" x14ac:dyDescent="0.25">
      <c r="A1542" s="7" t="s">
        <v>19</v>
      </c>
      <c r="B1542" s="7" t="s">
        <v>415</v>
      </c>
      <c r="C1542" s="8">
        <v>28011</v>
      </c>
      <c r="D1542" s="7" t="s">
        <v>28</v>
      </c>
      <c r="E1542" s="7" t="s">
        <v>32</v>
      </c>
      <c r="F1542" s="7" t="s">
        <v>147</v>
      </c>
      <c r="G1542" s="7" t="s">
        <v>18</v>
      </c>
      <c r="H1542" s="7" t="s">
        <v>48</v>
      </c>
      <c r="I1542" s="7" t="s">
        <v>712</v>
      </c>
      <c r="J1542" s="7" t="s">
        <v>712</v>
      </c>
      <c r="K1542" s="8">
        <v>6272805</v>
      </c>
      <c r="L1542" s="8">
        <v>339347</v>
      </c>
      <c r="M1542" s="8">
        <v>19</v>
      </c>
      <c r="N1542" s="8">
        <v>1</v>
      </c>
      <c r="O1542" s="8">
        <v>0.48</v>
      </c>
      <c r="P1542" s="8"/>
    </row>
    <row r="1543" spans="1:16" hidden="1" x14ac:dyDescent="0.25">
      <c r="A1543" s="7" t="s">
        <v>19</v>
      </c>
      <c r="B1543" s="7" t="s">
        <v>415</v>
      </c>
      <c r="C1543" s="8">
        <v>28012</v>
      </c>
      <c r="D1543" s="7" t="s">
        <v>28</v>
      </c>
      <c r="E1543" s="7" t="s">
        <v>32</v>
      </c>
      <c r="F1543" s="7" t="s">
        <v>147</v>
      </c>
      <c r="G1543" s="7" t="s">
        <v>18</v>
      </c>
      <c r="H1543" s="7" t="s">
        <v>48</v>
      </c>
      <c r="I1543" s="7" t="s">
        <v>712</v>
      </c>
      <c r="J1543" s="7" t="s">
        <v>712</v>
      </c>
      <c r="K1543" s="8">
        <v>6272805</v>
      </c>
      <c r="L1543" s="8">
        <v>339347</v>
      </c>
      <c r="M1543" s="8">
        <v>19</v>
      </c>
      <c r="N1543" s="8">
        <v>1</v>
      </c>
      <c r="O1543" s="8">
        <v>0.36</v>
      </c>
      <c r="P1543" s="8"/>
    </row>
    <row r="1544" spans="1:16" hidden="1" x14ac:dyDescent="0.25">
      <c r="A1544" s="7" t="s">
        <v>19</v>
      </c>
      <c r="B1544" s="7" t="s">
        <v>415</v>
      </c>
      <c r="C1544" s="8">
        <v>28013</v>
      </c>
      <c r="D1544" s="7" t="s">
        <v>28</v>
      </c>
      <c r="E1544" s="7" t="s">
        <v>32</v>
      </c>
      <c r="F1544" s="7" t="s">
        <v>147</v>
      </c>
      <c r="G1544" s="7" t="s">
        <v>18</v>
      </c>
      <c r="H1544" s="7" t="s">
        <v>48</v>
      </c>
      <c r="I1544" s="7" t="s">
        <v>712</v>
      </c>
      <c r="J1544" s="7" t="s">
        <v>712</v>
      </c>
      <c r="K1544" s="8">
        <v>6272805</v>
      </c>
      <c r="L1544" s="8">
        <v>339347</v>
      </c>
      <c r="M1544" s="8">
        <v>19</v>
      </c>
      <c r="N1544" s="8">
        <v>1</v>
      </c>
      <c r="O1544" s="8">
        <v>0.4</v>
      </c>
      <c r="P1544" s="8"/>
    </row>
    <row r="1545" spans="1:16" hidden="1" x14ac:dyDescent="0.25">
      <c r="A1545" s="7" t="s">
        <v>19</v>
      </c>
      <c r="B1545" s="7" t="s">
        <v>415</v>
      </c>
      <c r="C1545" s="8">
        <v>28014</v>
      </c>
      <c r="D1545" s="7" t="s">
        <v>28</v>
      </c>
      <c r="E1545" s="7" t="s">
        <v>452</v>
      </c>
      <c r="F1545" s="7" t="s">
        <v>453</v>
      </c>
      <c r="G1545" s="7" t="s">
        <v>18</v>
      </c>
      <c r="H1545" s="7" t="s">
        <v>48</v>
      </c>
      <c r="I1545" s="7" t="s">
        <v>712</v>
      </c>
      <c r="J1545" s="7" t="s">
        <v>712</v>
      </c>
      <c r="K1545" s="8">
        <v>6305719</v>
      </c>
      <c r="L1545" s="8">
        <v>329799</v>
      </c>
      <c r="M1545" s="8">
        <v>19</v>
      </c>
      <c r="N1545" s="8">
        <v>1</v>
      </c>
      <c r="O1545" s="8">
        <v>0.44</v>
      </c>
      <c r="P1545" s="8"/>
    </row>
    <row r="1546" spans="1:16" hidden="1" x14ac:dyDescent="0.25">
      <c r="A1546" s="7" t="s">
        <v>14</v>
      </c>
      <c r="B1546" s="7" t="s">
        <v>181</v>
      </c>
      <c r="C1546" s="8">
        <v>28016</v>
      </c>
      <c r="D1546" s="7" t="s">
        <v>119</v>
      </c>
      <c r="E1546" s="7" t="s">
        <v>199</v>
      </c>
      <c r="F1546" s="7" t="s">
        <v>229</v>
      </c>
      <c r="G1546" s="7" t="s">
        <v>43</v>
      </c>
      <c r="H1546" s="7" t="s">
        <v>689</v>
      </c>
      <c r="I1546" s="7" t="s">
        <v>690</v>
      </c>
      <c r="J1546" s="7" t="s">
        <v>690</v>
      </c>
      <c r="K1546" s="8">
        <v>5673369</v>
      </c>
      <c r="L1546" s="8">
        <v>657832</v>
      </c>
      <c r="M1546" s="8">
        <v>18</v>
      </c>
      <c r="N1546" s="8">
        <v>1</v>
      </c>
      <c r="O1546" s="8">
        <v>1.7</v>
      </c>
      <c r="P1546" s="8"/>
    </row>
    <row r="1547" spans="1:16" hidden="1" x14ac:dyDescent="0.25">
      <c r="A1547" s="7" t="s">
        <v>37</v>
      </c>
      <c r="B1547" s="7" t="s">
        <v>254</v>
      </c>
      <c r="C1547" s="8">
        <v>28017</v>
      </c>
      <c r="D1547" s="7" t="s">
        <v>16</v>
      </c>
      <c r="E1547" s="7" t="s">
        <v>72</v>
      </c>
      <c r="F1547" s="7" t="s">
        <v>330</v>
      </c>
      <c r="G1547" s="7" t="s">
        <v>18</v>
      </c>
      <c r="H1547" s="7" t="s">
        <v>24</v>
      </c>
      <c r="I1547" s="7" t="s">
        <v>712</v>
      </c>
      <c r="J1547" s="7" t="s">
        <v>712</v>
      </c>
      <c r="K1547" s="8">
        <v>6101764</v>
      </c>
      <c r="L1547" s="8">
        <v>291281</v>
      </c>
      <c r="M1547" s="8">
        <v>19</v>
      </c>
      <c r="N1547" s="8">
        <v>1</v>
      </c>
      <c r="O1547" s="8">
        <v>4</v>
      </c>
      <c r="P1547" s="8"/>
    </row>
    <row r="1548" spans="1:16" hidden="1" x14ac:dyDescent="0.25">
      <c r="A1548" s="7" t="s">
        <v>19</v>
      </c>
      <c r="B1548" s="7" t="s">
        <v>415</v>
      </c>
      <c r="C1548" s="8">
        <v>28020</v>
      </c>
      <c r="D1548" s="7" t="s">
        <v>28</v>
      </c>
      <c r="E1548" s="7" t="s">
        <v>32</v>
      </c>
      <c r="F1548" s="7" t="s">
        <v>476</v>
      </c>
      <c r="G1548" s="7" t="s">
        <v>18</v>
      </c>
      <c r="H1548" s="7" t="s">
        <v>48</v>
      </c>
      <c r="I1548" s="7" t="s">
        <v>712</v>
      </c>
      <c r="J1548" s="7" t="s">
        <v>712</v>
      </c>
      <c r="K1548" s="8">
        <v>6273952</v>
      </c>
      <c r="L1548" s="8">
        <v>339819</v>
      </c>
      <c r="M1548" s="8">
        <v>19</v>
      </c>
      <c r="N1548" s="8">
        <v>1</v>
      </c>
      <c r="O1548" s="8">
        <v>0.38</v>
      </c>
      <c r="P1548" s="8"/>
    </row>
    <row r="1549" spans="1:16" hidden="1" x14ac:dyDescent="0.25">
      <c r="A1549" s="7" t="s">
        <v>19</v>
      </c>
      <c r="B1549" s="7" t="s">
        <v>415</v>
      </c>
      <c r="C1549" s="8">
        <v>28021</v>
      </c>
      <c r="D1549" s="7" t="s">
        <v>28</v>
      </c>
      <c r="E1549" s="7" t="s">
        <v>364</v>
      </c>
      <c r="F1549" s="7" t="s">
        <v>364</v>
      </c>
      <c r="G1549" s="7" t="s">
        <v>18</v>
      </c>
      <c r="H1549" s="7" t="s">
        <v>48</v>
      </c>
      <c r="I1549" s="7" t="s">
        <v>712</v>
      </c>
      <c r="J1549" s="7" t="s">
        <v>712</v>
      </c>
      <c r="K1549" s="8">
        <v>6295598</v>
      </c>
      <c r="L1549" s="8">
        <v>331781</v>
      </c>
      <c r="M1549" s="8">
        <v>19</v>
      </c>
      <c r="N1549" s="8">
        <v>1</v>
      </c>
      <c r="O1549" s="8">
        <v>0.37</v>
      </c>
      <c r="P1549" s="8"/>
    </row>
    <row r="1550" spans="1:16" hidden="1" x14ac:dyDescent="0.25">
      <c r="A1550" s="7" t="s">
        <v>19</v>
      </c>
      <c r="B1550" s="7" t="s">
        <v>415</v>
      </c>
      <c r="C1550" s="8">
        <v>28022</v>
      </c>
      <c r="D1550" s="7" t="s">
        <v>28</v>
      </c>
      <c r="E1550" s="7" t="s">
        <v>447</v>
      </c>
      <c r="F1550" s="7" t="s">
        <v>390</v>
      </c>
      <c r="G1550" s="7" t="s">
        <v>18</v>
      </c>
      <c r="H1550" s="7" t="s">
        <v>48</v>
      </c>
      <c r="I1550" s="7" t="s">
        <v>712</v>
      </c>
      <c r="J1550" s="7" t="s">
        <v>691</v>
      </c>
      <c r="K1550" s="8">
        <v>6302176</v>
      </c>
      <c r="L1550" s="8">
        <v>336937</v>
      </c>
      <c r="M1550" s="8">
        <v>19</v>
      </c>
      <c r="N1550" s="8">
        <v>1</v>
      </c>
      <c r="O1550" s="8">
        <v>0.43</v>
      </c>
      <c r="P1550" s="8"/>
    </row>
    <row r="1551" spans="1:16" hidden="1" x14ac:dyDescent="0.25">
      <c r="A1551" s="7" t="s">
        <v>19</v>
      </c>
      <c r="B1551" s="7" t="s">
        <v>415</v>
      </c>
      <c r="C1551" s="8">
        <v>28023</v>
      </c>
      <c r="D1551" s="7" t="s">
        <v>28</v>
      </c>
      <c r="E1551" s="7" t="s">
        <v>56</v>
      </c>
      <c r="F1551" s="7" t="s">
        <v>439</v>
      </c>
      <c r="G1551" s="7" t="s">
        <v>18</v>
      </c>
      <c r="H1551" s="7" t="s">
        <v>48</v>
      </c>
      <c r="I1551" s="7" t="s">
        <v>712</v>
      </c>
      <c r="J1551" s="7" t="s">
        <v>712</v>
      </c>
      <c r="K1551" s="8">
        <v>6262788</v>
      </c>
      <c r="L1551" s="8">
        <v>336530</v>
      </c>
      <c r="M1551" s="8">
        <v>19</v>
      </c>
      <c r="N1551" s="8">
        <v>1</v>
      </c>
      <c r="O1551" s="8">
        <v>2.2999999999999998</v>
      </c>
      <c r="P1551" s="8"/>
    </row>
    <row r="1552" spans="1:16" hidden="1" x14ac:dyDescent="0.25">
      <c r="A1552" s="7" t="s">
        <v>37</v>
      </c>
      <c r="B1552" s="7" t="s">
        <v>415</v>
      </c>
      <c r="C1552" s="8">
        <v>28024</v>
      </c>
      <c r="D1552" s="7" t="s">
        <v>28</v>
      </c>
      <c r="E1552" s="7" t="s">
        <v>142</v>
      </c>
      <c r="F1552" s="7" t="s">
        <v>521</v>
      </c>
      <c r="G1552" s="7" t="s">
        <v>18</v>
      </c>
      <c r="H1552" s="7" t="s">
        <v>24</v>
      </c>
      <c r="I1552" s="7" t="s">
        <v>712</v>
      </c>
      <c r="J1552" s="7" t="s">
        <v>712</v>
      </c>
      <c r="K1552" s="8">
        <v>6274455</v>
      </c>
      <c r="L1552" s="8">
        <v>335852</v>
      </c>
      <c r="M1552" s="8">
        <v>19</v>
      </c>
      <c r="N1552" s="8">
        <v>1</v>
      </c>
      <c r="O1552" s="8">
        <v>0.4</v>
      </c>
      <c r="P1552" s="8"/>
    </row>
    <row r="1553" spans="1:16" hidden="1" x14ac:dyDescent="0.25">
      <c r="A1553" s="7" t="s">
        <v>37</v>
      </c>
      <c r="B1553" s="7" t="s">
        <v>415</v>
      </c>
      <c r="C1553" s="8">
        <v>28025</v>
      </c>
      <c r="D1553" s="7" t="s">
        <v>28</v>
      </c>
      <c r="E1553" s="7" t="s">
        <v>56</v>
      </c>
      <c r="F1553" s="7" t="s">
        <v>522</v>
      </c>
      <c r="G1553" s="7" t="s">
        <v>18</v>
      </c>
      <c r="H1553" s="7" t="s">
        <v>24</v>
      </c>
      <c r="I1553" s="7" t="s">
        <v>712</v>
      </c>
      <c r="J1553" s="7" t="s">
        <v>712</v>
      </c>
      <c r="K1553" s="8">
        <v>6273585</v>
      </c>
      <c r="L1553" s="8">
        <v>344468</v>
      </c>
      <c r="M1553" s="8">
        <v>19</v>
      </c>
      <c r="N1553" s="8">
        <v>1</v>
      </c>
      <c r="O1553" s="8">
        <v>1</v>
      </c>
      <c r="P1553" s="8"/>
    </row>
    <row r="1554" spans="1:16" hidden="1" x14ac:dyDescent="0.25">
      <c r="A1554" s="7" t="s">
        <v>19</v>
      </c>
      <c r="B1554" s="7" t="s">
        <v>415</v>
      </c>
      <c r="C1554" s="8">
        <v>28027</v>
      </c>
      <c r="D1554" s="7" t="s">
        <v>28</v>
      </c>
      <c r="E1554" s="7" t="s">
        <v>32</v>
      </c>
      <c r="F1554" s="7" t="s">
        <v>33</v>
      </c>
      <c r="G1554" s="7" t="s">
        <v>18</v>
      </c>
      <c r="H1554" s="7" t="s">
        <v>48</v>
      </c>
      <c r="I1554" s="7" t="s">
        <v>712</v>
      </c>
      <c r="J1554" s="7" t="s">
        <v>712</v>
      </c>
      <c r="K1554" s="8">
        <v>6275421</v>
      </c>
      <c r="L1554" s="8">
        <v>340294</v>
      </c>
      <c r="M1554" s="8">
        <v>19</v>
      </c>
      <c r="N1554" s="8">
        <v>1</v>
      </c>
      <c r="O1554" s="8">
        <v>0.4</v>
      </c>
      <c r="P1554" s="8"/>
    </row>
    <row r="1555" spans="1:16" hidden="1" x14ac:dyDescent="0.25">
      <c r="A1555" s="7" t="s">
        <v>19</v>
      </c>
      <c r="B1555" s="7" t="s">
        <v>415</v>
      </c>
      <c r="C1555" s="8">
        <v>28028</v>
      </c>
      <c r="D1555" s="7" t="s">
        <v>28</v>
      </c>
      <c r="E1555" s="7" t="s">
        <v>447</v>
      </c>
      <c r="F1555" s="7" t="s">
        <v>390</v>
      </c>
      <c r="G1555" s="7" t="s">
        <v>18</v>
      </c>
      <c r="H1555" s="7" t="s">
        <v>48</v>
      </c>
      <c r="I1555" s="7" t="s">
        <v>712</v>
      </c>
      <c r="J1555" s="7" t="s">
        <v>712</v>
      </c>
      <c r="K1555" s="8">
        <v>6301940</v>
      </c>
      <c r="L1555" s="8">
        <v>336941</v>
      </c>
      <c r="M1555" s="8">
        <v>19</v>
      </c>
      <c r="N1555" s="8">
        <v>1</v>
      </c>
      <c r="O1555" s="8">
        <v>0.35</v>
      </c>
      <c r="P1555" s="8"/>
    </row>
    <row r="1556" spans="1:16" hidden="1" x14ac:dyDescent="0.25">
      <c r="A1556" s="7" t="s">
        <v>19</v>
      </c>
      <c r="B1556" s="7" t="s">
        <v>415</v>
      </c>
      <c r="C1556" s="8">
        <v>28030</v>
      </c>
      <c r="D1556" s="7" t="s">
        <v>28</v>
      </c>
      <c r="E1556" s="7" t="s">
        <v>447</v>
      </c>
      <c r="F1556" s="7" t="s">
        <v>390</v>
      </c>
      <c r="G1556" s="7" t="s">
        <v>18</v>
      </c>
      <c r="H1556" s="7" t="s">
        <v>48</v>
      </c>
      <c r="I1556" s="7" t="s">
        <v>712</v>
      </c>
      <c r="J1556" s="7" t="s">
        <v>712</v>
      </c>
      <c r="K1556" s="8">
        <v>6302192</v>
      </c>
      <c r="L1556" s="8">
        <v>336673</v>
      </c>
      <c r="M1556" s="8">
        <v>19</v>
      </c>
      <c r="N1556" s="8">
        <v>1</v>
      </c>
      <c r="O1556" s="8">
        <v>0.37</v>
      </c>
      <c r="P1556" s="8"/>
    </row>
    <row r="1557" spans="1:16" hidden="1" x14ac:dyDescent="0.25">
      <c r="A1557" s="7" t="s">
        <v>19</v>
      </c>
      <c r="B1557" s="7" t="s">
        <v>415</v>
      </c>
      <c r="C1557" s="8">
        <v>28031</v>
      </c>
      <c r="D1557" s="7" t="s">
        <v>28</v>
      </c>
      <c r="E1557" s="7" t="s">
        <v>344</v>
      </c>
      <c r="F1557" s="7" t="s">
        <v>505</v>
      </c>
      <c r="G1557" s="7" t="s">
        <v>18</v>
      </c>
      <c r="H1557" s="7" t="s">
        <v>48</v>
      </c>
      <c r="I1557" s="7" t="s">
        <v>712</v>
      </c>
      <c r="J1557" s="7" t="s">
        <v>691</v>
      </c>
      <c r="K1557" s="8">
        <v>6272525</v>
      </c>
      <c r="L1557" s="8">
        <v>303704</v>
      </c>
      <c r="M1557" s="8">
        <v>19</v>
      </c>
      <c r="N1557" s="8">
        <v>1</v>
      </c>
      <c r="O1557" s="8">
        <v>2.37</v>
      </c>
      <c r="P1557" s="8"/>
    </row>
    <row r="1558" spans="1:16" hidden="1" x14ac:dyDescent="0.25">
      <c r="A1558" s="7" t="s">
        <v>37</v>
      </c>
      <c r="B1558" s="7" t="s">
        <v>415</v>
      </c>
      <c r="C1558" s="8">
        <v>28032</v>
      </c>
      <c r="D1558" s="7" t="s">
        <v>28</v>
      </c>
      <c r="E1558" s="7" t="s">
        <v>393</v>
      </c>
      <c r="F1558" s="7" t="s">
        <v>523</v>
      </c>
      <c r="G1558" s="7" t="s">
        <v>18</v>
      </c>
      <c r="H1558" s="7" t="s">
        <v>24</v>
      </c>
      <c r="I1558" s="7" t="s">
        <v>712</v>
      </c>
      <c r="J1558" s="7" t="s">
        <v>712</v>
      </c>
      <c r="K1558" s="8">
        <v>6269318</v>
      </c>
      <c r="L1558" s="8">
        <v>317597</v>
      </c>
      <c r="M1558" s="8">
        <v>19</v>
      </c>
      <c r="N1558" s="8">
        <v>1</v>
      </c>
      <c r="O1558" s="8">
        <v>1.1000000000000001</v>
      </c>
      <c r="P1558" s="8"/>
    </row>
    <row r="1559" spans="1:16" hidden="1" x14ac:dyDescent="0.25">
      <c r="A1559" s="7" t="s">
        <v>37</v>
      </c>
      <c r="B1559" s="7" t="s">
        <v>415</v>
      </c>
      <c r="C1559" s="8">
        <v>28033</v>
      </c>
      <c r="D1559" s="7" t="s">
        <v>28</v>
      </c>
      <c r="E1559" s="7" t="s">
        <v>29</v>
      </c>
      <c r="F1559" s="7" t="s">
        <v>524</v>
      </c>
      <c r="G1559" s="7" t="s">
        <v>18</v>
      </c>
      <c r="H1559" s="7" t="s">
        <v>24</v>
      </c>
      <c r="I1559" s="7" t="s">
        <v>712</v>
      </c>
      <c r="J1559" s="7" t="s">
        <v>712</v>
      </c>
      <c r="K1559" s="8">
        <v>6251336</v>
      </c>
      <c r="L1559" s="8">
        <v>337441</v>
      </c>
      <c r="M1559" s="8">
        <v>19</v>
      </c>
      <c r="N1559" s="8">
        <v>1</v>
      </c>
      <c r="O1559" s="8">
        <v>1</v>
      </c>
      <c r="P1559" s="8"/>
    </row>
    <row r="1560" spans="1:16" hidden="1" x14ac:dyDescent="0.25">
      <c r="A1560" s="7" t="s">
        <v>37</v>
      </c>
      <c r="B1560" s="7" t="s">
        <v>415</v>
      </c>
      <c r="C1560" s="8">
        <v>28034</v>
      </c>
      <c r="D1560" s="7" t="s">
        <v>28</v>
      </c>
      <c r="E1560" s="7" t="s">
        <v>364</v>
      </c>
      <c r="F1560" s="7" t="s">
        <v>434</v>
      </c>
      <c r="G1560" s="7" t="s">
        <v>18</v>
      </c>
      <c r="H1560" s="7" t="s">
        <v>109</v>
      </c>
      <c r="I1560" s="7" t="s">
        <v>712</v>
      </c>
      <c r="J1560" s="7" t="s">
        <v>691</v>
      </c>
      <c r="K1560" s="8">
        <v>6292760</v>
      </c>
      <c r="L1560" s="8">
        <v>332146</v>
      </c>
      <c r="M1560" s="8">
        <v>19</v>
      </c>
      <c r="N1560" s="8">
        <v>1</v>
      </c>
      <c r="O1560" s="8">
        <v>9.4499999999999993</v>
      </c>
      <c r="P1560" s="8"/>
    </row>
    <row r="1561" spans="1:16" hidden="1" x14ac:dyDescent="0.25">
      <c r="A1561" s="7" t="s">
        <v>19</v>
      </c>
      <c r="B1561" s="7" t="s">
        <v>270</v>
      </c>
      <c r="C1561" s="8">
        <v>28035</v>
      </c>
      <c r="D1561" s="7" t="s">
        <v>52</v>
      </c>
      <c r="E1561" s="7" t="s">
        <v>53</v>
      </c>
      <c r="F1561" s="7" t="s">
        <v>630</v>
      </c>
      <c r="G1561" s="7" t="s">
        <v>18</v>
      </c>
      <c r="H1561" s="7" t="s">
        <v>48</v>
      </c>
      <c r="I1561" s="7" t="s">
        <v>712</v>
      </c>
      <c r="J1561" s="7" t="s">
        <v>712</v>
      </c>
      <c r="K1561" s="8">
        <v>6160523</v>
      </c>
      <c r="L1561" s="8">
        <v>319999</v>
      </c>
      <c r="M1561" s="8">
        <v>19</v>
      </c>
      <c r="N1561" s="8">
        <v>1</v>
      </c>
      <c r="O1561" s="8">
        <v>10</v>
      </c>
      <c r="P1561" s="8"/>
    </row>
    <row r="1562" spans="1:16" hidden="1" x14ac:dyDescent="0.25">
      <c r="A1562" s="7" t="s">
        <v>37</v>
      </c>
      <c r="B1562" s="7" t="s">
        <v>415</v>
      </c>
      <c r="C1562" s="8">
        <v>28037</v>
      </c>
      <c r="D1562" s="7" t="s">
        <v>28</v>
      </c>
      <c r="E1562" s="7" t="s">
        <v>344</v>
      </c>
      <c r="F1562" s="7" t="s">
        <v>457</v>
      </c>
      <c r="G1562" s="7" t="s">
        <v>18</v>
      </c>
      <c r="H1562" s="7" t="s">
        <v>24</v>
      </c>
      <c r="I1562" s="7" t="s">
        <v>712</v>
      </c>
      <c r="J1562" s="7" t="s">
        <v>712</v>
      </c>
      <c r="K1562" s="8">
        <v>6277031</v>
      </c>
      <c r="L1562" s="8">
        <v>288869</v>
      </c>
      <c r="M1562" s="8">
        <v>19</v>
      </c>
      <c r="N1562" s="8">
        <v>1</v>
      </c>
      <c r="O1562" s="8">
        <v>0.96</v>
      </c>
      <c r="P1562" s="8"/>
    </row>
    <row r="1563" spans="1:16" hidden="1" x14ac:dyDescent="0.25">
      <c r="A1563" s="7" t="s">
        <v>37</v>
      </c>
      <c r="B1563" s="7" t="s">
        <v>415</v>
      </c>
      <c r="C1563" s="8">
        <v>28038</v>
      </c>
      <c r="D1563" s="7" t="s">
        <v>28</v>
      </c>
      <c r="E1563" s="7" t="s">
        <v>29</v>
      </c>
      <c r="F1563" s="7" t="s">
        <v>524</v>
      </c>
      <c r="G1563" s="7" t="s">
        <v>18</v>
      </c>
      <c r="H1563" s="7" t="s">
        <v>24</v>
      </c>
      <c r="I1563" s="7" t="s">
        <v>712</v>
      </c>
      <c r="J1563" s="7" t="s">
        <v>712</v>
      </c>
      <c r="K1563" s="8">
        <v>6251628</v>
      </c>
      <c r="L1563" s="8">
        <v>337097</v>
      </c>
      <c r="M1563" s="8">
        <v>19</v>
      </c>
      <c r="N1563" s="8">
        <v>1</v>
      </c>
      <c r="O1563" s="8">
        <v>1</v>
      </c>
      <c r="P1563" s="8"/>
    </row>
    <row r="1564" spans="1:16" hidden="1" x14ac:dyDescent="0.25">
      <c r="A1564" s="7" t="s">
        <v>37</v>
      </c>
      <c r="B1564" s="7" t="s">
        <v>415</v>
      </c>
      <c r="C1564" s="8">
        <v>28039</v>
      </c>
      <c r="D1564" s="7" t="s">
        <v>28</v>
      </c>
      <c r="E1564" s="7" t="s">
        <v>344</v>
      </c>
      <c r="F1564" s="7" t="s">
        <v>448</v>
      </c>
      <c r="G1564" s="7" t="s">
        <v>18</v>
      </c>
      <c r="H1564" s="7" t="s">
        <v>24</v>
      </c>
      <c r="I1564" s="7" t="s">
        <v>712</v>
      </c>
      <c r="J1564" s="7" t="s">
        <v>712</v>
      </c>
      <c r="K1564" s="8">
        <v>6278477</v>
      </c>
      <c r="L1564" s="8">
        <v>291104</v>
      </c>
      <c r="M1564" s="8">
        <v>19</v>
      </c>
      <c r="N1564" s="8">
        <v>1</v>
      </c>
      <c r="O1564" s="8">
        <v>1.0900000000000001</v>
      </c>
      <c r="P1564" s="8"/>
    </row>
    <row r="1565" spans="1:16" hidden="1" x14ac:dyDescent="0.25">
      <c r="A1565" s="7" t="s">
        <v>37</v>
      </c>
      <c r="B1565" s="7" t="s">
        <v>415</v>
      </c>
      <c r="C1565" s="8">
        <v>28040</v>
      </c>
      <c r="D1565" s="7" t="s">
        <v>28</v>
      </c>
      <c r="E1565" s="7" t="s">
        <v>344</v>
      </c>
      <c r="F1565" s="7" t="s">
        <v>517</v>
      </c>
      <c r="G1565" s="7" t="s">
        <v>18</v>
      </c>
      <c r="H1565" s="7" t="s">
        <v>24</v>
      </c>
      <c r="I1565" s="7" t="s">
        <v>712</v>
      </c>
      <c r="J1565" s="7" t="s">
        <v>712</v>
      </c>
      <c r="K1565" s="8">
        <v>6271745</v>
      </c>
      <c r="L1565" s="8">
        <v>302725</v>
      </c>
      <c r="M1565" s="8">
        <v>19</v>
      </c>
      <c r="N1565" s="8">
        <v>1</v>
      </c>
      <c r="O1565" s="8">
        <v>1</v>
      </c>
      <c r="P1565" s="8"/>
    </row>
    <row r="1566" spans="1:16" hidden="1" x14ac:dyDescent="0.25">
      <c r="A1566" s="7" t="s">
        <v>19</v>
      </c>
      <c r="B1566" s="7" t="s">
        <v>415</v>
      </c>
      <c r="C1566" s="8">
        <v>28041</v>
      </c>
      <c r="D1566" s="7" t="s">
        <v>28</v>
      </c>
      <c r="E1566" s="7" t="s">
        <v>32</v>
      </c>
      <c r="F1566" s="7" t="s">
        <v>32</v>
      </c>
      <c r="G1566" s="7" t="s">
        <v>18</v>
      </c>
      <c r="H1566" s="7" t="s">
        <v>48</v>
      </c>
      <c r="I1566" s="7" t="s">
        <v>712</v>
      </c>
      <c r="J1566" s="7" t="s">
        <v>712</v>
      </c>
      <c r="K1566" s="8">
        <v>6274735</v>
      </c>
      <c r="L1566" s="8">
        <v>344530</v>
      </c>
      <c r="M1566" s="8">
        <v>19</v>
      </c>
      <c r="N1566" s="8">
        <v>1</v>
      </c>
      <c r="O1566" s="8">
        <v>0.3</v>
      </c>
      <c r="P1566" s="8"/>
    </row>
    <row r="1567" spans="1:16" hidden="1" x14ac:dyDescent="0.25">
      <c r="A1567" s="7" t="s">
        <v>37</v>
      </c>
      <c r="B1567" s="7" t="s">
        <v>415</v>
      </c>
      <c r="C1567" s="8">
        <v>28043</v>
      </c>
      <c r="D1567" s="7" t="s">
        <v>28</v>
      </c>
      <c r="E1567" s="7" t="s">
        <v>344</v>
      </c>
      <c r="F1567" s="7" t="s">
        <v>448</v>
      </c>
      <c r="G1567" s="7" t="s">
        <v>18</v>
      </c>
      <c r="H1567" s="7" t="s">
        <v>24</v>
      </c>
      <c r="I1567" s="7" t="s">
        <v>712</v>
      </c>
      <c r="J1567" s="7" t="s">
        <v>712</v>
      </c>
      <c r="K1567" s="8">
        <v>6276438</v>
      </c>
      <c r="L1567" s="8">
        <v>288526</v>
      </c>
      <c r="M1567" s="8">
        <v>19</v>
      </c>
      <c r="N1567" s="8">
        <v>1</v>
      </c>
      <c r="O1567" s="8">
        <v>1.07</v>
      </c>
      <c r="P1567" s="8"/>
    </row>
    <row r="1568" spans="1:16" hidden="1" x14ac:dyDescent="0.25">
      <c r="A1568" s="7" t="s">
        <v>37</v>
      </c>
      <c r="B1568" s="7" t="s">
        <v>415</v>
      </c>
      <c r="C1568" s="8">
        <v>28044</v>
      </c>
      <c r="D1568" s="7" t="s">
        <v>28</v>
      </c>
      <c r="E1568" s="7" t="s">
        <v>344</v>
      </c>
      <c r="F1568" s="7" t="s">
        <v>448</v>
      </c>
      <c r="G1568" s="7" t="s">
        <v>18</v>
      </c>
      <c r="H1568" s="7" t="s">
        <v>24</v>
      </c>
      <c r="I1568" s="7" t="s">
        <v>712</v>
      </c>
      <c r="J1568" s="7" t="s">
        <v>712</v>
      </c>
      <c r="K1568" s="8">
        <v>6276285</v>
      </c>
      <c r="L1568" s="8">
        <v>288769</v>
      </c>
      <c r="M1568" s="8">
        <v>19</v>
      </c>
      <c r="N1568" s="8">
        <v>1</v>
      </c>
      <c r="O1568" s="8">
        <v>1.06</v>
      </c>
      <c r="P1568" s="8"/>
    </row>
    <row r="1569" spans="1:16" hidden="1" x14ac:dyDescent="0.25">
      <c r="A1569" s="7" t="s">
        <v>37</v>
      </c>
      <c r="B1569" s="7" t="s">
        <v>415</v>
      </c>
      <c r="C1569" s="8">
        <v>28046</v>
      </c>
      <c r="D1569" s="7" t="s">
        <v>28</v>
      </c>
      <c r="E1569" s="7" t="s">
        <v>344</v>
      </c>
      <c r="F1569" s="7" t="s">
        <v>448</v>
      </c>
      <c r="G1569" s="7" t="s">
        <v>18</v>
      </c>
      <c r="H1569" s="7" t="s">
        <v>24</v>
      </c>
      <c r="I1569" s="7" t="s">
        <v>712</v>
      </c>
      <c r="J1569" s="7" t="s">
        <v>712</v>
      </c>
      <c r="K1569" s="8">
        <v>6276882</v>
      </c>
      <c r="L1569" s="8">
        <v>289145</v>
      </c>
      <c r="M1569" s="8">
        <v>19</v>
      </c>
      <c r="N1569" s="8">
        <v>1</v>
      </c>
      <c r="O1569" s="8">
        <v>1.04</v>
      </c>
      <c r="P1569" s="8"/>
    </row>
    <row r="1570" spans="1:16" hidden="1" x14ac:dyDescent="0.25">
      <c r="A1570" s="7" t="s">
        <v>19</v>
      </c>
      <c r="B1570" s="7" t="s">
        <v>124</v>
      </c>
      <c r="C1570" s="8">
        <v>28047</v>
      </c>
      <c r="D1570" s="7" t="s">
        <v>52</v>
      </c>
      <c r="E1570" s="7" t="s">
        <v>159</v>
      </c>
      <c r="F1570" s="7" t="s">
        <v>160</v>
      </c>
      <c r="G1570" s="7" t="s">
        <v>18</v>
      </c>
      <c r="H1570" s="7" t="s">
        <v>48</v>
      </c>
      <c r="I1570" s="7" t="s">
        <v>712</v>
      </c>
      <c r="J1570" s="7" t="s">
        <v>691</v>
      </c>
      <c r="K1570" s="8">
        <v>6236402</v>
      </c>
      <c r="L1570" s="8">
        <v>340583</v>
      </c>
      <c r="M1570" s="8">
        <v>19</v>
      </c>
      <c r="N1570" s="8">
        <v>1</v>
      </c>
      <c r="O1570" s="8">
        <v>6.5</v>
      </c>
      <c r="P1570" s="8"/>
    </row>
    <row r="1571" spans="1:16" hidden="1" x14ac:dyDescent="0.25">
      <c r="A1571" s="7" t="s">
        <v>37</v>
      </c>
      <c r="B1571" s="7" t="s">
        <v>415</v>
      </c>
      <c r="C1571" s="8">
        <v>28048</v>
      </c>
      <c r="D1571" s="7" t="s">
        <v>28</v>
      </c>
      <c r="E1571" s="7" t="s">
        <v>146</v>
      </c>
      <c r="F1571" s="7" t="s">
        <v>146</v>
      </c>
      <c r="G1571" s="7" t="s">
        <v>18</v>
      </c>
      <c r="H1571" s="7" t="s">
        <v>24</v>
      </c>
      <c r="I1571" s="7" t="s">
        <v>712</v>
      </c>
      <c r="J1571" s="7" t="s">
        <v>712</v>
      </c>
      <c r="K1571" s="8">
        <v>6274247</v>
      </c>
      <c r="L1571" s="8">
        <v>323128</v>
      </c>
      <c r="M1571" s="8">
        <v>19</v>
      </c>
      <c r="N1571" s="8">
        <v>1</v>
      </c>
      <c r="O1571" s="8">
        <v>0.98</v>
      </c>
      <c r="P1571" s="8"/>
    </row>
    <row r="1572" spans="1:16" hidden="1" x14ac:dyDescent="0.25">
      <c r="A1572" s="7" t="s">
        <v>19</v>
      </c>
      <c r="B1572" s="7" t="s">
        <v>270</v>
      </c>
      <c r="C1572" s="8">
        <v>28049</v>
      </c>
      <c r="D1572" s="7" t="s">
        <v>52</v>
      </c>
      <c r="E1572" s="7" t="s">
        <v>280</v>
      </c>
      <c r="F1572" s="7" t="s">
        <v>369</v>
      </c>
      <c r="G1572" s="7" t="s">
        <v>18</v>
      </c>
      <c r="H1572" s="7" t="s">
        <v>48</v>
      </c>
      <c r="I1572" s="7" t="s">
        <v>712</v>
      </c>
      <c r="J1572" s="7" t="s">
        <v>691</v>
      </c>
      <c r="K1572" s="8">
        <v>6153155</v>
      </c>
      <c r="L1572" s="8">
        <v>319691</v>
      </c>
      <c r="M1572" s="8">
        <v>19</v>
      </c>
      <c r="N1572" s="8">
        <v>2</v>
      </c>
      <c r="O1572" s="8">
        <v>22</v>
      </c>
      <c r="P1572" s="8"/>
    </row>
    <row r="1573" spans="1:16" hidden="1" x14ac:dyDescent="0.25">
      <c r="A1573" s="7" t="s">
        <v>37</v>
      </c>
      <c r="B1573" s="7" t="s">
        <v>415</v>
      </c>
      <c r="C1573" s="8">
        <v>28050</v>
      </c>
      <c r="D1573" s="7" t="s">
        <v>28</v>
      </c>
      <c r="E1573" s="7" t="s">
        <v>146</v>
      </c>
      <c r="F1573" s="7" t="s">
        <v>146</v>
      </c>
      <c r="G1573" s="7" t="s">
        <v>18</v>
      </c>
      <c r="H1573" s="7" t="s">
        <v>24</v>
      </c>
      <c r="I1573" s="7" t="s">
        <v>712</v>
      </c>
      <c r="J1573" s="7" t="s">
        <v>712</v>
      </c>
      <c r="K1573" s="8">
        <v>6271017</v>
      </c>
      <c r="L1573" s="8">
        <v>326321</v>
      </c>
      <c r="M1573" s="8">
        <v>19</v>
      </c>
      <c r="N1573" s="8">
        <v>1</v>
      </c>
      <c r="O1573" s="8">
        <v>1.1000000000000001</v>
      </c>
      <c r="P1573" s="8"/>
    </row>
    <row r="1574" spans="1:16" hidden="1" x14ac:dyDescent="0.25">
      <c r="A1574" s="7" t="s">
        <v>37</v>
      </c>
      <c r="B1574" s="7" t="s">
        <v>415</v>
      </c>
      <c r="C1574" s="8">
        <v>28053</v>
      </c>
      <c r="D1574" s="7" t="s">
        <v>28</v>
      </c>
      <c r="E1574" s="7" t="s">
        <v>32</v>
      </c>
      <c r="F1574" s="7" t="s">
        <v>147</v>
      </c>
      <c r="G1574" s="7" t="s">
        <v>18</v>
      </c>
      <c r="H1574" s="7" t="s">
        <v>24</v>
      </c>
      <c r="I1574" s="7" t="s">
        <v>712</v>
      </c>
      <c r="J1574" s="7" t="s">
        <v>712</v>
      </c>
      <c r="K1574" s="8">
        <v>6272272</v>
      </c>
      <c r="L1574" s="8">
        <v>339807</v>
      </c>
      <c r="M1574" s="8">
        <v>19</v>
      </c>
      <c r="N1574" s="8">
        <v>1</v>
      </c>
      <c r="O1574" s="8">
        <v>0.09</v>
      </c>
      <c r="P1574" s="8"/>
    </row>
    <row r="1575" spans="1:16" hidden="1" x14ac:dyDescent="0.25">
      <c r="A1575" s="7" t="s">
        <v>37</v>
      </c>
      <c r="B1575" s="7" t="s">
        <v>415</v>
      </c>
      <c r="C1575" s="8">
        <v>28055</v>
      </c>
      <c r="D1575" s="7" t="s">
        <v>28</v>
      </c>
      <c r="E1575" s="7" t="s">
        <v>166</v>
      </c>
      <c r="F1575" s="7" t="s">
        <v>363</v>
      </c>
      <c r="G1575" s="7" t="s">
        <v>18</v>
      </c>
      <c r="H1575" s="7" t="s">
        <v>24</v>
      </c>
      <c r="I1575" s="7" t="s">
        <v>712</v>
      </c>
      <c r="J1575" s="7" t="s">
        <v>712</v>
      </c>
      <c r="K1575" s="8">
        <v>6265666</v>
      </c>
      <c r="L1575" s="8">
        <v>324438</v>
      </c>
      <c r="M1575" s="8">
        <v>19</v>
      </c>
      <c r="N1575" s="8">
        <v>1</v>
      </c>
      <c r="O1575" s="8">
        <v>1</v>
      </c>
      <c r="P1575" s="8"/>
    </row>
    <row r="1576" spans="1:16" hidden="1" x14ac:dyDescent="0.25">
      <c r="A1576" s="7" t="s">
        <v>37</v>
      </c>
      <c r="B1576" s="7" t="s">
        <v>415</v>
      </c>
      <c r="C1576" s="8">
        <v>28056</v>
      </c>
      <c r="D1576" s="7" t="s">
        <v>28</v>
      </c>
      <c r="E1576" s="7" t="s">
        <v>146</v>
      </c>
      <c r="F1576" s="7" t="s">
        <v>146</v>
      </c>
      <c r="G1576" s="7" t="s">
        <v>18</v>
      </c>
      <c r="H1576" s="7" t="s">
        <v>24</v>
      </c>
      <c r="I1576" s="7" t="s">
        <v>712</v>
      </c>
      <c r="J1576" s="7" t="s">
        <v>712</v>
      </c>
      <c r="K1576" s="8">
        <v>6272487</v>
      </c>
      <c r="L1576" s="8">
        <v>322278</v>
      </c>
      <c r="M1576" s="8">
        <v>19</v>
      </c>
      <c r="N1576" s="8">
        <v>1</v>
      </c>
      <c r="O1576" s="8">
        <v>2.4700000000000002</v>
      </c>
      <c r="P1576" s="8"/>
    </row>
    <row r="1577" spans="1:16" hidden="1" x14ac:dyDescent="0.25">
      <c r="A1577" s="7" t="s">
        <v>37</v>
      </c>
      <c r="B1577" s="7" t="s">
        <v>415</v>
      </c>
      <c r="C1577" s="8">
        <v>28057</v>
      </c>
      <c r="D1577" s="7" t="s">
        <v>28</v>
      </c>
      <c r="E1577" s="7" t="s">
        <v>344</v>
      </c>
      <c r="F1577" s="7" t="s">
        <v>520</v>
      </c>
      <c r="G1577" s="7" t="s">
        <v>18</v>
      </c>
      <c r="H1577" s="7" t="s">
        <v>24</v>
      </c>
      <c r="I1577" s="7" t="s">
        <v>712</v>
      </c>
      <c r="J1577" s="7" t="s">
        <v>712</v>
      </c>
      <c r="K1577" s="8">
        <v>6276669</v>
      </c>
      <c r="L1577" s="8">
        <v>296466</v>
      </c>
      <c r="M1577" s="8">
        <v>19</v>
      </c>
      <c r="N1577" s="8">
        <v>1</v>
      </c>
      <c r="O1577" s="8">
        <v>0.85</v>
      </c>
      <c r="P1577" s="8"/>
    </row>
    <row r="1578" spans="1:16" hidden="1" x14ac:dyDescent="0.25">
      <c r="A1578" s="7" t="s">
        <v>19</v>
      </c>
      <c r="B1578" s="7" t="s">
        <v>124</v>
      </c>
      <c r="C1578" s="8">
        <v>28058</v>
      </c>
      <c r="D1578" s="7" t="s">
        <v>16</v>
      </c>
      <c r="E1578" s="7" t="s">
        <v>50</v>
      </c>
      <c r="F1578" s="7" t="s">
        <v>161</v>
      </c>
      <c r="G1578" s="7" t="s">
        <v>18</v>
      </c>
      <c r="H1578" s="7" t="s">
        <v>48</v>
      </c>
      <c r="I1578" s="7" t="s">
        <v>712</v>
      </c>
      <c r="J1578" s="7" t="s">
        <v>712</v>
      </c>
      <c r="K1578" s="8">
        <v>6071903</v>
      </c>
      <c r="L1578" s="8">
        <v>268717</v>
      </c>
      <c r="M1578" s="8">
        <v>19</v>
      </c>
      <c r="N1578" s="8">
        <v>1</v>
      </c>
      <c r="O1578" s="8">
        <v>16.8</v>
      </c>
      <c r="P1578" s="8"/>
    </row>
    <row r="1579" spans="1:16" hidden="1" x14ac:dyDescent="0.25">
      <c r="A1579" s="7" t="s">
        <v>37</v>
      </c>
      <c r="B1579" s="7" t="s">
        <v>415</v>
      </c>
      <c r="C1579" s="8">
        <v>28059</v>
      </c>
      <c r="D1579" s="7" t="s">
        <v>28</v>
      </c>
      <c r="E1579" s="7" t="s">
        <v>344</v>
      </c>
      <c r="F1579" s="7" t="s">
        <v>520</v>
      </c>
      <c r="G1579" s="7" t="s">
        <v>18</v>
      </c>
      <c r="H1579" s="7" t="s">
        <v>24</v>
      </c>
      <c r="I1579" s="7" t="s">
        <v>712</v>
      </c>
      <c r="J1579" s="7" t="s">
        <v>712</v>
      </c>
      <c r="K1579" s="8">
        <v>6276367</v>
      </c>
      <c r="L1579" s="8">
        <v>296576</v>
      </c>
      <c r="M1579" s="8">
        <v>19</v>
      </c>
      <c r="N1579" s="8">
        <v>1</v>
      </c>
      <c r="O1579" s="8">
        <v>0.96</v>
      </c>
      <c r="P1579" s="8"/>
    </row>
    <row r="1580" spans="1:16" hidden="1" x14ac:dyDescent="0.25">
      <c r="A1580" s="7" t="s">
        <v>37</v>
      </c>
      <c r="B1580" s="7" t="s">
        <v>415</v>
      </c>
      <c r="C1580" s="8">
        <v>28060</v>
      </c>
      <c r="D1580" s="7" t="s">
        <v>28</v>
      </c>
      <c r="E1580" s="7" t="s">
        <v>166</v>
      </c>
      <c r="F1580" s="7" t="s">
        <v>525</v>
      </c>
      <c r="G1580" s="7" t="s">
        <v>18</v>
      </c>
      <c r="H1580" s="7" t="s">
        <v>24</v>
      </c>
      <c r="I1580" s="7" t="s">
        <v>712</v>
      </c>
      <c r="J1580" s="7" t="s">
        <v>712</v>
      </c>
      <c r="K1580" s="8">
        <v>6266667</v>
      </c>
      <c r="L1580" s="8">
        <v>327522</v>
      </c>
      <c r="M1580" s="8">
        <v>19</v>
      </c>
      <c r="N1580" s="8">
        <v>1</v>
      </c>
      <c r="O1580" s="8">
        <v>0.97</v>
      </c>
      <c r="P1580" s="8"/>
    </row>
    <row r="1581" spans="1:16" hidden="1" x14ac:dyDescent="0.25">
      <c r="A1581" s="7" t="s">
        <v>37</v>
      </c>
      <c r="B1581" s="7" t="s">
        <v>415</v>
      </c>
      <c r="C1581" s="8">
        <v>28061</v>
      </c>
      <c r="D1581" s="7" t="s">
        <v>28</v>
      </c>
      <c r="E1581" s="7" t="s">
        <v>146</v>
      </c>
      <c r="F1581" s="7" t="s">
        <v>146</v>
      </c>
      <c r="G1581" s="7" t="s">
        <v>18</v>
      </c>
      <c r="H1581" s="7" t="s">
        <v>24</v>
      </c>
      <c r="I1581" s="7" t="s">
        <v>712</v>
      </c>
      <c r="J1581" s="7" t="s">
        <v>712</v>
      </c>
      <c r="K1581" s="8">
        <v>6272758</v>
      </c>
      <c r="L1581" s="8">
        <v>321751</v>
      </c>
      <c r="M1581" s="8">
        <v>19</v>
      </c>
      <c r="N1581" s="8">
        <v>1</v>
      </c>
      <c r="O1581" s="8">
        <v>0.96</v>
      </c>
      <c r="P1581" s="8"/>
    </row>
    <row r="1582" spans="1:16" hidden="1" x14ac:dyDescent="0.25">
      <c r="A1582" s="7" t="s">
        <v>19</v>
      </c>
      <c r="B1582" s="7" t="s">
        <v>415</v>
      </c>
      <c r="C1582" s="8">
        <v>28062</v>
      </c>
      <c r="D1582" s="7" t="s">
        <v>28</v>
      </c>
      <c r="E1582" s="7" t="s">
        <v>452</v>
      </c>
      <c r="F1582" s="7" t="s">
        <v>453</v>
      </c>
      <c r="G1582" s="7" t="s">
        <v>18</v>
      </c>
      <c r="H1582" s="7" t="s">
        <v>48</v>
      </c>
      <c r="I1582" s="7" t="s">
        <v>712</v>
      </c>
      <c r="J1582" s="7" t="s">
        <v>691</v>
      </c>
      <c r="K1582" s="8">
        <v>6306029</v>
      </c>
      <c r="L1582" s="8">
        <v>329711</v>
      </c>
      <c r="M1582" s="8">
        <v>19</v>
      </c>
      <c r="N1582" s="8">
        <v>1</v>
      </c>
      <c r="O1582" s="8">
        <v>0.4</v>
      </c>
      <c r="P1582" s="8"/>
    </row>
    <row r="1583" spans="1:16" hidden="1" x14ac:dyDescent="0.25">
      <c r="A1583" s="7" t="s">
        <v>37</v>
      </c>
      <c r="B1583" s="7" t="s">
        <v>415</v>
      </c>
      <c r="C1583" s="8">
        <v>28063</v>
      </c>
      <c r="D1583" s="7" t="s">
        <v>28</v>
      </c>
      <c r="E1583" s="7" t="s">
        <v>146</v>
      </c>
      <c r="F1583" s="7" t="s">
        <v>526</v>
      </c>
      <c r="G1583" s="7" t="s">
        <v>18</v>
      </c>
      <c r="H1583" s="7" t="s">
        <v>24</v>
      </c>
      <c r="I1583" s="7" t="s">
        <v>712</v>
      </c>
      <c r="J1583" s="7" t="s">
        <v>712</v>
      </c>
      <c r="K1583" s="8">
        <v>6273465</v>
      </c>
      <c r="L1583" s="8">
        <v>323815</v>
      </c>
      <c r="M1583" s="8">
        <v>19</v>
      </c>
      <c r="N1583" s="8">
        <v>1</v>
      </c>
      <c r="O1583" s="8">
        <v>1</v>
      </c>
      <c r="P1583" s="8"/>
    </row>
    <row r="1584" spans="1:16" hidden="1" x14ac:dyDescent="0.25">
      <c r="A1584" s="7" t="s">
        <v>37</v>
      </c>
      <c r="B1584" s="7" t="s">
        <v>415</v>
      </c>
      <c r="C1584" s="8">
        <v>28064</v>
      </c>
      <c r="D1584" s="7" t="s">
        <v>28</v>
      </c>
      <c r="E1584" s="7" t="s">
        <v>146</v>
      </c>
      <c r="F1584" s="7" t="s">
        <v>479</v>
      </c>
      <c r="G1584" s="7" t="s">
        <v>18</v>
      </c>
      <c r="H1584" s="7" t="s">
        <v>24</v>
      </c>
      <c r="I1584" s="7" t="s">
        <v>712</v>
      </c>
      <c r="J1584" s="7" t="s">
        <v>712</v>
      </c>
      <c r="K1584" s="8">
        <v>6275730</v>
      </c>
      <c r="L1584" s="8">
        <v>321993</v>
      </c>
      <c r="M1584" s="8">
        <v>19</v>
      </c>
      <c r="N1584" s="8">
        <v>1</v>
      </c>
      <c r="O1584" s="8">
        <v>1</v>
      </c>
      <c r="P1584" s="8"/>
    </row>
    <row r="1585" spans="1:16" hidden="1" x14ac:dyDescent="0.25">
      <c r="A1585" s="7" t="s">
        <v>37</v>
      </c>
      <c r="B1585" s="7" t="s">
        <v>415</v>
      </c>
      <c r="C1585" s="8">
        <v>28065</v>
      </c>
      <c r="D1585" s="7" t="s">
        <v>28</v>
      </c>
      <c r="E1585" s="7" t="s">
        <v>32</v>
      </c>
      <c r="F1585" s="7" t="s">
        <v>337</v>
      </c>
      <c r="G1585" s="7" t="s">
        <v>18</v>
      </c>
      <c r="H1585" s="7" t="s">
        <v>24</v>
      </c>
      <c r="I1585" s="7" t="s">
        <v>712</v>
      </c>
      <c r="J1585" s="7" t="s">
        <v>712</v>
      </c>
      <c r="K1585" s="8">
        <v>6268209</v>
      </c>
      <c r="L1585" s="8">
        <v>334255</v>
      </c>
      <c r="M1585" s="8">
        <v>19</v>
      </c>
      <c r="N1585" s="8">
        <v>1</v>
      </c>
      <c r="O1585" s="8">
        <v>1</v>
      </c>
      <c r="P1585" s="8"/>
    </row>
    <row r="1586" spans="1:16" hidden="1" x14ac:dyDescent="0.25">
      <c r="A1586" s="7" t="s">
        <v>37</v>
      </c>
      <c r="B1586" s="7" t="s">
        <v>415</v>
      </c>
      <c r="C1586" s="8">
        <v>28066</v>
      </c>
      <c r="D1586" s="7" t="s">
        <v>28</v>
      </c>
      <c r="E1586" s="7" t="s">
        <v>142</v>
      </c>
      <c r="F1586" s="7" t="s">
        <v>458</v>
      </c>
      <c r="G1586" s="7" t="s">
        <v>18</v>
      </c>
      <c r="H1586" s="7" t="s">
        <v>24</v>
      </c>
      <c r="I1586" s="7" t="s">
        <v>712</v>
      </c>
      <c r="J1586" s="7" t="s">
        <v>712</v>
      </c>
      <c r="K1586" s="8">
        <v>6281664</v>
      </c>
      <c r="L1586" s="8">
        <v>335464</v>
      </c>
      <c r="M1586" s="8">
        <v>19</v>
      </c>
      <c r="N1586" s="8">
        <v>1</v>
      </c>
      <c r="O1586" s="8">
        <v>1</v>
      </c>
      <c r="P1586" s="8"/>
    </row>
    <row r="1587" spans="1:16" hidden="1" x14ac:dyDescent="0.25">
      <c r="A1587" s="7" t="s">
        <v>37</v>
      </c>
      <c r="B1587" s="7" t="s">
        <v>415</v>
      </c>
      <c r="C1587" s="8">
        <v>28069</v>
      </c>
      <c r="D1587" s="7" t="s">
        <v>28</v>
      </c>
      <c r="E1587" s="7" t="s">
        <v>56</v>
      </c>
      <c r="F1587" s="7" t="s">
        <v>512</v>
      </c>
      <c r="G1587" s="7" t="s">
        <v>18</v>
      </c>
      <c r="H1587" s="7" t="s">
        <v>24</v>
      </c>
      <c r="I1587" s="7" t="s">
        <v>712</v>
      </c>
      <c r="J1587" s="7" t="s">
        <v>712</v>
      </c>
      <c r="K1587" s="8">
        <v>6257790</v>
      </c>
      <c r="L1587" s="8">
        <v>326894</v>
      </c>
      <c r="M1587" s="8">
        <v>19</v>
      </c>
      <c r="N1587" s="8">
        <v>1</v>
      </c>
      <c r="O1587" s="8">
        <v>1</v>
      </c>
      <c r="P1587" s="8"/>
    </row>
    <row r="1588" spans="1:16" hidden="1" x14ac:dyDescent="0.25">
      <c r="A1588" s="7" t="s">
        <v>14</v>
      </c>
      <c r="B1588" s="7" t="s">
        <v>415</v>
      </c>
      <c r="C1588" s="8">
        <v>28070</v>
      </c>
      <c r="D1588" s="7" t="s">
        <v>28</v>
      </c>
      <c r="E1588" s="7" t="s">
        <v>56</v>
      </c>
      <c r="F1588" s="7" t="s">
        <v>439</v>
      </c>
      <c r="G1588" s="7" t="s">
        <v>18</v>
      </c>
      <c r="H1588" s="7" t="s">
        <v>689</v>
      </c>
      <c r="I1588" s="7" t="s">
        <v>712</v>
      </c>
      <c r="J1588" s="7" t="s">
        <v>712</v>
      </c>
      <c r="K1588" s="8">
        <v>6261929</v>
      </c>
      <c r="L1588" s="8">
        <v>336115</v>
      </c>
      <c r="M1588" s="8">
        <v>19</v>
      </c>
      <c r="N1588" s="8">
        <v>1</v>
      </c>
      <c r="O1588" s="8">
        <v>0.01</v>
      </c>
      <c r="P1588" s="8"/>
    </row>
    <row r="1589" spans="1:16" hidden="1" x14ac:dyDescent="0.25">
      <c r="A1589" s="7" t="s">
        <v>37</v>
      </c>
      <c r="B1589" s="7" t="s">
        <v>415</v>
      </c>
      <c r="C1589" s="8">
        <v>28071</v>
      </c>
      <c r="D1589" s="7" t="s">
        <v>28</v>
      </c>
      <c r="E1589" s="7" t="s">
        <v>142</v>
      </c>
      <c r="F1589" s="7" t="s">
        <v>172</v>
      </c>
      <c r="G1589" s="7" t="s">
        <v>18</v>
      </c>
      <c r="H1589" s="7" t="s">
        <v>24</v>
      </c>
      <c r="I1589" s="7" t="s">
        <v>712</v>
      </c>
      <c r="J1589" s="7" t="s">
        <v>712</v>
      </c>
      <c r="K1589" s="8">
        <v>6282013</v>
      </c>
      <c r="L1589" s="8">
        <v>333003</v>
      </c>
      <c r="M1589" s="8">
        <v>19</v>
      </c>
      <c r="N1589" s="8">
        <v>1</v>
      </c>
      <c r="O1589" s="8">
        <v>1.02</v>
      </c>
      <c r="P1589" s="8"/>
    </row>
    <row r="1590" spans="1:16" hidden="1" x14ac:dyDescent="0.25">
      <c r="A1590" s="7" t="s">
        <v>37</v>
      </c>
      <c r="B1590" s="7" t="s">
        <v>415</v>
      </c>
      <c r="C1590" s="8">
        <v>28072</v>
      </c>
      <c r="D1590" s="7" t="s">
        <v>28</v>
      </c>
      <c r="E1590" s="7" t="s">
        <v>142</v>
      </c>
      <c r="F1590" s="7" t="s">
        <v>172</v>
      </c>
      <c r="G1590" s="7" t="s">
        <v>18</v>
      </c>
      <c r="H1590" s="7" t="s">
        <v>24</v>
      </c>
      <c r="I1590" s="7" t="s">
        <v>712</v>
      </c>
      <c r="J1590" s="7" t="s">
        <v>712</v>
      </c>
      <c r="K1590" s="8">
        <v>6282288</v>
      </c>
      <c r="L1590" s="8">
        <v>333027</v>
      </c>
      <c r="M1590" s="8">
        <v>19</v>
      </c>
      <c r="N1590" s="8">
        <v>1</v>
      </c>
      <c r="O1590" s="8">
        <v>1</v>
      </c>
      <c r="P1590" s="8"/>
    </row>
    <row r="1591" spans="1:16" hidden="1" x14ac:dyDescent="0.25">
      <c r="A1591" s="7" t="s">
        <v>37</v>
      </c>
      <c r="B1591" s="7" t="s">
        <v>415</v>
      </c>
      <c r="C1591" s="8">
        <v>28073</v>
      </c>
      <c r="D1591" s="7" t="s">
        <v>28</v>
      </c>
      <c r="E1591" s="7" t="s">
        <v>32</v>
      </c>
      <c r="F1591" s="7" t="s">
        <v>33</v>
      </c>
      <c r="G1591" s="7" t="s">
        <v>18</v>
      </c>
      <c r="H1591" s="7" t="s">
        <v>48</v>
      </c>
      <c r="I1591" s="7" t="s">
        <v>712</v>
      </c>
      <c r="J1591" s="7" t="s">
        <v>712</v>
      </c>
      <c r="K1591" s="8">
        <v>6276508</v>
      </c>
      <c r="L1591" s="8">
        <v>347703</v>
      </c>
      <c r="M1591" s="8">
        <v>19</v>
      </c>
      <c r="N1591" s="8">
        <v>1</v>
      </c>
      <c r="O1591" s="8">
        <v>2.5099999999999998</v>
      </c>
      <c r="P1591" s="8"/>
    </row>
    <row r="1592" spans="1:16" hidden="1" x14ac:dyDescent="0.25">
      <c r="A1592" s="7" t="s">
        <v>37</v>
      </c>
      <c r="B1592" s="7" t="s">
        <v>415</v>
      </c>
      <c r="C1592" s="8">
        <v>28074</v>
      </c>
      <c r="D1592" s="7" t="s">
        <v>28</v>
      </c>
      <c r="E1592" s="7" t="s">
        <v>344</v>
      </c>
      <c r="F1592" s="7" t="s">
        <v>505</v>
      </c>
      <c r="G1592" s="7" t="s">
        <v>18</v>
      </c>
      <c r="H1592" s="7" t="s">
        <v>24</v>
      </c>
      <c r="I1592" s="7" t="s">
        <v>712</v>
      </c>
      <c r="J1592" s="7" t="s">
        <v>712</v>
      </c>
      <c r="K1592" s="8">
        <v>6272654</v>
      </c>
      <c r="L1592" s="8">
        <v>302996</v>
      </c>
      <c r="M1592" s="8">
        <v>19</v>
      </c>
      <c r="N1592" s="8">
        <v>1</v>
      </c>
      <c r="O1592" s="8">
        <v>0.98</v>
      </c>
      <c r="P1592" s="8"/>
    </row>
    <row r="1593" spans="1:16" hidden="1" x14ac:dyDescent="0.25">
      <c r="A1593" s="7" t="s">
        <v>37</v>
      </c>
      <c r="B1593" s="7" t="s">
        <v>415</v>
      </c>
      <c r="C1593" s="8">
        <v>28075</v>
      </c>
      <c r="D1593" s="7" t="s">
        <v>28</v>
      </c>
      <c r="E1593" s="7" t="s">
        <v>146</v>
      </c>
      <c r="F1593" s="7" t="s">
        <v>527</v>
      </c>
      <c r="G1593" s="7" t="s">
        <v>18</v>
      </c>
      <c r="H1593" s="7" t="s">
        <v>24</v>
      </c>
      <c r="I1593" s="7" t="s">
        <v>712</v>
      </c>
      <c r="J1593" s="7" t="s">
        <v>712</v>
      </c>
      <c r="K1593" s="8">
        <v>6271955</v>
      </c>
      <c r="L1593" s="8">
        <v>327671</v>
      </c>
      <c r="M1593" s="8">
        <v>19</v>
      </c>
      <c r="N1593" s="8">
        <v>1</v>
      </c>
      <c r="O1593" s="8">
        <v>1.08</v>
      </c>
      <c r="P1593" s="8"/>
    </row>
    <row r="1594" spans="1:16" hidden="1" x14ac:dyDescent="0.25">
      <c r="A1594" s="7" t="s">
        <v>37</v>
      </c>
      <c r="B1594" s="7" t="s">
        <v>270</v>
      </c>
      <c r="C1594" s="8">
        <v>28076</v>
      </c>
      <c r="D1594" s="7" t="s">
        <v>16</v>
      </c>
      <c r="E1594" s="7" t="s">
        <v>72</v>
      </c>
      <c r="F1594" s="7" t="s">
        <v>84</v>
      </c>
      <c r="G1594" s="7" t="s">
        <v>18</v>
      </c>
      <c r="H1594" s="7" t="s">
        <v>48</v>
      </c>
      <c r="I1594" s="7" t="s">
        <v>712</v>
      </c>
      <c r="J1594" s="7" t="s">
        <v>691</v>
      </c>
      <c r="K1594" s="8">
        <v>6102426</v>
      </c>
      <c r="L1594" s="8">
        <v>293318</v>
      </c>
      <c r="M1594" s="8">
        <v>19</v>
      </c>
      <c r="N1594" s="8">
        <v>2</v>
      </c>
      <c r="O1594" s="8">
        <v>40</v>
      </c>
      <c r="P1594" s="8"/>
    </row>
    <row r="1595" spans="1:16" hidden="1" x14ac:dyDescent="0.25">
      <c r="A1595" s="7" t="s">
        <v>37</v>
      </c>
      <c r="B1595" s="7" t="s">
        <v>415</v>
      </c>
      <c r="C1595" s="8">
        <v>28078</v>
      </c>
      <c r="D1595" s="7" t="s">
        <v>28</v>
      </c>
      <c r="E1595" s="7" t="s">
        <v>393</v>
      </c>
      <c r="F1595" s="7" t="s">
        <v>509</v>
      </c>
      <c r="G1595" s="7" t="s">
        <v>18</v>
      </c>
      <c r="H1595" s="7" t="s">
        <v>24</v>
      </c>
      <c r="I1595" s="7" t="s">
        <v>712</v>
      </c>
      <c r="J1595" s="7" t="s">
        <v>712</v>
      </c>
      <c r="K1595" s="8">
        <v>6273657</v>
      </c>
      <c r="L1595" s="8">
        <v>315877</v>
      </c>
      <c r="M1595" s="8">
        <v>19</v>
      </c>
      <c r="N1595" s="8">
        <v>1</v>
      </c>
      <c r="O1595" s="8">
        <v>0.5</v>
      </c>
      <c r="P1595" s="8"/>
    </row>
    <row r="1596" spans="1:16" hidden="1" x14ac:dyDescent="0.25">
      <c r="A1596" s="7" t="s">
        <v>37</v>
      </c>
      <c r="B1596" s="7" t="s">
        <v>415</v>
      </c>
      <c r="C1596" s="8">
        <v>28080</v>
      </c>
      <c r="D1596" s="7" t="s">
        <v>28</v>
      </c>
      <c r="E1596" s="7" t="s">
        <v>393</v>
      </c>
      <c r="F1596" s="7" t="s">
        <v>509</v>
      </c>
      <c r="G1596" s="7" t="s">
        <v>18</v>
      </c>
      <c r="H1596" s="7" t="s">
        <v>24</v>
      </c>
      <c r="I1596" s="7" t="s">
        <v>712</v>
      </c>
      <c r="J1596" s="7" t="s">
        <v>712</v>
      </c>
      <c r="K1596" s="8">
        <v>6274243</v>
      </c>
      <c r="L1596" s="8">
        <v>316117</v>
      </c>
      <c r="M1596" s="8">
        <v>19</v>
      </c>
      <c r="N1596" s="8">
        <v>1</v>
      </c>
      <c r="O1596" s="8">
        <v>1</v>
      </c>
      <c r="P1596" s="8"/>
    </row>
    <row r="1597" spans="1:16" hidden="1" x14ac:dyDescent="0.25">
      <c r="A1597" s="7" t="s">
        <v>37</v>
      </c>
      <c r="B1597" s="7" t="s">
        <v>415</v>
      </c>
      <c r="C1597" s="8">
        <v>28081</v>
      </c>
      <c r="D1597" s="7" t="s">
        <v>28</v>
      </c>
      <c r="E1597" s="7" t="s">
        <v>393</v>
      </c>
      <c r="F1597" s="7" t="s">
        <v>509</v>
      </c>
      <c r="G1597" s="7" t="s">
        <v>18</v>
      </c>
      <c r="H1597" s="7" t="s">
        <v>24</v>
      </c>
      <c r="I1597" s="7" t="s">
        <v>712</v>
      </c>
      <c r="J1597" s="7" t="s">
        <v>712</v>
      </c>
      <c r="K1597" s="8">
        <v>6273984</v>
      </c>
      <c r="L1597" s="8">
        <v>315885</v>
      </c>
      <c r="M1597" s="8">
        <v>19</v>
      </c>
      <c r="N1597" s="8">
        <v>1</v>
      </c>
      <c r="O1597" s="8">
        <v>1</v>
      </c>
      <c r="P1597" s="8"/>
    </row>
    <row r="1598" spans="1:16" hidden="1" x14ac:dyDescent="0.25">
      <c r="A1598" s="7" t="s">
        <v>37</v>
      </c>
      <c r="B1598" s="7" t="s">
        <v>415</v>
      </c>
      <c r="C1598" s="8">
        <v>28082</v>
      </c>
      <c r="D1598" s="7" t="s">
        <v>28</v>
      </c>
      <c r="E1598" s="7" t="s">
        <v>393</v>
      </c>
      <c r="F1598" s="7" t="s">
        <v>509</v>
      </c>
      <c r="G1598" s="7" t="s">
        <v>18</v>
      </c>
      <c r="H1598" s="7" t="s">
        <v>24</v>
      </c>
      <c r="I1598" s="7" t="s">
        <v>712</v>
      </c>
      <c r="J1598" s="7" t="s">
        <v>712</v>
      </c>
      <c r="K1598" s="8">
        <v>6273656</v>
      </c>
      <c r="L1598" s="8">
        <v>316173</v>
      </c>
      <c r="M1598" s="8">
        <v>19</v>
      </c>
      <c r="N1598" s="8">
        <v>1</v>
      </c>
      <c r="O1598" s="8">
        <v>1</v>
      </c>
      <c r="P1598" s="8"/>
    </row>
    <row r="1599" spans="1:16" hidden="1" x14ac:dyDescent="0.25">
      <c r="A1599" s="7" t="s">
        <v>19</v>
      </c>
      <c r="B1599" s="7" t="s">
        <v>92</v>
      </c>
      <c r="C1599" s="8">
        <v>28083</v>
      </c>
      <c r="D1599" s="7" t="s">
        <v>34</v>
      </c>
      <c r="E1599" s="7" t="s">
        <v>96</v>
      </c>
      <c r="F1599" s="7" t="s">
        <v>96</v>
      </c>
      <c r="G1599" s="7" t="s">
        <v>65</v>
      </c>
      <c r="H1599" s="7" t="s">
        <v>24</v>
      </c>
      <c r="I1599" s="7" t="s">
        <v>712</v>
      </c>
      <c r="J1599" s="7" t="s">
        <v>712</v>
      </c>
      <c r="K1599" s="8">
        <v>5917852</v>
      </c>
      <c r="L1599" s="8">
        <v>755190</v>
      </c>
      <c r="M1599" s="8">
        <v>18</v>
      </c>
      <c r="N1599" s="8">
        <v>1</v>
      </c>
      <c r="O1599" s="8">
        <v>5</v>
      </c>
      <c r="P1599" s="8"/>
    </row>
    <row r="1600" spans="1:16" hidden="1" x14ac:dyDescent="0.25">
      <c r="A1600" s="7" t="s">
        <v>37</v>
      </c>
      <c r="B1600" s="7" t="s">
        <v>415</v>
      </c>
      <c r="C1600" s="8">
        <v>28084</v>
      </c>
      <c r="D1600" s="7" t="s">
        <v>28</v>
      </c>
      <c r="E1600" s="7" t="s">
        <v>146</v>
      </c>
      <c r="F1600" s="7" t="s">
        <v>458</v>
      </c>
      <c r="G1600" s="7" t="s">
        <v>18</v>
      </c>
      <c r="H1600" s="7" t="s">
        <v>24</v>
      </c>
      <c r="I1600" s="7" t="s">
        <v>712</v>
      </c>
      <c r="J1600" s="7" t="s">
        <v>712</v>
      </c>
      <c r="K1600" s="8">
        <v>6270570</v>
      </c>
      <c r="L1600" s="8">
        <v>326988</v>
      </c>
      <c r="M1600" s="8">
        <v>19</v>
      </c>
      <c r="N1600" s="8">
        <v>1</v>
      </c>
      <c r="O1600" s="8">
        <v>1.06</v>
      </c>
      <c r="P1600" s="8"/>
    </row>
    <row r="1601" spans="1:16" hidden="1" x14ac:dyDescent="0.25">
      <c r="A1601" s="7" t="s">
        <v>19</v>
      </c>
      <c r="B1601" s="7" t="s">
        <v>92</v>
      </c>
      <c r="C1601" s="8">
        <v>28085</v>
      </c>
      <c r="D1601" s="7" t="s">
        <v>34</v>
      </c>
      <c r="E1601" s="7" t="s">
        <v>96</v>
      </c>
      <c r="F1601" s="7" t="s">
        <v>96</v>
      </c>
      <c r="G1601" s="7" t="s">
        <v>65</v>
      </c>
      <c r="H1601" s="7" t="s">
        <v>24</v>
      </c>
      <c r="I1601" s="7" t="s">
        <v>712</v>
      </c>
      <c r="J1601" s="7" t="s">
        <v>712</v>
      </c>
      <c r="K1601" s="8">
        <v>5917852</v>
      </c>
      <c r="L1601" s="8">
        <v>755190</v>
      </c>
      <c r="M1601" s="8">
        <v>18</v>
      </c>
      <c r="N1601" s="8">
        <v>1</v>
      </c>
      <c r="O1601" s="8">
        <v>25</v>
      </c>
      <c r="P1601" s="8"/>
    </row>
    <row r="1602" spans="1:16" hidden="1" x14ac:dyDescent="0.25">
      <c r="A1602" s="7" t="s">
        <v>14</v>
      </c>
      <c r="B1602" s="7" t="s">
        <v>558</v>
      </c>
      <c r="C1602" s="8">
        <v>28086</v>
      </c>
      <c r="D1602" s="7" t="s">
        <v>52</v>
      </c>
      <c r="E1602" s="7" t="s">
        <v>145</v>
      </c>
      <c r="F1602" s="7" t="s">
        <v>248</v>
      </c>
      <c r="G1602" s="7" t="s">
        <v>18</v>
      </c>
      <c r="H1602" s="7" t="s">
        <v>689</v>
      </c>
      <c r="I1602" s="7" t="s">
        <v>690</v>
      </c>
      <c r="J1602" s="7" t="s">
        <v>690</v>
      </c>
      <c r="K1602" s="8">
        <v>6164600</v>
      </c>
      <c r="L1602" s="8">
        <v>328161</v>
      </c>
      <c r="M1602" s="8">
        <v>19</v>
      </c>
      <c r="N1602" s="8">
        <v>1</v>
      </c>
      <c r="O1602" s="8">
        <v>0.83</v>
      </c>
      <c r="P1602" s="8"/>
    </row>
    <row r="1603" spans="1:16" hidden="1" x14ac:dyDescent="0.25">
      <c r="A1603" s="7" t="s">
        <v>19</v>
      </c>
      <c r="B1603" s="7" t="s">
        <v>92</v>
      </c>
      <c r="C1603" s="8">
        <v>28087</v>
      </c>
      <c r="D1603" s="7" t="s">
        <v>34</v>
      </c>
      <c r="E1603" s="7" t="s">
        <v>96</v>
      </c>
      <c r="F1603" s="7" t="s">
        <v>96</v>
      </c>
      <c r="G1603" s="7" t="s">
        <v>65</v>
      </c>
      <c r="H1603" s="7" t="s">
        <v>24</v>
      </c>
      <c r="I1603" s="7" t="s">
        <v>712</v>
      </c>
      <c r="J1603" s="7" t="s">
        <v>712</v>
      </c>
      <c r="K1603" s="8">
        <v>5917399</v>
      </c>
      <c r="L1603" s="8">
        <v>737491</v>
      </c>
      <c r="M1603" s="8">
        <v>18</v>
      </c>
      <c r="N1603" s="8">
        <v>1</v>
      </c>
      <c r="O1603" s="8">
        <v>17</v>
      </c>
      <c r="P1603" s="8"/>
    </row>
    <row r="1604" spans="1:16" hidden="1" x14ac:dyDescent="0.25">
      <c r="A1604" s="7" t="s">
        <v>19</v>
      </c>
      <c r="B1604" s="7" t="s">
        <v>92</v>
      </c>
      <c r="C1604" s="8">
        <v>28088</v>
      </c>
      <c r="D1604" s="7" t="s">
        <v>34</v>
      </c>
      <c r="E1604" s="7" t="s">
        <v>96</v>
      </c>
      <c r="F1604" s="7" t="s">
        <v>96</v>
      </c>
      <c r="G1604" s="7" t="s">
        <v>65</v>
      </c>
      <c r="H1604" s="7" t="s">
        <v>24</v>
      </c>
      <c r="I1604" s="7" t="s">
        <v>712</v>
      </c>
      <c r="J1604" s="7" t="s">
        <v>712</v>
      </c>
      <c r="K1604" s="8">
        <v>5917399</v>
      </c>
      <c r="L1604" s="8">
        <v>737491</v>
      </c>
      <c r="M1604" s="8">
        <v>18</v>
      </c>
      <c r="N1604" s="8">
        <v>1</v>
      </c>
      <c r="O1604" s="8">
        <v>19.399999999999999</v>
      </c>
      <c r="P1604" s="8"/>
    </row>
    <row r="1605" spans="1:16" hidden="1" x14ac:dyDescent="0.25">
      <c r="A1605" s="7" t="s">
        <v>19</v>
      </c>
      <c r="B1605" s="7" t="s">
        <v>92</v>
      </c>
      <c r="C1605" s="8">
        <v>28090</v>
      </c>
      <c r="D1605" s="7" t="s">
        <v>34</v>
      </c>
      <c r="E1605" s="7" t="s">
        <v>96</v>
      </c>
      <c r="F1605" s="7" t="s">
        <v>96</v>
      </c>
      <c r="G1605" s="7" t="s">
        <v>65</v>
      </c>
      <c r="H1605" s="7" t="s">
        <v>24</v>
      </c>
      <c r="I1605" s="7" t="s">
        <v>712</v>
      </c>
      <c r="J1605" s="7" t="s">
        <v>712</v>
      </c>
      <c r="K1605" s="8">
        <v>5917399</v>
      </c>
      <c r="L1605" s="8">
        <v>737491</v>
      </c>
      <c r="M1605" s="8">
        <v>18</v>
      </c>
      <c r="N1605" s="8">
        <v>1</v>
      </c>
      <c r="O1605" s="8">
        <v>3</v>
      </c>
      <c r="P1605" s="8"/>
    </row>
    <row r="1606" spans="1:16" hidden="1" x14ac:dyDescent="0.25">
      <c r="A1606" s="7" t="s">
        <v>19</v>
      </c>
      <c r="B1606" s="7" t="s">
        <v>92</v>
      </c>
      <c r="C1606" s="8">
        <v>28091</v>
      </c>
      <c r="D1606" s="7" t="s">
        <v>34</v>
      </c>
      <c r="E1606" s="7" t="s">
        <v>95</v>
      </c>
      <c r="F1606" s="7" t="s">
        <v>100</v>
      </c>
      <c r="G1606" s="7" t="s">
        <v>65</v>
      </c>
      <c r="H1606" s="7" t="s">
        <v>24</v>
      </c>
      <c r="I1606" s="7" t="s">
        <v>712</v>
      </c>
      <c r="J1606" s="7" t="s">
        <v>712</v>
      </c>
      <c r="K1606" s="8">
        <v>5917282</v>
      </c>
      <c r="L1606" s="8">
        <v>741121</v>
      </c>
      <c r="M1606" s="8">
        <v>18</v>
      </c>
      <c r="N1606" s="8">
        <v>1</v>
      </c>
      <c r="O1606" s="8">
        <v>34</v>
      </c>
      <c r="P1606" s="8"/>
    </row>
    <row r="1607" spans="1:16" hidden="1" x14ac:dyDescent="0.25">
      <c r="A1607" s="7" t="s">
        <v>19</v>
      </c>
      <c r="B1607" s="7" t="s">
        <v>92</v>
      </c>
      <c r="C1607" s="8">
        <v>28092</v>
      </c>
      <c r="D1607" s="7" t="s">
        <v>34</v>
      </c>
      <c r="E1607" s="7" t="s">
        <v>101</v>
      </c>
      <c r="F1607" s="7" t="s">
        <v>102</v>
      </c>
      <c r="G1607" s="7" t="s">
        <v>65</v>
      </c>
      <c r="H1607" s="7" t="s">
        <v>24</v>
      </c>
      <c r="I1607" s="7" t="s">
        <v>712</v>
      </c>
      <c r="J1607" s="7" t="s">
        <v>712</v>
      </c>
      <c r="K1607" s="8">
        <v>5914940</v>
      </c>
      <c r="L1607" s="8">
        <v>766653</v>
      </c>
      <c r="M1607" s="8">
        <v>18</v>
      </c>
      <c r="N1607" s="8">
        <v>1</v>
      </c>
      <c r="O1607" s="8">
        <v>9.4</v>
      </c>
      <c r="P1607" s="8"/>
    </row>
    <row r="1608" spans="1:16" hidden="1" x14ac:dyDescent="0.25">
      <c r="A1608" s="7" t="s">
        <v>37</v>
      </c>
      <c r="B1608" s="7" t="s">
        <v>415</v>
      </c>
      <c r="C1608" s="8">
        <v>28093</v>
      </c>
      <c r="D1608" s="7" t="s">
        <v>28</v>
      </c>
      <c r="E1608" s="7" t="s">
        <v>146</v>
      </c>
      <c r="F1608" s="7" t="s">
        <v>146</v>
      </c>
      <c r="G1608" s="7" t="s">
        <v>18</v>
      </c>
      <c r="H1608" s="7" t="s">
        <v>24</v>
      </c>
      <c r="I1608" s="7" t="s">
        <v>712</v>
      </c>
      <c r="J1608" s="7" t="s">
        <v>712</v>
      </c>
      <c r="K1608" s="8">
        <v>6273912</v>
      </c>
      <c r="L1608" s="8">
        <v>323181</v>
      </c>
      <c r="M1608" s="8">
        <v>19</v>
      </c>
      <c r="N1608" s="8">
        <v>1</v>
      </c>
      <c r="O1608" s="8">
        <v>1.07</v>
      </c>
      <c r="P1608" s="8"/>
    </row>
    <row r="1609" spans="1:16" hidden="1" x14ac:dyDescent="0.25">
      <c r="A1609" s="7" t="s">
        <v>19</v>
      </c>
      <c r="B1609" s="7" t="s">
        <v>92</v>
      </c>
      <c r="C1609" s="8">
        <v>28094</v>
      </c>
      <c r="D1609" s="7" t="s">
        <v>34</v>
      </c>
      <c r="E1609" s="7" t="s">
        <v>103</v>
      </c>
      <c r="F1609" s="7" t="s">
        <v>104</v>
      </c>
      <c r="G1609" s="7" t="s">
        <v>65</v>
      </c>
      <c r="H1609" s="7" t="s">
        <v>24</v>
      </c>
      <c r="I1609" s="7" t="s">
        <v>712</v>
      </c>
      <c r="J1609" s="7" t="s">
        <v>712</v>
      </c>
      <c r="K1609" s="8">
        <v>5910096</v>
      </c>
      <c r="L1609" s="8">
        <v>742889</v>
      </c>
      <c r="M1609" s="8">
        <v>18</v>
      </c>
      <c r="N1609" s="8">
        <v>1</v>
      </c>
      <c r="O1609" s="8">
        <v>7</v>
      </c>
      <c r="P1609" s="8"/>
    </row>
    <row r="1610" spans="1:16" hidden="1" x14ac:dyDescent="0.25">
      <c r="A1610" s="7" t="s">
        <v>19</v>
      </c>
      <c r="B1610" s="7" t="s">
        <v>270</v>
      </c>
      <c r="C1610" s="8">
        <v>28097</v>
      </c>
      <c r="D1610" s="7" t="s">
        <v>16</v>
      </c>
      <c r="E1610" s="7" t="s">
        <v>72</v>
      </c>
      <c r="F1610" s="7" t="s">
        <v>84</v>
      </c>
      <c r="G1610" s="7" t="s">
        <v>18</v>
      </c>
      <c r="H1610" s="7" t="s">
        <v>48</v>
      </c>
      <c r="I1610" s="7" t="s">
        <v>712</v>
      </c>
      <c r="J1610" s="7" t="s">
        <v>712</v>
      </c>
      <c r="K1610" s="8">
        <v>6103326</v>
      </c>
      <c r="L1610" s="8">
        <v>295711</v>
      </c>
      <c r="M1610" s="8">
        <v>19</v>
      </c>
      <c r="N1610" s="8">
        <v>2</v>
      </c>
      <c r="O1610" s="8">
        <v>10</v>
      </c>
      <c r="P1610" s="8"/>
    </row>
    <row r="1611" spans="1:16" hidden="1" x14ac:dyDescent="0.25">
      <c r="A1611" s="7" t="s">
        <v>19</v>
      </c>
      <c r="B1611" s="7" t="s">
        <v>415</v>
      </c>
      <c r="C1611" s="8">
        <v>28098</v>
      </c>
      <c r="D1611" s="7" t="s">
        <v>52</v>
      </c>
      <c r="E1611" s="7" t="s">
        <v>141</v>
      </c>
      <c r="F1611" s="7" t="s">
        <v>141</v>
      </c>
      <c r="G1611" s="7" t="s">
        <v>18</v>
      </c>
      <c r="H1611" s="7" t="s">
        <v>48</v>
      </c>
      <c r="I1611" s="7" t="s">
        <v>712</v>
      </c>
      <c r="J1611" s="7" t="s">
        <v>691</v>
      </c>
      <c r="K1611" s="8">
        <v>6160792</v>
      </c>
      <c r="L1611" s="8">
        <v>292488</v>
      </c>
      <c r="M1611" s="8">
        <v>19</v>
      </c>
      <c r="N1611" s="8">
        <v>1</v>
      </c>
      <c r="O1611" s="8">
        <v>14.79</v>
      </c>
      <c r="P1611" s="8"/>
    </row>
    <row r="1612" spans="1:16" hidden="1" x14ac:dyDescent="0.25">
      <c r="A1612" s="7" t="s">
        <v>37</v>
      </c>
      <c r="B1612" s="7" t="s">
        <v>254</v>
      </c>
      <c r="C1612" s="8">
        <v>28099</v>
      </c>
      <c r="D1612" s="7" t="s">
        <v>21</v>
      </c>
      <c r="E1612" s="7" t="s">
        <v>278</v>
      </c>
      <c r="F1612" s="7" t="s">
        <v>331</v>
      </c>
      <c r="G1612" s="7" t="s">
        <v>18</v>
      </c>
      <c r="H1612" s="7" t="s">
        <v>24</v>
      </c>
      <c r="I1612" s="7" t="s">
        <v>712</v>
      </c>
      <c r="J1612" s="7" t="s">
        <v>712</v>
      </c>
      <c r="K1612" s="8">
        <v>6363403</v>
      </c>
      <c r="L1612" s="8">
        <v>301302</v>
      </c>
      <c r="M1612" s="8">
        <v>19</v>
      </c>
      <c r="N1612" s="8">
        <v>1</v>
      </c>
      <c r="O1612" s="8">
        <v>0.6</v>
      </c>
      <c r="P1612" s="8"/>
    </row>
    <row r="1613" spans="1:16" hidden="1" x14ac:dyDescent="0.25">
      <c r="A1613" s="7" t="s">
        <v>19</v>
      </c>
      <c r="B1613" s="7" t="s">
        <v>270</v>
      </c>
      <c r="C1613" s="8">
        <v>28100</v>
      </c>
      <c r="D1613" s="7" t="s">
        <v>52</v>
      </c>
      <c r="E1613" s="7" t="s">
        <v>249</v>
      </c>
      <c r="F1613" s="7" t="s">
        <v>592</v>
      </c>
      <c r="G1613" s="7" t="s">
        <v>18</v>
      </c>
      <c r="H1613" s="7" t="s">
        <v>48</v>
      </c>
      <c r="I1613" s="7" t="s">
        <v>712</v>
      </c>
      <c r="J1613" s="7" t="s">
        <v>712</v>
      </c>
      <c r="K1613" s="8">
        <v>6186498</v>
      </c>
      <c r="L1613" s="8">
        <v>312194</v>
      </c>
      <c r="M1613" s="8">
        <v>19</v>
      </c>
      <c r="N1613" s="8">
        <v>1</v>
      </c>
      <c r="O1613" s="8">
        <v>12</v>
      </c>
      <c r="P1613" s="8"/>
    </row>
    <row r="1614" spans="1:16" hidden="1" x14ac:dyDescent="0.25">
      <c r="A1614" s="7" t="s">
        <v>19</v>
      </c>
      <c r="B1614" s="7" t="s">
        <v>415</v>
      </c>
      <c r="C1614" s="8">
        <v>28101</v>
      </c>
      <c r="D1614" s="7" t="s">
        <v>52</v>
      </c>
      <c r="E1614" s="7" t="s">
        <v>141</v>
      </c>
      <c r="F1614" s="7" t="s">
        <v>141</v>
      </c>
      <c r="G1614" s="7" t="s">
        <v>18</v>
      </c>
      <c r="H1614" s="7" t="s">
        <v>48</v>
      </c>
      <c r="I1614" s="7" t="s">
        <v>712</v>
      </c>
      <c r="J1614" s="7" t="s">
        <v>691</v>
      </c>
      <c r="K1614" s="8">
        <v>6160792</v>
      </c>
      <c r="L1614" s="8">
        <v>292488</v>
      </c>
      <c r="M1614" s="8">
        <v>19</v>
      </c>
      <c r="N1614" s="8">
        <v>1</v>
      </c>
      <c r="O1614" s="8">
        <v>2</v>
      </c>
      <c r="P1614" s="8"/>
    </row>
    <row r="1615" spans="1:16" hidden="1" x14ac:dyDescent="0.25">
      <c r="A1615" s="7" t="s">
        <v>19</v>
      </c>
      <c r="B1615" s="7" t="s">
        <v>270</v>
      </c>
      <c r="C1615" s="8">
        <v>28102</v>
      </c>
      <c r="D1615" s="7" t="s">
        <v>52</v>
      </c>
      <c r="E1615" s="7" t="s">
        <v>82</v>
      </c>
      <c r="F1615" s="7" t="s">
        <v>437</v>
      </c>
      <c r="G1615" s="7" t="s">
        <v>18</v>
      </c>
      <c r="H1615" s="7" t="s">
        <v>48</v>
      </c>
      <c r="I1615" s="7" t="s">
        <v>712</v>
      </c>
      <c r="J1615" s="7" t="s">
        <v>712</v>
      </c>
      <c r="K1615" s="8">
        <v>6165588</v>
      </c>
      <c r="L1615" s="8">
        <v>287424</v>
      </c>
      <c r="M1615" s="8">
        <v>19</v>
      </c>
      <c r="N1615" s="8">
        <v>1</v>
      </c>
      <c r="O1615" s="8">
        <v>40</v>
      </c>
      <c r="P1615" s="8"/>
    </row>
    <row r="1616" spans="1:16" hidden="1" x14ac:dyDescent="0.25">
      <c r="A1616" s="7" t="s">
        <v>19</v>
      </c>
      <c r="B1616" s="7" t="s">
        <v>92</v>
      </c>
      <c r="C1616" s="8">
        <v>28103</v>
      </c>
      <c r="D1616" s="7" t="s">
        <v>34</v>
      </c>
      <c r="E1616" s="7" t="s">
        <v>103</v>
      </c>
      <c r="F1616" s="7" t="s">
        <v>104</v>
      </c>
      <c r="G1616" s="7" t="s">
        <v>65</v>
      </c>
      <c r="H1616" s="7" t="s">
        <v>24</v>
      </c>
      <c r="I1616" s="7" t="s">
        <v>712</v>
      </c>
      <c r="J1616" s="7" t="s">
        <v>712</v>
      </c>
      <c r="K1616" s="8">
        <v>5910190</v>
      </c>
      <c r="L1616" s="8">
        <v>742644</v>
      </c>
      <c r="M1616" s="8">
        <v>18</v>
      </c>
      <c r="N1616" s="8">
        <v>1</v>
      </c>
      <c r="O1616" s="8">
        <v>7</v>
      </c>
      <c r="P1616" s="8"/>
    </row>
    <row r="1617" spans="1:16" hidden="1" x14ac:dyDescent="0.25">
      <c r="A1617" s="7" t="s">
        <v>19</v>
      </c>
      <c r="B1617" s="7" t="s">
        <v>92</v>
      </c>
      <c r="C1617" s="8">
        <v>28104</v>
      </c>
      <c r="D1617" s="7" t="s">
        <v>34</v>
      </c>
      <c r="E1617" s="7" t="s">
        <v>95</v>
      </c>
      <c r="F1617" s="7" t="s">
        <v>114</v>
      </c>
      <c r="G1617" s="7" t="s">
        <v>65</v>
      </c>
      <c r="H1617" s="7" t="s">
        <v>24</v>
      </c>
      <c r="I1617" s="7" t="s">
        <v>712</v>
      </c>
      <c r="J1617" s="7" t="s">
        <v>712</v>
      </c>
      <c r="K1617" s="8">
        <v>5918872</v>
      </c>
      <c r="L1617" s="8">
        <v>752624</v>
      </c>
      <c r="M1617" s="8">
        <v>18</v>
      </c>
      <c r="N1617" s="8">
        <v>1</v>
      </c>
      <c r="O1617" s="8">
        <v>7.4</v>
      </c>
      <c r="P1617" s="8"/>
    </row>
    <row r="1618" spans="1:16" hidden="1" x14ac:dyDescent="0.25">
      <c r="A1618" s="7" t="s">
        <v>19</v>
      </c>
      <c r="B1618" s="7" t="s">
        <v>92</v>
      </c>
      <c r="C1618" s="8">
        <v>28105</v>
      </c>
      <c r="D1618" s="7" t="s">
        <v>34</v>
      </c>
      <c r="E1618" s="7" t="s">
        <v>95</v>
      </c>
      <c r="F1618" s="7" t="s">
        <v>99</v>
      </c>
      <c r="G1618" s="7" t="s">
        <v>65</v>
      </c>
      <c r="H1618" s="7" t="s">
        <v>24</v>
      </c>
      <c r="I1618" s="7" t="s">
        <v>712</v>
      </c>
      <c r="J1618" s="7" t="s">
        <v>712</v>
      </c>
      <c r="K1618" s="8">
        <v>5914608</v>
      </c>
      <c r="L1618" s="8">
        <v>748896</v>
      </c>
      <c r="M1618" s="8">
        <v>18</v>
      </c>
      <c r="N1618" s="8">
        <v>1</v>
      </c>
      <c r="O1618" s="8">
        <v>14</v>
      </c>
      <c r="P1618" s="8"/>
    </row>
    <row r="1619" spans="1:16" hidden="1" x14ac:dyDescent="0.25">
      <c r="A1619" s="7" t="s">
        <v>19</v>
      </c>
      <c r="B1619" s="7" t="s">
        <v>270</v>
      </c>
      <c r="C1619" s="8">
        <v>28107</v>
      </c>
      <c r="D1619" s="7" t="s">
        <v>52</v>
      </c>
      <c r="E1619" s="7" t="s">
        <v>53</v>
      </c>
      <c r="F1619" s="7" t="s">
        <v>87</v>
      </c>
      <c r="G1619" s="7" t="s">
        <v>18</v>
      </c>
      <c r="H1619" s="7" t="s">
        <v>48</v>
      </c>
      <c r="I1619" s="7" t="s">
        <v>712</v>
      </c>
      <c r="J1619" s="7" t="s">
        <v>712</v>
      </c>
      <c r="K1619" s="8">
        <v>6151729</v>
      </c>
      <c r="L1619" s="8">
        <v>322949</v>
      </c>
      <c r="M1619" s="8">
        <v>19</v>
      </c>
      <c r="N1619" s="8">
        <v>11</v>
      </c>
      <c r="O1619" s="8">
        <v>92</v>
      </c>
      <c r="P1619" s="8"/>
    </row>
    <row r="1620" spans="1:16" hidden="1" x14ac:dyDescent="0.25">
      <c r="A1620" s="7" t="s">
        <v>19</v>
      </c>
      <c r="B1620" s="7" t="s">
        <v>92</v>
      </c>
      <c r="C1620" s="8">
        <v>28108</v>
      </c>
      <c r="D1620" s="7" t="s">
        <v>34</v>
      </c>
      <c r="E1620" s="7" t="s">
        <v>96</v>
      </c>
      <c r="F1620" s="7" t="s">
        <v>115</v>
      </c>
      <c r="G1620" s="7" t="s">
        <v>65</v>
      </c>
      <c r="H1620" s="7" t="s">
        <v>24</v>
      </c>
      <c r="I1620" s="7" t="s">
        <v>712</v>
      </c>
      <c r="J1620" s="7" t="s">
        <v>712</v>
      </c>
      <c r="K1620" s="8">
        <v>5919728</v>
      </c>
      <c r="L1620" s="8">
        <v>757469</v>
      </c>
      <c r="M1620" s="8">
        <v>18</v>
      </c>
      <c r="N1620" s="8">
        <v>1</v>
      </c>
      <c r="O1620" s="8">
        <v>11.5</v>
      </c>
      <c r="P1620" s="8"/>
    </row>
    <row r="1621" spans="1:16" hidden="1" x14ac:dyDescent="0.25">
      <c r="A1621" s="7" t="s">
        <v>14</v>
      </c>
      <c r="B1621" s="7" t="s">
        <v>415</v>
      </c>
      <c r="C1621" s="8">
        <v>28109</v>
      </c>
      <c r="D1621" s="7" t="s">
        <v>28</v>
      </c>
      <c r="E1621" s="7" t="s">
        <v>56</v>
      </c>
      <c r="F1621" s="7" t="s">
        <v>162</v>
      </c>
      <c r="G1621" s="7" t="s">
        <v>18</v>
      </c>
      <c r="H1621" s="7" t="s">
        <v>689</v>
      </c>
      <c r="I1621" s="7" t="s">
        <v>712</v>
      </c>
      <c r="J1621" s="7" t="s">
        <v>712</v>
      </c>
      <c r="K1621" s="8">
        <v>6259229</v>
      </c>
      <c r="L1621" s="8">
        <v>332441</v>
      </c>
      <c r="M1621" s="8">
        <v>19</v>
      </c>
      <c r="N1621" s="8">
        <v>1</v>
      </c>
      <c r="O1621" s="8">
        <v>0.03</v>
      </c>
      <c r="P1621" s="8"/>
    </row>
    <row r="1622" spans="1:16" hidden="1" x14ac:dyDescent="0.25">
      <c r="A1622" s="7" t="s">
        <v>19</v>
      </c>
      <c r="B1622" s="7" t="s">
        <v>270</v>
      </c>
      <c r="C1622" s="8">
        <v>28110</v>
      </c>
      <c r="D1622" s="7" t="s">
        <v>52</v>
      </c>
      <c r="E1622" s="7" t="s">
        <v>53</v>
      </c>
      <c r="F1622" s="7" t="s">
        <v>87</v>
      </c>
      <c r="G1622" s="7" t="s">
        <v>18</v>
      </c>
      <c r="H1622" s="7" t="s">
        <v>48</v>
      </c>
      <c r="I1622" s="7" t="s">
        <v>712</v>
      </c>
      <c r="J1622" s="7" t="s">
        <v>712</v>
      </c>
      <c r="K1622" s="8">
        <v>6151367</v>
      </c>
      <c r="L1622" s="8">
        <v>323573</v>
      </c>
      <c r="M1622" s="8">
        <v>19</v>
      </c>
      <c r="N1622" s="8">
        <v>1</v>
      </c>
      <c r="O1622" s="8">
        <v>19</v>
      </c>
      <c r="P1622" s="8"/>
    </row>
    <row r="1623" spans="1:16" hidden="1" x14ac:dyDescent="0.25">
      <c r="A1623" s="7" t="s">
        <v>14</v>
      </c>
      <c r="B1623" s="7" t="s">
        <v>415</v>
      </c>
      <c r="C1623" s="8">
        <v>28111</v>
      </c>
      <c r="D1623" s="7" t="s">
        <v>28</v>
      </c>
      <c r="E1623" s="7" t="s">
        <v>56</v>
      </c>
      <c r="F1623" s="7" t="s">
        <v>439</v>
      </c>
      <c r="G1623" s="7" t="s">
        <v>18</v>
      </c>
      <c r="H1623" s="7" t="s">
        <v>689</v>
      </c>
      <c r="I1623" s="7" t="s">
        <v>712</v>
      </c>
      <c r="J1623" s="7" t="s">
        <v>712</v>
      </c>
      <c r="K1623" s="8">
        <v>6261829</v>
      </c>
      <c r="L1623" s="8">
        <v>336290</v>
      </c>
      <c r="M1623" s="8">
        <v>19</v>
      </c>
      <c r="N1623" s="8">
        <v>1</v>
      </c>
      <c r="O1623" s="8">
        <v>0.85</v>
      </c>
      <c r="P1623" s="8"/>
    </row>
    <row r="1624" spans="1:16" hidden="1" x14ac:dyDescent="0.25">
      <c r="A1624" s="7" t="s">
        <v>14</v>
      </c>
      <c r="B1624" s="7" t="s">
        <v>415</v>
      </c>
      <c r="C1624" s="8">
        <v>28112</v>
      </c>
      <c r="D1624" s="7" t="s">
        <v>28</v>
      </c>
      <c r="E1624" s="7" t="s">
        <v>56</v>
      </c>
      <c r="F1624" s="7" t="s">
        <v>439</v>
      </c>
      <c r="G1624" s="7" t="s">
        <v>18</v>
      </c>
      <c r="H1624" s="7" t="s">
        <v>689</v>
      </c>
      <c r="I1624" s="7" t="s">
        <v>712</v>
      </c>
      <c r="J1624" s="7" t="s">
        <v>712</v>
      </c>
      <c r="K1624" s="8">
        <v>6261911</v>
      </c>
      <c r="L1624" s="8">
        <v>336358</v>
      </c>
      <c r="M1624" s="8">
        <v>19</v>
      </c>
      <c r="N1624" s="8">
        <v>1</v>
      </c>
      <c r="O1624" s="8">
        <v>0.01</v>
      </c>
      <c r="P1624" s="8"/>
    </row>
    <row r="1625" spans="1:16" hidden="1" x14ac:dyDescent="0.25">
      <c r="A1625" s="7" t="s">
        <v>14</v>
      </c>
      <c r="B1625" s="7" t="s">
        <v>415</v>
      </c>
      <c r="C1625" s="8">
        <v>28113</v>
      </c>
      <c r="D1625" s="7" t="s">
        <v>28</v>
      </c>
      <c r="E1625" s="7" t="s">
        <v>56</v>
      </c>
      <c r="F1625" s="7" t="s">
        <v>378</v>
      </c>
      <c r="G1625" s="7" t="s">
        <v>18</v>
      </c>
      <c r="H1625" s="7" t="s">
        <v>689</v>
      </c>
      <c r="I1625" s="7" t="s">
        <v>712</v>
      </c>
      <c r="J1625" s="7" t="s">
        <v>712</v>
      </c>
      <c r="K1625" s="8">
        <v>6260569</v>
      </c>
      <c r="L1625" s="8">
        <v>331341</v>
      </c>
      <c r="M1625" s="8">
        <v>19</v>
      </c>
      <c r="N1625" s="8">
        <v>1</v>
      </c>
      <c r="O1625" s="8">
        <v>1.18</v>
      </c>
      <c r="P1625" s="8"/>
    </row>
    <row r="1626" spans="1:16" hidden="1" x14ac:dyDescent="0.25">
      <c r="A1626" s="7" t="s">
        <v>14</v>
      </c>
      <c r="B1626" s="7" t="s">
        <v>415</v>
      </c>
      <c r="C1626" s="8">
        <v>28115</v>
      </c>
      <c r="D1626" s="7" t="s">
        <v>28</v>
      </c>
      <c r="E1626" s="7" t="s">
        <v>56</v>
      </c>
      <c r="F1626" s="7" t="s">
        <v>439</v>
      </c>
      <c r="G1626" s="7" t="s">
        <v>18</v>
      </c>
      <c r="H1626" s="7" t="s">
        <v>689</v>
      </c>
      <c r="I1626" s="7" t="s">
        <v>712</v>
      </c>
      <c r="J1626" s="7" t="s">
        <v>712</v>
      </c>
      <c r="K1626" s="8">
        <v>6261861</v>
      </c>
      <c r="L1626" s="8">
        <v>336232</v>
      </c>
      <c r="M1626" s="8">
        <v>19</v>
      </c>
      <c r="N1626" s="8">
        <v>1</v>
      </c>
      <c r="O1626" s="8">
        <v>0.23</v>
      </c>
      <c r="P1626" s="8"/>
    </row>
    <row r="1627" spans="1:16" hidden="1" x14ac:dyDescent="0.25">
      <c r="A1627" s="7" t="s">
        <v>37</v>
      </c>
      <c r="B1627" s="7" t="s">
        <v>415</v>
      </c>
      <c r="C1627" s="8">
        <v>28117</v>
      </c>
      <c r="D1627" s="7" t="s">
        <v>52</v>
      </c>
      <c r="E1627" s="7" t="s">
        <v>53</v>
      </c>
      <c r="F1627" s="7" t="s">
        <v>79</v>
      </c>
      <c r="G1627" s="7" t="s">
        <v>18</v>
      </c>
      <c r="H1627" s="7" t="s">
        <v>48</v>
      </c>
      <c r="I1627" s="7" t="s">
        <v>712</v>
      </c>
      <c r="J1627" s="7" t="s">
        <v>691</v>
      </c>
      <c r="K1627" s="8">
        <v>6149112</v>
      </c>
      <c r="L1627" s="8">
        <v>315917</v>
      </c>
      <c r="M1627" s="8">
        <v>19</v>
      </c>
      <c r="N1627" s="8">
        <v>1</v>
      </c>
      <c r="O1627" s="8">
        <v>8</v>
      </c>
      <c r="P1627" s="8"/>
    </row>
    <row r="1628" spans="1:16" hidden="1" x14ac:dyDescent="0.25">
      <c r="A1628" s="7" t="s">
        <v>14</v>
      </c>
      <c r="B1628" s="7" t="s">
        <v>415</v>
      </c>
      <c r="C1628" s="8">
        <v>28118</v>
      </c>
      <c r="D1628" s="7" t="s">
        <v>21</v>
      </c>
      <c r="E1628" s="7" t="s">
        <v>500</v>
      </c>
      <c r="F1628" s="7" t="s">
        <v>503</v>
      </c>
      <c r="G1628" s="7" t="s">
        <v>18</v>
      </c>
      <c r="H1628" s="7" t="s">
        <v>689</v>
      </c>
      <c r="I1628" s="7" t="s">
        <v>712</v>
      </c>
      <c r="J1628" s="7" t="s">
        <v>712</v>
      </c>
      <c r="K1628" s="8">
        <v>6366533</v>
      </c>
      <c r="L1628" s="8">
        <v>353744</v>
      </c>
      <c r="M1628" s="8">
        <v>19</v>
      </c>
      <c r="N1628" s="8">
        <v>1</v>
      </c>
      <c r="O1628" s="8">
        <v>1.4</v>
      </c>
      <c r="P1628" s="8"/>
    </row>
    <row r="1629" spans="1:16" hidden="1" x14ac:dyDescent="0.25">
      <c r="A1629" s="7" t="s">
        <v>14</v>
      </c>
      <c r="B1629" s="7" t="s">
        <v>415</v>
      </c>
      <c r="C1629" s="8">
        <v>28119</v>
      </c>
      <c r="D1629" s="7" t="s">
        <v>21</v>
      </c>
      <c r="E1629" s="7" t="s">
        <v>500</v>
      </c>
      <c r="F1629" s="7" t="s">
        <v>249</v>
      </c>
      <c r="G1629" s="7" t="s">
        <v>18</v>
      </c>
      <c r="H1629" s="7" t="s">
        <v>689</v>
      </c>
      <c r="I1629" s="7" t="s">
        <v>712</v>
      </c>
      <c r="J1629" s="7" t="s">
        <v>712</v>
      </c>
      <c r="K1629" s="8">
        <v>6361589</v>
      </c>
      <c r="L1629" s="8">
        <v>351649</v>
      </c>
      <c r="M1629" s="8">
        <v>19</v>
      </c>
      <c r="N1629" s="8">
        <v>1</v>
      </c>
      <c r="O1629" s="8">
        <v>0.74</v>
      </c>
      <c r="P1629" s="8"/>
    </row>
    <row r="1630" spans="1:16" hidden="1" x14ac:dyDescent="0.25">
      <c r="A1630" s="7" t="s">
        <v>14</v>
      </c>
      <c r="B1630" s="7" t="s">
        <v>415</v>
      </c>
      <c r="C1630" s="8">
        <v>28120</v>
      </c>
      <c r="D1630" s="7" t="s">
        <v>21</v>
      </c>
      <c r="E1630" s="7" t="s">
        <v>500</v>
      </c>
      <c r="F1630" s="7" t="s">
        <v>249</v>
      </c>
      <c r="G1630" s="7" t="s">
        <v>18</v>
      </c>
      <c r="H1630" s="7" t="s">
        <v>689</v>
      </c>
      <c r="I1630" s="7" t="s">
        <v>712</v>
      </c>
      <c r="J1630" s="7" t="s">
        <v>712</v>
      </c>
      <c r="K1630" s="8">
        <v>6361435</v>
      </c>
      <c r="L1630" s="8">
        <v>351637</v>
      </c>
      <c r="M1630" s="8">
        <v>19</v>
      </c>
      <c r="N1630" s="8">
        <v>1</v>
      </c>
      <c r="O1630" s="8">
        <v>0.69</v>
      </c>
      <c r="P1630" s="8"/>
    </row>
    <row r="1631" spans="1:16" hidden="1" x14ac:dyDescent="0.25">
      <c r="A1631" s="7" t="s">
        <v>14</v>
      </c>
      <c r="B1631" s="7" t="s">
        <v>415</v>
      </c>
      <c r="C1631" s="8">
        <v>28122</v>
      </c>
      <c r="D1631" s="7" t="s">
        <v>28</v>
      </c>
      <c r="E1631" s="7" t="s">
        <v>56</v>
      </c>
      <c r="F1631" s="7" t="s">
        <v>162</v>
      </c>
      <c r="G1631" s="7" t="s">
        <v>18</v>
      </c>
      <c r="H1631" s="7" t="s">
        <v>689</v>
      </c>
      <c r="I1631" s="7" t="s">
        <v>712</v>
      </c>
      <c r="J1631" s="7" t="s">
        <v>712</v>
      </c>
      <c r="K1631" s="8" t="s">
        <v>686</v>
      </c>
      <c r="L1631" s="8" t="s">
        <v>686</v>
      </c>
      <c r="M1631" s="8" t="s">
        <v>686</v>
      </c>
      <c r="N1631" s="8">
        <v>1</v>
      </c>
      <c r="O1631" s="8">
        <v>0.45</v>
      </c>
      <c r="P1631" s="8"/>
    </row>
    <row r="1632" spans="1:16" hidden="1" x14ac:dyDescent="0.25">
      <c r="A1632" s="7" t="s">
        <v>19</v>
      </c>
      <c r="B1632" s="7" t="s">
        <v>92</v>
      </c>
      <c r="C1632" s="8">
        <v>28124</v>
      </c>
      <c r="D1632" s="7" t="s">
        <v>34</v>
      </c>
      <c r="E1632" s="7" t="s">
        <v>116</v>
      </c>
      <c r="F1632" s="7" t="s">
        <v>117</v>
      </c>
      <c r="G1632" s="7" t="s">
        <v>65</v>
      </c>
      <c r="H1632" s="7" t="s">
        <v>24</v>
      </c>
      <c r="I1632" s="7" t="s">
        <v>712</v>
      </c>
      <c r="J1632" s="7" t="s">
        <v>712</v>
      </c>
      <c r="K1632" s="8">
        <v>5883038</v>
      </c>
      <c r="L1632" s="8">
        <v>740051</v>
      </c>
      <c r="M1632" s="8">
        <v>18</v>
      </c>
      <c r="N1632" s="8">
        <v>1</v>
      </c>
      <c r="O1632" s="8">
        <v>34.5</v>
      </c>
      <c r="P1632" s="8"/>
    </row>
    <row r="1633" spans="1:16" hidden="1" x14ac:dyDescent="0.25">
      <c r="A1633" s="7" t="s">
        <v>37</v>
      </c>
      <c r="B1633" s="7" t="s">
        <v>124</v>
      </c>
      <c r="C1633" s="8">
        <v>28125</v>
      </c>
      <c r="D1633" s="7" t="s">
        <v>28</v>
      </c>
      <c r="E1633" s="7" t="s">
        <v>56</v>
      </c>
      <c r="F1633" s="7" t="s">
        <v>162</v>
      </c>
      <c r="G1633" s="7" t="s">
        <v>18</v>
      </c>
      <c r="H1633" s="7" t="s">
        <v>48</v>
      </c>
      <c r="I1633" s="7" t="s">
        <v>712</v>
      </c>
      <c r="J1633" s="7" t="s">
        <v>691</v>
      </c>
      <c r="K1633" s="8">
        <v>6256030</v>
      </c>
      <c r="L1633" s="8">
        <v>332492</v>
      </c>
      <c r="M1633" s="8">
        <v>19</v>
      </c>
      <c r="N1633" s="8">
        <v>1</v>
      </c>
      <c r="O1633" s="8">
        <v>41</v>
      </c>
      <c r="P1633" s="8"/>
    </row>
    <row r="1634" spans="1:16" hidden="1" x14ac:dyDescent="0.25">
      <c r="A1634" s="7" t="s">
        <v>19</v>
      </c>
      <c r="B1634" s="7" t="s">
        <v>92</v>
      </c>
      <c r="C1634" s="8">
        <v>28126</v>
      </c>
      <c r="D1634" s="7" t="s">
        <v>34</v>
      </c>
      <c r="E1634" s="7" t="s">
        <v>116</v>
      </c>
      <c r="F1634" s="7" t="s">
        <v>117</v>
      </c>
      <c r="G1634" s="7" t="s">
        <v>65</v>
      </c>
      <c r="H1634" s="7" t="s">
        <v>24</v>
      </c>
      <c r="I1634" s="7" t="s">
        <v>712</v>
      </c>
      <c r="J1634" s="7" t="s">
        <v>712</v>
      </c>
      <c r="K1634" s="8">
        <v>5883738</v>
      </c>
      <c r="L1634" s="8">
        <v>737491</v>
      </c>
      <c r="M1634" s="8">
        <v>18</v>
      </c>
      <c r="N1634" s="8">
        <v>1</v>
      </c>
      <c r="O1634" s="8">
        <v>6</v>
      </c>
      <c r="P1634" s="8"/>
    </row>
    <row r="1635" spans="1:16" hidden="1" x14ac:dyDescent="0.25">
      <c r="A1635" s="7" t="s">
        <v>19</v>
      </c>
      <c r="B1635" s="7" t="s">
        <v>92</v>
      </c>
      <c r="C1635" s="8">
        <v>28127</v>
      </c>
      <c r="D1635" s="7" t="s">
        <v>34</v>
      </c>
      <c r="E1635" s="7" t="s">
        <v>116</v>
      </c>
      <c r="F1635" s="7" t="s">
        <v>117</v>
      </c>
      <c r="G1635" s="7" t="s">
        <v>65</v>
      </c>
      <c r="H1635" s="7" t="s">
        <v>24</v>
      </c>
      <c r="I1635" s="7" t="s">
        <v>712</v>
      </c>
      <c r="J1635" s="7" t="s">
        <v>712</v>
      </c>
      <c r="K1635" s="8">
        <v>5883738</v>
      </c>
      <c r="L1635" s="8">
        <v>737491</v>
      </c>
      <c r="M1635" s="8">
        <v>18</v>
      </c>
      <c r="N1635" s="8">
        <v>1</v>
      </c>
      <c r="O1635" s="8">
        <v>6</v>
      </c>
      <c r="P1635" s="8"/>
    </row>
    <row r="1636" spans="1:16" hidden="1" x14ac:dyDescent="0.25">
      <c r="A1636" s="7" t="s">
        <v>19</v>
      </c>
      <c r="B1636" s="7" t="s">
        <v>124</v>
      </c>
      <c r="C1636" s="8">
        <v>28129</v>
      </c>
      <c r="D1636" s="7" t="s">
        <v>28</v>
      </c>
      <c r="E1636" s="7" t="s">
        <v>44</v>
      </c>
      <c r="F1636" s="7" t="s">
        <v>136</v>
      </c>
      <c r="G1636" s="7" t="s">
        <v>18</v>
      </c>
      <c r="H1636" s="7" t="s">
        <v>48</v>
      </c>
      <c r="I1636" s="7" t="s">
        <v>712</v>
      </c>
      <c r="J1636" s="7" t="s">
        <v>691</v>
      </c>
      <c r="K1636" s="8">
        <v>6276689</v>
      </c>
      <c r="L1636" s="8">
        <v>356724</v>
      </c>
      <c r="M1636" s="8">
        <v>19</v>
      </c>
      <c r="N1636" s="8">
        <v>1</v>
      </c>
      <c r="O1636" s="8">
        <v>30.5</v>
      </c>
      <c r="P1636" s="8"/>
    </row>
    <row r="1637" spans="1:16" hidden="1" x14ac:dyDescent="0.25">
      <c r="A1637" s="7" t="s">
        <v>19</v>
      </c>
      <c r="B1637" s="7" t="s">
        <v>92</v>
      </c>
      <c r="C1637" s="8">
        <v>28134</v>
      </c>
      <c r="D1637" s="7" t="s">
        <v>34</v>
      </c>
      <c r="E1637" s="7" t="s">
        <v>35</v>
      </c>
      <c r="F1637" s="7" t="s">
        <v>118</v>
      </c>
      <c r="G1637" s="7" t="s">
        <v>65</v>
      </c>
      <c r="H1637" s="7" t="s">
        <v>24</v>
      </c>
      <c r="I1637" s="7" t="s">
        <v>712</v>
      </c>
      <c r="J1637" s="7" t="s">
        <v>712</v>
      </c>
      <c r="K1637" s="8">
        <v>5850913</v>
      </c>
      <c r="L1637" s="8">
        <v>726237</v>
      </c>
      <c r="M1637" s="8">
        <v>18</v>
      </c>
      <c r="N1637" s="8">
        <v>1</v>
      </c>
      <c r="O1637" s="8">
        <v>4.2</v>
      </c>
      <c r="P1637" s="8"/>
    </row>
    <row r="1638" spans="1:16" hidden="1" x14ac:dyDescent="0.25">
      <c r="A1638" s="7" t="s">
        <v>19</v>
      </c>
      <c r="B1638" s="7" t="s">
        <v>92</v>
      </c>
      <c r="C1638" s="8">
        <v>28137</v>
      </c>
      <c r="D1638" s="7" t="s">
        <v>34</v>
      </c>
      <c r="E1638" s="7" t="s">
        <v>35</v>
      </c>
      <c r="F1638" s="7" t="s">
        <v>118</v>
      </c>
      <c r="G1638" s="7" t="s">
        <v>65</v>
      </c>
      <c r="H1638" s="7" t="s">
        <v>24</v>
      </c>
      <c r="I1638" s="7" t="s">
        <v>712</v>
      </c>
      <c r="J1638" s="7" t="s">
        <v>712</v>
      </c>
      <c r="K1638" s="8">
        <v>5850913</v>
      </c>
      <c r="L1638" s="8">
        <v>726237</v>
      </c>
      <c r="M1638" s="8">
        <v>18</v>
      </c>
      <c r="N1638" s="8">
        <v>1</v>
      </c>
      <c r="O1638" s="8">
        <v>8</v>
      </c>
      <c r="P1638" s="8"/>
    </row>
    <row r="1639" spans="1:16" hidden="1" x14ac:dyDescent="0.25">
      <c r="A1639" s="7" t="s">
        <v>19</v>
      </c>
      <c r="B1639" s="7" t="s">
        <v>92</v>
      </c>
      <c r="C1639" s="8">
        <v>28138</v>
      </c>
      <c r="D1639" s="7" t="s">
        <v>34</v>
      </c>
      <c r="E1639" s="7" t="s">
        <v>35</v>
      </c>
      <c r="F1639" s="7" t="s">
        <v>36</v>
      </c>
      <c r="G1639" s="7" t="s">
        <v>65</v>
      </c>
      <c r="H1639" s="7" t="s">
        <v>24</v>
      </c>
      <c r="I1639" s="7" t="s">
        <v>712</v>
      </c>
      <c r="J1639" s="7" t="s">
        <v>712</v>
      </c>
      <c r="K1639" s="8">
        <v>5853934</v>
      </c>
      <c r="L1639" s="8">
        <v>720682</v>
      </c>
      <c r="M1639" s="8">
        <v>18</v>
      </c>
      <c r="N1639" s="8">
        <v>1</v>
      </c>
      <c r="O1639" s="8">
        <v>12</v>
      </c>
      <c r="P1639" s="8"/>
    </row>
    <row r="1640" spans="1:16" hidden="1" x14ac:dyDescent="0.25">
      <c r="A1640" s="7" t="s">
        <v>19</v>
      </c>
      <c r="B1640" s="7" t="s">
        <v>92</v>
      </c>
      <c r="C1640" s="8">
        <v>28140</v>
      </c>
      <c r="D1640" s="7" t="s">
        <v>34</v>
      </c>
      <c r="E1640" s="7" t="s">
        <v>35</v>
      </c>
      <c r="F1640" s="7" t="s">
        <v>36</v>
      </c>
      <c r="G1640" s="7" t="s">
        <v>65</v>
      </c>
      <c r="H1640" s="7" t="s">
        <v>24</v>
      </c>
      <c r="I1640" s="7" t="s">
        <v>712</v>
      </c>
      <c r="J1640" s="7" t="s">
        <v>712</v>
      </c>
      <c r="K1640" s="8">
        <v>5853934</v>
      </c>
      <c r="L1640" s="8">
        <v>720682</v>
      </c>
      <c r="M1640" s="8">
        <v>18</v>
      </c>
      <c r="N1640" s="8">
        <v>1</v>
      </c>
      <c r="O1640" s="8">
        <v>4.5</v>
      </c>
      <c r="P1640" s="8"/>
    </row>
    <row r="1641" spans="1:16" hidden="1" x14ac:dyDescent="0.25">
      <c r="A1641" s="7" t="s">
        <v>19</v>
      </c>
      <c r="B1641" s="7" t="s">
        <v>92</v>
      </c>
      <c r="C1641" s="8">
        <v>28142</v>
      </c>
      <c r="D1641" s="7" t="s">
        <v>34</v>
      </c>
      <c r="E1641" s="7" t="s">
        <v>35</v>
      </c>
      <c r="F1641" s="7" t="s">
        <v>35</v>
      </c>
      <c r="G1641" s="7" t="s">
        <v>65</v>
      </c>
      <c r="H1641" s="7" t="s">
        <v>24</v>
      </c>
      <c r="I1641" s="7" t="s">
        <v>712</v>
      </c>
      <c r="J1641" s="7" t="s">
        <v>712</v>
      </c>
      <c r="K1641" s="8">
        <v>5860750</v>
      </c>
      <c r="L1641" s="8">
        <v>750050</v>
      </c>
      <c r="M1641" s="8">
        <v>18</v>
      </c>
      <c r="N1641" s="8">
        <v>1</v>
      </c>
      <c r="O1641" s="8">
        <v>26</v>
      </c>
      <c r="P1641" s="8"/>
    </row>
    <row r="1642" spans="1:16" hidden="1" x14ac:dyDescent="0.25">
      <c r="A1642" s="7" t="s">
        <v>19</v>
      </c>
      <c r="B1642" s="7" t="s">
        <v>92</v>
      </c>
      <c r="C1642" s="8">
        <v>28144</v>
      </c>
      <c r="D1642" s="7" t="s">
        <v>119</v>
      </c>
      <c r="E1642" s="7" t="s">
        <v>120</v>
      </c>
      <c r="F1642" s="7" t="s">
        <v>120</v>
      </c>
      <c r="G1642" s="7" t="s">
        <v>65</v>
      </c>
      <c r="H1642" s="7" t="s">
        <v>24</v>
      </c>
      <c r="I1642" s="7" t="s">
        <v>712</v>
      </c>
      <c r="J1642" s="7" t="s">
        <v>712</v>
      </c>
      <c r="K1642" s="8">
        <v>5805275</v>
      </c>
      <c r="L1642" s="8">
        <v>705455</v>
      </c>
      <c r="M1642" s="8">
        <v>18</v>
      </c>
      <c r="N1642" s="8">
        <v>1</v>
      </c>
      <c r="O1642" s="8">
        <v>12</v>
      </c>
      <c r="P1642" s="8"/>
    </row>
    <row r="1643" spans="1:16" hidden="1" x14ac:dyDescent="0.25">
      <c r="A1643" s="7" t="s">
        <v>14</v>
      </c>
      <c r="B1643" s="7" t="s">
        <v>415</v>
      </c>
      <c r="C1643" s="8">
        <v>28149</v>
      </c>
      <c r="D1643" s="7" t="s">
        <v>52</v>
      </c>
      <c r="E1643" s="7" t="s">
        <v>139</v>
      </c>
      <c r="F1643" s="7" t="s">
        <v>139</v>
      </c>
      <c r="G1643" s="7" t="s">
        <v>18</v>
      </c>
      <c r="H1643" s="7" t="s">
        <v>689</v>
      </c>
      <c r="I1643" s="7" t="s">
        <v>712</v>
      </c>
      <c r="J1643" s="7" t="s">
        <v>712</v>
      </c>
      <c r="K1643" s="8">
        <v>6227523</v>
      </c>
      <c r="L1643" s="8">
        <v>345851</v>
      </c>
      <c r="M1643" s="8">
        <v>19</v>
      </c>
      <c r="N1643" s="8">
        <v>1</v>
      </c>
      <c r="O1643" s="8">
        <v>2</v>
      </c>
      <c r="P1643" s="8"/>
    </row>
    <row r="1644" spans="1:16" hidden="1" x14ac:dyDescent="0.25">
      <c r="A1644" s="7" t="s">
        <v>19</v>
      </c>
      <c r="B1644" s="7" t="s">
        <v>124</v>
      </c>
      <c r="C1644" s="8">
        <v>28157</v>
      </c>
      <c r="D1644" s="7" t="s">
        <v>28</v>
      </c>
      <c r="E1644" s="7" t="s">
        <v>44</v>
      </c>
      <c r="F1644" s="7" t="s">
        <v>163</v>
      </c>
      <c r="G1644" s="7" t="s">
        <v>18</v>
      </c>
      <c r="H1644" s="7" t="s">
        <v>48</v>
      </c>
      <c r="I1644" s="7" t="s">
        <v>712</v>
      </c>
      <c r="J1644" s="7" t="s">
        <v>691</v>
      </c>
      <c r="K1644" s="8">
        <v>6272687</v>
      </c>
      <c r="L1644" s="8">
        <v>354589</v>
      </c>
      <c r="M1644" s="8">
        <v>19</v>
      </c>
      <c r="N1644" s="8">
        <v>1</v>
      </c>
      <c r="O1644" s="8">
        <v>31.1</v>
      </c>
      <c r="P1644" s="8"/>
    </row>
    <row r="1645" spans="1:16" hidden="1" x14ac:dyDescent="0.25">
      <c r="A1645" s="7" t="s">
        <v>19</v>
      </c>
      <c r="B1645" s="7" t="s">
        <v>270</v>
      </c>
      <c r="C1645" s="8">
        <v>28159</v>
      </c>
      <c r="D1645" s="7" t="s">
        <v>16</v>
      </c>
      <c r="E1645" s="7" t="s">
        <v>72</v>
      </c>
      <c r="F1645" s="7" t="s">
        <v>84</v>
      </c>
      <c r="G1645" s="7" t="s">
        <v>18</v>
      </c>
      <c r="H1645" s="7" t="s">
        <v>48</v>
      </c>
      <c r="I1645" s="7" t="s">
        <v>712</v>
      </c>
      <c r="J1645" s="7" t="s">
        <v>712</v>
      </c>
      <c r="K1645" s="8">
        <v>6102859</v>
      </c>
      <c r="L1645" s="8">
        <v>292180</v>
      </c>
      <c r="M1645" s="8">
        <v>19</v>
      </c>
      <c r="N1645" s="8">
        <v>3</v>
      </c>
      <c r="O1645" s="8">
        <v>11</v>
      </c>
      <c r="P1645" s="8"/>
    </row>
    <row r="1646" spans="1:16" hidden="1" x14ac:dyDescent="0.25">
      <c r="A1646" s="7" t="s">
        <v>37</v>
      </c>
      <c r="B1646" s="7" t="s">
        <v>415</v>
      </c>
      <c r="C1646" s="8">
        <v>28161</v>
      </c>
      <c r="D1646" s="7" t="s">
        <v>52</v>
      </c>
      <c r="E1646" s="7" t="s">
        <v>81</v>
      </c>
      <c r="F1646" s="7" t="s">
        <v>140</v>
      </c>
      <c r="G1646" s="7" t="s">
        <v>18</v>
      </c>
      <c r="H1646" s="7" t="s">
        <v>48</v>
      </c>
      <c r="I1646" s="7" t="s">
        <v>712</v>
      </c>
      <c r="J1646" s="7" t="s">
        <v>691</v>
      </c>
      <c r="K1646" s="8">
        <v>6224857</v>
      </c>
      <c r="L1646" s="8">
        <v>345054</v>
      </c>
      <c r="M1646" s="8">
        <v>19</v>
      </c>
      <c r="N1646" s="8">
        <v>1</v>
      </c>
      <c r="O1646" s="8">
        <v>5</v>
      </c>
      <c r="P1646" s="8"/>
    </row>
    <row r="1647" spans="1:16" hidden="1" x14ac:dyDescent="0.25">
      <c r="A1647" s="7" t="s">
        <v>37</v>
      </c>
      <c r="B1647" s="7" t="s">
        <v>415</v>
      </c>
      <c r="C1647" s="8">
        <v>28162</v>
      </c>
      <c r="D1647" s="7" t="s">
        <v>52</v>
      </c>
      <c r="E1647" s="7" t="s">
        <v>53</v>
      </c>
      <c r="F1647" s="7" t="s">
        <v>528</v>
      </c>
      <c r="G1647" s="7" t="s">
        <v>18</v>
      </c>
      <c r="H1647" s="7" t="s">
        <v>48</v>
      </c>
      <c r="I1647" s="7" t="s">
        <v>712</v>
      </c>
      <c r="J1647" s="7" t="s">
        <v>712</v>
      </c>
      <c r="K1647" s="8">
        <v>6160029</v>
      </c>
      <c r="L1647" s="8">
        <v>320470</v>
      </c>
      <c r="M1647" s="8">
        <v>19</v>
      </c>
      <c r="N1647" s="8">
        <v>1</v>
      </c>
      <c r="O1647" s="8">
        <v>5.5</v>
      </c>
      <c r="P1647" s="8"/>
    </row>
    <row r="1648" spans="1:16" hidden="1" x14ac:dyDescent="0.25">
      <c r="A1648" s="7" t="s">
        <v>37</v>
      </c>
      <c r="B1648" s="7" t="s">
        <v>343</v>
      </c>
      <c r="C1648" s="8">
        <v>28163</v>
      </c>
      <c r="D1648" s="7" t="s">
        <v>16</v>
      </c>
      <c r="E1648" s="7" t="s">
        <v>17</v>
      </c>
      <c r="F1648" s="7" t="s">
        <v>55</v>
      </c>
      <c r="G1648" s="7" t="s">
        <v>18</v>
      </c>
      <c r="H1648" s="7" t="s">
        <v>24</v>
      </c>
      <c r="I1648" s="7" t="s">
        <v>712</v>
      </c>
      <c r="J1648" s="7" t="s">
        <v>712</v>
      </c>
      <c r="K1648" s="8">
        <v>6071122</v>
      </c>
      <c r="L1648" s="8">
        <v>283822</v>
      </c>
      <c r="M1648" s="8">
        <v>19</v>
      </c>
      <c r="N1648" s="8">
        <v>1</v>
      </c>
      <c r="O1648" s="8">
        <v>1</v>
      </c>
      <c r="P1648" s="8"/>
    </row>
    <row r="1649" spans="1:16" hidden="1" x14ac:dyDescent="0.25">
      <c r="A1649" s="7" t="s">
        <v>19</v>
      </c>
      <c r="B1649" s="7" t="s">
        <v>415</v>
      </c>
      <c r="C1649" s="8">
        <v>28164</v>
      </c>
      <c r="D1649" s="7" t="s">
        <v>16</v>
      </c>
      <c r="E1649" s="7" t="s">
        <v>264</v>
      </c>
      <c r="F1649" s="7" t="s">
        <v>358</v>
      </c>
      <c r="G1649" s="7" t="s">
        <v>65</v>
      </c>
      <c r="H1649" s="7" t="s">
        <v>24</v>
      </c>
      <c r="I1649" s="7" t="s">
        <v>712</v>
      </c>
      <c r="J1649" s="7" t="s">
        <v>712</v>
      </c>
      <c r="K1649" s="8">
        <v>6114393</v>
      </c>
      <c r="L1649" s="8">
        <v>274745</v>
      </c>
      <c r="M1649" s="8">
        <v>19</v>
      </c>
      <c r="N1649" s="8">
        <v>1</v>
      </c>
      <c r="O1649" s="8">
        <v>1</v>
      </c>
      <c r="P1649" s="8"/>
    </row>
    <row r="1650" spans="1:16" hidden="1" x14ac:dyDescent="0.25">
      <c r="A1650" s="7" t="s">
        <v>19</v>
      </c>
      <c r="B1650" s="7" t="s">
        <v>415</v>
      </c>
      <c r="C1650" s="8">
        <v>28166</v>
      </c>
      <c r="D1650" s="7" t="s">
        <v>16</v>
      </c>
      <c r="E1650" s="7" t="s">
        <v>264</v>
      </c>
      <c r="F1650" s="7" t="s">
        <v>358</v>
      </c>
      <c r="G1650" s="7" t="s">
        <v>65</v>
      </c>
      <c r="H1650" s="7" t="s">
        <v>24</v>
      </c>
      <c r="I1650" s="7" t="s">
        <v>712</v>
      </c>
      <c r="J1650" s="7" t="s">
        <v>712</v>
      </c>
      <c r="K1650" s="8">
        <v>6114393</v>
      </c>
      <c r="L1650" s="8">
        <v>274745</v>
      </c>
      <c r="M1650" s="8">
        <v>19</v>
      </c>
      <c r="N1650" s="8">
        <v>1</v>
      </c>
      <c r="O1650" s="8">
        <v>9</v>
      </c>
      <c r="P1650" s="8"/>
    </row>
    <row r="1651" spans="1:16" hidden="1" x14ac:dyDescent="0.25">
      <c r="A1651" s="7" t="s">
        <v>19</v>
      </c>
      <c r="B1651" s="7" t="s">
        <v>415</v>
      </c>
      <c r="C1651" s="8">
        <v>28168</v>
      </c>
      <c r="D1651" s="7" t="s">
        <v>16</v>
      </c>
      <c r="E1651" s="7" t="s">
        <v>46</v>
      </c>
      <c r="F1651" s="7" t="s">
        <v>46</v>
      </c>
      <c r="G1651" s="7" t="s">
        <v>65</v>
      </c>
      <c r="H1651" s="7" t="s">
        <v>24</v>
      </c>
      <c r="I1651" s="7" t="s">
        <v>712</v>
      </c>
      <c r="J1651" s="7" t="s">
        <v>712</v>
      </c>
      <c r="K1651" s="8">
        <v>6111250</v>
      </c>
      <c r="L1651" s="8">
        <v>289087</v>
      </c>
      <c r="M1651" s="8">
        <v>19</v>
      </c>
      <c r="N1651" s="8">
        <v>1</v>
      </c>
      <c r="O1651" s="8">
        <v>10</v>
      </c>
      <c r="P1651" s="8"/>
    </row>
    <row r="1652" spans="1:16" hidden="1" x14ac:dyDescent="0.25">
      <c r="A1652" s="7" t="s">
        <v>19</v>
      </c>
      <c r="B1652" s="7" t="s">
        <v>270</v>
      </c>
      <c r="C1652" s="8">
        <v>28169</v>
      </c>
      <c r="D1652" s="7" t="s">
        <v>16</v>
      </c>
      <c r="E1652" s="7" t="s">
        <v>46</v>
      </c>
      <c r="F1652" s="7" t="s">
        <v>46</v>
      </c>
      <c r="G1652" s="7" t="s">
        <v>18</v>
      </c>
      <c r="H1652" s="7" t="s">
        <v>48</v>
      </c>
      <c r="I1652" s="7" t="s">
        <v>712</v>
      </c>
      <c r="J1652" s="7" t="s">
        <v>712</v>
      </c>
      <c r="K1652" s="8">
        <v>6107208</v>
      </c>
      <c r="L1652" s="8">
        <v>296085</v>
      </c>
      <c r="M1652" s="8">
        <v>19</v>
      </c>
      <c r="N1652" s="8">
        <v>1</v>
      </c>
      <c r="O1652" s="8">
        <v>4.5</v>
      </c>
      <c r="P1652" s="8"/>
    </row>
    <row r="1653" spans="1:16" hidden="1" x14ac:dyDescent="0.25">
      <c r="A1653" s="7" t="s">
        <v>37</v>
      </c>
      <c r="B1653" s="7" t="s">
        <v>343</v>
      </c>
      <c r="C1653" s="8">
        <v>28170</v>
      </c>
      <c r="D1653" s="7" t="s">
        <v>16</v>
      </c>
      <c r="E1653" s="7" t="s">
        <v>17</v>
      </c>
      <c r="F1653" s="7" t="s">
        <v>55</v>
      </c>
      <c r="G1653" s="7" t="s">
        <v>18</v>
      </c>
      <c r="H1653" s="7" t="s">
        <v>48</v>
      </c>
      <c r="I1653" s="7" t="s">
        <v>712</v>
      </c>
      <c r="J1653" s="7" t="s">
        <v>691</v>
      </c>
      <c r="K1653" s="8">
        <v>6063509</v>
      </c>
      <c r="L1653" s="8">
        <v>280606</v>
      </c>
      <c r="M1653" s="8">
        <v>19</v>
      </c>
      <c r="N1653" s="8">
        <v>1</v>
      </c>
      <c r="O1653" s="8">
        <v>1.4</v>
      </c>
      <c r="P1653" s="8"/>
    </row>
    <row r="1654" spans="1:16" hidden="1" x14ac:dyDescent="0.25">
      <c r="A1654" s="7" t="s">
        <v>14</v>
      </c>
      <c r="B1654" s="7" t="s">
        <v>415</v>
      </c>
      <c r="C1654" s="8">
        <v>28171</v>
      </c>
      <c r="D1654" s="7" t="s">
        <v>21</v>
      </c>
      <c r="E1654" s="7" t="s">
        <v>500</v>
      </c>
      <c r="F1654" s="7" t="s">
        <v>249</v>
      </c>
      <c r="G1654" s="7" t="s">
        <v>18</v>
      </c>
      <c r="H1654" s="7" t="s">
        <v>689</v>
      </c>
      <c r="I1654" s="7" t="s">
        <v>712</v>
      </c>
      <c r="J1654" s="7" t="s">
        <v>712</v>
      </c>
      <c r="K1654" s="8">
        <v>6361622</v>
      </c>
      <c r="L1654" s="8">
        <v>351538</v>
      </c>
      <c r="M1654" s="8">
        <v>19</v>
      </c>
      <c r="N1654" s="8">
        <v>1</v>
      </c>
      <c r="O1654" s="8">
        <v>0.35</v>
      </c>
      <c r="P1654" s="8"/>
    </row>
    <row r="1655" spans="1:16" hidden="1" x14ac:dyDescent="0.25">
      <c r="A1655" s="7" t="s">
        <v>37</v>
      </c>
      <c r="B1655" s="7" t="s">
        <v>343</v>
      </c>
      <c r="C1655" s="8">
        <v>28172</v>
      </c>
      <c r="D1655" s="7" t="s">
        <v>16</v>
      </c>
      <c r="E1655" s="7" t="s">
        <v>17</v>
      </c>
      <c r="F1655" s="7" t="s">
        <v>55</v>
      </c>
      <c r="G1655" s="7" t="s">
        <v>18</v>
      </c>
      <c r="H1655" s="7" t="s">
        <v>48</v>
      </c>
      <c r="I1655" s="7" t="s">
        <v>712</v>
      </c>
      <c r="J1655" s="7" t="s">
        <v>691</v>
      </c>
      <c r="K1655" s="8">
        <v>6067373</v>
      </c>
      <c r="L1655" s="8">
        <v>280947</v>
      </c>
      <c r="M1655" s="8">
        <v>19</v>
      </c>
      <c r="N1655" s="8">
        <v>1</v>
      </c>
      <c r="O1655" s="8">
        <v>2</v>
      </c>
      <c r="P1655" s="8"/>
    </row>
    <row r="1656" spans="1:16" hidden="1" x14ac:dyDescent="0.25">
      <c r="A1656" s="7" t="s">
        <v>37</v>
      </c>
      <c r="B1656" s="7" t="s">
        <v>343</v>
      </c>
      <c r="C1656" s="8">
        <v>28175</v>
      </c>
      <c r="D1656" s="7" t="s">
        <v>16</v>
      </c>
      <c r="E1656" s="7" t="s">
        <v>17</v>
      </c>
      <c r="F1656" s="7" t="s">
        <v>55</v>
      </c>
      <c r="G1656" s="7" t="s">
        <v>18</v>
      </c>
      <c r="H1656" s="7" t="s">
        <v>48</v>
      </c>
      <c r="I1656" s="7" t="s">
        <v>712</v>
      </c>
      <c r="J1656" s="7" t="s">
        <v>712</v>
      </c>
      <c r="K1656" s="8">
        <v>6063629</v>
      </c>
      <c r="L1656" s="8">
        <v>280255</v>
      </c>
      <c r="M1656" s="8">
        <v>19</v>
      </c>
      <c r="N1656" s="8">
        <v>1</v>
      </c>
      <c r="O1656" s="8">
        <v>1.4</v>
      </c>
      <c r="P1656" s="8"/>
    </row>
    <row r="1657" spans="1:16" hidden="1" x14ac:dyDescent="0.25">
      <c r="A1657" s="7" t="s">
        <v>19</v>
      </c>
      <c r="B1657" s="7" t="s">
        <v>270</v>
      </c>
      <c r="C1657" s="8">
        <v>28178</v>
      </c>
      <c r="D1657" s="7" t="s">
        <v>16</v>
      </c>
      <c r="E1657" s="7" t="s">
        <v>46</v>
      </c>
      <c r="F1657" s="7" t="s">
        <v>47</v>
      </c>
      <c r="G1657" s="7" t="s">
        <v>18</v>
      </c>
      <c r="H1657" s="7" t="s">
        <v>48</v>
      </c>
      <c r="I1657" s="7" t="s">
        <v>712</v>
      </c>
      <c r="J1657" s="7" t="s">
        <v>712</v>
      </c>
      <c r="K1657" s="8">
        <v>6105368</v>
      </c>
      <c r="L1657" s="8">
        <v>295920</v>
      </c>
      <c r="M1657" s="8">
        <v>19</v>
      </c>
      <c r="N1657" s="8">
        <v>1</v>
      </c>
      <c r="O1657" s="8">
        <v>5</v>
      </c>
      <c r="P1657" s="8"/>
    </row>
    <row r="1658" spans="1:16" hidden="1" x14ac:dyDescent="0.25">
      <c r="A1658" s="7" t="s">
        <v>37</v>
      </c>
      <c r="B1658" s="7" t="s">
        <v>343</v>
      </c>
      <c r="C1658" s="8">
        <v>28179</v>
      </c>
      <c r="D1658" s="7" t="s">
        <v>16</v>
      </c>
      <c r="E1658" s="7" t="s">
        <v>17</v>
      </c>
      <c r="F1658" s="7" t="s">
        <v>391</v>
      </c>
      <c r="G1658" s="7" t="s">
        <v>18</v>
      </c>
      <c r="H1658" s="7" t="s">
        <v>48</v>
      </c>
      <c r="I1658" s="7" t="s">
        <v>712</v>
      </c>
      <c r="J1658" s="7" t="s">
        <v>691</v>
      </c>
      <c r="K1658" s="8">
        <v>6068240</v>
      </c>
      <c r="L1658" s="8">
        <v>284289</v>
      </c>
      <c r="M1658" s="8">
        <v>19</v>
      </c>
      <c r="N1658" s="8">
        <v>1</v>
      </c>
      <c r="O1658" s="8">
        <v>1.6</v>
      </c>
      <c r="P1658" s="8"/>
    </row>
    <row r="1659" spans="1:16" hidden="1" x14ac:dyDescent="0.25">
      <c r="A1659" s="7" t="s">
        <v>19</v>
      </c>
      <c r="B1659" s="7" t="s">
        <v>270</v>
      </c>
      <c r="C1659" s="8">
        <v>28181</v>
      </c>
      <c r="D1659" s="7" t="s">
        <v>52</v>
      </c>
      <c r="E1659" s="7" t="s">
        <v>53</v>
      </c>
      <c r="F1659" s="7" t="s">
        <v>79</v>
      </c>
      <c r="G1659" s="7" t="s">
        <v>18</v>
      </c>
      <c r="H1659" s="7" t="s">
        <v>48</v>
      </c>
      <c r="I1659" s="7" t="s">
        <v>712</v>
      </c>
      <c r="J1659" s="7" t="s">
        <v>691</v>
      </c>
      <c r="K1659" s="8">
        <v>6147971</v>
      </c>
      <c r="L1659" s="8">
        <v>317006</v>
      </c>
      <c r="M1659" s="8">
        <v>19</v>
      </c>
      <c r="N1659" s="8">
        <v>1</v>
      </c>
      <c r="O1659" s="8">
        <v>11</v>
      </c>
      <c r="P1659" s="8"/>
    </row>
    <row r="1660" spans="1:16" hidden="1" x14ac:dyDescent="0.25">
      <c r="A1660" s="7" t="s">
        <v>37</v>
      </c>
      <c r="B1660" s="7" t="s">
        <v>343</v>
      </c>
      <c r="C1660" s="8">
        <v>28182</v>
      </c>
      <c r="D1660" s="7" t="s">
        <v>16</v>
      </c>
      <c r="E1660" s="7" t="s">
        <v>17</v>
      </c>
      <c r="F1660" s="7" t="s">
        <v>391</v>
      </c>
      <c r="G1660" s="7" t="s">
        <v>18</v>
      </c>
      <c r="H1660" s="7" t="s">
        <v>48</v>
      </c>
      <c r="I1660" s="7" t="s">
        <v>712</v>
      </c>
      <c r="J1660" s="7" t="s">
        <v>691</v>
      </c>
      <c r="K1660" s="8">
        <v>6068621</v>
      </c>
      <c r="L1660" s="8">
        <v>284092</v>
      </c>
      <c r="M1660" s="8">
        <v>19</v>
      </c>
      <c r="N1660" s="8">
        <v>1</v>
      </c>
      <c r="O1660" s="8">
        <v>2</v>
      </c>
      <c r="P1660" s="8"/>
    </row>
    <row r="1661" spans="1:16" hidden="1" x14ac:dyDescent="0.25">
      <c r="A1661" s="7" t="s">
        <v>37</v>
      </c>
      <c r="B1661" s="7" t="s">
        <v>415</v>
      </c>
      <c r="C1661" s="8">
        <v>28183</v>
      </c>
      <c r="D1661" s="7" t="s">
        <v>28</v>
      </c>
      <c r="E1661" s="7" t="s">
        <v>146</v>
      </c>
      <c r="F1661" s="7" t="s">
        <v>458</v>
      </c>
      <c r="G1661" s="7" t="s">
        <v>18</v>
      </c>
      <c r="H1661" s="7" t="s">
        <v>24</v>
      </c>
      <c r="I1661" s="7" t="s">
        <v>712</v>
      </c>
      <c r="J1661" s="7" t="s">
        <v>712</v>
      </c>
      <c r="K1661" s="8">
        <v>6271294</v>
      </c>
      <c r="L1661" s="8">
        <v>325683</v>
      </c>
      <c r="M1661" s="8">
        <v>19</v>
      </c>
      <c r="N1661" s="8">
        <v>1</v>
      </c>
      <c r="O1661" s="8">
        <v>1.1000000000000001</v>
      </c>
      <c r="P1661" s="8"/>
    </row>
    <row r="1662" spans="1:16" hidden="1" x14ac:dyDescent="0.25">
      <c r="A1662" s="7" t="s">
        <v>37</v>
      </c>
      <c r="B1662" s="7" t="s">
        <v>415</v>
      </c>
      <c r="C1662" s="8">
        <v>28185</v>
      </c>
      <c r="D1662" s="7" t="s">
        <v>28</v>
      </c>
      <c r="E1662" s="7" t="s">
        <v>344</v>
      </c>
      <c r="F1662" s="7" t="s">
        <v>345</v>
      </c>
      <c r="G1662" s="7" t="s">
        <v>18</v>
      </c>
      <c r="H1662" s="7" t="s">
        <v>24</v>
      </c>
      <c r="I1662" s="7" t="s">
        <v>712</v>
      </c>
      <c r="J1662" s="7" t="s">
        <v>712</v>
      </c>
      <c r="K1662" s="8">
        <v>6272157</v>
      </c>
      <c r="L1662" s="8">
        <v>299437</v>
      </c>
      <c r="M1662" s="8">
        <v>19</v>
      </c>
      <c r="N1662" s="8">
        <v>1</v>
      </c>
      <c r="O1662" s="8">
        <v>4.93</v>
      </c>
      <c r="P1662" s="8"/>
    </row>
    <row r="1663" spans="1:16" hidden="1" x14ac:dyDescent="0.25">
      <c r="A1663" s="7" t="s">
        <v>37</v>
      </c>
      <c r="B1663" s="7" t="s">
        <v>415</v>
      </c>
      <c r="C1663" s="8">
        <v>28186</v>
      </c>
      <c r="D1663" s="7" t="s">
        <v>28</v>
      </c>
      <c r="E1663" s="7" t="s">
        <v>29</v>
      </c>
      <c r="F1663" s="7" t="s">
        <v>478</v>
      </c>
      <c r="G1663" s="7" t="s">
        <v>18</v>
      </c>
      <c r="H1663" s="7" t="s">
        <v>24</v>
      </c>
      <c r="I1663" s="7" t="s">
        <v>712</v>
      </c>
      <c r="J1663" s="7" t="s">
        <v>712</v>
      </c>
      <c r="K1663" s="8">
        <v>6255471</v>
      </c>
      <c r="L1663" s="8">
        <v>320492</v>
      </c>
      <c r="M1663" s="8">
        <v>19</v>
      </c>
      <c r="N1663" s="8">
        <v>1</v>
      </c>
      <c r="O1663" s="8">
        <v>0.98</v>
      </c>
      <c r="P1663" s="8"/>
    </row>
    <row r="1664" spans="1:16" hidden="1" x14ac:dyDescent="0.25">
      <c r="A1664" s="7" t="s">
        <v>37</v>
      </c>
      <c r="B1664" s="7" t="s">
        <v>415</v>
      </c>
      <c r="C1664" s="8">
        <v>28187</v>
      </c>
      <c r="D1664" s="7" t="s">
        <v>28</v>
      </c>
      <c r="E1664" s="7" t="s">
        <v>344</v>
      </c>
      <c r="F1664" s="7" t="s">
        <v>345</v>
      </c>
      <c r="G1664" s="7" t="s">
        <v>18</v>
      </c>
      <c r="H1664" s="7" t="s">
        <v>24</v>
      </c>
      <c r="I1664" s="7" t="s">
        <v>712</v>
      </c>
      <c r="J1664" s="7" t="s">
        <v>712</v>
      </c>
      <c r="K1664" s="8">
        <v>6272869</v>
      </c>
      <c r="L1664" s="8">
        <v>301058</v>
      </c>
      <c r="M1664" s="8">
        <v>19</v>
      </c>
      <c r="N1664" s="8">
        <v>1</v>
      </c>
      <c r="O1664" s="8">
        <v>1.63</v>
      </c>
      <c r="P1664" s="8"/>
    </row>
    <row r="1665" spans="1:16" hidden="1" x14ac:dyDescent="0.25">
      <c r="A1665" s="7" t="s">
        <v>19</v>
      </c>
      <c r="B1665" s="7" t="s">
        <v>270</v>
      </c>
      <c r="C1665" s="8">
        <v>28188</v>
      </c>
      <c r="D1665" s="7" t="s">
        <v>52</v>
      </c>
      <c r="E1665" s="7" t="s">
        <v>53</v>
      </c>
      <c r="F1665" s="7" t="s">
        <v>79</v>
      </c>
      <c r="G1665" s="7" t="s">
        <v>18</v>
      </c>
      <c r="H1665" s="7" t="s">
        <v>48</v>
      </c>
      <c r="I1665" s="7" t="s">
        <v>712</v>
      </c>
      <c r="J1665" s="7" t="s">
        <v>691</v>
      </c>
      <c r="K1665" s="8">
        <v>6148378</v>
      </c>
      <c r="L1665" s="8">
        <v>316892</v>
      </c>
      <c r="M1665" s="8">
        <v>19</v>
      </c>
      <c r="N1665" s="8">
        <v>1</v>
      </c>
      <c r="O1665" s="8">
        <v>6</v>
      </c>
      <c r="P1665" s="8"/>
    </row>
    <row r="1666" spans="1:16" hidden="1" x14ac:dyDescent="0.25">
      <c r="A1666" s="7" t="s">
        <v>37</v>
      </c>
      <c r="B1666" s="7" t="s">
        <v>415</v>
      </c>
      <c r="C1666" s="8">
        <v>28189</v>
      </c>
      <c r="D1666" s="7" t="s">
        <v>28</v>
      </c>
      <c r="E1666" s="7" t="s">
        <v>393</v>
      </c>
      <c r="F1666" s="7" t="s">
        <v>486</v>
      </c>
      <c r="G1666" s="7" t="s">
        <v>18</v>
      </c>
      <c r="H1666" s="7" t="s">
        <v>24</v>
      </c>
      <c r="I1666" s="7" t="s">
        <v>712</v>
      </c>
      <c r="J1666" s="7" t="s">
        <v>712</v>
      </c>
      <c r="K1666" s="8">
        <v>6267501</v>
      </c>
      <c r="L1666" s="8">
        <v>307338</v>
      </c>
      <c r="M1666" s="8">
        <v>19</v>
      </c>
      <c r="N1666" s="8">
        <v>1</v>
      </c>
      <c r="O1666" s="8">
        <v>1</v>
      </c>
      <c r="P1666" s="8"/>
    </row>
    <row r="1667" spans="1:16" hidden="1" x14ac:dyDescent="0.25">
      <c r="A1667" s="7" t="s">
        <v>37</v>
      </c>
      <c r="B1667" s="7" t="s">
        <v>343</v>
      </c>
      <c r="C1667" s="8">
        <v>28190</v>
      </c>
      <c r="D1667" s="7" t="s">
        <v>16</v>
      </c>
      <c r="E1667" s="7" t="s">
        <v>17</v>
      </c>
      <c r="F1667" s="7" t="s">
        <v>390</v>
      </c>
      <c r="G1667" s="7" t="s">
        <v>18</v>
      </c>
      <c r="H1667" s="7" t="s">
        <v>24</v>
      </c>
      <c r="I1667" s="7" t="s">
        <v>712</v>
      </c>
      <c r="J1667" s="7" t="s">
        <v>712</v>
      </c>
      <c r="K1667" s="8">
        <v>6069714</v>
      </c>
      <c r="L1667" s="8">
        <v>286402</v>
      </c>
      <c r="M1667" s="8">
        <v>19</v>
      </c>
      <c r="N1667" s="8">
        <v>1</v>
      </c>
      <c r="O1667" s="8">
        <v>1</v>
      </c>
      <c r="P1667" s="8"/>
    </row>
    <row r="1668" spans="1:16" hidden="1" x14ac:dyDescent="0.25">
      <c r="A1668" s="7" t="s">
        <v>37</v>
      </c>
      <c r="B1668" s="7" t="s">
        <v>415</v>
      </c>
      <c r="C1668" s="8">
        <v>28192</v>
      </c>
      <c r="D1668" s="7" t="s">
        <v>28</v>
      </c>
      <c r="E1668" s="7" t="s">
        <v>29</v>
      </c>
      <c r="F1668" s="7" t="s">
        <v>478</v>
      </c>
      <c r="G1668" s="7" t="s">
        <v>18</v>
      </c>
      <c r="H1668" s="7" t="s">
        <v>24</v>
      </c>
      <c r="I1668" s="7" t="s">
        <v>712</v>
      </c>
      <c r="J1668" s="7" t="s">
        <v>712</v>
      </c>
      <c r="K1668" s="8">
        <v>6255686</v>
      </c>
      <c r="L1668" s="8">
        <v>321118</v>
      </c>
      <c r="M1668" s="8">
        <v>19</v>
      </c>
      <c r="N1668" s="8">
        <v>1</v>
      </c>
      <c r="O1668" s="8">
        <v>1</v>
      </c>
      <c r="P1668" s="8"/>
    </row>
    <row r="1669" spans="1:16" hidden="1" x14ac:dyDescent="0.25">
      <c r="A1669" s="7" t="s">
        <v>37</v>
      </c>
      <c r="B1669" s="7" t="s">
        <v>415</v>
      </c>
      <c r="C1669" s="8">
        <v>28193</v>
      </c>
      <c r="D1669" s="7" t="s">
        <v>28</v>
      </c>
      <c r="E1669" s="7" t="s">
        <v>166</v>
      </c>
      <c r="F1669" s="7" t="s">
        <v>529</v>
      </c>
      <c r="G1669" s="7" t="s">
        <v>18</v>
      </c>
      <c r="H1669" s="7" t="s">
        <v>24</v>
      </c>
      <c r="I1669" s="7" t="s">
        <v>712</v>
      </c>
      <c r="J1669" s="7" t="s">
        <v>712</v>
      </c>
      <c r="K1669" s="8">
        <v>6261323</v>
      </c>
      <c r="L1669" s="8">
        <v>326845</v>
      </c>
      <c r="M1669" s="8">
        <v>19</v>
      </c>
      <c r="N1669" s="8">
        <v>1</v>
      </c>
      <c r="O1669" s="8">
        <v>0.98</v>
      </c>
      <c r="P1669" s="8"/>
    </row>
    <row r="1670" spans="1:16" hidden="1" x14ac:dyDescent="0.25">
      <c r="A1670" s="7" t="s">
        <v>37</v>
      </c>
      <c r="B1670" s="7" t="s">
        <v>415</v>
      </c>
      <c r="C1670" s="8">
        <v>28194</v>
      </c>
      <c r="D1670" s="7" t="s">
        <v>28</v>
      </c>
      <c r="E1670" s="7" t="s">
        <v>429</v>
      </c>
      <c r="F1670" s="7" t="s">
        <v>430</v>
      </c>
      <c r="G1670" s="7" t="s">
        <v>18</v>
      </c>
      <c r="H1670" s="7" t="s">
        <v>24</v>
      </c>
      <c r="I1670" s="7" t="s">
        <v>712</v>
      </c>
      <c r="J1670" s="7" t="s">
        <v>712</v>
      </c>
      <c r="K1670" s="8">
        <v>6327587</v>
      </c>
      <c r="L1670" s="8">
        <v>323754</v>
      </c>
      <c r="M1670" s="8">
        <v>19</v>
      </c>
      <c r="N1670" s="8">
        <v>1</v>
      </c>
      <c r="O1670" s="8">
        <v>2.5</v>
      </c>
      <c r="P1670" s="8"/>
    </row>
    <row r="1671" spans="1:16" hidden="1" x14ac:dyDescent="0.25">
      <c r="A1671" s="7" t="s">
        <v>19</v>
      </c>
      <c r="B1671" s="7" t="s">
        <v>270</v>
      </c>
      <c r="C1671" s="8">
        <v>28195</v>
      </c>
      <c r="D1671" s="7" t="s">
        <v>52</v>
      </c>
      <c r="E1671" s="7" t="s">
        <v>53</v>
      </c>
      <c r="F1671" s="7" t="s">
        <v>79</v>
      </c>
      <c r="G1671" s="7" t="s">
        <v>18</v>
      </c>
      <c r="H1671" s="7" t="s">
        <v>48</v>
      </c>
      <c r="I1671" s="7" t="s">
        <v>712</v>
      </c>
      <c r="J1671" s="7" t="s">
        <v>691</v>
      </c>
      <c r="K1671" s="8">
        <v>6148151</v>
      </c>
      <c r="L1671" s="8">
        <v>316654</v>
      </c>
      <c r="M1671" s="8">
        <v>19</v>
      </c>
      <c r="N1671" s="8">
        <v>1</v>
      </c>
      <c r="O1671" s="8">
        <v>4</v>
      </c>
      <c r="P1671" s="8"/>
    </row>
    <row r="1672" spans="1:16" hidden="1" x14ac:dyDescent="0.25">
      <c r="A1672" s="7" t="s">
        <v>37</v>
      </c>
      <c r="B1672" s="7" t="s">
        <v>415</v>
      </c>
      <c r="C1672" s="8">
        <v>28196</v>
      </c>
      <c r="D1672" s="7" t="s">
        <v>28</v>
      </c>
      <c r="E1672" s="7" t="s">
        <v>429</v>
      </c>
      <c r="F1672" s="7" t="s">
        <v>430</v>
      </c>
      <c r="G1672" s="7" t="s">
        <v>18</v>
      </c>
      <c r="H1672" s="7" t="s">
        <v>109</v>
      </c>
      <c r="I1672" s="7" t="s">
        <v>712</v>
      </c>
      <c r="J1672" s="7" t="s">
        <v>691</v>
      </c>
      <c r="K1672" s="8">
        <v>6327090</v>
      </c>
      <c r="L1672" s="8">
        <v>325195</v>
      </c>
      <c r="M1672" s="8">
        <v>19</v>
      </c>
      <c r="N1672" s="8">
        <v>1</v>
      </c>
      <c r="O1672" s="8">
        <v>1.1100000000000001</v>
      </c>
      <c r="P1672" s="8"/>
    </row>
    <row r="1673" spans="1:16" hidden="1" x14ac:dyDescent="0.25">
      <c r="A1673" s="7" t="s">
        <v>37</v>
      </c>
      <c r="B1673" s="7" t="s">
        <v>415</v>
      </c>
      <c r="C1673" s="8">
        <v>28197</v>
      </c>
      <c r="D1673" s="7" t="s">
        <v>28</v>
      </c>
      <c r="E1673" s="7" t="s">
        <v>29</v>
      </c>
      <c r="F1673" s="7" t="s">
        <v>524</v>
      </c>
      <c r="G1673" s="7" t="s">
        <v>18</v>
      </c>
      <c r="H1673" s="7" t="s">
        <v>24</v>
      </c>
      <c r="I1673" s="7" t="s">
        <v>712</v>
      </c>
      <c r="J1673" s="7" t="s">
        <v>712</v>
      </c>
      <c r="K1673" s="8">
        <v>6250820</v>
      </c>
      <c r="L1673" s="8">
        <v>337923</v>
      </c>
      <c r="M1673" s="8">
        <v>19</v>
      </c>
      <c r="N1673" s="8">
        <v>1</v>
      </c>
      <c r="O1673" s="8">
        <v>0.96</v>
      </c>
      <c r="P1673" s="8"/>
    </row>
    <row r="1674" spans="1:16" hidden="1" x14ac:dyDescent="0.25">
      <c r="A1674" s="7" t="s">
        <v>37</v>
      </c>
      <c r="B1674" s="7" t="s">
        <v>415</v>
      </c>
      <c r="C1674" s="8">
        <v>28198</v>
      </c>
      <c r="D1674" s="7" t="s">
        <v>28</v>
      </c>
      <c r="E1674" s="7" t="s">
        <v>29</v>
      </c>
      <c r="F1674" s="7" t="s">
        <v>524</v>
      </c>
      <c r="G1674" s="7" t="s">
        <v>18</v>
      </c>
      <c r="H1674" s="7" t="s">
        <v>24</v>
      </c>
      <c r="I1674" s="7" t="s">
        <v>712</v>
      </c>
      <c r="J1674" s="7" t="s">
        <v>712</v>
      </c>
      <c r="K1674" s="8">
        <v>6251093</v>
      </c>
      <c r="L1674" s="8">
        <v>337799</v>
      </c>
      <c r="M1674" s="8">
        <v>19</v>
      </c>
      <c r="N1674" s="8">
        <v>1</v>
      </c>
      <c r="O1674" s="8">
        <v>0.88</v>
      </c>
      <c r="P1674" s="8"/>
    </row>
    <row r="1675" spans="1:16" hidden="1" x14ac:dyDescent="0.25">
      <c r="A1675" s="7" t="s">
        <v>37</v>
      </c>
      <c r="B1675" s="7" t="s">
        <v>415</v>
      </c>
      <c r="C1675" s="8">
        <v>28199</v>
      </c>
      <c r="D1675" s="7" t="s">
        <v>28</v>
      </c>
      <c r="E1675" s="7" t="s">
        <v>56</v>
      </c>
      <c r="F1675" s="7" t="s">
        <v>162</v>
      </c>
      <c r="G1675" s="7" t="s">
        <v>18</v>
      </c>
      <c r="H1675" s="7" t="s">
        <v>24</v>
      </c>
      <c r="I1675" s="7" t="s">
        <v>712</v>
      </c>
      <c r="J1675" s="7" t="s">
        <v>712</v>
      </c>
      <c r="K1675" s="8">
        <v>6260189</v>
      </c>
      <c r="L1675" s="8">
        <v>336574</v>
      </c>
      <c r="M1675" s="8">
        <v>19</v>
      </c>
      <c r="N1675" s="8">
        <v>1</v>
      </c>
      <c r="O1675" s="8">
        <v>1.17</v>
      </c>
      <c r="P1675" s="8"/>
    </row>
    <row r="1676" spans="1:16" hidden="1" x14ac:dyDescent="0.25">
      <c r="A1676" s="7" t="s">
        <v>37</v>
      </c>
      <c r="B1676" s="7" t="s">
        <v>415</v>
      </c>
      <c r="C1676" s="8">
        <v>28202</v>
      </c>
      <c r="D1676" s="7" t="s">
        <v>28</v>
      </c>
      <c r="E1676" s="7" t="s">
        <v>29</v>
      </c>
      <c r="F1676" s="7" t="s">
        <v>530</v>
      </c>
      <c r="G1676" s="7" t="s">
        <v>18</v>
      </c>
      <c r="H1676" s="7" t="s">
        <v>109</v>
      </c>
      <c r="I1676" s="7" t="s">
        <v>712</v>
      </c>
      <c r="J1676" s="7" t="s">
        <v>691</v>
      </c>
      <c r="K1676" s="8">
        <v>6251018</v>
      </c>
      <c r="L1676" s="8">
        <v>330089</v>
      </c>
      <c r="M1676" s="8">
        <v>19</v>
      </c>
      <c r="N1676" s="8">
        <v>1</v>
      </c>
      <c r="O1676" s="8">
        <v>0.14000000000000001</v>
      </c>
      <c r="P1676" s="8"/>
    </row>
    <row r="1677" spans="1:16" hidden="1" x14ac:dyDescent="0.25">
      <c r="A1677" s="7" t="s">
        <v>37</v>
      </c>
      <c r="B1677" s="7" t="s">
        <v>415</v>
      </c>
      <c r="C1677" s="8">
        <v>28203</v>
      </c>
      <c r="D1677" s="7" t="s">
        <v>28</v>
      </c>
      <c r="E1677" s="7" t="s">
        <v>29</v>
      </c>
      <c r="F1677" s="7" t="s">
        <v>30</v>
      </c>
      <c r="G1677" s="7" t="s">
        <v>18</v>
      </c>
      <c r="H1677" s="7" t="s">
        <v>24</v>
      </c>
      <c r="I1677" s="7" t="s">
        <v>712</v>
      </c>
      <c r="J1677" s="7" t="s">
        <v>712</v>
      </c>
      <c r="K1677" s="8">
        <v>6255171</v>
      </c>
      <c r="L1677" s="8">
        <v>345317</v>
      </c>
      <c r="M1677" s="8">
        <v>19</v>
      </c>
      <c r="N1677" s="8">
        <v>1</v>
      </c>
      <c r="O1677" s="8">
        <v>0.95</v>
      </c>
      <c r="P1677" s="8"/>
    </row>
    <row r="1678" spans="1:16" hidden="1" x14ac:dyDescent="0.25">
      <c r="A1678" s="7" t="s">
        <v>19</v>
      </c>
      <c r="B1678" s="7" t="s">
        <v>124</v>
      </c>
      <c r="C1678" s="8">
        <v>28204</v>
      </c>
      <c r="D1678" s="7" t="s">
        <v>16</v>
      </c>
      <c r="E1678" s="7" t="s">
        <v>17</v>
      </c>
      <c r="F1678" s="7" t="s">
        <v>164</v>
      </c>
      <c r="G1678" s="7" t="s">
        <v>18</v>
      </c>
      <c r="H1678" s="7" t="s">
        <v>48</v>
      </c>
      <c r="I1678" s="7" t="s">
        <v>712</v>
      </c>
      <c r="J1678" s="7" t="s">
        <v>691</v>
      </c>
      <c r="K1678" s="8">
        <v>6073348</v>
      </c>
      <c r="L1678" s="8">
        <v>276063</v>
      </c>
      <c r="M1678" s="8">
        <v>19</v>
      </c>
      <c r="N1678" s="8">
        <v>1</v>
      </c>
      <c r="O1678" s="8">
        <v>20</v>
      </c>
      <c r="P1678" s="8"/>
    </row>
    <row r="1679" spans="1:16" hidden="1" x14ac:dyDescent="0.25">
      <c r="A1679" s="7" t="s">
        <v>37</v>
      </c>
      <c r="B1679" s="7" t="s">
        <v>415</v>
      </c>
      <c r="C1679" s="8">
        <v>28205</v>
      </c>
      <c r="D1679" s="7" t="s">
        <v>28</v>
      </c>
      <c r="E1679" s="7" t="s">
        <v>29</v>
      </c>
      <c r="F1679" s="7" t="s">
        <v>30</v>
      </c>
      <c r="G1679" s="7" t="s">
        <v>18</v>
      </c>
      <c r="H1679" s="7" t="s">
        <v>24</v>
      </c>
      <c r="I1679" s="7" t="s">
        <v>712</v>
      </c>
      <c r="J1679" s="7" t="s">
        <v>712</v>
      </c>
      <c r="K1679" s="8">
        <v>6254643</v>
      </c>
      <c r="L1679" s="8">
        <v>344265</v>
      </c>
      <c r="M1679" s="8">
        <v>19</v>
      </c>
      <c r="N1679" s="8">
        <v>1</v>
      </c>
      <c r="O1679" s="8">
        <v>1.1000000000000001</v>
      </c>
      <c r="P1679" s="8"/>
    </row>
    <row r="1680" spans="1:16" hidden="1" x14ac:dyDescent="0.25">
      <c r="A1680" s="7" t="s">
        <v>37</v>
      </c>
      <c r="B1680" s="7" t="s">
        <v>415</v>
      </c>
      <c r="C1680" s="8">
        <v>28206</v>
      </c>
      <c r="D1680" s="7" t="s">
        <v>28</v>
      </c>
      <c r="E1680" s="7" t="s">
        <v>29</v>
      </c>
      <c r="F1680" s="7" t="s">
        <v>30</v>
      </c>
      <c r="G1680" s="7" t="s">
        <v>18</v>
      </c>
      <c r="H1680" s="7" t="s">
        <v>24</v>
      </c>
      <c r="I1680" s="7" t="s">
        <v>712</v>
      </c>
      <c r="J1680" s="7" t="s">
        <v>712</v>
      </c>
      <c r="K1680" s="8">
        <v>6255269</v>
      </c>
      <c r="L1680" s="8">
        <v>345596</v>
      </c>
      <c r="M1680" s="8">
        <v>19</v>
      </c>
      <c r="N1680" s="8">
        <v>1</v>
      </c>
      <c r="O1680" s="8">
        <v>1.06</v>
      </c>
      <c r="P1680" s="8"/>
    </row>
    <row r="1681" spans="1:16" hidden="1" x14ac:dyDescent="0.25">
      <c r="A1681" s="7" t="s">
        <v>37</v>
      </c>
      <c r="B1681" s="7" t="s">
        <v>415</v>
      </c>
      <c r="C1681" s="8">
        <v>28207</v>
      </c>
      <c r="D1681" s="7" t="s">
        <v>28</v>
      </c>
      <c r="E1681" s="7" t="s">
        <v>56</v>
      </c>
      <c r="F1681" s="7" t="s">
        <v>162</v>
      </c>
      <c r="G1681" s="7" t="s">
        <v>18</v>
      </c>
      <c r="H1681" s="7" t="s">
        <v>24</v>
      </c>
      <c r="I1681" s="7" t="s">
        <v>712</v>
      </c>
      <c r="J1681" s="7" t="s">
        <v>712</v>
      </c>
      <c r="K1681" s="8">
        <v>6260529</v>
      </c>
      <c r="L1681" s="8">
        <v>336497</v>
      </c>
      <c r="M1681" s="8">
        <v>19</v>
      </c>
      <c r="N1681" s="8">
        <v>1</v>
      </c>
      <c r="O1681" s="8">
        <v>0.92</v>
      </c>
      <c r="P1681" s="8"/>
    </row>
    <row r="1682" spans="1:16" hidden="1" x14ac:dyDescent="0.25">
      <c r="A1682" s="7" t="s">
        <v>37</v>
      </c>
      <c r="B1682" s="7" t="s">
        <v>415</v>
      </c>
      <c r="C1682" s="8">
        <v>28208</v>
      </c>
      <c r="D1682" s="7" t="s">
        <v>28</v>
      </c>
      <c r="E1682" s="7" t="s">
        <v>344</v>
      </c>
      <c r="F1682" s="7" t="s">
        <v>345</v>
      </c>
      <c r="G1682" s="7" t="s">
        <v>18</v>
      </c>
      <c r="H1682" s="7" t="s">
        <v>24</v>
      </c>
      <c r="I1682" s="7" t="s">
        <v>712</v>
      </c>
      <c r="J1682" s="7" t="s">
        <v>712</v>
      </c>
      <c r="K1682" s="8">
        <v>6275766</v>
      </c>
      <c r="L1682" s="8">
        <v>296271</v>
      </c>
      <c r="M1682" s="8">
        <v>19</v>
      </c>
      <c r="N1682" s="8">
        <v>1</v>
      </c>
      <c r="O1682" s="8">
        <v>1.1200000000000001</v>
      </c>
      <c r="P1682" s="8"/>
    </row>
    <row r="1683" spans="1:16" hidden="1" x14ac:dyDescent="0.25">
      <c r="A1683" s="7" t="s">
        <v>37</v>
      </c>
      <c r="B1683" s="7" t="s">
        <v>415</v>
      </c>
      <c r="C1683" s="8">
        <v>28210</v>
      </c>
      <c r="D1683" s="7" t="s">
        <v>28</v>
      </c>
      <c r="E1683" s="7" t="s">
        <v>29</v>
      </c>
      <c r="F1683" s="7" t="s">
        <v>29</v>
      </c>
      <c r="G1683" s="7" t="s">
        <v>18</v>
      </c>
      <c r="H1683" s="7" t="s">
        <v>109</v>
      </c>
      <c r="I1683" s="7" t="s">
        <v>712</v>
      </c>
      <c r="J1683" s="7" t="s">
        <v>691</v>
      </c>
      <c r="K1683" s="8">
        <v>6262852</v>
      </c>
      <c r="L1683" s="8">
        <v>344261</v>
      </c>
      <c r="M1683" s="8">
        <v>19</v>
      </c>
      <c r="N1683" s="8">
        <v>1</v>
      </c>
      <c r="O1683" s="8">
        <v>15.4</v>
      </c>
      <c r="P1683" s="8"/>
    </row>
    <row r="1684" spans="1:16" hidden="1" x14ac:dyDescent="0.25">
      <c r="A1684" s="7" t="s">
        <v>14</v>
      </c>
      <c r="B1684" s="7" t="s">
        <v>415</v>
      </c>
      <c r="C1684" s="8">
        <v>28211</v>
      </c>
      <c r="D1684" s="7" t="s">
        <v>21</v>
      </c>
      <c r="E1684" s="7" t="s">
        <v>253</v>
      </c>
      <c r="F1684" s="7" t="s">
        <v>253</v>
      </c>
      <c r="G1684" s="7" t="s">
        <v>18</v>
      </c>
      <c r="H1684" s="7" t="s">
        <v>689</v>
      </c>
      <c r="I1684" s="7" t="s">
        <v>712</v>
      </c>
      <c r="J1684" s="7" t="s">
        <v>712</v>
      </c>
      <c r="K1684" s="8">
        <v>6366933</v>
      </c>
      <c r="L1684" s="8">
        <v>354784</v>
      </c>
      <c r="M1684" s="8">
        <v>19</v>
      </c>
      <c r="N1684" s="8">
        <v>1</v>
      </c>
      <c r="O1684" s="8">
        <v>0.7</v>
      </c>
      <c r="P1684" s="8"/>
    </row>
    <row r="1685" spans="1:16" hidden="1" x14ac:dyDescent="0.25">
      <c r="A1685" s="7" t="s">
        <v>37</v>
      </c>
      <c r="B1685" s="7" t="s">
        <v>415</v>
      </c>
      <c r="C1685" s="8">
        <v>28212</v>
      </c>
      <c r="D1685" s="7" t="s">
        <v>28</v>
      </c>
      <c r="E1685" s="7" t="s">
        <v>32</v>
      </c>
      <c r="F1685" s="7" t="s">
        <v>147</v>
      </c>
      <c r="G1685" s="7" t="s">
        <v>18</v>
      </c>
      <c r="H1685" s="7" t="s">
        <v>109</v>
      </c>
      <c r="I1685" s="7" t="s">
        <v>712</v>
      </c>
      <c r="J1685" s="7" t="s">
        <v>691</v>
      </c>
      <c r="K1685" s="8">
        <v>6270868</v>
      </c>
      <c r="L1685" s="8">
        <v>338376</v>
      </c>
      <c r="M1685" s="8">
        <v>19</v>
      </c>
      <c r="N1685" s="8">
        <v>1</v>
      </c>
      <c r="O1685" s="8">
        <v>0.17</v>
      </c>
      <c r="P1685" s="8"/>
    </row>
    <row r="1686" spans="1:16" hidden="1" x14ac:dyDescent="0.25">
      <c r="A1686" s="7" t="s">
        <v>37</v>
      </c>
      <c r="B1686" s="7" t="s">
        <v>415</v>
      </c>
      <c r="C1686" s="8">
        <v>28213</v>
      </c>
      <c r="D1686" s="7" t="s">
        <v>28</v>
      </c>
      <c r="E1686" s="7" t="s">
        <v>344</v>
      </c>
      <c r="F1686" s="7" t="s">
        <v>517</v>
      </c>
      <c r="G1686" s="7" t="s">
        <v>18</v>
      </c>
      <c r="H1686" s="7" t="s">
        <v>24</v>
      </c>
      <c r="I1686" s="7" t="s">
        <v>712</v>
      </c>
      <c r="J1686" s="7" t="s">
        <v>712</v>
      </c>
      <c r="K1686" s="8">
        <v>6271936</v>
      </c>
      <c r="L1686" s="8">
        <v>302973</v>
      </c>
      <c r="M1686" s="8">
        <v>19</v>
      </c>
      <c r="N1686" s="8">
        <v>1</v>
      </c>
      <c r="O1686" s="8">
        <v>1</v>
      </c>
      <c r="P1686" s="8"/>
    </row>
    <row r="1687" spans="1:16" hidden="1" x14ac:dyDescent="0.25">
      <c r="A1687" s="7" t="s">
        <v>37</v>
      </c>
      <c r="B1687" s="7" t="s">
        <v>343</v>
      </c>
      <c r="C1687" s="8">
        <v>28215</v>
      </c>
      <c r="D1687" s="7" t="s">
        <v>16</v>
      </c>
      <c r="E1687" s="7" t="s">
        <v>17</v>
      </c>
      <c r="F1687" s="7" t="s">
        <v>391</v>
      </c>
      <c r="G1687" s="7" t="s">
        <v>18</v>
      </c>
      <c r="H1687" s="7" t="s">
        <v>24</v>
      </c>
      <c r="I1687" s="7" t="s">
        <v>712</v>
      </c>
      <c r="J1687" s="7" t="s">
        <v>712</v>
      </c>
      <c r="K1687" s="8">
        <v>6070397</v>
      </c>
      <c r="L1687" s="8">
        <v>285366</v>
      </c>
      <c r="M1687" s="8">
        <v>19</v>
      </c>
      <c r="N1687" s="8">
        <v>1</v>
      </c>
      <c r="O1687" s="8">
        <v>1.5</v>
      </c>
      <c r="P1687" s="8"/>
    </row>
    <row r="1688" spans="1:16" hidden="1" x14ac:dyDescent="0.25">
      <c r="A1688" s="7" t="s">
        <v>37</v>
      </c>
      <c r="B1688" s="7" t="s">
        <v>415</v>
      </c>
      <c r="C1688" s="8">
        <v>28216</v>
      </c>
      <c r="D1688" s="7" t="s">
        <v>28</v>
      </c>
      <c r="E1688" s="7" t="s">
        <v>393</v>
      </c>
      <c r="F1688" s="7" t="s">
        <v>505</v>
      </c>
      <c r="G1688" s="7" t="s">
        <v>18</v>
      </c>
      <c r="H1688" s="7" t="s">
        <v>109</v>
      </c>
      <c r="I1688" s="7" t="s">
        <v>712</v>
      </c>
      <c r="J1688" s="7" t="s">
        <v>691</v>
      </c>
      <c r="K1688" s="8">
        <v>6271632</v>
      </c>
      <c r="L1688" s="8">
        <v>305027</v>
      </c>
      <c r="M1688" s="8">
        <v>19</v>
      </c>
      <c r="N1688" s="8">
        <v>1</v>
      </c>
      <c r="O1688" s="8">
        <v>6</v>
      </c>
      <c r="P1688" s="8"/>
    </row>
    <row r="1689" spans="1:16" hidden="1" x14ac:dyDescent="0.25">
      <c r="A1689" s="7" t="s">
        <v>37</v>
      </c>
      <c r="B1689" s="7" t="s">
        <v>415</v>
      </c>
      <c r="C1689" s="8">
        <v>28217</v>
      </c>
      <c r="D1689" s="7" t="s">
        <v>28</v>
      </c>
      <c r="E1689" s="7" t="s">
        <v>32</v>
      </c>
      <c r="F1689" s="7" t="s">
        <v>147</v>
      </c>
      <c r="G1689" s="7" t="s">
        <v>18</v>
      </c>
      <c r="H1689" s="7" t="s">
        <v>109</v>
      </c>
      <c r="I1689" s="7" t="s">
        <v>712</v>
      </c>
      <c r="J1689" s="7" t="s">
        <v>691</v>
      </c>
      <c r="K1689" s="8">
        <v>6270498</v>
      </c>
      <c r="L1689" s="8">
        <v>338574</v>
      </c>
      <c r="M1689" s="8">
        <v>19</v>
      </c>
      <c r="N1689" s="8">
        <v>1</v>
      </c>
      <c r="O1689" s="8">
        <v>0.26</v>
      </c>
      <c r="P1689" s="8"/>
    </row>
    <row r="1690" spans="1:16" hidden="1" x14ac:dyDescent="0.25">
      <c r="A1690" s="7" t="s">
        <v>19</v>
      </c>
      <c r="B1690" s="7" t="s">
        <v>124</v>
      </c>
      <c r="C1690" s="8">
        <v>28219</v>
      </c>
      <c r="D1690" s="7" t="s">
        <v>16</v>
      </c>
      <c r="E1690" s="7" t="s">
        <v>17</v>
      </c>
      <c r="F1690" s="7" t="s">
        <v>165</v>
      </c>
      <c r="G1690" s="7" t="s">
        <v>18</v>
      </c>
      <c r="H1690" s="7" t="s">
        <v>48</v>
      </c>
      <c r="I1690" s="7" t="s">
        <v>712</v>
      </c>
      <c r="J1690" s="7" t="s">
        <v>691</v>
      </c>
      <c r="K1690" s="8">
        <v>6070126</v>
      </c>
      <c r="L1690" s="8">
        <v>275032</v>
      </c>
      <c r="M1690" s="8">
        <v>19</v>
      </c>
      <c r="N1690" s="8">
        <v>1</v>
      </c>
      <c r="O1690" s="8">
        <v>9</v>
      </c>
      <c r="P1690" s="8"/>
    </row>
    <row r="1691" spans="1:16" hidden="1" x14ac:dyDescent="0.25">
      <c r="A1691" s="7" t="s">
        <v>37</v>
      </c>
      <c r="B1691" s="7" t="s">
        <v>415</v>
      </c>
      <c r="C1691" s="8">
        <v>28220</v>
      </c>
      <c r="D1691" s="7" t="s">
        <v>28</v>
      </c>
      <c r="E1691" s="7" t="s">
        <v>142</v>
      </c>
      <c r="F1691" s="7" t="s">
        <v>521</v>
      </c>
      <c r="G1691" s="7" t="s">
        <v>18</v>
      </c>
      <c r="H1691" s="7" t="s">
        <v>24</v>
      </c>
      <c r="I1691" s="7" t="s">
        <v>712</v>
      </c>
      <c r="J1691" s="7" t="s">
        <v>712</v>
      </c>
      <c r="K1691" s="8">
        <v>6275747</v>
      </c>
      <c r="L1691" s="8">
        <v>335799</v>
      </c>
      <c r="M1691" s="8">
        <v>19</v>
      </c>
      <c r="N1691" s="8">
        <v>1</v>
      </c>
      <c r="O1691" s="8">
        <v>4.8899999999999997</v>
      </c>
      <c r="P1691" s="8"/>
    </row>
    <row r="1692" spans="1:16" hidden="1" x14ac:dyDescent="0.25">
      <c r="A1692" s="7" t="s">
        <v>37</v>
      </c>
      <c r="B1692" s="7" t="s">
        <v>415</v>
      </c>
      <c r="C1692" s="8">
        <v>28222</v>
      </c>
      <c r="D1692" s="7" t="s">
        <v>28</v>
      </c>
      <c r="E1692" s="7" t="s">
        <v>344</v>
      </c>
      <c r="F1692" s="7" t="s">
        <v>531</v>
      </c>
      <c r="G1692" s="7" t="s">
        <v>18</v>
      </c>
      <c r="H1692" s="7" t="s">
        <v>24</v>
      </c>
      <c r="I1692" s="7" t="s">
        <v>712</v>
      </c>
      <c r="J1692" s="7" t="s">
        <v>712</v>
      </c>
      <c r="K1692" s="8">
        <v>6276876</v>
      </c>
      <c r="L1692" s="8">
        <v>296118</v>
      </c>
      <c r="M1692" s="8">
        <v>19</v>
      </c>
      <c r="N1692" s="8">
        <v>1</v>
      </c>
      <c r="O1692" s="8">
        <v>0.63</v>
      </c>
      <c r="P1692" s="8"/>
    </row>
    <row r="1693" spans="1:16" hidden="1" x14ac:dyDescent="0.25">
      <c r="A1693" s="7" t="s">
        <v>19</v>
      </c>
      <c r="B1693" s="7" t="s">
        <v>124</v>
      </c>
      <c r="C1693" s="8">
        <v>28223</v>
      </c>
      <c r="D1693" s="7" t="s">
        <v>16</v>
      </c>
      <c r="E1693" s="7" t="s">
        <v>17</v>
      </c>
      <c r="F1693" s="7" t="s">
        <v>165</v>
      </c>
      <c r="G1693" s="7" t="s">
        <v>18</v>
      </c>
      <c r="H1693" s="7" t="s">
        <v>48</v>
      </c>
      <c r="I1693" s="7" t="s">
        <v>712</v>
      </c>
      <c r="J1693" s="7" t="s">
        <v>691</v>
      </c>
      <c r="K1693" s="8">
        <v>6070674</v>
      </c>
      <c r="L1693" s="8">
        <v>274738</v>
      </c>
      <c r="M1693" s="8">
        <v>19</v>
      </c>
      <c r="N1693" s="8">
        <v>1</v>
      </c>
      <c r="O1693" s="8">
        <v>7</v>
      </c>
      <c r="P1693" s="8"/>
    </row>
    <row r="1694" spans="1:16" hidden="1" x14ac:dyDescent="0.25">
      <c r="A1694" s="7" t="s">
        <v>19</v>
      </c>
      <c r="B1694" s="7" t="s">
        <v>124</v>
      </c>
      <c r="C1694" s="8">
        <v>28224</v>
      </c>
      <c r="D1694" s="7" t="s">
        <v>16</v>
      </c>
      <c r="E1694" s="7" t="s">
        <v>17</v>
      </c>
      <c r="F1694" s="7" t="s">
        <v>165</v>
      </c>
      <c r="G1694" s="7" t="s">
        <v>18</v>
      </c>
      <c r="H1694" s="7" t="s">
        <v>48</v>
      </c>
      <c r="I1694" s="7" t="s">
        <v>712</v>
      </c>
      <c r="J1694" s="7" t="s">
        <v>691</v>
      </c>
      <c r="K1694" s="8">
        <v>6070529</v>
      </c>
      <c r="L1694" s="8">
        <v>275084</v>
      </c>
      <c r="M1694" s="8">
        <v>19</v>
      </c>
      <c r="N1694" s="8">
        <v>1</v>
      </c>
      <c r="O1694" s="8">
        <v>9.6</v>
      </c>
      <c r="P1694" s="8"/>
    </row>
    <row r="1695" spans="1:16" hidden="1" x14ac:dyDescent="0.25">
      <c r="A1695" s="7" t="s">
        <v>37</v>
      </c>
      <c r="B1695" s="7" t="s">
        <v>343</v>
      </c>
      <c r="C1695" s="8">
        <v>28228</v>
      </c>
      <c r="D1695" s="7" t="s">
        <v>16</v>
      </c>
      <c r="E1695" s="7" t="s">
        <v>17</v>
      </c>
      <c r="F1695" s="7" t="s">
        <v>55</v>
      </c>
      <c r="G1695" s="7" t="s">
        <v>18</v>
      </c>
      <c r="H1695" s="7" t="s">
        <v>24</v>
      </c>
      <c r="I1695" s="7" t="s">
        <v>712</v>
      </c>
      <c r="J1695" s="7" t="s">
        <v>712</v>
      </c>
      <c r="K1695" s="8">
        <v>6063337</v>
      </c>
      <c r="L1695" s="8">
        <v>281564</v>
      </c>
      <c r="M1695" s="8">
        <v>19</v>
      </c>
      <c r="N1695" s="8">
        <v>1</v>
      </c>
      <c r="O1695" s="8">
        <v>2</v>
      </c>
      <c r="P1695" s="8"/>
    </row>
    <row r="1696" spans="1:16" hidden="1" x14ac:dyDescent="0.25">
      <c r="A1696" s="7" t="s">
        <v>37</v>
      </c>
      <c r="B1696" s="7" t="s">
        <v>343</v>
      </c>
      <c r="C1696" s="8">
        <v>28229</v>
      </c>
      <c r="D1696" s="7" t="s">
        <v>16</v>
      </c>
      <c r="E1696" s="7" t="s">
        <v>17</v>
      </c>
      <c r="F1696" s="7" t="s">
        <v>391</v>
      </c>
      <c r="G1696" s="7" t="s">
        <v>18</v>
      </c>
      <c r="H1696" s="7" t="s">
        <v>24</v>
      </c>
      <c r="I1696" s="7" t="s">
        <v>712</v>
      </c>
      <c r="J1696" s="7" t="s">
        <v>712</v>
      </c>
      <c r="K1696" s="8">
        <v>6067502</v>
      </c>
      <c r="L1696" s="8">
        <v>282960</v>
      </c>
      <c r="M1696" s="8">
        <v>19</v>
      </c>
      <c r="N1696" s="8">
        <v>1</v>
      </c>
      <c r="O1696" s="8">
        <v>1.7</v>
      </c>
      <c r="P1696" s="8"/>
    </row>
    <row r="1697" spans="1:16" hidden="1" x14ac:dyDescent="0.25">
      <c r="A1697" s="7" t="s">
        <v>19</v>
      </c>
      <c r="B1697" s="7" t="s">
        <v>124</v>
      </c>
      <c r="C1697" s="8">
        <v>28230</v>
      </c>
      <c r="D1697" s="7" t="s">
        <v>52</v>
      </c>
      <c r="E1697" s="7" t="s">
        <v>53</v>
      </c>
      <c r="F1697" s="7" t="s">
        <v>53</v>
      </c>
      <c r="G1697" s="7" t="s">
        <v>18</v>
      </c>
      <c r="H1697" s="7" t="s">
        <v>48</v>
      </c>
      <c r="I1697" s="7" t="s">
        <v>712</v>
      </c>
      <c r="J1697" s="7" t="s">
        <v>691</v>
      </c>
      <c r="K1697" s="8">
        <v>6155885</v>
      </c>
      <c r="L1697" s="8">
        <v>320055</v>
      </c>
      <c r="M1697" s="8">
        <v>19</v>
      </c>
      <c r="N1697" s="8">
        <v>1</v>
      </c>
      <c r="O1697" s="8">
        <v>13</v>
      </c>
      <c r="P1697" s="8"/>
    </row>
    <row r="1698" spans="1:16" hidden="1" x14ac:dyDescent="0.25">
      <c r="A1698" s="7" t="s">
        <v>19</v>
      </c>
      <c r="B1698" s="7" t="s">
        <v>124</v>
      </c>
      <c r="C1698" s="8">
        <v>28231</v>
      </c>
      <c r="D1698" s="7" t="s">
        <v>52</v>
      </c>
      <c r="E1698" s="7" t="s">
        <v>53</v>
      </c>
      <c r="F1698" s="7" t="s">
        <v>53</v>
      </c>
      <c r="G1698" s="7" t="s">
        <v>18</v>
      </c>
      <c r="H1698" s="7" t="s">
        <v>48</v>
      </c>
      <c r="I1698" s="7" t="s">
        <v>712</v>
      </c>
      <c r="J1698" s="7" t="s">
        <v>691</v>
      </c>
      <c r="K1698" s="8">
        <v>6155371</v>
      </c>
      <c r="L1698" s="8">
        <v>311383</v>
      </c>
      <c r="M1698" s="8">
        <v>19</v>
      </c>
      <c r="N1698" s="8">
        <v>1</v>
      </c>
      <c r="O1698" s="8">
        <v>18.5</v>
      </c>
      <c r="P1698" s="8"/>
    </row>
    <row r="1699" spans="1:16" hidden="1" x14ac:dyDescent="0.25">
      <c r="A1699" s="7" t="s">
        <v>14</v>
      </c>
      <c r="B1699" s="7" t="s">
        <v>415</v>
      </c>
      <c r="C1699" s="8">
        <v>28233</v>
      </c>
      <c r="D1699" s="7" t="s">
        <v>322</v>
      </c>
      <c r="E1699" s="7" t="s">
        <v>323</v>
      </c>
      <c r="F1699" s="7" t="s">
        <v>422</v>
      </c>
      <c r="G1699" s="7" t="s">
        <v>18</v>
      </c>
      <c r="H1699" s="7" t="s">
        <v>689</v>
      </c>
      <c r="I1699" s="7" t="s">
        <v>712</v>
      </c>
      <c r="J1699" s="7" t="s">
        <v>712</v>
      </c>
      <c r="K1699" s="8">
        <v>7952809</v>
      </c>
      <c r="L1699" s="8">
        <v>371039</v>
      </c>
      <c r="M1699" s="8">
        <v>19</v>
      </c>
      <c r="N1699" s="8">
        <v>1</v>
      </c>
      <c r="O1699" s="8">
        <v>1.05</v>
      </c>
      <c r="P1699" s="8"/>
    </row>
    <row r="1700" spans="1:16" hidden="1" x14ac:dyDescent="0.25">
      <c r="A1700" s="7" t="s">
        <v>14</v>
      </c>
      <c r="B1700" s="7" t="s">
        <v>415</v>
      </c>
      <c r="C1700" s="8">
        <v>28234</v>
      </c>
      <c r="D1700" s="7" t="s">
        <v>322</v>
      </c>
      <c r="E1700" s="7" t="s">
        <v>323</v>
      </c>
      <c r="F1700" s="7" t="s">
        <v>422</v>
      </c>
      <c r="G1700" s="7" t="s">
        <v>18</v>
      </c>
      <c r="H1700" s="7" t="s">
        <v>689</v>
      </c>
      <c r="I1700" s="7" t="s">
        <v>712</v>
      </c>
      <c r="J1700" s="7" t="s">
        <v>712</v>
      </c>
      <c r="K1700" s="8">
        <v>7950101</v>
      </c>
      <c r="L1700" s="8">
        <v>378459</v>
      </c>
      <c r="M1700" s="8">
        <v>19</v>
      </c>
      <c r="N1700" s="8">
        <v>1</v>
      </c>
      <c r="O1700" s="8">
        <v>1.9</v>
      </c>
      <c r="P1700" s="8"/>
    </row>
    <row r="1701" spans="1:16" hidden="1" x14ac:dyDescent="0.25">
      <c r="A1701" s="7" t="s">
        <v>14</v>
      </c>
      <c r="B1701" s="7" t="s">
        <v>415</v>
      </c>
      <c r="C1701" s="8">
        <v>28235</v>
      </c>
      <c r="D1701" s="7" t="s">
        <v>322</v>
      </c>
      <c r="E1701" s="7" t="s">
        <v>323</v>
      </c>
      <c r="F1701" s="7" t="s">
        <v>422</v>
      </c>
      <c r="G1701" s="7" t="s">
        <v>18</v>
      </c>
      <c r="H1701" s="7" t="s">
        <v>689</v>
      </c>
      <c r="I1701" s="7" t="s">
        <v>712</v>
      </c>
      <c r="J1701" s="7" t="s">
        <v>712</v>
      </c>
      <c r="K1701" s="8">
        <v>7952668</v>
      </c>
      <c r="L1701" s="8">
        <v>371585</v>
      </c>
      <c r="M1701" s="8">
        <v>19</v>
      </c>
      <c r="N1701" s="8">
        <v>1</v>
      </c>
      <c r="O1701" s="8">
        <v>0.24</v>
      </c>
      <c r="P1701" s="8"/>
    </row>
    <row r="1702" spans="1:16" hidden="1" x14ac:dyDescent="0.25">
      <c r="A1702" s="7" t="s">
        <v>14</v>
      </c>
      <c r="B1702" s="7" t="s">
        <v>415</v>
      </c>
      <c r="C1702" s="8">
        <v>28236</v>
      </c>
      <c r="D1702" s="7" t="s">
        <v>322</v>
      </c>
      <c r="E1702" s="7" t="s">
        <v>323</v>
      </c>
      <c r="F1702" s="7" t="s">
        <v>422</v>
      </c>
      <c r="G1702" s="7" t="s">
        <v>18</v>
      </c>
      <c r="H1702" s="7" t="s">
        <v>689</v>
      </c>
      <c r="I1702" s="7" t="s">
        <v>712</v>
      </c>
      <c r="J1702" s="7" t="s">
        <v>712</v>
      </c>
      <c r="K1702" s="8">
        <v>7952874</v>
      </c>
      <c r="L1702" s="8">
        <v>371111</v>
      </c>
      <c r="M1702" s="8">
        <v>19</v>
      </c>
      <c r="N1702" s="8">
        <v>1</v>
      </c>
      <c r="O1702" s="8">
        <v>0.54</v>
      </c>
      <c r="P1702" s="8"/>
    </row>
    <row r="1703" spans="1:16" hidden="1" x14ac:dyDescent="0.25">
      <c r="A1703" s="7" t="s">
        <v>14</v>
      </c>
      <c r="B1703" s="7" t="s">
        <v>415</v>
      </c>
      <c r="C1703" s="8">
        <v>28237</v>
      </c>
      <c r="D1703" s="7" t="s">
        <v>322</v>
      </c>
      <c r="E1703" s="7" t="s">
        <v>323</v>
      </c>
      <c r="F1703" s="7" t="s">
        <v>422</v>
      </c>
      <c r="G1703" s="7" t="s">
        <v>18</v>
      </c>
      <c r="H1703" s="7" t="s">
        <v>689</v>
      </c>
      <c r="I1703" s="7" t="s">
        <v>712</v>
      </c>
      <c r="J1703" s="7" t="s">
        <v>712</v>
      </c>
      <c r="K1703" s="8">
        <v>7949727</v>
      </c>
      <c r="L1703" s="8">
        <v>378352</v>
      </c>
      <c r="M1703" s="8">
        <v>19</v>
      </c>
      <c r="N1703" s="8">
        <v>1</v>
      </c>
      <c r="O1703" s="8">
        <v>1.68</v>
      </c>
      <c r="P1703" s="8"/>
    </row>
    <row r="1704" spans="1:16" hidden="1" x14ac:dyDescent="0.25">
      <c r="A1704" s="7" t="s">
        <v>14</v>
      </c>
      <c r="B1704" s="7" t="s">
        <v>415</v>
      </c>
      <c r="C1704" s="8">
        <v>28238</v>
      </c>
      <c r="D1704" s="7" t="s">
        <v>322</v>
      </c>
      <c r="E1704" s="7" t="s">
        <v>323</v>
      </c>
      <c r="F1704" s="7" t="s">
        <v>422</v>
      </c>
      <c r="G1704" s="7" t="s">
        <v>18</v>
      </c>
      <c r="H1704" s="7" t="s">
        <v>689</v>
      </c>
      <c r="I1704" s="7" t="s">
        <v>712</v>
      </c>
      <c r="J1704" s="7" t="s">
        <v>712</v>
      </c>
      <c r="K1704" s="8">
        <v>7952563</v>
      </c>
      <c r="L1704" s="8">
        <v>371270</v>
      </c>
      <c r="M1704" s="8">
        <v>19</v>
      </c>
      <c r="N1704" s="8">
        <v>1</v>
      </c>
      <c r="O1704" s="8">
        <v>2.59</v>
      </c>
      <c r="P1704" s="8"/>
    </row>
    <row r="1705" spans="1:16" hidden="1" x14ac:dyDescent="0.25">
      <c r="A1705" s="7" t="s">
        <v>14</v>
      </c>
      <c r="B1705" s="7" t="s">
        <v>415</v>
      </c>
      <c r="C1705" s="8">
        <v>28239</v>
      </c>
      <c r="D1705" s="7" t="s">
        <v>322</v>
      </c>
      <c r="E1705" s="7" t="s">
        <v>323</v>
      </c>
      <c r="F1705" s="7" t="s">
        <v>422</v>
      </c>
      <c r="G1705" s="7" t="s">
        <v>18</v>
      </c>
      <c r="H1705" s="7" t="s">
        <v>689</v>
      </c>
      <c r="I1705" s="7" t="s">
        <v>712</v>
      </c>
      <c r="J1705" s="7" t="s">
        <v>712</v>
      </c>
      <c r="K1705" s="8">
        <v>7949704</v>
      </c>
      <c r="L1705" s="8">
        <v>378065</v>
      </c>
      <c r="M1705" s="8">
        <v>19</v>
      </c>
      <c r="N1705" s="8">
        <v>1</v>
      </c>
      <c r="O1705" s="8">
        <v>0.02</v>
      </c>
      <c r="P1705" s="8"/>
    </row>
    <row r="1706" spans="1:16" hidden="1" x14ac:dyDescent="0.25">
      <c r="A1706" s="7" t="s">
        <v>19</v>
      </c>
      <c r="B1706" s="7" t="s">
        <v>270</v>
      </c>
      <c r="C1706" s="8">
        <v>28240</v>
      </c>
      <c r="D1706" s="7" t="s">
        <v>52</v>
      </c>
      <c r="E1706" s="7" t="s">
        <v>53</v>
      </c>
      <c r="F1706" s="7" t="s">
        <v>79</v>
      </c>
      <c r="G1706" s="7" t="s">
        <v>18</v>
      </c>
      <c r="H1706" s="7" t="s">
        <v>48</v>
      </c>
      <c r="I1706" s="7" t="s">
        <v>712</v>
      </c>
      <c r="J1706" s="7" t="s">
        <v>691</v>
      </c>
      <c r="K1706" s="8">
        <v>6148574</v>
      </c>
      <c r="L1706" s="8">
        <v>316679</v>
      </c>
      <c r="M1706" s="8">
        <v>19</v>
      </c>
      <c r="N1706" s="8">
        <v>1</v>
      </c>
      <c r="O1706" s="8">
        <v>9</v>
      </c>
      <c r="P1706" s="8"/>
    </row>
    <row r="1707" spans="1:16" hidden="1" x14ac:dyDescent="0.25">
      <c r="A1707" s="7" t="s">
        <v>19</v>
      </c>
      <c r="B1707" s="7" t="s">
        <v>270</v>
      </c>
      <c r="C1707" s="8">
        <v>28241</v>
      </c>
      <c r="D1707" s="7" t="s">
        <v>52</v>
      </c>
      <c r="E1707" s="7" t="s">
        <v>53</v>
      </c>
      <c r="F1707" s="7" t="s">
        <v>79</v>
      </c>
      <c r="G1707" s="7" t="s">
        <v>18</v>
      </c>
      <c r="H1707" s="7" t="s">
        <v>48</v>
      </c>
      <c r="I1707" s="7" t="s">
        <v>712</v>
      </c>
      <c r="J1707" s="7" t="s">
        <v>691</v>
      </c>
      <c r="K1707" s="8">
        <v>6148654</v>
      </c>
      <c r="L1707" s="8">
        <v>316469</v>
      </c>
      <c r="M1707" s="8">
        <v>19</v>
      </c>
      <c r="N1707" s="8">
        <v>1</v>
      </c>
      <c r="O1707" s="8">
        <v>9</v>
      </c>
      <c r="P1707" s="8"/>
    </row>
    <row r="1708" spans="1:16" hidden="1" x14ac:dyDescent="0.25">
      <c r="A1708" s="7" t="s">
        <v>19</v>
      </c>
      <c r="B1708" s="7" t="s">
        <v>270</v>
      </c>
      <c r="C1708" s="8">
        <v>28242</v>
      </c>
      <c r="D1708" s="7" t="s">
        <v>16</v>
      </c>
      <c r="E1708" s="7" t="s">
        <v>155</v>
      </c>
      <c r="F1708" s="7" t="s">
        <v>356</v>
      </c>
      <c r="G1708" s="7" t="s">
        <v>18</v>
      </c>
      <c r="H1708" s="7" t="s">
        <v>48</v>
      </c>
      <c r="I1708" s="7" t="s">
        <v>712</v>
      </c>
      <c r="J1708" s="7" t="s">
        <v>691</v>
      </c>
      <c r="K1708" s="8">
        <v>6130204</v>
      </c>
      <c r="L1708" s="8">
        <v>296202</v>
      </c>
      <c r="M1708" s="8">
        <v>19</v>
      </c>
      <c r="N1708" s="8">
        <v>1</v>
      </c>
      <c r="O1708" s="8">
        <v>10</v>
      </c>
      <c r="P1708" s="8"/>
    </row>
    <row r="1709" spans="1:16" hidden="1" x14ac:dyDescent="0.25">
      <c r="A1709" s="7" t="s">
        <v>19</v>
      </c>
      <c r="B1709" s="7" t="s">
        <v>270</v>
      </c>
      <c r="C1709" s="8">
        <v>28243</v>
      </c>
      <c r="D1709" s="7" t="s">
        <v>16</v>
      </c>
      <c r="E1709" s="7" t="s">
        <v>17</v>
      </c>
      <c r="F1709" s="7" t="s">
        <v>260</v>
      </c>
      <c r="G1709" s="7" t="s">
        <v>18</v>
      </c>
      <c r="H1709" s="7" t="s">
        <v>48</v>
      </c>
      <c r="I1709" s="7" t="s">
        <v>712</v>
      </c>
      <c r="J1709" s="7" t="s">
        <v>712</v>
      </c>
      <c r="K1709" s="8">
        <v>6058743</v>
      </c>
      <c r="L1709" s="8">
        <v>283064</v>
      </c>
      <c r="M1709" s="8">
        <v>19</v>
      </c>
      <c r="N1709" s="8">
        <v>3</v>
      </c>
      <c r="O1709" s="8">
        <v>10</v>
      </c>
      <c r="P1709" s="8"/>
    </row>
    <row r="1710" spans="1:16" hidden="1" x14ac:dyDescent="0.25">
      <c r="A1710" s="7" t="s">
        <v>19</v>
      </c>
      <c r="B1710" s="7" t="s">
        <v>270</v>
      </c>
      <c r="C1710" s="8">
        <v>28245</v>
      </c>
      <c r="D1710" s="7" t="s">
        <v>16</v>
      </c>
      <c r="E1710" s="7" t="s">
        <v>46</v>
      </c>
      <c r="F1710" s="7" t="s">
        <v>444</v>
      </c>
      <c r="G1710" s="7" t="s">
        <v>18</v>
      </c>
      <c r="H1710" s="7" t="s">
        <v>48</v>
      </c>
      <c r="I1710" s="7" t="s">
        <v>712</v>
      </c>
      <c r="J1710" s="7" t="s">
        <v>712</v>
      </c>
      <c r="K1710" s="8">
        <v>6118228</v>
      </c>
      <c r="L1710" s="8">
        <v>292087</v>
      </c>
      <c r="M1710" s="8">
        <v>19</v>
      </c>
      <c r="N1710" s="8">
        <v>3</v>
      </c>
      <c r="O1710" s="8">
        <v>20</v>
      </c>
      <c r="P1710" s="8"/>
    </row>
    <row r="1711" spans="1:16" hidden="1" x14ac:dyDescent="0.25">
      <c r="A1711" s="7" t="s">
        <v>37</v>
      </c>
      <c r="B1711" s="7" t="s">
        <v>415</v>
      </c>
      <c r="C1711" s="8">
        <v>28248</v>
      </c>
      <c r="D1711" s="7" t="s">
        <v>28</v>
      </c>
      <c r="E1711" s="7" t="s">
        <v>32</v>
      </c>
      <c r="F1711" s="7" t="s">
        <v>147</v>
      </c>
      <c r="G1711" s="7" t="s">
        <v>18</v>
      </c>
      <c r="H1711" s="7" t="s">
        <v>24</v>
      </c>
      <c r="I1711" s="7" t="s">
        <v>712</v>
      </c>
      <c r="J1711" s="7" t="s">
        <v>712</v>
      </c>
      <c r="K1711" s="8">
        <v>6305039</v>
      </c>
      <c r="L1711" s="8">
        <v>331535</v>
      </c>
      <c r="M1711" s="8">
        <v>19</v>
      </c>
      <c r="N1711" s="8">
        <v>1</v>
      </c>
      <c r="O1711" s="8">
        <v>1.4</v>
      </c>
      <c r="P1711" s="8"/>
    </row>
    <row r="1712" spans="1:16" hidden="1" x14ac:dyDescent="0.25">
      <c r="A1712" s="7" t="s">
        <v>37</v>
      </c>
      <c r="B1712" s="7" t="s">
        <v>124</v>
      </c>
      <c r="C1712" s="8">
        <v>28249</v>
      </c>
      <c r="D1712" s="7" t="s">
        <v>52</v>
      </c>
      <c r="E1712" s="7" t="s">
        <v>141</v>
      </c>
      <c r="F1712" s="7" t="s">
        <v>141</v>
      </c>
      <c r="G1712" s="7" t="s">
        <v>18</v>
      </c>
      <c r="H1712" s="7" t="s">
        <v>48</v>
      </c>
      <c r="I1712" s="7" t="s">
        <v>712</v>
      </c>
      <c r="J1712" s="7" t="s">
        <v>691</v>
      </c>
      <c r="K1712" s="8">
        <v>6220606</v>
      </c>
      <c r="L1712" s="8">
        <v>342177</v>
      </c>
      <c r="M1712" s="8">
        <v>19</v>
      </c>
      <c r="N1712" s="8">
        <v>3</v>
      </c>
      <c r="O1712" s="8">
        <v>29</v>
      </c>
      <c r="P1712" s="8"/>
    </row>
    <row r="1713" spans="1:16" hidden="1" x14ac:dyDescent="0.25">
      <c r="A1713" s="7" t="s">
        <v>14</v>
      </c>
      <c r="B1713" s="7" t="s">
        <v>343</v>
      </c>
      <c r="C1713" s="8">
        <v>28250</v>
      </c>
      <c r="D1713" s="7" t="s">
        <v>52</v>
      </c>
      <c r="E1713" s="7" t="s">
        <v>151</v>
      </c>
      <c r="F1713" s="7" t="s">
        <v>151</v>
      </c>
      <c r="G1713" s="7" t="s">
        <v>18</v>
      </c>
      <c r="H1713" s="7" t="s">
        <v>689</v>
      </c>
      <c r="I1713" s="7" t="s">
        <v>712</v>
      </c>
      <c r="J1713" s="7" t="s">
        <v>712</v>
      </c>
      <c r="K1713" s="8">
        <v>6190758</v>
      </c>
      <c r="L1713" s="8">
        <v>328342</v>
      </c>
      <c r="M1713" s="8">
        <v>19</v>
      </c>
      <c r="N1713" s="8">
        <v>1</v>
      </c>
      <c r="O1713" s="8">
        <v>0.76</v>
      </c>
      <c r="P1713" s="8"/>
    </row>
    <row r="1714" spans="1:16" hidden="1" x14ac:dyDescent="0.25">
      <c r="A1714" s="7" t="s">
        <v>19</v>
      </c>
      <c r="B1714" s="7" t="s">
        <v>270</v>
      </c>
      <c r="C1714" s="8">
        <v>28251</v>
      </c>
      <c r="D1714" s="7" t="s">
        <v>52</v>
      </c>
      <c r="E1714" s="7" t="s">
        <v>139</v>
      </c>
      <c r="F1714" s="7" t="s">
        <v>270</v>
      </c>
      <c r="G1714" s="7" t="s">
        <v>18</v>
      </c>
      <c r="H1714" s="7" t="s">
        <v>48</v>
      </c>
      <c r="I1714" s="7" t="s">
        <v>712</v>
      </c>
      <c r="J1714" s="7" t="s">
        <v>712</v>
      </c>
      <c r="K1714" s="8" t="s">
        <v>686</v>
      </c>
      <c r="L1714" s="8" t="s">
        <v>686</v>
      </c>
      <c r="M1714" s="8" t="s">
        <v>686</v>
      </c>
      <c r="N1714" s="8">
        <v>3</v>
      </c>
      <c r="O1714" s="8">
        <v>16.46</v>
      </c>
      <c r="P1714" s="8"/>
    </row>
    <row r="1715" spans="1:16" hidden="1" x14ac:dyDescent="0.25">
      <c r="A1715" s="7" t="s">
        <v>37</v>
      </c>
      <c r="B1715" s="7" t="s">
        <v>270</v>
      </c>
      <c r="C1715" s="8">
        <v>28251</v>
      </c>
      <c r="D1715" s="7" t="s">
        <v>16</v>
      </c>
      <c r="E1715" s="7" t="s">
        <v>17</v>
      </c>
      <c r="F1715" s="7" t="s">
        <v>631</v>
      </c>
      <c r="G1715" s="7" t="s">
        <v>18</v>
      </c>
      <c r="H1715" s="7" t="s">
        <v>48</v>
      </c>
      <c r="I1715" s="7" t="s">
        <v>712</v>
      </c>
      <c r="J1715" s="7" t="s">
        <v>712</v>
      </c>
      <c r="K1715" s="8">
        <v>6163111</v>
      </c>
      <c r="L1715" s="8">
        <v>203399</v>
      </c>
      <c r="M1715" s="8">
        <v>19</v>
      </c>
      <c r="N1715" s="8">
        <v>2</v>
      </c>
      <c r="O1715" s="8">
        <v>6.5</v>
      </c>
      <c r="P1715" s="8"/>
    </row>
    <row r="1716" spans="1:16" hidden="1" x14ac:dyDescent="0.25">
      <c r="A1716" s="7" t="s">
        <v>37</v>
      </c>
      <c r="B1716" s="7" t="s">
        <v>270</v>
      </c>
      <c r="C1716" s="8">
        <v>28254</v>
      </c>
      <c r="D1716" s="7" t="s">
        <v>16</v>
      </c>
      <c r="E1716" s="7" t="s">
        <v>169</v>
      </c>
      <c r="F1716" s="7" t="s">
        <v>632</v>
      </c>
      <c r="G1716" s="7" t="s">
        <v>18</v>
      </c>
      <c r="H1716" s="7" t="s">
        <v>48</v>
      </c>
      <c r="I1716" s="7" t="s">
        <v>712</v>
      </c>
      <c r="J1716" s="7" t="s">
        <v>712</v>
      </c>
      <c r="K1716" s="8">
        <v>6031892</v>
      </c>
      <c r="L1716" s="8">
        <v>282357</v>
      </c>
      <c r="M1716" s="8">
        <v>19</v>
      </c>
      <c r="N1716" s="8">
        <v>1</v>
      </c>
      <c r="O1716" s="8">
        <v>24</v>
      </c>
      <c r="P1716" s="8"/>
    </row>
    <row r="1717" spans="1:16" hidden="1" x14ac:dyDescent="0.25">
      <c r="A1717" s="7" t="s">
        <v>19</v>
      </c>
      <c r="B1717" s="7" t="s">
        <v>270</v>
      </c>
      <c r="C1717" s="8">
        <v>28258</v>
      </c>
      <c r="D1717" s="7" t="s">
        <v>16</v>
      </c>
      <c r="E1717" s="7" t="s">
        <v>169</v>
      </c>
      <c r="F1717" s="7" t="s">
        <v>632</v>
      </c>
      <c r="G1717" s="7" t="s">
        <v>18</v>
      </c>
      <c r="H1717" s="7" t="s">
        <v>48</v>
      </c>
      <c r="I1717" s="7" t="s">
        <v>712</v>
      </c>
      <c r="J1717" s="7" t="s">
        <v>712</v>
      </c>
      <c r="K1717" s="8">
        <v>6031523</v>
      </c>
      <c r="L1717" s="8">
        <v>282932</v>
      </c>
      <c r="M1717" s="8">
        <v>19</v>
      </c>
      <c r="N1717" s="8">
        <v>1</v>
      </c>
      <c r="O1717" s="8">
        <v>28</v>
      </c>
      <c r="P1717" s="8"/>
    </row>
    <row r="1718" spans="1:16" hidden="1" x14ac:dyDescent="0.25">
      <c r="A1718" s="7" t="s">
        <v>37</v>
      </c>
      <c r="B1718" s="7" t="s">
        <v>415</v>
      </c>
      <c r="C1718" s="8">
        <v>28259</v>
      </c>
      <c r="D1718" s="7" t="s">
        <v>28</v>
      </c>
      <c r="E1718" s="7" t="s">
        <v>29</v>
      </c>
      <c r="F1718" s="7" t="s">
        <v>532</v>
      </c>
      <c r="G1718" s="7" t="s">
        <v>18</v>
      </c>
      <c r="H1718" s="7" t="s">
        <v>24</v>
      </c>
      <c r="I1718" s="7" t="s">
        <v>712</v>
      </c>
      <c r="J1718" s="7" t="s">
        <v>712</v>
      </c>
      <c r="K1718" s="8">
        <v>6261842</v>
      </c>
      <c r="L1718" s="8">
        <v>344885</v>
      </c>
      <c r="M1718" s="8">
        <v>19</v>
      </c>
      <c r="N1718" s="8">
        <v>1</v>
      </c>
      <c r="O1718" s="8">
        <v>3.7</v>
      </c>
      <c r="P1718" s="8"/>
    </row>
    <row r="1719" spans="1:16" hidden="1" x14ac:dyDescent="0.25">
      <c r="A1719" s="7" t="s">
        <v>37</v>
      </c>
      <c r="B1719" s="7" t="s">
        <v>415</v>
      </c>
      <c r="C1719" s="8">
        <v>28260</v>
      </c>
      <c r="D1719" s="7" t="s">
        <v>28</v>
      </c>
      <c r="E1719" s="7" t="s">
        <v>429</v>
      </c>
      <c r="F1719" s="7" t="s">
        <v>430</v>
      </c>
      <c r="G1719" s="7" t="s">
        <v>18</v>
      </c>
      <c r="H1719" s="7" t="s">
        <v>109</v>
      </c>
      <c r="I1719" s="7" t="s">
        <v>712</v>
      </c>
      <c r="J1719" s="7" t="s">
        <v>691</v>
      </c>
      <c r="K1719" s="8">
        <v>6327625</v>
      </c>
      <c r="L1719" s="8">
        <v>325207</v>
      </c>
      <c r="M1719" s="8">
        <v>19</v>
      </c>
      <c r="N1719" s="8">
        <v>1</v>
      </c>
      <c r="O1719" s="8">
        <v>1</v>
      </c>
      <c r="P1719" s="8"/>
    </row>
    <row r="1720" spans="1:16" hidden="1" x14ac:dyDescent="0.25">
      <c r="A1720" s="7" t="s">
        <v>37</v>
      </c>
      <c r="B1720" s="7" t="s">
        <v>343</v>
      </c>
      <c r="C1720" s="8">
        <v>28264</v>
      </c>
      <c r="D1720" s="7" t="s">
        <v>16</v>
      </c>
      <c r="E1720" s="7" t="s">
        <v>268</v>
      </c>
      <c r="F1720" s="7" t="s">
        <v>282</v>
      </c>
      <c r="G1720" s="7" t="s">
        <v>18</v>
      </c>
      <c r="H1720" s="7" t="s">
        <v>48</v>
      </c>
      <c r="I1720" s="7" t="s">
        <v>712</v>
      </c>
      <c r="J1720" s="7" t="s">
        <v>691</v>
      </c>
      <c r="K1720" s="8">
        <v>6138571</v>
      </c>
      <c r="L1720" s="8">
        <v>309248</v>
      </c>
      <c r="M1720" s="8">
        <v>19</v>
      </c>
      <c r="N1720" s="8">
        <v>1</v>
      </c>
      <c r="O1720" s="8">
        <v>3</v>
      </c>
      <c r="P1720" s="8"/>
    </row>
    <row r="1721" spans="1:16" hidden="1" x14ac:dyDescent="0.25">
      <c r="A1721" s="7" t="s">
        <v>37</v>
      </c>
      <c r="B1721" s="7" t="s">
        <v>254</v>
      </c>
      <c r="C1721" s="8">
        <v>28265</v>
      </c>
      <c r="D1721" s="7" t="s">
        <v>16</v>
      </c>
      <c r="E1721" s="7" t="s">
        <v>292</v>
      </c>
      <c r="F1721" s="7" t="s">
        <v>332</v>
      </c>
      <c r="G1721" s="7" t="s">
        <v>18</v>
      </c>
      <c r="H1721" s="7" t="s">
        <v>24</v>
      </c>
      <c r="I1721" s="7" t="s">
        <v>712</v>
      </c>
      <c r="J1721" s="7" t="s">
        <v>712</v>
      </c>
      <c r="K1721" s="8">
        <v>6088354</v>
      </c>
      <c r="L1721" s="8">
        <v>281394</v>
      </c>
      <c r="M1721" s="8">
        <v>19</v>
      </c>
      <c r="N1721" s="8">
        <v>1</v>
      </c>
      <c r="O1721" s="8">
        <v>0.4</v>
      </c>
      <c r="P1721" s="8"/>
    </row>
    <row r="1722" spans="1:16" hidden="1" x14ac:dyDescent="0.25">
      <c r="A1722" s="7" t="s">
        <v>19</v>
      </c>
      <c r="B1722" s="7" t="s">
        <v>92</v>
      </c>
      <c r="C1722" s="8">
        <v>28273</v>
      </c>
      <c r="D1722" s="7" t="s">
        <v>34</v>
      </c>
      <c r="E1722" s="7" t="s">
        <v>96</v>
      </c>
      <c r="F1722" s="7" t="s">
        <v>96</v>
      </c>
      <c r="G1722" s="7" t="s">
        <v>65</v>
      </c>
      <c r="H1722" s="7" t="s">
        <v>24</v>
      </c>
      <c r="I1722" s="7" t="s">
        <v>712</v>
      </c>
      <c r="J1722" s="7" t="s">
        <v>712</v>
      </c>
      <c r="K1722" s="8">
        <v>5917399</v>
      </c>
      <c r="L1722" s="8">
        <v>737491</v>
      </c>
      <c r="M1722" s="8">
        <v>18</v>
      </c>
      <c r="N1722" s="8">
        <v>1</v>
      </c>
      <c r="O1722" s="8">
        <v>3</v>
      </c>
      <c r="P1722" s="8"/>
    </row>
    <row r="1723" spans="1:16" hidden="1" x14ac:dyDescent="0.25">
      <c r="A1723" s="7" t="s">
        <v>19</v>
      </c>
      <c r="B1723" s="7" t="s">
        <v>92</v>
      </c>
      <c r="C1723" s="8">
        <v>28275</v>
      </c>
      <c r="D1723" s="7" t="s">
        <v>34</v>
      </c>
      <c r="E1723" s="7" t="s">
        <v>95</v>
      </c>
      <c r="F1723" s="7" t="s">
        <v>100</v>
      </c>
      <c r="G1723" s="7" t="s">
        <v>65</v>
      </c>
      <c r="H1723" s="7" t="s">
        <v>24</v>
      </c>
      <c r="I1723" s="7" t="s">
        <v>712</v>
      </c>
      <c r="J1723" s="7" t="s">
        <v>712</v>
      </c>
      <c r="K1723" s="8">
        <v>5913675</v>
      </c>
      <c r="L1723" s="8">
        <v>746949</v>
      </c>
      <c r="M1723" s="8">
        <v>18</v>
      </c>
      <c r="N1723" s="8">
        <v>1</v>
      </c>
      <c r="O1723" s="8">
        <v>8</v>
      </c>
      <c r="P1723" s="8"/>
    </row>
    <row r="1724" spans="1:16" hidden="1" x14ac:dyDescent="0.25">
      <c r="A1724" s="7" t="s">
        <v>19</v>
      </c>
      <c r="B1724" s="7" t="s">
        <v>92</v>
      </c>
      <c r="C1724" s="8">
        <v>28276</v>
      </c>
      <c r="D1724" s="7" t="s">
        <v>34</v>
      </c>
      <c r="E1724" s="7" t="s">
        <v>101</v>
      </c>
      <c r="F1724" s="7" t="s">
        <v>102</v>
      </c>
      <c r="G1724" s="7" t="s">
        <v>65</v>
      </c>
      <c r="H1724" s="7" t="s">
        <v>24</v>
      </c>
      <c r="I1724" s="7" t="s">
        <v>712</v>
      </c>
      <c r="J1724" s="7" t="s">
        <v>712</v>
      </c>
      <c r="K1724" s="8">
        <v>5914891</v>
      </c>
      <c r="L1724" s="8">
        <v>766652</v>
      </c>
      <c r="M1724" s="8">
        <v>18</v>
      </c>
      <c r="N1724" s="8">
        <v>1</v>
      </c>
      <c r="O1724" s="8">
        <v>6.5</v>
      </c>
      <c r="P1724" s="8"/>
    </row>
    <row r="1725" spans="1:16" hidden="1" x14ac:dyDescent="0.25">
      <c r="A1725" s="7" t="s">
        <v>19</v>
      </c>
      <c r="B1725" s="7" t="s">
        <v>92</v>
      </c>
      <c r="C1725" s="8">
        <v>28277</v>
      </c>
      <c r="D1725" s="7" t="s">
        <v>34</v>
      </c>
      <c r="E1725" s="7" t="s">
        <v>121</v>
      </c>
      <c r="F1725" s="7" t="s">
        <v>122</v>
      </c>
      <c r="G1725" s="7" t="s">
        <v>65</v>
      </c>
      <c r="H1725" s="7" t="s">
        <v>24</v>
      </c>
      <c r="I1725" s="7" t="s">
        <v>712</v>
      </c>
      <c r="J1725" s="7" t="s">
        <v>712</v>
      </c>
      <c r="K1725" s="8">
        <v>5977347</v>
      </c>
      <c r="L1725" s="8">
        <v>232346</v>
      </c>
      <c r="M1725" s="8">
        <v>19</v>
      </c>
      <c r="N1725" s="8">
        <v>1</v>
      </c>
      <c r="O1725" s="8">
        <v>13</v>
      </c>
      <c r="P1725" s="8"/>
    </row>
    <row r="1726" spans="1:16" hidden="1" x14ac:dyDescent="0.25">
      <c r="A1726" s="7" t="s">
        <v>14</v>
      </c>
      <c r="B1726" s="7" t="s">
        <v>415</v>
      </c>
      <c r="C1726" s="8">
        <v>28278</v>
      </c>
      <c r="D1726" s="7" t="s">
        <v>28</v>
      </c>
      <c r="E1726" s="7" t="s">
        <v>56</v>
      </c>
      <c r="F1726" s="7" t="s">
        <v>378</v>
      </c>
      <c r="G1726" s="7" t="s">
        <v>65</v>
      </c>
      <c r="H1726" s="7" t="s">
        <v>689</v>
      </c>
      <c r="I1726" s="7" t="s">
        <v>712</v>
      </c>
      <c r="J1726" s="7" t="s">
        <v>712</v>
      </c>
      <c r="K1726" s="8">
        <v>6260565</v>
      </c>
      <c r="L1726" s="8">
        <v>331106</v>
      </c>
      <c r="M1726" s="8">
        <v>19</v>
      </c>
      <c r="N1726" s="8">
        <v>11</v>
      </c>
      <c r="O1726" s="8">
        <v>2.17</v>
      </c>
      <c r="P1726" s="8"/>
    </row>
    <row r="1727" spans="1:16" hidden="1" x14ac:dyDescent="0.25">
      <c r="A1727" s="7" t="s">
        <v>19</v>
      </c>
      <c r="B1727" s="7" t="s">
        <v>92</v>
      </c>
      <c r="C1727" s="8">
        <v>28279</v>
      </c>
      <c r="D1727" s="7" t="s">
        <v>34</v>
      </c>
      <c r="E1727" s="7" t="s">
        <v>121</v>
      </c>
      <c r="F1727" s="7" t="s">
        <v>122</v>
      </c>
      <c r="G1727" s="7" t="s">
        <v>65</v>
      </c>
      <c r="H1727" s="7" t="s">
        <v>24</v>
      </c>
      <c r="I1727" s="7" t="s">
        <v>712</v>
      </c>
      <c r="J1727" s="7" t="s">
        <v>712</v>
      </c>
      <c r="K1727" s="8">
        <v>5977347</v>
      </c>
      <c r="L1727" s="8">
        <v>232346</v>
      </c>
      <c r="M1727" s="8">
        <v>19</v>
      </c>
      <c r="N1727" s="8">
        <v>1</v>
      </c>
      <c r="O1727" s="8">
        <v>2</v>
      </c>
      <c r="P1727" s="8"/>
    </row>
    <row r="1728" spans="1:16" hidden="1" x14ac:dyDescent="0.25">
      <c r="A1728" s="7" t="s">
        <v>37</v>
      </c>
      <c r="B1728" s="7" t="s">
        <v>254</v>
      </c>
      <c r="C1728" s="8">
        <v>28280</v>
      </c>
      <c r="D1728" s="7" t="s">
        <v>16</v>
      </c>
      <c r="E1728" s="7" t="s">
        <v>268</v>
      </c>
      <c r="F1728" s="7" t="s">
        <v>282</v>
      </c>
      <c r="G1728" s="7" t="s">
        <v>18</v>
      </c>
      <c r="H1728" s="7" t="s">
        <v>24</v>
      </c>
      <c r="I1728" s="7" t="s">
        <v>712</v>
      </c>
      <c r="J1728" s="7" t="s">
        <v>712</v>
      </c>
      <c r="K1728" s="8">
        <v>6129616</v>
      </c>
      <c r="L1728" s="8">
        <v>321211</v>
      </c>
      <c r="M1728" s="8">
        <v>19</v>
      </c>
      <c r="N1728" s="8">
        <v>1</v>
      </c>
      <c r="O1728" s="8">
        <v>1.1000000000000001</v>
      </c>
      <c r="P1728" s="8"/>
    </row>
    <row r="1729" spans="1:16" hidden="1" x14ac:dyDescent="0.25">
      <c r="A1729" s="7" t="s">
        <v>19</v>
      </c>
      <c r="B1729" s="7" t="s">
        <v>92</v>
      </c>
      <c r="C1729" s="8">
        <v>28281</v>
      </c>
      <c r="D1729" s="7" t="s">
        <v>34</v>
      </c>
      <c r="E1729" s="7" t="s">
        <v>116</v>
      </c>
      <c r="F1729" s="7" t="s">
        <v>117</v>
      </c>
      <c r="G1729" s="7" t="s">
        <v>65</v>
      </c>
      <c r="H1729" s="7" t="s">
        <v>24</v>
      </c>
      <c r="I1729" s="7" t="s">
        <v>712</v>
      </c>
      <c r="J1729" s="7" t="s">
        <v>712</v>
      </c>
      <c r="K1729" s="8">
        <v>5883738</v>
      </c>
      <c r="L1729" s="8">
        <v>737491</v>
      </c>
      <c r="M1729" s="8">
        <v>18</v>
      </c>
      <c r="N1729" s="8">
        <v>1</v>
      </c>
      <c r="O1729" s="8">
        <v>5.4</v>
      </c>
      <c r="P1729" s="8"/>
    </row>
    <row r="1730" spans="1:16" hidden="1" x14ac:dyDescent="0.25">
      <c r="A1730" s="7" t="s">
        <v>19</v>
      </c>
      <c r="B1730" s="7" t="s">
        <v>92</v>
      </c>
      <c r="C1730" s="8">
        <v>28283</v>
      </c>
      <c r="D1730" s="7" t="s">
        <v>34</v>
      </c>
      <c r="E1730" s="7" t="s">
        <v>35</v>
      </c>
      <c r="F1730" s="7" t="s">
        <v>35</v>
      </c>
      <c r="G1730" s="7" t="s">
        <v>65</v>
      </c>
      <c r="H1730" s="7" t="s">
        <v>24</v>
      </c>
      <c r="I1730" s="7" t="s">
        <v>712</v>
      </c>
      <c r="J1730" s="7" t="s">
        <v>712</v>
      </c>
      <c r="K1730" s="8">
        <v>5860750</v>
      </c>
      <c r="L1730" s="8">
        <v>750050</v>
      </c>
      <c r="M1730" s="8">
        <v>18</v>
      </c>
      <c r="N1730" s="8">
        <v>1</v>
      </c>
      <c r="O1730" s="8">
        <v>6</v>
      </c>
      <c r="P1730" s="8"/>
    </row>
    <row r="1731" spans="1:16" hidden="1" x14ac:dyDescent="0.25">
      <c r="A1731" s="7" t="s">
        <v>19</v>
      </c>
      <c r="B1731" s="7" t="s">
        <v>92</v>
      </c>
      <c r="C1731" s="8">
        <v>28284</v>
      </c>
      <c r="D1731" s="7" t="s">
        <v>34</v>
      </c>
      <c r="E1731" s="7" t="s">
        <v>35</v>
      </c>
      <c r="F1731" s="7" t="s">
        <v>35</v>
      </c>
      <c r="G1731" s="7" t="s">
        <v>65</v>
      </c>
      <c r="H1731" s="7" t="s">
        <v>24</v>
      </c>
      <c r="I1731" s="7" t="s">
        <v>712</v>
      </c>
      <c r="J1731" s="7" t="s">
        <v>712</v>
      </c>
      <c r="K1731" s="8">
        <v>5860750</v>
      </c>
      <c r="L1731" s="8">
        <v>750050</v>
      </c>
      <c r="M1731" s="8">
        <v>18</v>
      </c>
      <c r="N1731" s="8">
        <v>1</v>
      </c>
      <c r="O1731" s="8">
        <v>6</v>
      </c>
      <c r="P1731" s="8"/>
    </row>
    <row r="1732" spans="1:16" hidden="1" x14ac:dyDescent="0.25">
      <c r="A1732" s="7" t="s">
        <v>37</v>
      </c>
      <c r="B1732" s="7" t="s">
        <v>343</v>
      </c>
      <c r="C1732" s="8">
        <v>28285</v>
      </c>
      <c r="D1732" s="7" t="s">
        <v>16</v>
      </c>
      <c r="E1732" s="7" t="s">
        <v>17</v>
      </c>
      <c r="F1732" s="7" t="s">
        <v>55</v>
      </c>
      <c r="G1732" s="7" t="s">
        <v>18</v>
      </c>
      <c r="H1732" s="7" t="s">
        <v>109</v>
      </c>
      <c r="I1732" s="7" t="s">
        <v>712</v>
      </c>
      <c r="J1732" s="7" t="s">
        <v>691</v>
      </c>
      <c r="K1732" s="8">
        <v>6071122</v>
      </c>
      <c r="L1732" s="8">
        <v>283822</v>
      </c>
      <c r="M1732" s="8">
        <v>19</v>
      </c>
      <c r="N1732" s="8">
        <v>1</v>
      </c>
      <c r="O1732" s="8">
        <v>1</v>
      </c>
      <c r="P1732" s="8"/>
    </row>
    <row r="1733" spans="1:16" hidden="1" x14ac:dyDescent="0.25">
      <c r="A1733" s="7" t="s">
        <v>19</v>
      </c>
      <c r="B1733" s="7" t="s">
        <v>92</v>
      </c>
      <c r="C1733" s="8">
        <v>28286</v>
      </c>
      <c r="D1733" s="7" t="s">
        <v>119</v>
      </c>
      <c r="E1733" s="7" t="s">
        <v>120</v>
      </c>
      <c r="F1733" s="7" t="s">
        <v>120</v>
      </c>
      <c r="G1733" s="7" t="s">
        <v>65</v>
      </c>
      <c r="H1733" s="7" t="s">
        <v>24</v>
      </c>
      <c r="I1733" s="7" t="s">
        <v>712</v>
      </c>
      <c r="J1733" s="7" t="s">
        <v>712</v>
      </c>
      <c r="K1733" s="8">
        <v>5805275</v>
      </c>
      <c r="L1733" s="8">
        <v>705455</v>
      </c>
      <c r="M1733" s="8">
        <v>18</v>
      </c>
      <c r="N1733" s="8">
        <v>1</v>
      </c>
      <c r="O1733" s="8">
        <v>6</v>
      </c>
      <c r="P1733" s="8"/>
    </row>
    <row r="1734" spans="1:16" hidden="1" x14ac:dyDescent="0.25">
      <c r="A1734" s="7" t="s">
        <v>19</v>
      </c>
      <c r="B1734" s="7" t="s">
        <v>92</v>
      </c>
      <c r="C1734" s="8">
        <v>28287</v>
      </c>
      <c r="D1734" s="7" t="s">
        <v>119</v>
      </c>
      <c r="E1734" s="7" t="s">
        <v>120</v>
      </c>
      <c r="F1734" s="7" t="s">
        <v>120</v>
      </c>
      <c r="G1734" s="7" t="s">
        <v>65</v>
      </c>
      <c r="H1734" s="7" t="s">
        <v>24</v>
      </c>
      <c r="I1734" s="7" t="s">
        <v>712</v>
      </c>
      <c r="J1734" s="7" t="s">
        <v>712</v>
      </c>
      <c r="K1734" s="8">
        <v>5805275</v>
      </c>
      <c r="L1734" s="8">
        <v>705455</v>
      </c>
      <c r="M1734" s="8">
        <v>18</v>
      </c>
      <c r="N1734" s="8">
        <v>1</v>
      </c>
      <c r="O1734" s="8">
        <v>14</v>
      </c>
      <c r="P1734" s="8"/>
    </row>
    <row r="1735" spans="1:16" hidden="1" x14ac:dyDescent="0.25">
      <c r="A1735" s="7" t="s">
        <v>37</v>
      </c>
      <c r="B1735" s="7" t="s">
        <v>254</v>
      </c>
      <c r="C1735" s="8">
        <v>28288</v>
      </c>
      <c r="D1735" s="7" t="s">
        <v>16</v>
      </c>
      <c r="E1735" s="7" t="s">
        <v>292</v>
      </c>
      <c r="F1735" s="7" t="s">
        <v>332</v>
      </c>
      <c r="G1735" s="7" t="s">
        <v>18</v>
      </c>
      <c r="H1735" s="7" t="s">
        <v>24</v>
      </c>
      <c r="I1735" s="7" t="s">
        <v>712</v>
      </c>
      <c r="J1735" s="7" t="s">
        <v>712</v>
      </c>
      <c r="K1735" s="8">
        <v>6089028</v>
      </c>
      <c r="L1735" s="8">
        <v>280162</v>
      </c>
      <c r="M1735" s="8">
        <v>19</v>
      </c>
      <c r="N1735" s="8">
        <v>1</v>
      </c>
      <c r="O1735" s="8">
        <v>0.7</v>
      </c>
      <c r="P1735" s="8"/>
    </row>
    <row r="1736" spans="1:16" hidden="1" x14ac:dyDescent="0.25">
      <c r="A1736" s="7" t="s">
        <v>37</v>
      </c>
      <c r="B1736" s="7" t="s">
        <v>254</v>
      </c>
      <c r="C1736" s="8">
        <v>28289</v>
      </c>
      <c r="D1736" s="7" t="s">
        <v>16</v>
      </c>
      <c r="E1736" s="7" t="s">
        <v>173</v>
      </c>
      <c r="F1736" s="7" t="s">
        <v>333</v>
      </c>
      <c r="G1736" s="7" t="s">
        <v>65</v>
      </c>
      <c r="H1736" s="7" t="s">
        <v>66</v>
      </c>
      <c r="I1736" s="7" t="s">
        <v>712</v>
      </c>
      <c r="J1736" s="7" t="s">
        <v>712</v>
      </c>
      <c r="K1736" s="8">
        <v>6041753</v>
      </c>
      <c r="L1736" s="8">
        <v>274385</v>
      </c>
      <c r="M1736" s="8">
        <v>19</v>
      </c>
      <c r="N1736" s="8">
        <v>3</v>
      </c>
      <c r="O1736" s="8">
        <v>25</v>
      </c>
      <c r="P1736" s="8"/>
    </row>
    <row r="1737" spans="1:16" hidden="1" x14ac:dyDescent="0.25">
      <c r="A1737" s="7" t="s">
        <v>37</v>
      </c>
      <c r="B1737" s="7" t="s">
        <v>254</v>
      </c>
      <c r="C1737" s="8">
        <v>28290</v>
      </c>
      <c r="D1737" s="7" t="s">
        <v>16</v>
      </c>
      <c r="E1737" s="7" t="s">
        <v>127</v>
      </c>
      <c r="F1737" s="7" t="s">
        <v>262</v>
      </c>
      <c r="G1737" s="7" t="s">
        <v>65</v>
      </c>
      <c r="H1737" s="7" t="s">
        <v>66</v>
      </c>
      <c r="I1737" s="7" t="s">
        <v>712</v>
      </c>
      <c r="J1737" s="7" t="s">
        <v>712</v>
      </c>
      <c r="K1737" s="8">
        <v>6037910</v>
      </c>
      <c r="L1737" s="8">
        <v>274499</v>
      </c>
      <c r="M1737" s="8">
        <v>19</v>
      </c>
      <c r="N1737" s="8">
        <v>3</v>
      </c>
      <c r="O1737" s="8">
        <v>11</v>
      </c>
      <c r="P1737" s="8"/>
    </row>
    <row r="1738" spans="1:16" hidden="1" x14ac:dyDescent="0.25">
      <c r="A1738" s="7" t="s">
        <v>37</v>
      </c>
      <c r="B1738" s="7" t="s">
        <v>343</v>
      </c>
      <c r="C1738" s="8">
        <v>28291</v>
      </c>
      <c r="D1738" s="7" t="s">
        <v>16</v>
      </c>
      <c r="E1738" s="7" t="s">
        <v>268</v>
      </c>
      <c r="F1738" s="7" t="s">
        <v>282</v>
      </c>
      <c r="G1738" s="7" t="s">
        <v>18</v>
      </c>
      <c r="H1738" s="7" t="s">
        <v>48</v>
      </c>
      <c r="I1738" s="7" t="s">
        <v>712</v>
      </c>
      <c r="J1738" s="7" t="s">
        <v>691</v>
      </c>
      <c r="K1738" s="8">
        <v>6138571</v>
      </c>
      <c r="L1738" s="8">
        <v>309248</v>
      </c>
      <c r="M1738" s="8">
        <v>19</v>
      </c>
      <c r="N1738" s="8">
        <v>2</v>
      </c>
      <c r="O1738" s="8">
        <v>2.5</v>
      </c>
      <c r="P1738" s="8"/>
    </row>
    <row r="1739" spans="1:16" hidden="1" x14ac:dyDescent="0.25">
      <c r="A1739" s="7" t="s">
        <v>37</v>
      </c>
      <c r="B1739" s="7" t="s">
        <v>254</v>
      </c>
      <c r="C1739" s="8">
        <v>28292</v>
      </c>
      <c r="D1739" s="7" t="s">
        <v>16</v>
      </c>
      <c r="E1739" s="7" t="s">
        <v>17</v>
      </c>
      <c r="F1739" s="7" t="s">
        <v>75</v>
      </c>
      <c r="G1739" s="7" t="s">
        <v>65</v>
      </c>
      <c r="H1739" s="7" t="s">
        <v>66</v>
      </c>
      <c r="I1739" s="7" t="s">
        <v>712</v>
      </c>
      <c r="J1739" s="7" t="s">
        <v>712</v>
      </c>
      <c r="K1739" s="8">
        <v>6060824</v>
      </c>
      <c r="L1739" s="8">
        <v>274536</v>
      </c>
      <c r="M1739" s="8">
        <v>19</v>
      </c>
      <c r="N1739" s="8">
        <v>2</v>
      </c>
      <c r="O1739" s="8">
        <v>18.7</v>
      </c>
      <c r="P1739" s="8"/>
    </row>
    <row r="1740" spans="1:16" hidden="1" x14ac:dyDescent="0.25">
      <c r="A1740" s="7" t="s">
        <v>37</v>
      </c>
      <c r="B1740" s="7" t="s">
        <v>254</v>
      </c>
      <c r="C1740" s="8">
        <v>28293</v>
      </c>
      <c r="D1740" s="7" t="s">
        <v>16</v>
      </c>
      <c r="E1740" s="7" t="s">
        <v>72</v>
      </c>
      <c r="F1740" s="7" t="s">
        <v>334</v>
      </c>
      <c r="G1740" s="7" t="s">
        <v>65</v>
      </c>
      <c r="H1740" s="7" t="s">
        <v>66</v>
      </c>
      <c r="I1740" s="7" t="s">
        <v>712</v>
      </c>
      <c r="J1740" s="7" t="s">
        <v>712</v>
      </c>
      <c r="K1740" s="8">
        <v>6102831</v>
      </c>
      <c r="L1740" s="8">
        <v>292647</v>
      </c>
      <c r="M1740" s="8">
        <v>19</v>
      </c>
      <c r="N1740" s="8">
        <v>2</v>
      </c>
      <c r="O1740" s="8">
        <v>10</v>
      </c>
      <c r="P1740" s="8"/>
    </row>
    <row r="1741" spans="1:16" hidden="1" x14ac:dyDescent="0.25">
      <c r="A1741" s="7" t="s">
        <v>37</v>
      </c>
      <c r="B1741" s="7" t="s">
        <v>343</v>
      </c>
      <c r="C1741" s="8">
        <v>28294</v>
      </c>
      <c r="D1741" s="7" t="s">
        <v>16</v>
      </c>
      <c r="E1741" s="7" t="s">
        <v>268</v>
      </c>
      <c r="F1741" s="7" t="s">
        <v>282</v>
      </c>
      <c r="G1741" s="7" t="s">
        <v>18</v>
      </c>
      <c r="H1741" s="7" t="s">
        <v>48</v>
      </c>
      <c r="I1741" s="7" t="s">
        <v>712</v>
      </c>
      <c r="J1741" s="7" t="s">
        <v>691</v>
      </c>
      <c r="K1741" s="8">
        <v>6138571</v>
      </c>
      <c r="L1741" s="8">
        <v>309248</v>
      </c>
      <c r="M1741" s="8">
        <v>19</v>
      </c>
      <c r="N1741" s="8">
        <v>1</v>
      </c>
      <c r="O1741" s="8">
        <v>2.5</v>
      </c>
      <c r="P1741" s="8"/>
    </row>
    <row r="1742" spans="1:16" hidden="1" x14ac:dyDescent="0.25">
      <c r="A1742" s="7" t="s">
        <v>37</v>
      </c>
      <c r="B1742" s="7" t="s">
        <v>343</v>
      </c>
      <c r="C1742" s="8">
        <v>28296</v>
      </c>
      <c r="D1742" s="7" t="s">
        <v>16</v>
      </c>
      <c r="E1742" s="7" t="s">
        <v>268</v>
      </c>
      <c r="F1742" s="7" t="s">
        <v>282</v>
      </c>
      <c r="G1742" s="7" t="s">
        <v>18</v>
      </c>
      <c r="H1742" s="7" t="s">
        <v>48</v>
      </c>
      <c r="I1742" s="7" t="s">
        <v>712</v>
      </c>
      <c r="J1742" s="7" t="s">
        <v>691</v>
      </c>
      <c r="K1742" s="8">
        <v>6138571</v>
      </c>
      <c r="L1742" s="8">
        <v>309248</v>
      </c>
      <c r="M1742" s="8">
        <v>19</v>
      </c>
      <c r="N1742" s="8">
        <v>1</v>
      </c>
      <c r="O1742" s="8">
        <v>1.5</v>
      </c>
      <c r="P1742" s="8"/>
    </row>
    <row r="1743" spans="1:16" hidden="1" x14ac:dyDescent="0.25">
      <c r="A1743" s="7" t="s">
        <v>19</v>
      </c>
      <c r="B1743" s="7" t="s">
        <v>270</v>
      </c>
      <c r="C1743" s="8">
        <v>28298</v>
      </c>
      <c r="D1743" s="7" t="s">
        <v>16</v>
      </c>
      <c r="E1743" s="7" t="s">
        <v>17</v>
      </c>
      <c r="F1743" s="7" t="s">
        <v>633</v>
      </c>
      <c r="G1743" s="7" t="s">
        <v>18</v>
      </c>
      <c r="H1743" s="7" t="s">
        <v>48</v>
      </c>
      <c r="I1743" s="7" t="s">
        <v>712</v>
      </c>
      <c r="J1743" s="7" t="s">
        <v>712</v>
      </c>
      <c r="K1743" s="8">
        <v>6072255</v>
      </c>
      <c r="L1743" s="8">
        <v>286033</v>
      </c>
      <c r="M1743" s="8">
        <v>19</v>
      </c>
      <c r="N1743" s="8">
        <v>3</v>
      </c>
      <c r="O1743" s="8">
        <v>19.5</v>
      </c>
      <c r="P1743" s="8"/>
    </row>
    <row r="1744" spans="1:16" hidden="1" x14ac:dyDescent="0.25">
      <c r="A1744" s="7" t="s">
        <v>19</v>
      </c>
      <c r="B1744" s="7" t="s">
        <v>415</v>
      </c>
      <c r="C1744" s="8">
        <v>28300</v>
      </c>
      <c r="D1744" s="7" t="s">
        <v>28</v>
      </c>
      <c r="E1744" s="7" t="s">
        <v>146</v>
      </c>
      <c r="F1744" s="7" t="s">
        <v>479</v>
      </c>
      <c r="G1744" s="7" t="s">
        <v>18</v>
      </c>
      <c r="H1744" s="7" t="s">
        <v>24</v>
      </c>
      <c r="I1744" s="7" t="s">
        <v>712</v>
      </c>
      <c r="J1744" s="7" t="s">
        <v>712</v>
      </c>
      <c r="K1744" s="8">
        <v>6274946</v>
      </c>
      <c r="L1744" s="8">
        <v>321779</v>
      </c>
      <c r="M1744" s="8">
        <v>19</v>
      </c>
      <c r="N1744" s="8">
        <v>1</v>
      </c>
      <c r="O1744" s="8">
        <v>0.92</v>
      </c>
      <c r="P1744" s="8"/>
    </row>
    <row r="1745" spans="1:16" hidden="1" x14ac:dyDescent="0.25">
      <c r="A1745" s="7" t="s">
        <v>37</v>
      </c>
      <c r="B1745" s="7" t="s">
        <v>415</v>
      </c>
      <c r="C1745" s="8">
        <v>28301</v>
      </c>
      <c r="D1745" s="7" t="s">
        <v>28</v>
      </c>
      <c r="E1745" s="7" t="s">
        <v>146</v>
      </c>
      <c r="F1745" s="7" t="s">
        <v>458</v>
      </c>
      <c r="G1745" s="7" t="s">
        <v>18</v>
      </c>
      <c r="H1745" s="7" t="s">
        <v>24</v>
      </c>
      <c r="I1745" s="7" t="s">
        <v>712</v>
      </c>
      <c r="J1745" s="7" t="s">
        <v>712</v>
      </c>
      <c r="K1745" s="8">
        <v>6270754</v>
      </c>
      <c r="L1745" s="8">
        <v>326549</v>
      </c>
      <c r="M1745" s="8">
        <v>19</v>
      </c>
      <c r="N1745" s="8">
        <v>1</v>
      </c>
      <c r="O1745" s="8">
        <v>1.03</v>
      </c>
      <c r="P1745" s="8"/>
    </row>
    <row r="1746" spans="1:16" hidden="1" x14ac:dyDescent="0.25">
      <c r="A1746" s="7" t="s">
        <v>19</v>
      </c>
      <c r="B1746" s="7" t="s">
        <v>270</v>
      </c>
      <c r="C1746" s="8">
        <v>28302</v>
      </c>
      <c r="D1746" s="7" t="s">
        <v>16</v>
      </c>
      <c r="E1746" s="7" t="s">
        <v>17</v>
      </c>
      <c r="F1746" s="7" t="s">
        <v>633</v>
      </c>
      <c r="G1746" s="7" t="s">
        <v>18</v>
      </c>
      <c r="H1746" s="7" t="s">
        <v>48</v>
      </c>
      <c r="I1746" s="7" t="s">
        <v>712</v>
      </c>
      <c r="J1746" s="7" t="s">
        <v>691</v>
      </c>
      <c r="K1746" s="8">
        <v>6072873</v>
      </c>
      <c r="L1746" s="8">
        <v>287130</v>
      </c>
      <c r="M1746" s="8">
        <v>19</v>
      </c>
      <c r="N1746" s="8">
        <v>5</v>
      </c>
      <c r="O1746" s="8">
        <v>15.5</v>
      </c>
      <c r="P1746" s="8"/>
    </row>
    <row r="1747" spans="1:16" hidden="1" x14ac:dyDescent="0.25">
      <c r="A1747" s="7" t="s">
        <v>37</v>
      </c>
      <c r="B1747" s="7" t="s">
        <v>254</v>
      </c>
      <c r="C1747" s="8">
        <v>28303</v>
      </c>
      <c r="D1747" s="7" t="s">
        <v>16</v>
      </c>
      <c r="E1747" s="7" t="s">
        <v>292</v>
      </c>
      <c r="F1747" s="7" t="s">
        <v>292</v>
      </c>
      <c r="G1747" s="7" t="s">
        <v>18</v>
      </c>
      <c r="H1747" s="7" t="s">
        <v>24</v>
      </c>
      <c r="I1747" s="7" t="s">
        <v>712</v>
      </c>
      <c r="J1747" s="7" t="s">
        <v>712</v>
      </c>
      <c r="K1747" s="8">
        <v>6091317</v>
      </c>
      <c r="L1747" s="8">
        <v>270933</v>
      </c>
      <c r="M1747" s="8">
        <v>19</v>
      </c>
      <c r="N1747" s="8">
        <v>2</v>
      </c>
      <c r="O1747" s="8">
        <v>3.8</v>
      </c>
      <c r="P1747" s="8"/>
    </row>
    <row r="1748" spans="1:16" hidden="1" x14ac:dyDescent="0.25">
      <c r="A1748" s="7" t="s">
        <v>19</v>
      </c>
      <c r="B1748" s="7" t="s">
        <v>270</v>
      </c>
      <c r="C1748" s="8">
        <v>28305</v>
      </c>
      <c r="D1748" s="7" t="s">
        <v>52</v>
      </c>
      <c r="E1748" s="7" t="s">
        <v>53</v>
      </c>
      <c r="F1748" s="7" t="s">
        <v>87</v>
      </c>
      <c r="G1748" s="7" t="s">
        <v>18</v>
      </c>
      <c r="H1748" s="7" t="s">
        <v>48</v>
      </c>
      <c r="I1748" s="7" t="s">
        <v>712</v>
      </c>
      <c r="J1748" s="7" t="s">
        <v>712</v>
      </c>
      <c r="K1748" s="8">
        <v>6150376</v>
      </c>
      <c r="L1748" s="8">
        <v>320582</v>
      </c>
      <c r="M1748" s="8">
        <v>19</v>
      </c>
      <c r="N1748" s="8">
        <v>2</v>
      </c>
      <c r="O1748" s="8">
        <v>10</v>
      </c>
      <c r="P1748" s="8"/>
    </row>
    <row r="1749" spans="1:16" hidden="1" x14ac:dyDescent="0.25">
      <c r="A1749" s="7" t="s">
        <v>37</v>
      </c>
      <c r="B1749" s="7" t="s">
        <v>415</v>
      </c>
      <c r="C1749" s="8">
        <v>28308</v>
      </c>
      <c r="D1749" s="7" t="s">
        <v>28</v>
      </c>
      <c r="E1749" s="7" t="s">
        <v>32</v>
      </c>
      <c r="F1749" s="7" t="s">
        <v>147</v>
      </c>
      <c r="G1749" s="7" t="s">
        <v>18</v>
      </c>
      <c r="H1749" s="7" t="s">
        <v>109</v>
      </c>
      <c r="I1749" s="7" t="s">
        <v>712</v>
      </c>
      <c r="J1749" s="7" t="s">
        <v>691</v>
      </c>
      <c r="K1749" s="8">
        <v>6271648</v>
      </c>
      <c r="L1749" s="8">
        <v>338567</v>
      </c>
      <c r="M1749" s="8">
        <v>19</v>
      </c>
      <c r="N1749" s="8">
        <v>1</v>
      </c>
      <c r="O1749" s="8">
        <v>6</v>
      </c>
      <c r="P1749" s="8"/>
    </row>
    <row r="1750" spans="1:16" hidden="1" x14ac:dyDescent="0.25">
      <c r="A1750" s="7" t="s">
        <v>37</v>
      </c>
      <c r="B1750" s="7" t="s">
        <v>270</v>
      </c>
      <c r="C1750" s="8">
        <v>28309</v>
      </c>
      <c r="D1750" s="7" t="s">
        <v>52</v>
      </c>
      <c r="E1750" s="7" t="s">
        <v>273</v>
      </c>
      <c r="F1750" s="7" t="s">
        <v>373</v>
      </c>
      <c r="G1750" s="7" t="s">
        <v>18</v>
      </c>
      <c r="H1750" s="7" t="s">
        <v>48</v>
      </c>
      <c r="I1750" s="7" t="s">
        <v>712</v>
      </c>
      <c r="J1750" s="7" t="s">
        <v>691</v>
      </c>
      <c r="K1750" s="8">
        <v>6163958</v>
      </c>
      <c r="L1750" s="8">
        <v>290636</v>
      </c>
      <c r="M1750" s="8">
        <v>19</v>
      </c>
      <c r="N1750" s="8">
        <v>2</v>
      </c>
      <c r="O1750" s="8">
        <v>15</v>
      </c>
      <c r="P1750" s="8"/>
    </row>
    <row r="1751" spans="1:16" hidden="1" x14ac:dyDescent="0.25">
      <c r="A1751" s="7" t="s">
        <v>19</v>
      </c>
      <c r="B1751" s="7" t="s">
        <v>270</v>
      </c>
      <c r="C1751" s="8">
        <v>28310</v>
      </c>
      <c r="D1751" s="7" t="s">
        <v>52</v>
      </c>
      <c r="E1751" s="7" t="s">
        <v>53</v>
      </c>
      <c r="F1751" s="7" t="s">
        <v>630</v>
      </c>
      <c r="G1751" s="7" t="s">
        <v>18</v>
      </c>
      <c r="H1751" s="7" t="s">
        <v>48</v>
      </c>
      <c r="I1751" s="7" t="s">
        <v>712</v>
      </c>
      <c r="J1751" s="7" t="s">
        <v>712</v>
      </c>
      <c r="K1751" s="8">
        <v>6160523</v>
      </c>
      <c r="L1751" s="8">
        <v>319358</v>
      </c>
      <c r="M1751" s="8">
        <v>19</v>
      </c>
      <c r="N1751" s="8">
        <v>1</v>
      </c>
      <c r="O1751" s="8">
        <v>11</v>
      </c>
      <c r="P1751" s="8"/>
    </row>
    <row r="1752" spans="1:16" hidden="1" x14ac:dyDescent="0.25">
      <c r="A1752" s="7" t="s">
        <v>37</v>
      </c>
      <c r="B1752" s="7" t="s">
        <v>270</v>
      </c>
      <c r="C1752" s="8">
        <v>28311</v>
      </c>
      <c r="D1752" s="7" t="s">
        <v>21</v>
      </c>
      <c r="E1752" s="7" t="s">
        <v>584</v>
      </c>
      <c r="F1752" s="7" t="s">
        <v>612</v>
      </c>
      <c r="G1752" s="7" t="s">
        <v>18</v>
      </c>
      <c r="H1752" s="7" t="s">
        <v>24</v>
      </c>
      <c r="I1752" s="7" t="s">
        <v>712</v>
      </c>
      <c r="J1752" s="7" t="s">
        <v>712</v>
      </c>
      <c r="K1752" s="8">
        <v>6382726</v>
      </c>
      <c r="L1752" s="8">
        <v>318755</v>
      </c>
      <c r="M1752" s="8">
        <v>19</v>
      </c>
      <c r="N1752" s="8">
        <v>1</v>
      </c>
      <c r="O1752" s="8">
        <v>2</v>
      </c>
      <c r="P1752" s="8"/>
    </row>
    <row r="1753" spans="1:16" hidden="1" x14ac:dyDescent="0.25">
      <c r="A1753" s="7" t="s">
        <v>14</v>
      </c>
      <c r="B1753" s="7" t="s">
        <v>415</v>
      </c>
      <c r="C1753" s="8">
        <v>28312</v>
      </c>
      <c r="D1753" s="7" t="s">
        <v>322</v>
      </c>
      <c r="E1753" s="7" t="s">
        <v>323</v>
      </c>
      <c r="F1753" s="7" t="s">
        <v>510</v>
      </c>
      <c r="G1753" s="7" t="s">
        <v>18</v>
      </c>
      <c r="H1753" s="7" t="s">
        <v>689</v>
      </c>
      <c r="I1753" s="7" t="s">
        <v>712</v>
      </c>
      <c r="J1753" s="7" t="s">
        <v>712</v>
      </c>
      <c r="K1753" s="8">
        <v>7919188</v>
      </c>
      <c r="L1753" s="8">
        <v>378867</v>
      </c>
      <c r="M1753" s="8">
        <v>19</v>
      </c>
      <c r="N1753" s="8">
        <v>1</v>
      </c>
      <c r="O1753" s="8">
        <v>0.47</v>
      </c>
      <c r="P1753" s="8"/>
    </row>
    <row r="1754" spans="1:16" hidden="1" x14ac:dyDescent="0.25">
      <c r="A1754" s="7" t="s">
        <v>14</v>
      </c>
      <c r="B1754" s="7" t="s">
        <v>415</v>
      </c>
      <c r="C1754" s="8">
        <v>28313</v>
      </c>
      <c r="D1754" s="7" t="s">
        <v>322</v>
      </c>
      <c r="E1754" s="7" t="s">
        <v>323</v>
      </c>
      <c r="F1754" s="7" t="s">
        <v>422</v>
      </c>
      <c r="G1754" s="7" t="s">
        <v>18</v>
      </c>
      <c r="H1754" s="7" t="s">
        <v>689</v>
      </c>
      <c r="I1754" s="7" t="s">
        <v>712</v>
      </c>
      <c r="J1754" s="7" t="s">
        <v>712</v>
      </c>
      <c r="K1754" s="8">
        <v>7952735</v>
      </c>
      <c r="L1754" s="8">
        <v>370970</v>
      </c>
      <c r="M1754" s="8">
        <v>19</v>
      </c>
      <c r="N1754" s="8">
        <v>1</v>
      </c>
      <c r="O1754" s="8">
        <v>0.18</v>
      </c>
      <c r="P1754" s="8"/>
    </row>
    <row r="1755" spans="1:16" hidden="1" x14ac:dyDescent="0.25">
      <c r="A1755" s="7" t="s">
        <v>14</v>
      </c>
      <c r="B1755" s="7" t="s">
        <v>415</v>
      </c>
      <c r="C1755" s="8">
        <v>28314</v>
      </c>
      <c r="D1755" s="7" t="s">
        <v>322</v>
      </c>
      <c r="E1755" s="7" t="s">
        <v>323</v>
      </c>
      <c r="F1755" s="7" t="s">
        <v>422</v>
      </c>
      <c r="G1755" s="7" t="s">
        <v>18</v>
      </c>
      <c r="H1755" s="7" t="s">
        <v>689</v>
      </c>
      <c r="I1755" s="7" t="s">
        <v>712</v>
      </c>
      <c r="J1755" s="7" t="s">
        <v>712</v>
      </c>
      <c r="K1755" s="8">
        <v>7952735</v>
      </c>
      <c r="L1755" s="8">
        <v>370970</v>
      </c>
      <c r="M1755" s="8">
        <v>19</v>
      </c>
      <c r="N1755" s="8">
        <v>1</v>
      </c>
      <c r="O1755" s="8">
        <v>0.05</v>
      </c>
      <c r="P1755" s="8"/>
    </row>
    <row r="1756" spans="1:16" hidden="1" x14ac:dyDescent="0.25">
      <c r="A1756" s="7" t="s">
        <v>14</v>
      </c>
      <c r="B1756" s="7" t="s">
        <v>415</v>
      </c>
      <c r="C1756" s="8">
        <v>28315</v>
      </c>
      <c r="D1756" s="7" t="s">
        <v>322</v>
      </c>
      <c r="E1756" s="7" t="s">
        <v>323</v>
      </c>
      <c r="F1756" s="7" t="s">
        <v>422</v>
      </c>
      <c r="G1756" s="7" t="s">
        <v>18</v>
      </c>
      <c r="H1756" s="7" t="s">
        <v>689</v>
      </c>
      <c r="I1756" s="7" t="s">
        <v>712</v>
      </c>
      <c r="J1756" s="7" t="s">
        <v>712</v>
      </c>
      <c r="K1756" s="8">
        <v>7952735</v>
      </c>
      <c r="L1756" s="8">
        <v>370970</v>
      </c>
      <c r="M1756" s="8">
        <v>19</v>
      </c>
      <c r="N1756" s="8">
        <v>1</v>
      </c>
      <c r="O1756" s="8">
        <v>0.2</v>
      </c>
      <c r="P1756" s="8"/>
    </row>
    <row r="1757" spans="1:16" hidden="1" x14ac:dyDescent="0.25">
      <c r="A1757" s="7" t="s">
        <v>14</v>
      </c>
      <c r="B1757" s="7" t="s">
        <v>415</v>
      </c>
      <c r="C1757" s="8">
        <v>28316</v>
      </c>
      <c r="D1757" s="7" t="s">
        <v>322</v>
      </c>
      <c r="E1757" s="7" t="s">
        <v>323</v>
      </c>
      <c r="F1757" s="7" t="s">
        <v>422</v>
      </c>
      <c r="G1757" s="7" t="s">
        <v>18</v>
      </c>
      <c r="H1757" s="7" t="s">
        <v>689</v>
      </c>
      <c r="I1757" s="7" t="s">
        <v>712</v>
      </c>
      <c r="J1757" s="7" t="s">
        <v>712</v>
      </c>
      <c r="K1757" s="8">
        <v>7949881</v>
      </c>
      <c r="L1757" s="8">
        <v>378390</v>
      </c>
      <c r="M1757" s="8">
        <v>19</v>
      </c>
      <c r="N1757" s="8">
        <v>1</v>
      </c>
      <c r="O1757" s="8">
        <v>0.09</v>
      </c>
      <c r="P1757" s="8"/>
    </row>
    <row r="1758" spans="1:16" hidden="1" x14ac:dyDescent="0.25">
      <c r="A1758" s="7" t="s">
        <v>14</v>
      </c>
      <c r="B1758" s="7" t="s">
        <v>415</v>
      </c>
      <c r="C1758" s="8">
        <v>28317</v>
      </c>
      <c r="D1758" s="7" t="s">
        <v>322</v>
      </c>
      <c r="E1758" s="7" t="s">
        <v>323</v>
      </c>
      <c r="F1758" s="7" t="s">
        <v>422</v>
      </c>
      <c r="G1758" s="7" t="s">
        <v>18</v>
      </c>
      <c r="H1758" s="7" t="s">
        <v>689</v>
      </c>
      <c r="I1758" s="7" t="s">
        <v>712</v>
      </c>
      <c r="J1758" s="7" t="s">
        <v>712</v>
      </c>
      <c r="K1758" s="8">
        <v>7953403</v>
      </c>
      <c r="L1758" s="8">
        <v>370706</v>
      </c>
      <c r="M1758" s="8">
        <v>19</v>
      </c>
      <c r="N1758" s="8">
        <v>1</v>
      </c>
      <c r="O1758" s="8">
        <v>0.06</v>
      </c>
      <c r="P1758" s="8"/>
    </row>
    <row r="1759" spans="1:16" hidden="1" x14ac:dyDescent="0.25">
      <c r="A1759" s="7" t="s">
        <v>14</v>
      </c>
      <c r="B1759" s="7" t="s">
        <v>415</v>
      </c>
      <c r="C1759" s="8">
        <v>28318</v>
      </c>
      <c r="D1759" s="7" t="s">
        <v>322</v>
      </c>
      <c r="E1759" s="7" t="s">
        <v>323</v>
      </c>
      <c r="F1759" s="7" t="s">
        <v>422</v>
      </c>
      <c r="G1759" s="7" t="s">
        <v>18</v>
      </c>
      <c r="H1759" s="7" t="s">
        <v>689</v>
      </c>
      <c r="I1759" s="7" t="s">
        <v>712</v>
      </c>
      <c r="J1759" s="7" t="s">
        <v>712</v>
      </c>
      <c r="K1759" s="8">
        <v>7953403</v>
      </c>
      <c r="L1759" s="8">
        <v>370706</v>
      </c>
      <c r="M1759" s="8">
        <v>19</v>
      </c>
      <c r="N1759" s="8">
        <v>1</v>
      </c>
      <c r="O1759" s="8">
        <v>0.1</v>
      </c>
      <c r="P1759" s="8"/>
    </row>
    <row r="1760" spans="1:16" hidden="1" x14ac:dyDescent="0.25">
      <c r="A1760" s="7" t="s">
        <v>14</v>
      </c>
      <c r="B1760" s="7" t="s">
        <v>415</v>
      </c>
      <c r="C1760" s="8">
        <v>28319</v>
      </c>
      <c r="D1760" s="7" t="s">
        <v>322</v>
      </c>
      <c r="E1760" s="7" t="s">
        <v>323</v>
      </c>
      <c r="F1760" s="7" t="s">
        <v>422</v>
      </c>
      <c r="G1760" s="7" t="s">
        <v>18</v>
      </c>
      <c r="H1760" s="7" t="s">
        <v>689</v>
      </c>
      <c r="I1760" s="7" t="s">
        <v>712</v>
      </c>
      <c r="J1760" s="7" t="s">
        <v>712</v>
      </c>
      <c r="K1760" s="8">
        <v>7949996</v>
      </c>
      <c r="L1760" s="8">
        <v>378447</v>
      </c>
      <c r="M1760" s="8">
        <v>19</v>
      </c>
      <c r="N1760" s="8">
        <v>1</v>
      </c>
      <c r="O1760" s="8">
        <v>0.95</v>
      </c>
      <c r="P1760" s="8"/>
    </row>
    <row r="1761" spans="1:16" hidden="1" x14ac:dyDescent="0.25">
      <c r="A1761" s="7" t="s">
        <v>14</v>
      </c>
      <c r="B1761" s="7" t="s">
        <v>415</v>
      </c>
      <c r="C1761" s="8">
        <v>28320</v>
      </c>
      <c r="D1761" s="7" t="s">
        <v>322</v>
      </c>
      <c r="E1761" s="7" t="s">
        <v>323</v>
      </c>
      <c r="F1761" s="7" t="s">
        <v>422</v>
      </c>
      <c r="G1761" s="7" t="s">
        <v>18</v>
      </c>
      <c r="H1761" s="7" t="s">
        <v>689</v>
      </c>
      <c r="I1761" s="7" t="s">
        <v>712</v>
      </c>
      <c r="J1761" s="7" t="s">
        <v>712</v>
      </c>
      <c r="K1761" s="8">
        <v>7952666</v>
      </c>
      <c r="L1761" s="8">
        <v>371639</v>
      </c>
      <c r="M1761" s="8">
        <v>19</v>
      </c>
      <c r="N1761" s="8">
        <v>1</v>
      </c>
      <c r="O1761" s="8">
        <v>3.2</v>
      </c>
      <c r="P1761" s="8"/>
    </row>
    <row r="1762" spans="1:16" hidden="1" x14ac:dyDescent="0.25">
      <c r="A1762" s="7" t="s">
        <v>14</v>
      </c>
      <c r="B1762" s="7" t="s">
        <v>415</v>
      </c>
      <c r="C1762" s="8">
        <v>28321</v>
      </c>
      <c r="D1762" s="7" t="s">
        <v>322</v>
      </c>
      <c r="E1762" s="7" t="s">
        <v>323</v>
      </c>
      <c r="F1762" s="7" t="s">
        <v>422</v>
      </c>
      <c r="G1762" s="7" t="s">
        <v>18</v>
      </c>
      <c r="H1762" s="7" t="s">
        <v>689</v>
      </c>
      <c r="I1762" s="7" t="s">
        <v>712</v>
      </c>
      <c r="J1762" s="7" t="s">
        <v>712</v>
      </c>
      <c r="K1762" s="8">
        <v>7952757</v>
      </c>
      <c r="L1762" s="8">
        <v>371312</v>
      </c>
      <c r="M1762" s="8">
        <v>19</v>
      </c>
      <c r="N1762" s="8">
        <v>1</v>
      </c>
      <c r="O1762" s="8">
        <v>2.91</v>
      </c>
      <c r="P1762" s="8"/>
    </row>
    <row r="1763" spans="1:16" hidden="1" x14ac:dyDescent="0.25">
      <c r="A1763" s="7" t="s">
        <v>14</v>
      </c>
      <c r="B1763" s="7" t="s">
        <v>415</v>
      </c>
      <c r="C1763" s="8">
        <v>28322</v>
      </c>
      <c r="D1763" s="7" t="s">
        <v>322</v>
      </c>
      <c r="E1763" s="7" t="s">
        <v>323</v>
      </c>
      <c r="F1763" s="7" t="s">
        <v>422</v>
      </c>
      <c r="G1763" s="7" t="s">
        <v>18</v>
      </c>
      <c r="H1763" s="7" t="s">
        <v>689</v>
      </c>
      <c r="I1763" s="7" t="s">
        <v>712</v>
      </c>
      <c r="J1763" s="7" t="s">
        <v>712</v>
      </c>
      <c r="K1763" s="8">
        <v>7949792</v>
      </c>
      <c r="L1763" s="8">
        <v>378263</v>
      </c>
      <c r="M1763" s="8">
        <v>19</v>
      </c>
      <c r="N1763" s="8">
        <v>1</v>
      </c>
      <c r="O1763" s="8">
        <v>1.2</v>
      </c>
      <c r="P1763" s="8"/>
    </row>
    <row r="1764" spans="1:16" hidden="1" x14ac:dyDescent="0.25">
      <c r="A1764" s="7" t="s">
        <v>14</v>
      </c>
      <c r="B1764" s="7" t="s">
        <v>415</v>
      </c>
      <c r="C1764" s="8">
        <v>28323</v>
      </c>
      <c r="D1764" s="7" t="s">
        <v>322</v>
      </c>
      <c r="E1764" s="7" t="s">
        <v>323</v>
      </c>
      <c r="F1764" s="7" t="s">
        <v>422</v>
      </c>
      <c r="G1764" s="7" t="s">
        <v>18</v>
      </c>
      <c r="H1764" s="7" t="s">
        <v>689</v>
      </c>
      <c r="I1764" s="7" t="s">
        <v>712</v>
      </c>
      <c r="J1764" s="7" t="s">
        <v>712</v>
      </c>
      <c r="K1764" s="8">
        <v>7949751</v>
      </c>
      <c r="L1764" s="8">
        <v>378362</v>
      </c>
      <c r="M1764" s="8">
        <v>19</v>
      </c>
      <c r="N1764" s="8">
        <v>1</v>
      </c>
      <c r="O1764" s="8">
        <v>0.71</v>
      </c>
      <c r="P1764" s="8"/>
    </row>
    <row r="1765" spans="1:16" hidden="1" x14ac:dyDescent="0.25">
      <c r="A1765" s="7" t="s">
        <v>14</v>
      </c>
      <c r="B1765" s="7" t="s">
        <v>415</v>
      </c>
      <c r="C1765" s="8">
        <v>28324</v>
      </c>
      <c r="D1765" s="7" t="s">
        <v>322</v>
      </c>
      <c r="E1765" s="7" t="s">
        <v>323</v>
      </c>
      <c r="F1765" s="7" t="s">
        <v>422</v>
      </c>
      <c r="G1765" s="7" t="s">
        <v>18</v>
      </c>
      <c r="H1765" s="7" t="s">
        <v>689</v>
      </c>
      <c r="I1765" s="7" t="s">
        <v>712</v>
      </c>
      <c r="J1765" s="7" t="s">
        <v>712</v>
      </c>
      <c r="K1765" s="8">
        <v>7952710</v>
      </c>
      <c r="L1765" s="8">
        <v>371445</v>
      </c>
      <c r="M1765" s="8">
        <v>19</v>
      </c>
      <c r="N1765" s="8">
        <v>1</v>
      </c>
      <c r="O1765" s="8">
        <v>0.76</v>
      </c>
      <c r="P1765" s="8"/>
    </row>
    <row r="1766" spans="1:16" hidden="1" x14ac:dyDescent="0.25">
      <c r="A1766" s="7" t="s">
        <v>14</v>
      </c>
      <c r="B1766" s="7" t="s">
        <v>415</v>
      </c>
      <c r="C1766" s="8">
        <v>28325</v>
      </c>
      <c r="D1766" s="7" t="s">
        <v>322</v>
      </c>
      <c r="E1766" s="7" t="s">
        <v>323</v>
      </c>
      <c r="F1766" s="7" t="s">
        <v>422</v>
      </c>
      <c r="G1766" s="7" t="s">
        <v>18</v>
      </c>
      <c r="H1766" s="7" t="s">
        <v>689</v>
      </c>
      <c r="I1766" s="7" t="s">
        <v>712</v>
      </c>
      <c r="J1766" s="7" t="s">
        <v>712</v>
      </c>
      <c r="K1766" s="8">
        <v>7949668</v>
      </c>
      <c r="L1766" s="8">
        <v>378288</v>
      </c>
      <c r="M1766" s="8">
        <v>19</v>
      </c>
      <c r="N1766" s="8">
        <v>1</v>
      </c>
      <c r="O1766" s="8">
        <v>0.34</v>
      </c>
      <c r="P1766" s="8"/>
    </row>
    <row r="1767" spans="1:16" hidden="1" x14ac:dyDescent="0.25">
      <c r="A1767" s="7" t="s">
        <v>14</v>
      </c>
      <c r="B1767" s="7" t="s">
        <v>415</v>
      </c>
      <c r="C1767" s="8">
        <v>28326</v>
      </c>
      <c r="D1767" s="7" t="s">
        <v>322</v>
      </c>
      <c r="E1767" s="7" t="s">
        <v>323</v>
      </c>
      <c r="F1767" s="7" t="s">
        <v>422</v>
      </c>
      <c r="G1767" s="7" t="s">
        <v>18</v>
      </c>
      <c r="H1767" s="7" t="s">
        <v>689</v>
      </c>
      <c r="I1767" s="7" t="s">
        <v>712</v>
      </c>
      <c r="J1767" s="7" t="s">
        <v>712</v>
      </c>
      <c r="K1767" s="8">
        <v>7952735</v>
      </c>
      <c r="L1767" s="8">
        <v>370970</v>
      </c>
      <c r="M1767" s="8">
        <v>19</v>
      </c>
      <c r="N1767" s="8">
        <v>1</v>
      </c>
      <c r="O1767" s="8">
        <v>0.27</v>
      </c>
      <c r="P1767" s="8"/>
    </row>
    <row r="1768" spans="1:16" hidden="1" x14ac:dyDescent="0.25">
      <c r="A1768" s="7" t="s">
        <v>37</v>
      </c>
      <c r="B1768" s="7" t="s">
        <v>343</v>
      </c>
      <c r="C1768" s="8">
        <v>28328</v>
      </c>
      <c r="D1768" s="7" t="s">
        <v>16</v>
      </c>
      <c r="E1768" s="7" t="s">
        <v>268</v>
      </c>
      <c r="F1768" s="7" t="s">
        <v>359</v>
      </c>
      <c r="G1768" s="7" t="s">
        <v>18</v>
      </c>
      <c r="H1768" s="7" t="s">
        <v>24</v>
      </c>
      <c r="I1768" s="7" t="s">
        <v>712</v>
      </c>
      <c r="J1768" s="7" t="s">
        <v>712</v>
      </c>
      <c r="K1768" s="8">
        <v>6135622</v>
      </c>
      <c r="L1768" s="8">
        <v>308949</v>
      </c>
      <c r="M1768" s="8">
        <v>19</v>
      </c>
      <c r="N1768" s="8">
        <v>1</v>
      </c>
      <c r="O1768" s="8">
        <v>0.45</v>
      </c>
      <c r="P1768" s="8"/>
    </row>
    <row r="1769" spans="1:16" hidden="1" x14ac:dyDescent="0.25">
      <c r="A1769" s="7" t="s">
        <v>37</v>
      </c>
      <c r="B1769" s="7" t="s">
        <v>343</v>
      </c>
      <c r="C1769" s="8">
        <v>28329</v>
      </c>
      <c r="D1769" s="7" t="s">
        <v>16</v>
      </c>
      <c r="E1769" s="7" t="s">
        <v>268</v>
      </c>
      <c r="F1769" s="7" t="s">
        <v>359</v>
      </c>
      <c r="G1769" s="7" t="s">
        <v>18</v>
      </c>
      <c r="H1769" s="7" t="s">
        <v>24</v>
      </c>
      <c r="I1769" s="7" t="s">
        <v>712</v>
      </c>
      <c r="J1769" s="7" t="s">
        <v>712</v>
      </c>
      <c r="K1769" s="8">
        <v>6134864</v>
      </c>
      <c r="L1769" s="8">
        <v>309336</v>
      </c>
      <c r="M1769" s="8">
        <v>19</v>
      </c>
      <c r="N1769" s="8">
        <v>1</v>
      </c>
      <c r="O1769" s="8">
        <v>0.47</v>
      </c>
      <c r="P1769" s="8"/>
    </row>
    <row r="1770" spans="1:16" hidden="1" x14ac:dyDescent="0.25">
      <c r="A1770" s="7" t="s">
        <v>37</v>
      </c>
      <c r="B1770" s="7" t="s">
        <v>343</v>
      </c>
      <c r="C1770" s="8">
        <v>28330</v>
      </c>
      <c r="D1770" s="7" t="s">
        <v>16</v>
      </c>
      <c r="E1770" s="7" t="s">
        <v>268</v>
      </c>
      <c r="F1770" s="7" t="s">
        <v>359</v>
      </c>
      <c r="G1770" s="7" t="s">
        <v>18</v>
      </c>
      <c r="H1770" s="7" t="s">
        <v>24</v>
      </c>
      <c r="I1770" s="7" t="s">
        <v>712</v>
      </c>
      <c r="J1770" s="7" t="s">
        <v>712</v>
      </c>
      <c r="K1770" s="8">
        <v>6136529</v>
      </c>
      <c r="L1770" s="8">
        <v>309155</v>
      </c>
      <c r="M1770" s="8">
        <v>19</v>
      </c>
      <c r="N1770" s="8">
        <v>1</v>
      </c>
      <c r="O1770" s="8">
        <v>0.5</v>
      </c>
      <c r="P1770" s="8"/>
    </row>
    <row r="1771" spans="1:16" hidden="1" x14ac:dyDescent="0.25">
      <c r="A1771" s="7" t="s">
        <v>19</v>
      </c>
      <c r="B1771" s="7" t="s">
        <v>343</v>
      </c>
      <c r="C1771" s="8">
        <v>28331</v>
      </c>
      <c r="D1771" s="7" t="s">
        <v>16</v>
      </c>
      <c r="E1771" s="7" t="s">
        <v>268</v>
      </c>
      <c r="F1771" s="7" t="s">
        <v>359</v>
      </c>
      <c r="G1771" s="7" t="s">
        <v>18</v>
      </c>
      <c r="H1771" s="7" t="s">
        <v>24</v>
      </c>
      <c r="I1771" s="7" t="s">
        <v>712</v>
      </c>
      <c r="J1771" s="7" t="s">
        <v>712</v>
      </c>
      <c r="K1771" s="8">
        <v>6136830</v>
      </c>
      <c r="L1771" s="8">
        <v>309218</v>
      </c>
      <c r="M1771" s="8">
        <v>19</v>
      </c>
      <c r="N1771" s="8">
        <v>1</v>
      </c>
      <c r="O1771" s="8">
        <v>0.46</v>
      </c>
      <c r="P1771" s="8"/>
    </row>
    <row r="1772" spans="1:16" hidden="1" x14ac:dyDescent="0.25">
      <c r="A1772" s="7" t="s">
        <v>37</v>
      </c>
      <c r="B1772" s="7" t="s">
        <v>343</v>
      </c>
      <c r="C1772" s="8">
        <v>28332</v>
      </c>
      <c r="D1772" s="7" t="s">
        <v>16</v>
      </c>
      <c r="E1772" s="7" t="s">
        <v>268</v>
      </c>
      <c r="F1772" s="7" t="s">
        <v>359</v>
      </c>
      <c r="G1772" s="7" t="s">
        <v>18</v>
      </c>
      <c r="H1772" s="7" t="s">
        <v>24</v>
      </c>
      <c r="I1772" s="7" t="s">
        <v>712</v>
      </c>
      <c r="J1772" s="7" t="s">
        <v>712</v>
      </c>
      <c r="K1772" s="8">
        <v>6136679</v>
      </c>
      <c r="L1772" s="8">
        <v>309502</v>
      </c>
      <c r="M1772" s="8">
        <v>19</v>
      </c>
      <c r="N1772" s="8">
        <v>1</v>
      </c>
      <c r="O1772" s="8">
        <v>0.45</v>
      </c>
      <c r="P1772" s="8"/>
    </row>
    <row r="1773" spans="1:16" hidden="1" x14ac:dyDescent="0.25">
      <c r="A1773" s="7" t="s">
        <v>37</v>
      </c>
      <c r="B1773" s="7" t="s">
        <v>343</v>
      </c>
      <c r="C1773" s="8">
        <v>28334</v>
      </c>
      <c r="D1773" s="7" t="s">
        <v>16</v>
      </c>
      <c r="E1773" s="7" t="s">
        <v>268</v>
      </c>
      <c r="F1773" s="7" t="s">
        <v>359</v>
      </c>
      <c r="G1773" s="7" t="s">
        <v>18</v>
      </c>
      <c r="H1773" s="7" t="s">
        <v>24</v>
      </c>
      <c r="I1773" s="7" t="s">
        <v>712</v>
      </c>
      <c r="J1773" s="7" t="s">
        <v>712</v>
      </c>
      <c r="K1773" s="8">
        <v>6132445</v>
      </c>
      <c r="L1773" s="8">
        <v>312638</v>
      </c>
      <c r="M1773" s="8">
        <v>19</v>
      </c>
      <c r="N1773" s="8">
        <v>1</v>
      </c>
      <c r="O1773" s="8">
        <v>0.5</v>
      </c>
      <c r="P1773" s="8"/>
    </row>
    <row r="1774" spans="1:16" hidden="1" x14ac:dyDescent="0.25">
      <c r="A1774" s="7" t="s">
        <v>14</v>
      </c>
      <c r="B1774" s="7" t="s">
        <v>415</v>
      </c>
      <c r="C1774" s="8">
        <v>28335</v>
      </c>
      <c r="D1774" s="7" t="s">
        <v>322</v>
      </c>
      <c r="E1774" s="7" t="s">
        <v>323</v>
      </c>
      <c r="F1774" s="7" t="s">
        <v>422</v>
      </c>
      <c r="G1774" s="7" t="s">
        <v>18</v>
      </c>
      <c r="H1774" s="7" t="s">
        <v>689</v>
      </c>
      <c r="I1774" s="7" t="s">
        <v>712</v>
      </c>
      <c r="J1774" s="7" t="s">
        <v>712</v>
      </c>
      <c r="K1774" s="8">
        <v>7951804</v>
      </c>
      <c r="L1774" s="8">
        <v>374713</v>
      </c>
      <c r="M1774" s="8">
        <v>19</v>
      </c>
      <c r="N1774" s="8">
        <v>1</v>
      </c>
      <c r="O1774" s="8">
        <v>0.6</v>
      </c>
      <c r="P1774" s="8"/>
    </row>
    <row r="1775" spans="1:16" hidden="1" x14ac:dyDescent="0.25">
      <c r="A1775" s="7" t="s">
        <v>14</v>
      </c>
      <c r="B1775" s="7" t="s">
        <v>415</v>
      </c>
      <c r="C1775" s="8">
        <v>28336</v>
      </c>
      <c r="D1775" s="7" t="s">
        <v>322</v>
      </c>
      <c r="E1775" s="7" t="s">
        <v>323</v>
      </c>
      <c r="F1775" s="7" t="s">
        <v>422</v>
      </c>
      <c r="G1775" s="7" t="s">
        <v>18</v>
      </c>
      <c r="H1775" s="7" t="s">
        <v>689</v>
      </c>
      <c r="I1775" s="7" t="s">
        <v>712</v>
      </c>
      <c r="J1775" s="7" t="s">
        <v>712</v>
      </c>
      <c r="K1775" s="8">
        <v>7950431</v>
      </c>
      <c r="L1775" s="8">
        <v>370982</v>
      </c>
      <c r="M1775" s="8">
        <v>19</v>
      </c>
      <c r="N1775" s="8">
        <v>1</v>
      </c>
      <c r="O1775" s="8">
        <v>1.04</v>
      </c>
      <c r="P1775" s="8"/>
    </row>
    <row r="1776" spans="1:16" hidden="1" x14ac:dyDescent="0.25">
      <c r="A1776" s="7" t="s">
        <v>14</v>
      </c>
      <c r="B1776" s="7" t="s">
        <v>174</v>
      </c>
      <c r="C1776" s="8">
        <v>28337</v>
      </c>
      <c r="D1776" s="7" t="s">
        <v>119</v>
      </c>
      <c r="E1776" s="7" t="s">
        <v>175</v>
      </c>
      <c r="F1776" s="7" t="s">
        <v>176</v>
      </c>
      <c r="G1776" s="7" t="s">
        <v>43</v>
      </c>
      <c r="H1776" s="7" t="s">
        <v>689</v>
      </c>
      <c r="I1776" s="7" t="s">
        <v>690</v>
      </c>
      <c r="J1776" s="7" t="s">
        <v>690</v>
      </c>
      <c r="K1776" s="8">
        <v>5712145</v>
      </c>
      <c r="L1776" s="8">
        <v>721597</v>
      </c>
      <c r="M1776" s="8">
        <v>18</v>
      </c>
      <c r="N1776" s="8">
        <v>1</v>
      </c>
      <c r="O1776" s="8">
        <v>0.25</v>
      </c>
      <c r="P1776" s="8"/>
    </row>
    <row r="1777" spans="1:16" hidden="1" x14ac:dyDescent="0.25">
      <c r="A1777" s="7" t="s">
        <v>14</v>
      </c>
      <c r="B1777" s="7" t="s">
        <v>174</v>
      </c>
      <c r="C1777" s="8">
        <v>28338</v>
      </c>
      <c r="D1777" s="7" t="s">
        <v>119</v>
      </c>
      <c r="E1777" s="7" t="s">
        <v>175</v>
      </c>
      <c r="F1777" s="7" t="s">
        <v>178</v>
      </c>
      <c r="G1777" s="7" t="s">
        <v>43</v>
      </c>
      <c r="H1777" s="7" t="s">
        <v>689</v>
      </c>
      <c r="I1777" s="7" t="s">
        <v>690</v>
      </c>
      <c r="J1777" s="7" t="s">
        <v>690</v>
      </c>
      <c r="K1777" s="8">
        <v>5713364</v>
      </c>
      <c r="L1777" s="8">
        <v>721658</v>
      </c>
      <c r="M1777" s="8">
        <v>18</v>
      </c>
      <c r="N1777" s="8">
        <v>1</v>
      </c>
      <c r="O1777" s="8">
        <v>0.7</v>
      </c>
      <c r="P1777" s="8"/>
    </row>
    <row r="1778" spans="1:16" hidden="1" x14ac:dyDescent="0.25">
      <c r="A1778" s="7" t="s">
        <v>14</v>
      </c>
      <c r="B1778" s="7" t="s">
        <v>174</v>
      </c>
      <c r="C1778" s="8">
        <v>28339</v>
      </c>
      <c r="D1778" s="7" t="s">
        <v>119</v>
      </c>
      <c r="E1778" s="7" t="s">
        <v>179</v>
      </c>
      <c r="F1778" s="7" t="s">
        <v>179</v>
      </c>
      <c r="G1778" s="7" t="s">
        <v>43</v>
      </c>
      <c r="H1778" s="7" t="s">
        <v>689</v>
      </c>
      <c r="I1778" s="7" t="s">
        <v>690</v>
      </c>
      <c r="J1778" s="7" t="s">
        <v>690</v>
      </c>
      <c r="K1778" s="8">
        <v>5737990</v>
      </c>
      <c r="L1778" s="8">
        <v>708507</v>
      </c>
      <c r="M1778" s="8">
        <v>18</v>
      </c>
      <c r="N1778" s="8">
        <v>1</v>
      </c>
      <c r="O1778" s="8">
        <v>0.5</v>
      </c>
      <c r="P1778" s="8"/>
    </row>
    <row r="1779" spans="1:16" hidden="1" x14ac:dyDescent="0.25">
      <c r="A1779" s="7" t="s">
        <v>14</v>
      </c>
      <c r="B1779" s="7" t="s">
        <v>174</v>
      </c>
      <c r="C1779" s="8">
        <v>28340</v>
      </c>
      <c r="D1779" s="7" t="s">
        <v>119</v>
      </c>
      <c r="E1779" s="7" t="s">
        <v>175</v>
      </c>
      <c r="F1779" s="7" t="s">
        <v>176</v>
      </c>
      <c r="G1779" s="7" t="s">
        <v>43</v>
      </c>
      <c r="H1779" s="7" t="s">
        <v>689</v>
      </c>
      <c r="I1779" s="7" t="s">
        <v>690</v>
      </c>
      <c r="J1779" s="7" t="s">
        <v>690</v>
      </c>
      <c r="K1779" s="8">
        <v>5703874</v>
      </c>
      <c r="L1779" s="8">
        <v>746470</v>
      </c>
      <c r="M1779" s="8">
        <v>18</v>
      </c>
      <c r="N1779" s="8">
        <v>1</v>
      </c>
      <c r="O1779" s="8">
        <v>0.3</v>
      </c>
      <c r="P1779" s="8"/>
    </row>
    <row r="1780" spans="1:16" hidden="1" x14ac:dyDescent="0.25">
      <c r="A1780" s="7" t="s">
        <v>14</v>
      </c>
      <c r="B1780" s="7" t="s">
        <v>174</v>
      </c>
      <c r="C1780" s="8">
        <v>28341</v>
      </c>
      <c r="D1780" s="7" t="s">
        <v>119</v>
      </c>
      <c r="E1780" s="7" t="s">
        <v>175</v>
      </c>
      <c r="F1780" s="7" t="s">
        <v>180</v>
      </c>
      <c r="G1780" s="7" t="s">
        <v>43</v>
      </c>
      <c r="H1780" s="7" t="s">
        <v>689</v>
      </c>
      <c r="I1780" s="7" t="s">
        <v>690</v>
      </c>
      <c r="J1780" s="7" t="s">
        <v>690</v>
      </c>
      <c r="K1780" s="8">
        <v>5705946</v>
      </c>
      <c r="L1780" s="8">
        <v>735916</v>
      </c>
      <c r="M1780" s="8">
        <v>18</v>
      </c>
      <c r="N1780" s="8">
        <v>1</v>
      </c>
      <c r="O1780" s="8">
        <v>1.2</v>
      </c>
      <c r="P1780" s="8"/>
    </row>
    <row r="1781" spans="1:16" hidden="1" x14ac:dyDescent="0.25">
      <c r="A1781" s="7" t="s">
        <v>37</v>
      </c>
      <c r="B1781" s="7" t="s">
        <v>270</v>
      </c>
      <c r="C1781" s="8">
        <v>28343</v>
      </c>
      <c r="D1781" s="7" t="s">
        <v>52</v>
      </c>
      <c r="E1781" s="7" t="s">
        <v>53</v>
      </c>
      <c r="F1781" s="7" t="s">
        <v>634</v>
      </c>
      <c r="G1781" s="7" t="s">
        <v>18</v>
      </c>
      <c r="H1781" s="7" t="s">
        <v>48</v>
      </c>
      <c r="I1781" s="7" t="s">
        <v>712</v>
      </c>
      <c r="J1781" s="7" t="s">
        <v>712</v>
      </c>
      <c r="K1781" s="8">
        <v>6152955</v>
      </c>
      <c r="L1781" s="8">
        <v>322789</v>
      </c>
      <c r="M1781" s="8">
        <v>19</v>
      </c>
      <c r="N1781" s="8">
        <v>1</v>
      </c>
      <c r="O1781" s="8">
        <v>5</v>
      </c>
      <c r="P1781" s="8"/>
    </row>
    <row r="1782" spans="1:16" hidden="1" x14ac:dyDescent="0.25">
      <c r="A1782" s="7" t="s">
        <v>14</v>
      </c>
      <c r="B1782" s="7" t="s">
        <v>270</v>
      </c>
      <c r="C1782" s="8">
        <v>28344</v>
      </c>
      <c r="D1782" s="7" t="s">
        <v>119</v>
      </c>
      <c r="E1782" s="7" t="s">
        <v>175</v>
      </c>
      <c r="F1782" s="7" t="s">
        <v>184</v>
      </c>
      <c r="G1782" s="7" t="s">
        <v>43</v>
      </c>
      <c r="H1782" s="7" t="s">
        <v>689</v>
      </c>
      <c r="I1782" s="7" t="s">
        <v>712</v>
      </c>
      <c r="J1782" s="7" t="s">
        <v>712</v>
      </c>
      <c r="K1782" s="8">
        <v>5710657</v>
      </c>
      <c r="L1782" s="8">
        <v>728523</v>
      </c>
      <c r="M1782" s="8">
        <v>18</v>
      </c>
      <c r="N1782" s="8">
        <v>1</v>
      </c>
      <c r="O1782" s="8">
        <v>0.7</v>
      </c>
      <c r="P1782" s="8"/>
    </row>
    <row r="1783" spans="1:16" hidden="1" x14ac:dyDescent="0.25">
      <c r="A1783" s="7" t="s">
        <v>37</v>
      </c>
      <c r="B1783" s="7" t="s">
        <v>270</v>
      </c>
      <c r="C1783" s="8">
        <v>28345</v>
      </c>
      <c r="D1783" s="7" t="s">
        <v>16</v>
      </c>
      <c r="E1783" s="7" t="s">
        <v>17</v>
      </c>
      <c r="F1783" s="7" t="s">
        <v>631</v>
      </c>
      <c r="G1783" s="7" t="s">
        <v>18</v>
      </c>
      <c r="H1783" s="7" t="s">
        <v>24</v>
      </c>
      <c r="I1783" s="7" t="s">
        <v>712</v>
      </c>
      <c r="J1783" s="7" t="s">
        <v>712</v>
      </c>
      <c r="K1783" s="8">
        <v>6058939</v>
      </c>
      <c r="L1783" s="8">
        <v>275877</v>
      </c>
      <c r="M1783" s="8">
        <v>19</v>
      </c>
      <c r="N1783" s="8">
        <v>2</v>
      </c>
      <c r="O1783" s="8">
        <v>0.5</v>
      </c>
      <c r="P1783" s="8"/>
    </row>
    <row r="1784" spans="1:16" hidden="1" x14ac:dyDescent="0.25">
      <c r="A1784" s="7" t="s">
        <v>37</v>
      </c>
      <c r="B1784" s="7" t="s">
        <v>415</v>
      </c>
      <c r="C1784" s="8">
        <v>28346</v>
      </c>
      <c r="D1784" s="7" t="s">
        <v>28</v>
      </c>
      <c r="E1784" s="7" t="s">
        <v>166</v>
      </c>
      <c r="F1784" s="7" t="s">
        <v>525</v>
      </c>
      <c r="G1784" s="7" t="s">
        <v>18</v>
      </c>
      <c r="H1784" s="7" t="s">
        <v>24</v>
      </c>
      <c r="I1784" s="7" t="s">
        <v>712</v>
      </c>
      <c r="J1784" s="7" t="s">
        <v>712</v>
      </c>
      <c r="K1784" s="8">
        <v>6266320</v>
      </c>
      <c r="L1784" s="8">
        <v>327501</v>
      </c>
      <c r="M1784" s="8">
        <v>19</v>
      </c>
      <c r="N1784" s="8">
        <v>1</v>
      </c>
      <c r="O1784" s="8">
        <v>3.52</v>
      </c>
      <c r="P1784" s="8"/>
    </row>
    <row r="1785" spans="1:16" hidden="1" x14ac:dyDescent="0.25">
      <c r="A1785" s="7" t="s">
        <v>37</v>
      </c>
      <c r="B1785" s="7" t="s">
        <v>415</v>
      </c>
      <c r="C1785" s="8">
        <v>28347</v>
      </c>
      <c r="D1785" s="7" t="s">
        <v>28</v>
      </c>
      <c r="E1785" s="7" t="s">
        <v>166</v>
      </c>
      <c r="F1785" s="7" t="s">
        <v>363</v>
      </c>
      <c r="G1785" s="7" t="s">
        <v>18</v>
      </c>
      <c r="H1785" s="7" t="s">
        <v>24</v>
      </c>
      <c r="I1785" s="7" t="s">
        <v>712</v>
      </c>
      <c r="J1785" s="7" t="s">
        <v>712</v>
      </c>
      <c r="K1785" s="8">
        <v>6267087</v>
      </c>
      <c r="L1785" s="8">
        <v>325058</v>
      </c>
      <c r="M1785" s="8">
        <v>19</v>
      </c>
      <c r="N1785" s="8">
        <v>1</v>
      </c>
      <c r="O1785" s="8">
        <v>1</v>
      </c>
      <c r="P1785" s="8"/>
    </row>
    <row r="1786" spans="1:16" hidden="1" x14ac:dyDescent="0.25">
      <c r="A1786" s="7" t="s">
        <v>37</v>
      </c>
      <c r="B1786" s="7" t="s">
        <v>415</v>
      </c>
      <c r="C1786" s="8">
        <v>28348</v>
      </c>
      <c r="D1786" s="7" t="s">
        <v>28</v>
      </c>
      <c r="E1786" s="7" t="s">
        <v>146</v>
      </c>
      <c r="F1786" s="7" t="s">
        <v>487</v>
      </c>
      <c r="G1786" s="7" t="s">
        <v>18</v>
      </c>
      <c r="H1786" s="7" t="s">
        <v>24</v>
      </c>
      <c r="I1786" s="7" t="s">
        <v>712</v>
      </c>
      <c r="J1786" s="7" t="s">
        <v>712</v>
      </c>
      <c r="K1786" s="8">
        <v>6268174</v>
      </c>
      <c r="L1786" s="8">
        <v>317660</v>
      </c>
      <c r="M1786" s="8">
        <v>19</v>
      </c>
      <c r="N1786" s="8">
        <v>1</v>
      </c>
      <c r="O1786" s="8">
        <v>0.96</v>
      </c>
      <c r="P1786" s="8"/>
    </row>
    <row r="1787" spans="1:16" hidden="1" x14ac:dyDescent="0.25">
      <c r="A1787" s="7" t="s">
        <v>14</v>
      </c>
      <c r="B1787" s="7" t="s">
        <v>415</v>
      </c>
      <c r="C1787" s="8">
        <v>28350</v>
      </c>
      <c r="D1787" s="7" t="s">
        <v>28</v>
      </c>
      <c r="E1787" s="7" t="s">
        <v>29</v>
      </c>
      <c r="F1787" s="7" t="s">
        <v>57</v>
      </c>
      <c r="G1787" s="7" t="s">
        <v>43</v>
      </c>
      <c r="H1787" s="7" t="s">
        <v>689</v>
      </c>
      <c r="I1787" s="7" t="s">
        <v>712</v>
      </c>
      <c r="J1787" s="7" t="s">
        <v>712</v>
      </c>
      <c r="K1787" s="8">
        <v>6263614</v>
      </c>
      <c r="L1787" s="8">
        <v>344058</v>
      </c>
      <c r="M1787" s="8">
        <v>19</v>
      </c>
      <c r="N1787" s="8">
        <v>1</v>
      </c>
      <c r="O1787" s="8">
        <v>5</v>
      </c>
      <c r="P1787" s="8"/>
    </row>
    <row r="1788" spans="1:16" hidden="1" x14ac:dyDescent="0.25">
      <c r="A1788" s="7" t="s">
        <v>37</v>
      </c>
      <c r="B1788" s="7" t="s">
        <v>415</v>
      </c>
      <c r="C1788" s="8">
        <v>28355</v>
      </c>
      <c r="D1788" s="7" t="s">
        <v>28</v>
      </c>
      <c r="E1788" s="7" t="s">
        <v>166</v>
      </c>
      <c r="F1788" s="7" t="s">
        <v>363</v>
      </c>
      <c r="G1788" s="7" t="s">
        <v>18</v>
      </c>
      <c r="H1788" s="7" t="s">
        <v>109</v>
      </c>
      <c r="I1788" s="7" t="s">
        <v>712</v>
      </c>
      <c r="J1788" s="7" t="s">
        <v>691</v>
      </c>
      <c r="K1788" s="8">
        <v>6266477</v>
      </c>
      <c r="L1788" s="8">
        <v>324143</v>
      </c>
      <c r="M1788" s="8">
        <v>19</v>
      </c>
      <c r="N1788" s="8">
        <v>1</v>
      </c>
      <c r="O1788" s="8">
        <v>5</v>
      </c>
      <c r="P1788" s="8"/>
    </row>
    <row r="1789" spans="1:16" hidden="1" x14ac:dyDescent="0.25">
      <c r="A1789" s="7" t="s">
        <v>37</v>
      </c>
      <c r="B1789" s="7" t="s">
        <v>415</v>
      </c>
      <c r="C1789" s="8">
        <v>28356</v>
      </c>
      <c r="D1789" s="7" t="s">
        <v>28</v>
      </c>
      <c r="E1789" s="7" t="s">
        <v>146</v>
      </c>
      <c r="F1789" s="7" t="s">
        <v>146</v>
      </c>
      <c r="G1789" s="7" t="s">
        <v>18</v>
      </c>
      <c r="H1789" s="7" t="s">
        <v>24</v>
      </c>
      <c r="I1789" s="7" t="s">
        <v>712</v>
      </c>
      <c r="J1789" s="7" t="s">
        <v>712</v>
      </c>
      <c r="K1789" s="8">
        <v>6273294</v>
      </c>
      <c r="L1789" s="8">
        <v>324466</v>
      </c>
      <c r="M1789" s="8">
        <v>19</v>
      </c>
      <c r="N1789" s="8">
        <v>1</v>
      </c>
      <c r="O1789" s="8">
        <v>1.3</v>
      </c>
      <c r="P1789" s="8"/>
    </row>
    <row r="1790" spans="1:16" hidden="1" x14ac:dyDescent="0.25">
      <c r="A1790" s="7" t="s">
        <v>37</v>
      </c>
      <c r="B1790" s="7" t="s">
        <v>415</v>
      </c>
      <c r="C1790" s="8">
        <v>28357</v>
      </c>
      <c r="D1790" s="7" t="s">
        <v>28</v>
      </c>
      <c r="E1790" s="7" t="s">
        <v>32</v>
      </c>
      <c r="F1790" s="7" t="s">
        <v>147</v>
      </c>
      <c r="G1790" s="7" t="s">
        <v>18</v>
      </c>
      <c r="H1790" s="7" t="s">
        <v>24</v>
      </c>
      <c r="I1790" s="7" t="s">
        <v>712</v>
      </c>
      <c r="J1790" s="7" t="s">
        <v>712</v>
      </c>
      <c r="K1790" s="8">
        <v>6272172</v>
      </c>
      <c r="L1790" s="8">
        <v>338547</v>
      </c>
      <c r="M1790" s="8">
        <v>19</v>
      </c>
      <c r="N1790" s="8">
        <v>1</v>
      </c>
      <c r="O1790" s="8">
        <v>0.06</v>
      </c>
      <c r="P1790" s="8"/>
    </row>
    <row r="1791" spans="1:16" hidden="1" x14ac:dyDescent="0.25">
      <c r="A1791" s="7" t="s">
        <v>37</v>
      </c>
      <c r="B1791" s="7" t="s">
        <v>415</v>
      </c>
      <c r="C1791" s="8">
        <v>28359</v>
      </c>
      <c r="D1791" s="7" t="s">
        <v>28</v>
      </c>
      <c r="E1791" s="7" t="s">
        <v>32</v>
      </c>
      <c r="F1791" s="7" t="s">
        <v>33</v>
      </c>
      <c r="G1791" s="7" t="s">
        <v>18</v>
      </c>
      <c r="H1791" s="7" t="s">
        <v>109</v>
      </c>
      <c r="I1791" s="7" t="s">
        <v>712</v>
      </c>
      <c r="J1791" s="7" t="s">
        <v>691</v>
      </c>
      <c r="K1791" s="8">
        <v>6276168</v>
      </c>
      <c r="L1791" s="8">
        <v>340864</v>
      </c>
      <c r="M1791" s="8">
        <v>19</v>
      </c>
      <c r="N1791" s="8">
        <v>1</v>
      </c>
      <c r="O1791" s="8">
        <v>6.1</v>
      </c>
      <c r="P1791" s="8"/>
    </row>
    <row r="1792" spans="1:16" hidden="1" x14ac:dyDescent="0.25">
      <c r="A1792" s="7" t="s">
        <v>37</v>
      </c>
      <c r="B1792" s="7" t="s">
        <v>415</v>
      </c>
      <c r="C1792" s="8">
        <v>28360</v>
      </c>
      <c r="D1792" s="7" t="s">
        <v>28</v>
      </c>
      <c r="E1792" s="7" t="s">
        <v>166</v>
      </c>
      <c r="F1792" s="7" t="s">
        <v>363</v>
      </c>
      <c r="G1792" s="7" t="s">
        <v>18</v>
      </c>
      <c r="H1792" s="7" t="s">
        <v>24</v>
      </c>
      <c r="I1792" s="7" t="s">
        <v>712</v>
      </c>
      <c r="J1792" s="7" t="s">
        <v>712</v>
      </c>
      <c r="K1792" s="8">
        <v>6266270</v>
      </c>
      <c r="L1792" s="8">
        <v>323484</v>
      </c>
      <c r="M1792" s="8">
        <v>19</v>
      </c>
      <c r="N1792" s="8">
        <v>1</v>
      </c>
      <c r="O1792" s="8">
        <v>1</v>
      </c>
      <c r="P1792" s="8"/>
    </row>
    <row r="1793" spans="1:16" hidden="1" x14ac:dyDescent="0.25">
      <c r="A1793" s="7" t="s">
        <v>37</v>
      </c>
      <c r="B1793" s="7" t="s">
        <v>415</v>
      </c>
      <c r="C1793" s="8">
        <v>28361</v>
      </c>
      <c r="D1793" s="7" t="s">
        <v>28</v>
      </c>
      <c r="E1793" s="7" t="s">
        <v>387</v>
      </c>
      <c r="F1793" s="7" t="s">
        <v>387</v>
      </c>
      <c r="G1793" s="7" t="s">
        <v>18</v>
      </c>
      <c r="H1793" s="7" t="s">
        <v>109</v>
      </c>
      <c r="I1793" s="7" t="s">
        <v>712</v>
      </c>
      <c r="J1793" s="7" t="s">
        <v>691</v>
      </c>
      <c r="K1793" s="8">
        <v>6306020</v>
      </c>
      <c r="L1793" s="8">
        <v>333095</v>
      </c>
      <c r="M1793" s="8">
        <v>19</v>
      </c>
      <c r="N1793" s="8">
        <v>1</v>
      </c>
      <c r="O1793" s="8">
        <v>2.4900000000000002</v>
      </c>
      <c r="P1793" s="8"/>
    </row>
    <row r="1794" spans="1:16" hidden="1" x14ac:dyDescent="0.25">
      <c r="A1794" s="7" t="s">
        <v>37</v>
      </c>
      <c r="B1794" s="7" t="s">
        <v>415</v>
      </c>
      <c r="C1794" s="8">
        <v>28363</v>
      </c>
      <c r="D1794" s="7" t="s">
        <v>28</v>
      </c>
      <c r="E1794" s="7" t="s">
        <v>142</v>
      </c>
      <c r="F1794" s="7" t="s">
        <v>533</v>
      </c>
      <c r="G1794" s="7" t="s">
        <v>18</v>
      </c>
      <c r="H1794" s="7" t="s">
        <v>109</v>
      </c>
      <c r="I1794" s="7" t="s">
        <v>712</v>
      </c>
      <c r="J1794" s="7" t="s">
        <v>691</v>
      </c>
      <c r="K1794" s="8">
        <v>6278303</v>
      </c>
      <c r="L1794" s="8">
        <v>334762</v>
      </c>
      <c r="M1794" s="8">
        <v>19</v>
      </c>
      <c r="N1794" s="8">
        <v>1</v>
      </c>
      <c r="O1794" s="8">
        <v>3.46</v>
      </c>
      <c r="P1794" s="8"/>
    </row>
    <row r="1795" spans="1:16" hidden="1" x14ac:dyDescent="0.25">
      <c r="A1795" s="7" t="s">
        <v>37</v>
      </c>
      <c r="B1795" s="7" t="s">
        <v>415</v>
      </c>
      <c r="C1795" s="8">
        <v>28365</v>
      </c>
      <c r="D1795" s="7" t="s">
        <v>28</v>
      </c>
      <c r="E1795" s="7" t="s">
        <v>142</v>
      </c>
      <c r="F1795" s="7" t="s">
        <v>458</v>
      </c>
      <c r="G1795" s="7" t="s">
        <v>18</v>
      </c>
      <c r="H1795" s="7" t="s">
        <v>24</v>
      </c>
      <c r="I1795" s="7" t="s">
        <v>712</v>
      </c>
      <c r="J1795" s="7" t="s">
        <v>712</v>
      </c>
      <c r="K1795" s="8">
        <v>6277225</v>
      </c>
      <c r="L1795" s="8">
        <v>330494</v>
      </c>
      <c r="M1795" s="8">
        <v>19</v>
      </c>
      <c r="N1795" s="8">
        <v>1</v>
      </c>
      <c r="O1795" s="8">
        <v>3.6</v>
      </c>
      <c r="P1795" s="8"/>
    </row>
    <row r="1796" spans="1:16" hidden="1" x14ac:dyDescent="0.25">
      <c r="A1796" s="7" t="s">
        <v>37</v>
      </c>
      <c r="B1796" s="7" t="s">
        <v>415</v>
      </c>
      <c r="C1796" s="8">
        <v>28366</v>
      </c>
      <c r="D1796" s="7" t="s">
        <v>28</v>
      </c>
      <c r="E1796" s="7" t="s">
        <v>344</v>
      </c>
      <c r="F1796" s="7" t="s">
        <v>531</v>
      </c>
      <c r="G1796" s="7" t="s">
        <v>18</v>
      </c>
      <c r="H1796" s="7" t="s">
        <v>24</v>
      </c>
      <c r="I1796" s="7" t="s">
        <v>712</v>
      </c>
      <c r="J1796" s="7" t="s">
        <v>712</v>
      </c>
      <c r="K1796" s="8">
        <v>6276480</v>
      </c>
      <c r="L1796" s="8">
        <v>295675</v>
      </c>
      <c r="M1796" s="8">
        <v>19</v>
      </c>
      <c r="N1796" s="8">
        <v>1</v>
      </c>
      <c r="O1796" s="8">
        <v>0.94</v>
      </c>
      <c r="P1796" s="8"/>
    </row>
    <row r="1797" spans="1:16" hidden="1" x14ac:dyDescent="0.25">
      <c r="A1797" s="7" t="s">
        <v>37</v>
      </c>
      <c r="B1797" s="7" t="s">
        <v>343</v>
      </c>
      <c r="C1797" s="8">
        <v>28367</v>
      </c>
      <c r="D1797" s="7" t="s">
        <v>28</v>
      </c>
      <c r="E1797" s="7" t="s">
        <v>32</v>
      </c>
      <c r="F1797" s="7" t="s">
        <v>147</v>
      </c>
      <c r="G1797" s="7" t="s">
        <v>18</v>
      </c>
      <c r="H1797" s="7" t="s">
        <v>24</v>
      </c>
      <c r="I1797" s="7" t="s">
        <v>712</v>
      </c>
      <c r="J1797" s="7" t="s">
        <v>712</v>
      </c>
      <c r="K1797" s="8">
        <v>6273462</v>
      </c>
      <c r="L1797" s="8">
        <v>342992</v>
      </c>
      <c r="M1797" s="8">
        <v>19</v>
      </c>
      <c r="N1797" s="8">
        <v>2</v>
      </c>
      <c r="O1797" s="8">
        <v>16.7</v>
      </c>
      <c r="P1797" s="8"/>
    </row>
    <row r="1798" spans="1:16" hidden="1" x14ac:dyDescent="0.25">
      <c r="A1798" s="7" t="s">
        <v>14</v>
      </c>
      <c r="B1798" s="7" t="s">
        <v>563</v>
      </c>
      <c r="C1798" s="8">
        <v>28368</v>
      </c>
      <c r="D1798" s="7" t="s">
        <v>119</v>
      </c>
      <c r="E1798" s="7" t="s">
        <v>179</v>
      </c>
      <c r="F1798" s="7" t="s">
        <v>576</v>
      </c>
      <c r="G1798" s="7" t="s">
        <v>43</v>
      </c>
      <c r="H1798" s="7" t="s">
        <v>689</v>
      </c>
      <c r="I1798" s="7" t="s">
        <v>690</v>
      </c>
      <c r="J1798" s="7" t="s">
        <v>690</v>
      </c>
      <c r="K1798" s="8">
        <v>5738632</v>
      </c>
      <c r="L1798" s="8">
        <v>729647</v>
      </c>
      <c r="M1798" s="8">
        <v>18</v>
      </c>
      <c r="N1798" s="8">
        <v>1</v>
      </c>
      <c r="O1798" s="8">
        <v>2.7</v>
      </c>
      <c r="P1798" s="8"/>
    </row>
    <row r="1799" spans="1:16" hidden="1" x14ac:dyDescent="0.25">
      <c r="A1799" s="7" t="s">
        <v>37</v>
      </c>
      <c r="B1799" s="7" t="s">
        <v>415</v>
      </c>
      <c r="C1799" s="8">
        <v>28369</v>
      </c>
      <c r="D1799" s="7" t="s">
        <v>28</v>
      </c>
      <c r="E1799" s="7" t="s">
        <v>32</v>
      </c>
      <c r="F1799" s="7" t="s">
        <v>33</v>
      </c>
      <c r="G1799" s="7" t="s">
        <v>18</v>
      </c>
      <c r="H1799" s="7" t="s">
        <v>24</v>
      </c>
      <c r="I1799" s="7" t="s">
        <v>712</v>
      </c>
      <c r="J1799" s="7" t="s">
        <v>712</v>
      </c>
      <c r="K1799" s="8">
        <v>6275608</v>
      </c>
      <c r="L1799" s="8">
        <v>340925</v>
      </c>
      <c r="M1799" s="8">
        <v>19</v>
      </c>
      <c r="N1799" s="8">
        <v>1</v>
      </c>
      <c r="O1799" s="8">
        <v>1.07</v>
      </c>
      <c r="P1799" s="8"/>
    </row>
    <row r="1800" spans="1:16" hidden="1" x14ac:dyDescent="0.25">
      <c r="A1800" s="7" t="s">
        <v>37</v>
      </c>
      <c r="B1800" s="7" t="s">
        <v>415</v>
      </c>
      <c r="C1800" s="8">
        <v>28370</v>
      </c>
      <c r="D1800" s="7" t="s">
        <v>28</v>
      </c>
      <c r="E1800" s="7" t="s">
        <v>344</v>
      </c>
      <c r="F1800" s="7" t="s">
        <v>457</v>
      </c>
      <c r="G1800" s="7" t="s">
        <v>18</v>
      </c>
      <c r="H1800" s="7" t="s">
        <v>24</v>
      </c>
      <c r="I1800" s="7" t="s">
        <v>712</v>
      </c>
      <c r="J1800" s="7" t="s">
        <v>712</v>
      </c>
      <c r="K1800" s="8">
        <v>6276018</v>
      </c>
      <c r="L1800" s="8">
        <v>289444</v>
      </c>
      <c r="M1800" s="8">
        <v>19</v>
      </c>
      <c r="N1800" s="8">
        <v>1</v>
      </c>
      <c r="O1800" s="8">
        <v>0.8</v>
      </c>
      <c r="P1800" s="8"/>
    </row>
    <row r="1801" spans="1:16" hidden="1" x14ac:dyDescent="0.25">
      <c r="A1801" s="7" t="s">
        <v>37</v>
      </c>
      <c r="B1801" s="7" t="s">
        <v>415</v>
      </c>
      <c r="C1801" s="8">
        <v>28372</v>
      </c>
      <c r="D1801" s="7" t="s">
        <v>28</v>
      </c>
      <c r="E1801" s="7" t="s">
        <v>146</v>
      </c>
      <c r="F1801" s="7" t="s">
        <v>146</v>
      </c>
      <c r="G1801" s="7" t="s">
        <v>18</v>
      </c>
      <c r="H1801" s="7" t="s">
        <v>24</v>
      </c>
      <c r="I1801" s="7" t="s">
        <v>712</v>
      </c>
      <c r="J1801" s="7" t="s">
        <v>712</v>
      </c>
      <c r="K1801" s="8">
        <v>6273655</v>
      </c>
      <c r="L1801" s="8">
        <v>324471</v>
      </c>
      <c r="M1801" s="8">
        <v>19</v>
      </c>
      <c r="N1801" s="8">
        <v>1</v>
      </c>
      <c r="O1801" s="8">
        <v>1.3</v>
      </c>
      <c r="P1801" s="8"/>
    </row>
    <row r="1802" spans="1:16" hidden="1" x14ac:dyDescent="0.25">
      <c r="A1802" s="7" t="s">
        <v>37</v>
      </c>
      <c r="B1802" s="7" t="s">
        <v>415</v>
      </c>
      <c r="C1802" s="8">
        <v>28373</v>
      </c>
      <c r="D1802" s="7" t="s">
        <v>28</v>
      </c>
      <c r="E1802" s="7" t="s">
        <v>166</v>
      </c>
      <c r="F1802" s="7" t="s">
        <v>363</v>
      </c>
      <c r="G1802" s="7" t="s">
        <v>18</v>
      </c>
      <c r="H1802" s="7" t="s">
        <v>24</v>
      </c>
      <c r="I1802" s="7" t="s">
        <v>712</v>
      </c>
      <c r="J1802" s="7" t="s">
        <v>712</v>
      </c>
      <c r="K1802" s="8">
        <v>6266946</v>
      </c>
      <c r="L1802" s="8">
        <v>323802</v>
      </c>
      <c r="M1802" s="8">
        <v>19</v>
      </c>
      <c r="N1802" s="8">
        <v>1</v>
      </c>
      <c r="O1802" s="8">
        <v>1</v>
      </c>
      <c r="P1802" s="8"/>
    </row>
    <row r="1803" spans="1:16" hidden="1" x14ac:dyDescent="0.25">
      <c r="A1803" s="7" t="s">
        <v>37</v>
      </c>
      <c r="B1803" s="7" t="s">
        <v>415</v>
      </c>
      <c r="C1803" s="8">
        <v>28374</v>
      </c>
      <c r="D1803" s="7" t="s">
        <v>28</v>
      </c>
      <c r="E1803" s="7" t="s">
        <v>166</v>
      </c>
      <c r="F1803" s="7" t="s">
        <v>363</v>
      </c>
      <c r="G1803" s="7" t="s">
        <v>18</v>
      </c>
      <c r="H1803" s="7" t="s">
        <v>24</v>
      </c>
      <c r="I1803" s="7" t="s">
        <v>712</v>
      </c>
      <c r="J1803" s="7" t="s">
        <v>712</v>
      </c>
      <c r="K1803" s="8">
        <v>6266676</v>
      </c>
      <c r="L1803" s="8">
        <v>323577</v>
      </c>
      <c r="M1803" s="8">
        <v>19</v>
      </c>
      <c r="N1803" s="8">
        <v>1</v>
      </c>
      <c r="O1803" s="8">
        <v>1</v>
      </c>
      <c r="P1803" s="8"/>
    </row>
    <row r="1804" spans="1:16" hidden="1" x14ac:dyDescent="0.25">
      <c r="A1804" s="7" t="s">
        <v>37</v>
      </c>
      <c r="B1804" s="7" t="s">
        <v>415</v>
      </c>
      <c r="C1804" s="8">
        <v>28375</v>
      </c>
      <c r="D1804" s="7" t="s">
        <v>28</v>
      </c>
      <c r="E1804" s="7" t="s">
        <v>32</v>
      </c>
      <c r="F1804" s="7" t="s">
        <v>147</v>
      </c>
      <c r="G1804" s="7" t="s">
        <v>18</v>
      </c>
      <c r="H1804" s="7" t="s">
        <v>24</v>
      </c>
      <c r="I1804" s="7" t="s">
        <v>712</v>
      </c>
      <c r="J1804" s="7" t="s">
        <v>712</v>
      </c>
      <c r="K1804" s="8">
        <v>6273387</v>
      </c>
      <c r="L1804" s="8">
        <v>303542</v>
      </c>
      <c r="M1804" s="8">
        <v>19</v>
      </c>
      <c r="N1804" s="8">
        <v>1</v>
      </c>
      <c r="O1804" s="8">
        <v>1.08</v>
      </c>
      <c r="P1804" s="8"/>
    </row>
    <row r="1805" spans="1:16" hidden="1" x14ac:dyDescent="0.25">
      <c r="A1805" s="7" t="s">
        <v>37</v>
      </c>
      <c r="B1805" s="7" t="s">
        <v>415</v>
      </c>
      <c r="C1805" s="8">
        <v>28379</v>
      </c>
      <c r="D1805" s="7" t="s">
        <v>28</v>
      </c>
      <c r="E1805" s="7" t="s">
        <v>32</v>
      </c>
      <c r="F1805" s="7" t="s">
        <v>442</v>
      </c>
      <c r="G1805" s="7" t="s">
        <v>18</v>
      </c>
      <c r="H1805" s="7" t="s">
        <v>24</v>
      </c>
      <c r="I1805" s="7" t="s">
        <v>712</v>
      </c>
      <c r="J1805" s="7" t="s">
        <v>712</v>
      </c>
      <c r="K1805" s="8">
        <v>6274875</v>
      </c>
      <c r="L1805" s="8">
        <v>338435</v>
      </c>
      <c r="M1805" s="8">
        <v>19</v>
      </c>
      <c r="N1805" s="8">
        <v>1</v>
      </c>
      <c r="O1805" s="8">
        <v>0.99</v>
      </c>
      <c r="P1805" s="8"/>
    </row>
    <row r="1806" spans="1:16" hidden="1" x14ac:dyDescent="0.25">
      <c r="A1806" s="7" t="s">
        <v>37</v>
      </c>
      <c r="B1806" s="7" t="s">
        <v>415</v>
      </c>
      <c r="C1806" s="8">
        <v>28380</v>
      </c>
      <c r="D1806" s="7" t="s">
        <v>28</v>
      </c>
      <c r="E1806" s="7" t="s">
        <v>29</v>
      </c>
      <c r="F1806" s="7" t="s">
        <v>30</v>
      </c>
      <c r="G1806" s="7" t="s">
        <v>18</v>
      </c>
      <c r="H1806" s="7" t="s">
        <v>109</v>
      </c>
      <c r="I1806" s="7" t="s">
        <v>712</v>
      </c>
      <c r="J1806" s="7" t="s">
        <v>691</v>
      </c>
      <c r="K1806" s="8">
        <v>6261325</v>
      </c>
      <c r="L1806" s="8">
        <v>347313</v>
      </c>
      <c r="M1806" s="8">
        <v>19</v>
      </c>
      <c r="N1806" s="8">
        <v>1</v>
      </c>
      <c r="O1806" s="8">
        <v>4.9000000000000004</v>
      </c>
      <c r="P1806" s="8"/>
    </row>
    <row r="1807" spans="1:16" hidden="1" x14ac:dyDescent="0.25">
      <c r="A1807" s="7" t="s">
        <v>37</v>
      </c>
      <c r="B1807" s="7" t="s">
        <v>415</v>
      </c>
      <c r="C1807" s="8">
        <v>28382</v>
      </c>
      <c r="D1807" s="7" t="s">
        <v>28</v>
      </c>
      <c r="E1807" s="7" t="s">
        <v>146</v>
      </c>
      <c r="F1807" s="7" t="s">
        <v>534</v>
      </c>
      <c r="G1807" s="7" t="s">
        <v>18</v>
      </c>
      <c r="H1807" s="7" t="s">
        <v>24</v>
      </c>
      <c r="I1807" s="7" t="s">
        <v>712</v>
      </c>
      <c r="J1807" s="7" t="s">
        <v>712</v>
      </c>
      <c r="K1807" s="8">
        <v>6275501</v>
      </c>
      <c r="L1807" s="8">
        <v>326763</v>
      </c>
      <c r="M1807" s="8">
        <v>19</v>
      </c>
      <c r="N1807" s="8">
        <v>1</v>
      </c>
      <c r="O1807" s="8">
        <v>1.1000000000000001</v>
      </c>
      <c r="P1807" s="8"/>
    </row>
    <row r="1808" spans="1:16" hidden="1" x14ac:dyDescent="0.25">
      <c r="A1808" s="7" t="s">
        <v>19</v>
      </c>
      <c r="B1808" s="7" t="s">
        <v>415</v>
      </c>
      <c r="C1808" s="8">
        <v>28385</v>
      </c>
      <c r="D1808" s="7" t="s">
        <v>52</v>
      </c>
      <c r="E1808" s="7" t="s">
        <v>132</v>
      </c>
      <c r="F1808" s="7" t="s">
        <v>133</v>
      </c>
      <c r="G1808" s="7" t="s">
        <v>65</v>
      </c>
      <c r="H1808" s="7" t="s">
        <v>24</v>
      </c>
      <c r="I1808" s="7" t="s">
        <v>712</v>
      </c>
      <c r="J1808" s="7" t="s">
        <v>712</v>
      </c>
      <c r="K1808" s="8">
        <v>6218320</v>
      </c>
      <c r="L1808" s="8">
        <v>347176</v>
      </c>
      <c r="M1808" s="8">
        <v>19</v>
      </c>
      <c r="N1808" s="8">
        <v>1</v>
      </c>
      <c r="O1808" s="8">
        <v>9</v>
      </c>
      <c r="P1808" s="8"/>
    </row>
    <row r="1809" spans="1:16" hidden="1" x14ac:dyDescent="0.25">
      <c r="A1809" s="7" t="s">
        <v>37</v>
      </c>
      <c r="B1809" s="7" t="s">
        <v>415</v>
      </c>
      <c r="C1809" s="8">
        <v>28386</v>
      </c>
      <c r="D1809" s="7" t="s">
        <v>28</v>
      </c>
      <c r="E1809" s="7" t="s">
        <v>32</v>
      </c>
      <c r="F1809" s="7" t="s">
        <v>535</v>
      </c>
      <c r="G1809" s="7" t="s">
        <v>18</v>
      </c>
      <c r="H1809" s="7" t="s">
        <v>24</v>
      </c>
      <c r="I1809" s="7" t="s">
        <v>712</v>
      </c>
      <c r="J1809" s="7" t="s">
        <v>712</v>
      </c>
      <c r="K1809" s="8">
        <v>6277125</v>
      </c>
      <c r="L1809" s="8">
        <v>346585</v>
      </c>
      <c r="M1809" s="8">
        <v>19</v>
      </c>
      <c r="N1809" s="8">
        <v>1</v>
      </c>
      <c r="O1809" s="8">
        <v>1.54</v>
      </c>
      <c r="P1809" s="8"/>
    </row>
    <row r="1810" spans="1:16" hidden="1" x14ac:dyDescent="0.25">
      <c r="A1810" s="7" t="s">
        <v>37</v>
      </c>
      <c r="B1810" s="7" t="s">
        <v>415</v>
      </c>
      <c r="C1810" s="8">
        <v>28387</v>
      </c>
      <c r="D1810" s="7" t="s">
        <v>28</v>
      </c>
      <c r="E1810" s="7" t="s">
        <v>56</v>
      </c>
      <c r="F1810" s="7" t="s">
        <v>536</v>
      </c>
      <c r="G1810" s="7" t="s">
        <v>18</v>
      </c>
      <c r="H1810" s="7" t="s">
        <v>24</v>
      </c>
      <c r="I1810" s="7" t="s">
        <v>712</v>
      </c>
      <c r="J1810" s="7" t="s">
        <v>712</v>
      </c>
      <c r="K1810" s="8">
        <v>6264656</v>
      </c>
      <c r="L1810" s="8">
        <v>335363</v>
      </c>
      <c r="M1810" s="8">
        <v>19</v>
      </c>
      <c r="N1810" s="8">
        <v>1</v>
      </c>
      <c r="O1810" s="8">
        <v>0.31</v>
      </c>
      <c r="P1810" s="8"/>
    </row>
    <row r="1811" spans="1:16" hidden="1" x14ac:dyDescent="0.25">
      <c r="A1811" s="7" t="s">
        <v>37</v>
      </c>
      <c r="B1811" s="7" t="s">
        <v>415</v>
      </c>
      <c r="C1811" s="8">
        <v>28388</v>
      </c>
      <c r="D1811" s="7" t="s">
        <v>28</v>
      </c>
      <c r="E1811" s="7" t="s">
        <v>29</v>
      </c>
      <c r="F1811" s="7" t="s">
        <v>532</v>
      </c>
      <c r="G1811" s="7" t="s">
        <v>18</v>
      </c>
      <c r="H1811" s="7" t="s">
        <v>24</v>
      </c>
      <c r="I1811" s="7" t="s">
        <v>712</v>
      </c>
      <c r="J1811" s="7" t="s">
        <v>712</v>
      </c>
      <c r="K1811" s="8">
        <v>6261143</v>
      </c>
      <c r="L1811" s="8">
        <v>344637</v>
      </c>
      <c r="M1811" s="8">
        <v>19</v>
      </c>
      <c r="N1811" s="8">
        <v>1</v>
      </c>
      <c r="O1811" s="8">
        <v>4.9400000000000004</v>
      </c>
      <c r="P1811" s="8"/>
    </row>
    <row r="1812" spans="1:16" hidden="1" x14ac:dyDescent="0.25">
      <c r="A1812" s="7" t="s">
        <v>37</v>
      </c>
      <c r="B1812" s="7" t="s">
        <v>415</v>
      </c>
      <c r="C1812" s="8">
        <v>28391</v>
      </c>
      <c r="D1812" s="7" t="s">
        <v>28</v>
      </c>
      <c r="E1812" s="7" t="s">
        <v>344</v>
      </c>
      <c r="F1812" s="7" t="s">
        <v>517</v>
      </c>
      <c r="G1812" s="7" t="s">
        <v>18</v>
      </c>
      <c r="H1812" s="7" t="s">
        <v>24</v>
      </c>
      <c r="I1812" s="7" t="s">
        <v>712</v>
      </c>
      <c r="J1812" s="7" t="s">
        <v>712</v>
      </c>
      <c r="K1812" s="8">
        <v>6272335</v>
      </c>
      <c r="L1812" s="8">
        <v>303125</v>
      </c>
      <c r="M1812" s="8">
        <v>19</v>
      </c>
      <c r="N1812" s="8">
        <v>1</v>
      </c>
      <c r="O1812" s="8">
        <v>1</v>
      </c>
      <c r="P1812" s="8"/>
    </row>
    <row r="1813" spans="1:16" hidden="1" x14ac:dyDescent="0.25">
      <c r="A1813" s="7" t="s">
        <v>19</v>
      </c>
      <c r="B1813" s="7" t="s">
        <v>415</v>
      </c>
      <c r="C1813" s="8">
        <v>28392</v>
      </c>
      <c r="D1813" s="7" t="s">
        <v>52</v>
      </c>
      <c r="E1813" s="7" t="s">
        <v>139</v>
      </c>
      <c r="F1813" s="7" t="s">
        <v>139</v>
      </c>
      <c r="G1813" s="7" t="s">
        <v>65</v>
      </c>
      <c r="H1813" s="7" t="s">
        <v>24</v>
      </c>
      <c r="I1813" s="7" t="s">
        <v>712</v>
      </c>
      <c r="J1813" s="7" t="s">
        <v>712</v>
      </c>
      <c r="K1813" s="8">
        <v>6227913</v>
      </c>
      <c r="L1813" s="8">
        <v>341391</v>
      </c>
      <c r="M1813" s="8">
        <v>19</v>
      </c>
      <c r="N1813" s="8">
        <v>1</v>
      </c>
      <c r="O1813" s="8">
        <v>1.4</v>
      </c>
      <c r="P1813" s="8"/>
    </row>
    <row r="1814" spans="1:16" hidden="1" x14ac:dyDescent="0.25">
      <c r="A1814" s="7" t="s">
        <v>37</v>
      </c>
      <c r="B1814" s="7" t="s">
        <v>415</v>
      </c>
      <c r="C1814" s="8">
        <v>28393</v>
      </c>
      <c r="D1814" s="7" t="s">
        <v>28</v>
      </c>
      <c r="E1814" s="7" t="s">
        <v>32</v>
      </c>
      <c r="F1814" s="7" t="s">
        <v>337</v>
      </c>
      <c r="G1814" s="7" t="s">
        <v>18</v>
      </c>
      <c r="H1814" s="7" t="s">
        <v>24</v>
      </c>
      <c r="I1814" s="7" t="s">
        <v>712</v>
      </c>
      <c r="J1814" s="7" t="s">
        <v>712</v>
      </c>
      <c r="K1814" s="8">
        <v>6269047</v>
      </c>
      <c r="L1814" s="8">
        <v>334402</v>
      </c>
      <c r="M1814" s="8">
        <v>19</v>
      </c>
      <c r="N1814" s="8">
        <v>1</v>
      </c>
      <c r="O1814" s="8">
        <v>1</v>
      </c>
      <c r="P1814" s="8"/>
    </row>
    <row r="1815" spans="1:16" hidden="1" x14ac:dyDescent="0.25">
      <c r="A1815" s="7" t="s">
        <v>37</v>
      </c>
      <c r="B1815" s="7" t="s">
        <v>343</v>
      </c>
      <c r="C1815" s="8">
        <v>28394</v>
      </c>
      <c r="D1815" s="7" t="s">
        <v>28</v>
      </c>
      <c r="E1815" s="7" t="s">
        <v>29</v>
      </c>
      <c r="F1815" s="7" t="s">
        <v>29</v>
      </c>
      <c r="G1815" s="7" t="s">
        <v>18</v>
      </c>
      <c r="H1815" s="7" t="s">
        <v>48</v>
      </c>
      <c r="I1815" s="7" t="s">
        <v>712</v>
      </c>
      <c r="J1815" s="7" t="s">
        <v>712</v>
      </c>
      <c r="K1815" s="8">
        <v>6261419</v>
      </c>
      <c r="L1815" s="8">
        <v>340162</v>
      </c>
      <c r="M1815" s="8">
        <v>19</v>
      </c>
      <c r="N1815" s="8">
        <v>1</v>
      </c>
      <c r="O1815" s="8">
        <v>0.5</v>
      </c>
      <c r="P1815" s="8"/>
    </row>
    <row r="1816" spans="1:16" hidden="1" x14ac:dyDescent="0.25">
      <c r="A1816" s="7" t="s">
        <v>37</v>
      </c>
      <c r="B1816" s="7" t="s">
        <v>343</v>
      </c>
      <c r="C1816" s="8">
        <v>28395</v>
      </c>
      <c r="D1816" s="7" t="s">
        <v>16</v>
      </c>
      <c r="E1816" s="7" t="s">
        <v>337</v>
      </c>
      <c r="F1816" s="7" t="s">
        <v>337</v>
      </c>
      <c r="G1816" s="7" t="s">
        <v>18</v>
      </c>
      <c r="H1816" s="7" t="s">
        <v>48</v>
      </c>
      <c r="I1816" s="7" t="s">
        <v>712</v>
      </c>
      <c r="J1816" s="7" t="s">
        <v>712</v>
      </c>
      <c r="K1816" s="8">
        <v>6125159</v>
      </c>
      <c r="L1816" s="8">
        <v>313718</v>
      </c>
      <c r="M1816" s="8">
        <v>19</v>
      </c>
      <c r="N1816" s="8">
        <v>1</v>
      </c>
      <c r="O1816" s="8">
        <v>37.29</v>
      </c>
      <c r="P1816" s="8"/>
    </row>
    <row r="1817" spans="1:16" hidden="1" x14ac:dyDescent="0.25">
      <c r="A1817" s="7" t="s">
        <v>14</v>
      </c>
      <c r="B1817" s="7" t="s">
        <v>415</v>
      </c>
      <c r="C1817" s="8">
        <v>28396</v>
      </c>
      <c r="D1817" s="7" t="s">
        <v>28</v>
      </c>
      <c r="E1817" s="7" t="s">
        <v>56</v>
      </c>
      <c r="F1817" s="7" t="s">
        <v>162</v>
      </c>
      <c r="G1817" s="7" t="s">
        <v>18</v>
      </c>
      <c r="H1817" s="7" t="s">
        <v>689</v>
      </c>
      <c r="I1817" s="7" t="s">
        <v>712</v>
      </c>
      <c r="J1817" s="7" t="s">
        <v>712</v>
      </c>
      <c r="K1817" s="8">
        <v>6260182</v>
      </c>
      <c r="L1817" s="8">
        <v>332753</v>
      </c>
      <c r="M1817" s="8">
        <v>19</v>
      </c>
      <c r="N1817" s="8">
        <v>1</v>
      </c>
      <c r="O1817" s="8">
        <v>0.15</v>
      </c>
      <c r="P1817" s="8"/>
    </row>
    <row r="1818" spans="1:16" hidden="1" x14ac:dyDescent="0.25">
      <c r="A1818" s="7" t="s">
        <v>14</v>
      </c>
      <c r="B1818" s="7" t="s">
        <v>415</v>
      </c>
      <c r="C1818" s="8">
        <v>28397</v>
      </c>
      <c r="D1818" s="7" t="s">
        <v>28</v>
      </c>
      <c r="E1818" s="7" t="s">
        <v>56</v>
      </c>
      <c r="F1818" s="7" t="s">
        <v>162</v>
      </c>
      <c r="G1818" s="7" t="s">
        <v>18</v>
      </c>
      <c r="H1818" s="7" t="s">
        <v>689</v>
      </c>
      <c r="I1818" s="7" t="s">
        <v>712</v>
      </c>
      <c r="J1818" s="7" t="s">
        <v>712</v>
      </c>
      <c r="K1818" s="8">
        <v>6260128</v>
      </c>
      <c r="L1818" s="8">
        <v>332791</v>
      </c>
      <c r="M1818" s="8">
        <v>19</v>
      </c>
      <c r="N1818" s="8">
        <v>1</v>
      </c>
      <c r="O1818" s="8">
        <v>0.33</v>
      </c>
      <c r="P1818" s="8"/>
    </row>
    <row r="1819" spans="1:16" hidden="1" x14ac:dyDescent="0.25">
      <c r="A1819" s="7" t="s">
        <v>37</v>
      </c>
      <c r="B1819" s="7" t="s">
        <v>415</v>
      </c>
      <c r="C1819" s="8">
        <v>28398</v>
      </c>
      <c r="D1819" s="7" t="s">
        <v>28</v>
      </c>
      <c r="E1819" s="7" t="s">
        <v>344</v>
      </c>
      <c r="F1819" s="7" t="s">
        <v>517</v>
      </c>
      <c r="G1819" s="7" t="s">
        <v>18</v>
      </c>
      <c r="H1819" s="7" t="s">
        <v>24</v>
      </c>
      <c r="I1819" s="7" t="s">
        <v>712</v>
      </c>
      <c r="J1819" s="7" t="s">
        <v>712</v>
      </c>
      <c r="K1819" s="8">
        <v>6272035</v>
      </c>
      <c r="L1819" s="8">
        <v>302549</v>
      </c>
      <c r="M1819" s="8">
        <v>19</v>
      </c>
      <c r="N1819" s="8">
        <v>1</v>
      </c>
      <c r="O1819" s="8">
        <v>1</v>
      </c>
      <c r="P1819" s="8"/>
    </row>
    <row r="1820" spans="1:16" hidden="1" x14ac:dyDescent="0.25">
      <c r="A1820" s="7" t="s">
        <v>37</v>
      </c>
      <c r="B1820" s="7" t="s">
        <v>343</v>
      </c>
      <c r="C1820" s="8">
        <v>28401</v>
      </c>
      <c r="D1820" s="7" t="s">
        <v>52</v>
      </c>
      <c r="E1820" s="7" t="s">
        <v>286</v>
      </c>
      <c r="F1820" s="7" t="s">
        <v>399</v>
      </c>
      <c r="G1820" s="7" t="s">
        <v>18</v>
      </c>
      <c r="H1820" s="7" t="s">
        <v>48</v>
      </c>
      <c r="I1820" s="7" t="s">
        <v>712</v>
      </c>
      <c r="J1820" s="7" t="s">
        <v>712</v>
      </c>
      <c r="K1820" s="8">
        <v>6161948</v>
      </c>
      <c r="L1820" s="8">
        <v>305773</v>
      </c>
      <c r="M1820" s="8">
        <v>19</v>
      </c>
      <c r="N1820" s="8">
        <v>2</v>
      </c>
      <c r="O1820" s="8">
        <v>20.12</v>
      </c>
      <c r="P1820" s="8"/>
    </row>
    <row r="1821" spans="1:16" hidden="1" x14ac:dyDescent="0.25">
      <c r="A1821" s="7" t="s">
        <v>37</v>
      </c>
      <c r="B1821" s="7" t="s">
        <v>415</v>
      </c>
      <c r="C1821" s="8">
        <v>28402</v>
      </c>
      <c r="D1821" s="7" t="s">
        <v>28</v>
      </c>
      <c r="E1821" s="7" t="s">
        <v>29</v>
      </c>
      <c r="F1821" s="7" t="s">
        <v>30</v>
      </c>
      <c r="G1821" s="7" t="s">
        <v>18</v>
      </c>
      <c r="H1821" s="7" t="s">
        <v>48</v>
      </c>
      <c r="I1821" s="7" t="s">
        <v>712</v>
      </c>
      <c r="J1821" s="7" t="s">
        <v>712</v>
      </c>
      <c r="K1821" s="8">
        <v>6252714</v>
      </c>
      <c r="L1821" s="8">
        <v>345338</v>
      </c>
      <c r="M1821" s="8">
        <v>19</v>
      </c>
      <c r="N1821" s="8">
        <v>1</v>
      </c>
      <c r="O1821" s="8">
        <v>2.41</v>
      </c>
      <c r="P1821" s="8"/>
    </row>
    <row r="1822" spans="1:16" hidden="1" x14ac:dyDescent="0.25">
      <c r="A1822" s="7" t="s">
        <v>37</v>
      </c>
      <c r="B1822" s="7" t="s">
        <v>415</v>
      </c>
      <c r="C1822" s="8">
        <v>28403</v>
      </c>
      <c r="D1822" s="7" t="s">
        <v>28</v>
      </c>
      <c r="E1822" s="7" t="s">
        <v>29</v>
      </c>
      <c r="F1822" s="7" t="s">
        <v>30</v>
      </c>
      <c r="G1822" s="7" t="s">
        <v>18</v>
      </c>
      <c r="H1822" s="7" t="s">
        <v>24</v>
      </c>
      <c r="I1822" s="7" t="s">
        <v>712</v>
      </c>
      <c r="J1822" s="7" t="s">
        <v>712</v>
      </c>
      <c r="K1822" s="8">
        <v>6253173</v>
      </c>
      <c r="L1822" s="8">
        <v>344858</v>
      </c>
      <c r="M1822" s="8">
        <v>19</v>
      </c>
      <c r="N1822" s="8">
        <v>1</v>
      </c>
      <c r="O1822" s="8">
        <v>1.1000000000000001</v>
      </c>
      <c r="P1822" s="8"/>
    </row>
    <row r="1823" spans="1:16" hidden="1" x14ac:dyDescent="0.25">
      <c r="A1823" s="7" t="s">
        <v>37</v>
      </c>
      <c r="B1823" s="7" t="s">
        <v>415</v>
      </c>
      <c r="C1823" s="8">
        <v>28405</v>
      </c>
      <c r="D1823" s="7" t="s">
        <v>28</v>
      </c>
      <c r="E1823" s="7" t="s">
        <v>142</v>
      </c>
      <c r="F1823" s="7" t="s">
        <v>460</v>
      </c>
      <c r="G1823" s="7" t="s">
        <v>18</v>
      </c>
      <c r="H1823" s="7" t="s">
        <v>24</v>
      </c>
      <c r="I1823" s="7" t="s">
        <v>712</v>
      </c>
      <c r="J1823" s="7" t="s">
        <v>712</v>
      </c>
      <c r="K1823" s="8">
        <v>6278998</v>
      </c>
      <c r="L1823" s="8">
        <v>338909</v>
      </c>
      <c r="M1823" s="8">
        <v>19</v>
      </c>
      <c r="N1823" s="8">
        <v>1</v>
      </c>
      <c r="O1823" s="8">
        <v>1.0900000000000001</v>
      </c>
      <c r="P1823" s="8"/>
    </row>
    <row r="1824" spans="1:16" hidden="1" x14ac:dyDescent="0.25">
      <c r="A1824" s="7" t="s">
        <v>37</v>
      </c>
      <c r="B1824" s="7" t="s">
        <v>415</v>
      </c>
      <c r="C1824" s="8">
        <v>28406</v>
      </c>
      <c r="D1824" s="7" t="s">
        <v>28</v>
      </c>
      <c r="E1824" s="7" t="s">
        <v>483</v>
      </c>
      <c r="F1824" s="7" t="s">
        <v>483</v>
      </c>
      <c r="G1824" s="7" t="s">
        <v>18</v>
      </c>
      <c r="H1824" s="7" t="s">
        <v>24</v>
      </c>
      <c r="I1824" s="7" t="s">
        <v>712</v>
      </c>
      <c r="J1824" s="7" t="s">
        <v>712</v>
      </c>
      <c r="K1824" s="8">
        <v>6324752</v>
      </c>
      <c r="L1824" s="8">
        <v>340620</v>
      </c>
      <c r="M1824" s="8">
        <v>19</v>
      </c>
      <c r="N1824" s="8">
        <v>1</v>
      </c>
      <c r="O1824" s="8">
        <v>1.6</v>
      </c>
      <c r="P1824" s="8"/>
    </row>
    <row r="1825" spans="1:16" hidden="1" x14ac:dyDescent="0.25">
      <c r="A1825" s="7" t="s">
        <v>37</v>
      </c>
      <c r="B1825" s="7" t="s">
        <v>343</v>
      </c>
      <c r="C1825" s="8">
        <v>28407</v>
      </c>
      <c r="D1825" s="7" t="s">
        <v>16</v>
      </c>
      <c r="E1825" s="7" t="s">
        <v>337</v>
      </c>
      <c r="F1825" s="7" t="s">
        <v>337</v>
      </c>
      <c r="G1825" s="7" t="s">
        <v>18</v>
      </c>
      <c r="H1825" s="7" t="s">
        <v>48</v>
      </c>
      <c r="I1825" s="7" t="s">
        <v>712</v>
      </c>
      <c r="J1825" s="7" t="s">
        <v>712</v>
      </c>
      <c r="K1825" s="8">
        <v>6125726</v>
      </c>
      <c r="L1825" s="8">
        <v>313697</v>
      </c>
      <c r="M1825" s="8">
        <v>19</v>
      </c>
      <c r="N1825" s="8">
        <v>1</v>
      </c>
      <c r="O1825" s="8">
        <v>32.4</v>
      </c>
      <c r="P1825" s="8"/>
    </row>
    <row r="1826" spans="1:16" hidden="1" x14ac:dyDescent="0.25">
      <c r="A1826" s="7" t="s">
        <v>37</v>
      </c>
      <c r="B1826" s="7" t="s">
        <v>415</v>
      </c>
      <c r="C1826" s="8">
        <v>28408</v>
      </c>
      <c r="D1826" s="7" t="s">
        <v>28</v>
      </c>
      <c r="E1826" s="7" t="s">
        <v>32</v>
      </c>
      <c r="F1826" s="7" t="s">
        <v>496</v>
      </c>
      <c r="G1826" s="7" t="s">
        <v>18</v>
      </c>
      <c r="H1826" s="7" t="s">
        <v>24</v>
      </c>
      <c r="I1826" s="7" t="s">
        <v>712</v>
      </c>
      <c r="J1826" s="7" t="s">
        <v>712</v>
      </c>
      <c r="K1826" s="8">
        <v>6277183</v>
      </c>
      <c r="L1826" s="8">
        <v>345699</v>
      </c>
      <c r="M1826" s="8">
        <v>19</v>
      </c>
      <c r="N1826" s="8">
        <v>1</v>
      </c>
      <c r="O1826" s="8">
        <v>1</v>
      </c>
      <c r="P1826" s="8"/>
    </row>
    <row r="1827" spans="1:16" hidden="1" x14ac:dyDescent="0.25">
      <c r="A1827" s="7" t="s">
        <v>37</v>
      </c>
      <c r="B1827" s="7" t="s">
        <v>415</v>
      </c>
      <c r="C1827" s="8">
        <v>28411</v>
      </c>
      <c r="D1827" s="7" t="s">
        <v>28</v>
      </c>
      <c r="E1827" s="7" t="s">
        <v>344</v>
      </c>
      <c r="F1827" s="7" t="s">
        <v>345</v>
      </c>
      <c r="G1827" s="7" t="s">
        <v>18</v>
      </c>
      <c r="H1827" s="7" t="s">
        <v>24</v>
      </c>
      <c r="I1827" s="7" t="s">
        <v>712</v>
      </c>
      <c r="J1827" s="7" t="s">
        <v>712</v>
      </c>
      <c r="K1827" s="8">
        <v>6277572</v>
      </c>
      <c r="L1827" s="8">
        <v>298576</v>
      </c>
      <c r="M1827" s="8">
        <v>19</v>
      </c>
      <c r="N1827" s="8">
        <v>1</v>
      </c>
      <c r="O1827" s="8">
        <v>3.29</v>
      </c>
      <c r="P1827" s="8"/>
    </row>
    <row r="1828" spans="1:16" hidden="1" x14ac:dyDescent="0.25">
      <c r="A1828" s="7" t="s">
        <v>37</v>
      </c>
      <c r="B1828" s="7" t="s">
        <v>415</v>
      </c>
      <c r="C1828" s="8">
        <v>28413</v>
      </c>
      <c r="D1828" s="7" t="s">
        <v>28</v>
      </c>
      <c r="E1828" s="7" t="s">
        <v>32</v>
      </c>
      <c r="F1828" s="7" t="s">
        <v>537</v>
      </c>
      <c r="G1828" s="7" t="s">
        <v>18</v>
      </c>
      <c r="H1828" s="7" t="s">
        <v>24</v>
      </c>
      <c r="I1828" s="7" t="s">
        <v>712</v>
      </c>
      <c r="J1828" s="7" t="s">
        <v>712</v>
      </c>
      <c r="K1828" s="8">
        <v>6276204</v>
      </c>
      <c r="L1828" s="8">
        <v>347673</v>
      </c>
      <c r="M1828" s="8">
        <v>19</v>
      </c>
      <c r="N1828" s="8">
        <v>1</v>
      </c>
      <c r="O1828" s="8">
        <v>1</v>
      </c>
      <c r="P1828" s="8"/>
    </row>
    <row r="1829" spans="1:16" hidden="1" x14ac:dyDescent="0.25">
      <c r="A1829" s="7" t="s">
        <v>37</v>
      </c>
      <c r="B1829" s="7" t="s">
        <v>415</v>
      </c>
      <c r="C1829" s="8">
        <v>28415</v>
      </c>
      <c r="D1829" s="7" t="s">
        <v>28</v>
      </c>
      <c r="E1829" s="7" t="s">
        <v>32</v>
      </c>
      <c r="F1829" s="7" t="s">
        <v>537</v>
      </c>
      <c r="G1829" s="7" t="s">
        <v>18</v>
      </c>
      <c r="H1829" s="7" t="s">
        <v>24</v>
      </c>
      <c r="I1829" s="7" t="s">
        <v>712</v>
      </c>
      <c r="J1829" s="7" t="s">
        <v>712</v>
      </c>
      <c r="K1829" s="8">
        <v>6276261</v>
      </c>
      <c r="L1829" s="8">
        <v>347342</v>
      </c>
      <c r="M1829" s="8">
        <v>19</v>
      </c>
      <c r="N1829" s="8">
        <v>1</v>
      </c>
      <c r="O1829" s="8">
        <v>1</v>
      </c>
      <c r="P1829" s="8"/>
    </row>
    <row r="1830" spans="1:16" hidden="1" x14ac:dyDescent="0.25">
      <c r="A1830" s="7" t="s">
        <v>37</v>
      </c>
      <c r="B1830" s="7" t="s">
        <v>415</v>
      </c>
      <c r="C1830" s="8">
        <v>28416</v>
      </c>
      <c r="D1830" s="7" t="s">
        <v>28</v>
      </c>
      <c r="E1830" s="7" t="s">
        <v>29</v>
      </c>
      <c r="F1830" s="7" t="s">
        <v>29</v>
      </c>
      <c r="G1830" s="7" t="s">
        <v>18</v>
      </c>
      <c r="H1830" s="7" t="s">
        <v>109</v>
      </c>
      <c r="I1830" s="7" t="s">
        <v>712</v>
      </c>
      <c r="J1830" s="7" t="s">
        <v>691</v>
      </c>
      <c r="K1830" s="8">
        <v>6257826</v>
      </c>
      <c r="L1830" s="8">
        <v>343030</v>
      </c>
      <c r="M1830" s="8">
        <v>19</v>
      </c>
      <c r="N1830" s="8">
        <v>1</v>
      </c>
      <c r="O1830" s="8">
        <v>6.4</v>
      </c>
      <c r="P1830" s="8"/>
    </row>
    <row r="1831" spans="1:16" hidden="1" x14ac:dyDescent="0.25">
      <c r="A1831" s="7" t="s">
        <v>37</v>
      </c>
      <c r="B1831" s="7" t="s">
        <v>415</v>
      </c>
      <c r="C1831" s="8">
        <v>28417</v>
      </c>
      <c r="D1831" s="7" t="s">
        <v>28</v>
      </c>
      <c r="E1831" s="7" t="s">
        <v>146</v>
      </c>
      <c r="F1831" s="7" t="s">
        <v>479</v>
      </c>
      <c r="G1831" s="7" t="s">
        <v>18</v>
      </c>
      <c r="H1831" s="7" t="s">
        <v>24</v>
      </c>
      <c r="I1831" s="7" t="s">
        <v>712</v>
      </c>
      <c r="J1831" s="7" t="s">
        <v>712</v>
      </c>
      <c r="K1831" s="8">
        <v>6274910</v>
      </c>
      <c r="L1831" s="8">
        <v>322757</v>
      </c>
      <c r="M1831" s="8">
        <v>19</v>
      </c>
      <c r="N1831" s="8">
        <v>1</v>
      </c>
      <c r="O1831" s="8">
        <v>1.01</v>
      </c>
      <c r="P1831" s="8"/>
    </row>
    <row r="1832" spans="1:16" hidden="1" x14ac:dyDescent="0.25">
      <c r="A1832" s="7" t="s">
        <v>37</v>
      </c>
      <c r="B1832" s="7" t="s">
        <v>415</v>
      </c>
      <c r="C1832" s="8">
        <v>28418</v>
      </c>
      <c r="D1832" s="7" t="s">
        <v>28</v>
      </c>
      <c r="E1832" s="7" t="s">
        <v>32</v>
      </c>
      <c r="F1832" s="7" t="s">
        <v>337</v>
      </c>
      <c r="G1832" s="7" t="s">
        <v>18</v>
      </c>
      <c r="H1832" s="7" t="s">
        <v>24</v>
      </c>
      <c r="I1832" s="7" t="s">
        <v>712</v>
      </c>
      <c r="J1832" s="7" t="s">
        <v>712</v>
      </c>
      <c r="K1832" s="8">
        <v>6268326</v>
      </c>
      <c r="L1832" s="8">
        <v>334546</v>
      </c>
      <c r="M1832" s="8">
        <v>19</v>
      </c>
      <c r="N1832" s="8">
        <v>1</v>
      </c>
      <c r="O1832" s="8">
        <v>0.48</v>
      </c>
      <c r="P1832" s="8"/>
    </row>
    <row r="1833" spans="1:16" hidden="1" x14ac:dyDescent="0.25">
      <c r="A1833" s="7" t="s">
        <v>37</v>
      </c>
      <c r="B1833" s="7" t="s">
        <v>415</v>
      </c>
      <c r="C1833" s="8">
        <v>28420</v>
      </c>
      <c r="D1833" s="7" t="s">
        <v>28</v>
      </c>
      <c r="E1833" s="7" t="s">
        <v>146</v>
      </c>
      <c r="F1833" s="7" t="s">
        <v>487</v>
      </c>
      <c r="G1833" s="7" t="s">
        <v>18</v>
      </c>
      <c r="H1833" s="7" t="s">
        <v>24</v>
      </c>
      <c r="I1833" s="7" t="s">
        <v>712</v>
      </c>
      <c r="J1833" s="7" t="s">
        <v>712</v>
      </c>
      <c r="K1833" s="8">
        <v>6270444</v>
      </c>
      <c r="L1833" s="8">
        <v>318457</v>
      </c>
      <c r="M1833" s="8">
        <v>19</v>
      </c>
      <c r="N1833" s="8">
        <v>1</v>
      </c>
      <c r="O1833" s="8">
        <v>1.1000000000000001</v>
      </c>
      <c r="P1833" s="8"/>
    </row>
    <row r="1834" spans="1:16" hidden="1" x14ac:dyDescent="0.25">
      <c r="A1834" s="7" t="s">
        <v>37</v>
      </c>
      <c r="B1834" s="7" t="s">
        <v>415</v>
      </c>
      <c r="C1834" s="8">
        <v>28421</v>
      </c>
      <c r="D1834" s="7" t="s">
        <v>28</v>
      </c>
      <c r="E1834" s="7" t="s">
        <v>32</v>
      </c>
      <c r="F1834" s="7" t="s">
        <v>538</v>
      </c>
      <c r="G1834" s="7" t="s">
        <v>18</v>
      </c>
      <c r="H1834" s="7" t="s">
        <v>24</v>
      </c>
      <c r="I1834" s="7" t="s">
        <v>712</v>
      </c>
      <c r="J1834" s="7" t="s">
        <v>712</v>
      </c>
      <c r="K1834" s="8">
        <v>6277979</v>
      </c>
      <c r="L1834" s="8">
        <v>345153</v>
      </c>
      <c r="M1834" s="8">
        <v>19</v>
      </c>
      <c r="N1834" s="8">
        <v>1</v>
      </c>
      <c r="O1834" s="8">
        <v>2.4</v>
      </c>
      <c r="P1834" s="8"/>
    </row>
    <row r="1835" spans="1:16" hidden="1" x14ac:dyDescent="0.25">
      <c r="A1835" s="7" t="s">
        <v>37</v>
      </c>
      <c r="B1835" s="7" t="s">
        <v>415</v>
      </c>
      <c r="C1835" s="8">
        <v>28423</v>
      </c>
      <c r="D1835" s="7" t="s">
        <v>28</v>
      </c>
      <c r="E1835" s="7" t="s">
        <v>364</v>
      </c>
      <c r="F1835" s="7" t="s">
        <v>364</v>
      </c>
      <c r="G1835" s="7" t="s">
        <v>18</v>
      </c>
      <c r="H1835" s="7" t="s">
        <v>24</v>
      </c>
      <c r="I1835" s="7" t="s">
        <v>712</v>
      </c>
      <c r="J1835" s="7" t="s">
        <v>712</v>
      </c>
      <c r="K1835" s="8">
        <v>6271984</v>
      </c>
      <c r="L1835" s="8">
        <v>320418</v>
      </c>
      <c r="M1835" s="8">
        <v>19</v>
      </c>
      <c r="N1835" s="8">
        <v>1</v>
      </c>
      <c r="O1835" s="8">
        <v>1</v>
      </c>
      <c r="P1835" s="8"/>
    </row>
    <row r="1836" spans="1:16" hidden="1" x14ac:dyDescent="0.25">
      <c r="A1836" s="7" t="s">
        <v>37</v>
      </c>
      <c r="B1836" s="7" t="s">
        <v>415</v>
      </c>
      <c r="C1836" s="8">
        <v>28425</v>
      </c>
      <c r="D1836" s="7" t="s">
        <v>28</v>
      </c>
      <c r="E1836" s="7" t="s">
        <v>344</v>
      </c>
      <c r="F1836" s="7" t="s">
        <v>457</v>
      </c>
      <c r="G1836" s="7" t="s">
        <v>18</v>
      </c>
      <c r="H1836" s="7" t="s">
        <v>24</v>
      </c>
      <c r="I1836" s="7" t="s">
        <v>712</v>
      </c>
      <c r="J1836" s="7" t="s">
        <v>712</v>
      </c>
      <c r="K1836" s="8">
        <v>6276564</v>
      </c>
      <c r="L1836" s="8">
        <v>289077</v>
      </c>
      <c r="M1836" s="8">
        <v>19</v>
      </c>
      <c r="N1836" s="8">
        <v>1</v>
      </c>
      <c r="O1836" s="8">
        <v>1.1399999999999999</v>
      </c>
      <c r="P1836" s="8"/>
    </row>
    <row r="1837" spans="1:16" hidden="1" x14ac:dyDescent="0.25">
      <c r="A1837" s="7" t="s">
        <v>37</v>
      </c>
      <c r="B1837" s="7" t="s">
        <v>415</v>
      </c>
      <c r="C1837" s="8">
        <v>28427</v>
      </c>
      <c r="D1837" s="7" t="s">
        <v>28</v>
      </c>
      <c r="E1837" s="7" t="s">
        <v>29</v>
      </c>
      <c r="F1837" s="7" t="s">
        <v>519</v>
      </c>
      <c r="G1837" s="7" t="s">
        <v>18</v>
      </c>
      <c r="H1837" s="7" t="s">
        <v>109</v>
      </c>
      <c r="I1837" s="7" t="s">
        <v>712</v>
      </c>
      <c r="J1837" s="7" t="s">
        <v>691</v>
      </c>
      <c r="K1837" s="8">
        <v>6258792</v>
      </c>
      <c r="L1837" s="8">
        <v>343649</v>
      </c>
      <c r="M1837" s="8">
        <v>19</v>
      </c>
      <c r="N1837" s="8">
        <v>1</v>
      </c>
      <c r="O1837" s="8">
        <v>3.7</v>
      </c>
      <c r="P1837" s="8"/>
    </row>
    <row r="1838" spans="1:16" hidden="1" x14ac:dyDescent="0.25">
      <c r="A1838" s="7" t="s">
        <v>37</v>
      </c>
      <c r="B1838" s="7" t="s">
        <v>415</v>
      </c>
      <c r="C1838" s="8">
        <v>28428</v>
      </c>
      <c r="D1838" s="7" t="s">
        <v>28</v>
      </c>
      <c r="E1838" s="7" t="s">
        <v>135</v>
      </c>
      <c r="F1838" s="7" t="s">
        <v>539</v>
      </c>
      <c r="G1838" s="7" t="s">
        <v>18</v>
      </c>
      <c r="H1838" s="7" t="s">
        <v>24</v>
      </c>
      <c r="I1838" s="7" t="s">
        <v>712</v>
      </c>
      <c r="J1838" s="7" t="s">
        <v>712</v>
      </c>
      <c r="K1838" s="8">
        <v>6268919</v>
      </c>
      <c r="L1838" s="8">
        <v>323723</v>
      </c>
      <c r="M1838" s="8">
        <v>19</v>
      </c>
      <c r="N1838" s="8">
        <v>1</v>
      </c>
      <c r="O1838" s="8">
        <v>1.1000000000000001</v>
      </c>
      <c r="P1838" s="8"/>
    </row>
    <row r="1839" spans="1:16" hidden="1" x14ac:dyDescent="0.25">
      <c r="A1839" s="7" t="s">
        <v>37</v>
      </c>
      <c r="B1839" s="7" t="s">
        <v>415</v>
      </c>
      <c r="C1839" s="8">
        <v>28430</v>
      </c>
      <c r="D1839" s="7" t="s">
        <v>28</v>
      </c>
      <c r="E1839" s="7" t="s">
        <v>32</v>
      </c>
      <c r="F1839" s="7" t="s">
        <v>147</v>
      </c>
      <c r="G1839" s="7" t="s">
        <v>18</v>
      </c>
      <c r="H1839" s="7" t="s">
        <v>24</v>
      </c>
      <c r="I1839" s="7" t="s">
        <v>712</v>
      </c>
      <c r="J1839" s="7" t="s">
        <v>712</v>
      </c>
      <c r="K1839" s="8">
        <v>6254178</v>
      </c>
      <c r="L1839" s="8">
        <v>339060</v>
      </c>
      <c r="M1839" s="8">
        <v>19</v>
      </c>
      <c r="N1839" s="8">
        <v>1</v>
      </c>
      <c r="O1839" s="8">
        <v>1.54</v>
      </c>
      <c r="P1839" s="8"/>
    </row>
    <row r="1840" spans="1:16" hidden="1" x14ac:dyDescent="0.25">
      <c r="A1840" s="7" t="s">
        <v>37</v>
      </c>
      <c r="B1840" s="7" t="s">
        <v>415</v>
      </c>
      <c r="C1840" s="8">
        <v>28431</v>
      </c>
      <c r="D1840" s="7" t="s">
        <v>28</v>
      </c>
      <c r="E1840" s="7" t="s">
        <v>32</v>
      </c>
      <c r="F1840" s="7" t="s">
        <v>337</v>
      </c>
      <c r="G1840" s="7" t="s">
        <v>18</v>
      </c>
      <c r="H1840" s="7" t="s">
        <v>24</v>
      </c>
      <c r="I1840" s="7" t="s">
        <v>712</v>
      </c>
      <c r="J1840" s="7" t="s">
        <v>712</v>
      </c>
      <c r="K1840" s="8">
        <v>6268921</v>
      </c>
      <c r="L1840" s="8">
        <v>334850</v>
      </c>
      <c r="M1840" s="8">
        <v>19</v>
      </c>
      <c r="N1840" s="8">
        <v>1</v>
      </c>
      <c r="O1840" s="8">
        <v>1.07</v>
      </c>
      <c r="P1840" s="8"/>
    </row>
    <row r="1841" spans="1:16" hidden="1" x14ac:dyDescent="0.25">
      <c r="A1841" s="7" t="s">
        <v>19</v>
      </c>
      <c r="B1841" s="7" t="s">
        <v>415</v>
      </c>
      <c r="C1841" s="8">
        <v>28433</v>
      </c>
      <c r="D1841" s="7" t="s">
        <v>52</v>
      </c>
      <c r="E1841" s="7" t="s">
        <v>81</v>
      </c>
      <c r="F1841" s="7" t="s">
        <v>139</v>
      </c>
      <c r="G1841" s="7" t="s">
        <v>65</v>
      </c>
      <c r="H1841" s="7" t="s">
        <v>24</v>
      </c>
      <c r="I1841" s="7" t="s">
        <v>712</v>
      </c>
      <c r="J1841" s="7" t="s">
        <v>712</v>
      </c>
      <c r="K1841" s="8">
        <v>6227934</v>
      </c>
      <c r="L1841" s="8">
        <v>340657</v>
      </c>
      <c r="M1841" s="8">
        <v>19</v>
      </c>
      <c r="N1841" s="8">
        <v>1</v>
      </c>
      <c r="O1841" s="8">
        <v>8</v>
      </c>
      <c r="P1841" s="8"/>
    </row>
    <row r="1842" spans="1:16" hidden="1" x14ac:dyDescent="0.25">
      <c r="A1842" s="7" t="s">
        <v>37</v>
      </c>
      <c r="B1842" s="7" t="s">
        <v>415</v>
      </c>
      <c r="C1842" s="8">
        <v>28435</v>
      </c>
      <c r="D1842" s="7" t="s">
        <v>28</v>
      </c>
      <c r="E1842" s="7" t="s">
        <v>32</v>
      </c>
      <c r="F1842" s="7" t="s">
        <v>337</v>
      </c>
      <c r="G1842" s="7" t="s">
        <v>18</v>
      </c>
      <c r="H1842" s="7" t="s">
        <v>24</v>
      </c>
      <c r="I1842" s="7" t="s">
        <v>712</v>
      </c>
      <c r="J1842" s="7" t="s">
        <v>712</v>
      </c>
      <c r="K1842" s="8">
        <v>6269342</v>
      </c>
      <c r="L1842" s="8">
        <v>334553</v>
      </c>
      <c r="M1842" s="8">
        <v>19</v>
      </c>
      <c r="N1842" s="8">
        <v>1</v>
      </c>
      <c r="O1842" s="8">
        <v>1.1000000000000001</v>
      </c>
      <c r="P1842" s="8"/>
    </row>
    <row r="1843" spans="1:16" hidden="1" x14ac:dyDescent="0.25">
      <c r="A1843" s="7" t="s">
        <v>37</v>
      </c>
      <c r="B1843" s="7" t="s">
        <v>415</v>
      </c>
      <c r="C1843" s="8">
        <v>28436</v>
      </c>
      <c r="D1843" s="7" t="s">
        <v>28</v>
      </c>
      <c r="E1843" s="7" t="s">
        <v>29</v>
      </c>
      <c r="F1843" s="7" t="s">
        <v>461</v>
      </c>
      <c r="G1843" s="7" t="s">
        <v>18</v>
      </c>
      <c r="H1843" s="7" t="s">
        <v>24</v>
      </c>
      <c r="I1843" s="7" t="s">
        <v>712</v>
      </c>
      <c r="J1843" s="7" t="s">
        <v>712</v>
      </c>
      <c r="K1843" s="8">
        <v>6260435</v>
      </c>
      <c r="L1843" s="8">
        <v>346947</v>
      </c>
      <c r="M1843" s="8">
        <v>19</v>
      </c>
      <c r="N1843" s="8">
        <v>1</v>
      </c>
      <c r="O1843" s="8">
        <v>0.96</v>
      </c>
      <c r="P1843" s="8"/>
    </row>
    <row r="1844" spans="1:16" hidden="1" x14ac:dyDescent="0.25">
      <c r="A1844" s="7" t="s">
        <v>19</v>
      </c>
      <c r="B1844" s="7" t="s">
        <v>415</v>
      </c>
      <c r="C1844" s="8">
        <v>28440</v>
      </c>
      <c r="D1844" s="7" t="s">
        <v>52</v>
      </c>
      <c r="E1844" s="7" t="s">
        <v>141</v>
      </c>
      <c r="F1844" s="7" t="s">
        <v>141</v>
      </c>
      <c r="G1844" s="7" t="s">
        <v>65</v>
      </c>
      <c r="H1844" s="7" t="s">
        <v>24</v>
      </c>
      <c r="I1844" s="7" t="s">
        <v>712</v>
      </c>
      <c r="J1844" s="7" t="s">
        <v>712</v>
      </c>
      <c r="K1844" s="8">
        <v>6218376</v>
      </c>
      <c r="L1844" s="8">
        <v>344562</v>
      </c>
      <c r="M1844" s="8">
        <v>19</v>
      </c>
      <c r="N1844" s="8">
        <v>1</v>
      </c>
      <c r="O1844" s="8">
        <v>7.92</v>
      </c>
      <c r="P1844" s="8"/>
    </row>
    <row r="1845" spans="1:16" hidden="1" x14ac:dyDescent="0.25">
      <c r="A1845" s="7" t="s">
        <v>37</v>
      </c>
      <c r="B1845" s="7" t="s">
        <v>415</v>
      </c>
      <c r="C1845" s="8">
        <v>28441</v>
      </c>
      <c r="D1845" s="7" t="s">
        <v>28</v>
      </c>
      <c r="E1845" s="7" t="s">
        <v>387</v>
      </c>
      <c r="F1845" s="7" t="s">
        <v>540</v>
      </c>
      <c r="G1845" s="7" t="s">
        <v>18</v>
      </c>
      <c r="H1845" s="7" t="s">
        <v>109</v>
      </c>
      <c r="I1845" s="7" t="s">
        <v>712</v>
      </c>
      <c r="J1845" s="7" t="s">
        <v>691</v>
      </c>
      <c r="K1845" s="8">
        <v>6306083</v>
      </c>
      <c r="L1845" s="8">
        <v>333660</v>
      </c>
      <c r="M1845" s="8">
        <v>19</v>
      </c>
      <c r="N1845" s="8">
        <v>1</v>
      </c>
      <c r="O1845" s="8">
        <v>2.4</v>
      </c>
      <c r="P1845" s="8"/>
    </row>
    <row r="1846" spans="1:16" hidden="1" x14ac:dyDescent="0.25">
      <c r="A1846" s="7" t="s">
        <v>37</v>
      </c>
      <c r="B1846" s="7" t="s">
        <v>415</v>
      </c>
      <c r="C1846" s="8">
        <v>28442</v>
      </c>
      <c r="D1846" s="7" t="s">
        <v>28</v>
      </c>
      <c r="E1846" s="7" t="s">
        <v>146</v>
      </c>
      <c r="F1846" s="7" t="s">
        <v>146</v>
      </c>
      <c r="G1846" s="7" t="s">
        <v>18</v>
      </c>
      <c r="H1846" s="7" t="s">
        <v>24</v>
      </c>
      <c r="I1846" s="7" t="s">
        <v>712</v>
      </c>
      <c r="J1846" s="7" t="s">
        <v>712</v>
      </c>
      <c r="K1846" s="8">
        <v>6275565</v>
      </c>
      <c r="L1846" s="8">
        <v>326431</v>
      </c>
      <c r="M1846" s="8">
        <v>19</v>
      </c>
      <c r="N1846" s="8">
        <v>1</v>
      </c>
      <c r="O1846" s="8">
        <v>1.08</v>
      </c>
      <c r="P1846" s="8"/>
    </row>
    <row r="1847" spans="1:16" hidden="1" x14ac:dyDescent="0.25">
      <c r="A1847" s="7" t="s">
        <v>19</v>
      </c>
      <c r="B1847" s="7" t="s">
        <v>415</v>
      </c>
      <c r="C1847" s="8">
        <v>28443</v>
      </c>
      <c r="D1847" s="7" t="s">
        <v>52</v>
      </c>
      <c r="E1847" s="7" t="s">
        <v>141</v>
      </c>
      <c r="F1847" s="7" t="s">
        <v>141</v>
      </c>
      <c r="G1847" s="7" t="s">
        <v>65</v>
      </c>
      <c r="H1847" s="7" t="s">
        <v>24</v>
      </c>
      <c r="I1847" s="7" t="s">
        <v>712</v>
      </c>
      <c r="J1847" s="7" t="s">
        <v>712</v>
      </c>
      <c r="K1847" s="8">
        <v>6218131</v>
      </c>
      <c r="L1847" s="8">
        <v>345162</v>
      </c>
      <c r="M1847" s="8">
        <v>19</v>
      </c>
      <c r="N1847" s="8">
        <v>1</v>
      </c>
      <c r="O1847" s="8">
        <v>8.5</v>
      </c>
      <c r="P1847" s="8"/>
    </row>
    <row r="1848" spans="1:16" hidden="1" x14ac:dyDescent="0.25">
      <c r="A1848" s="7" t="s">
        <v>37</v>
      </c>
      <c r="B1848" s="7" t="s">
        <v>415</v>
      </c>
      <c r="C1848" s="8">
        <v>28445</v>
      </c>
      <c r="D1848" s="7" t="s">
        <v>28</v>
      </c>
      <c r="E1848" s="7" t="s">
        <v>146</v>
      </c>
      <c r="F1848" s="7" t="s">
        <v>146</v>
      </c>
      <c r="G1848" s="7" t="s">
        <v>18</v>
      </c>
      <c r="H1848" s="7" t="s">
        <v>24</v>
      </c>
      <c r="I1848" s="7" t="s">
        <v>712</v>
      </c>
      <c r="J1848" s="7" t="s">
        <v>712</v>
      </c>
      <c r="K1848" s="8">
        <v>6275821</v>
      </c>
      <c r="L1848" s="8">
        <v>326590</v>
      </c>
      <c r="M1848" s="8">
        <v>19</v>
      </c>
      <c r="N1848" s="8">
        <v>1</v>
      </c>
      <c r="O1848" s="8">
        <v>1.05</v>
      </c>
      <c r="P1848" s="8"/>
    </row>
    <row r="1849" spans="1:16" hidden="1" x14ac:dyDescent="0.25">
      <c r="A1849" s="7" t="s">
        <v>37</v>
      </c>
      <c r="B1849" s="7" t="s">
        <v>415</v>
      </c>
      <c r="C1849" s="8">
        <v>28446</v>
      </c>
      <c r="D1849" s="7" t="s">
        <v>28</v>
      </c>
      <c r="E1849" s="7" t="s">
        <v>56</v>
      </c>
      <c r="F1849" s="7" t="s">
        <v>512</v>
      </c>
      <c r="G1849" s="7" t="s">
        <v>18</v>
      </c>
      <c r="H1849" s="7" t="s">
        <v>24</v>
      </c>
      <c r="I1849" s="7" t="s">
        <v>712</v>
      </c>
      <c r="J1849" s="7" t="s">
        <v>712</v>
      </c>
      <c r="K1849" s="8">
        <v>6258187</v>
      </c>
      <c r="L1849" s="8">
        <v>327048</v>
      </c>
      <c r="M1849" s="8">
        <v>19</v>
      </c>
      <c r="N1849" s="8">
        <v>1</v>
      </c>
      <c r="O1849" s="8">
        <v>1</v>
      </c>
      <c r="P1849" s="8"/>
    </row>
    <row r="1850" spans="1:16" hidden="1" x14ac:dyDescent="0.25">
      <c r="A1850" s="7" t="s">
        <v>37</v>
      </c>
      <c r="B1850" s="7" t="s">
        <v>415</v>
      </c>
      <c r="C1850" s="8">
        <v>28447</v>
      </c>
      <c r="D1850" s="7" t="s">
        <v>28</v>
      </c>
      <c r="E1850" s="7" t="s">
        <v>32</v>
      </c>
      <c r="F1850" s="7" t="s">
        <v>443</v>
      </c>
      <c r="G1850" s="7" t="s">
        <v>18</v>
      </c>
      <c r="H1850" s="7" t="s">
        <v>109</v>
      </c>
      <c r="I1850" s="7" t="s">
        <v>712</v>
      </c>
      <c r="J1850" s="7" t="s">
        <v>691</v>
      </c>
      <c r="K1850" s="8">
        <v>6274516</v>
      </c>
      <c r="L1850" s="8">
        <v>341970</v>
      </c>
      <c r="M1850" s="8">
        <v>19</v>
      </c>
      <c r="N1850" s="8">
        <v>1</v>
      </c>
      <c r="O1850" s="8">
        <v>1.6</v>
      </c>
      <c r="P1850" s="8"/>
    </row>
    <row r="1851" spans="1:16" hidden="1" x14ac:dyDescent="0.25">
      <c r="A1851" s="7" t="s">
        <v>37</v>
      </c>
      <c r="B1851" s="7" t="s">
        <v>415</v>
      </c>
      <c r="C1851" s="8">
        <v>28449</v>
      </c>
      <c r="D1851" s="7" t="s">
        <v>28</v>
      </c>
      <c r="E1851" s="7" t="s">
        <v>29</v>
      </c>
      <c r="F1851" s="7" t="s">
        <v>478</v>
      </c>
      <c r="G1851" s="7" t="s">
        <v>18</v>
      </c>
      <c r="H1851" s="7" t="s">
        <v>24</v>
      </c>
      <c r="I1851" s="7" t="s">
        <v>712</v>
      </c>
      <c r="J1851" s="7" t="s">
        <v>712</v>
      </c>
      <c r="K1851" s="8">
        <v>6254888</v>
      </c>
      <c r="L1851" s="8">
        <v>319566</v>
      </c>
      <c r="M1851" s="8">
        <v>19</v>
      </c>
      <c r="N1851" s="8">
        <v>1</v>
      </c>
      <c r="O1851" s="8">
        <v>0.08</v>
      </c>
      <c r="P1851" s="8"/>
    </row>
    <row r="1852" spans="1:16" hidden="1" x14ac:dyDescent="0.25">
      <c r="A1852" s="7" t="s">
        <v>19</v>
      </c>
      <c r="B1852" s="7" t="s">
        <v>415</v>
      </c>
      <c r="C1852" s="8">
        <v>28450</v>
      </c>
      <c r="D1852" s="7" t="s">
        <v>52</v>
      </c>
      <c r="E1852" s="7" t="s">
        <v>132</v>
      </c>
      <c r="F1852" s="7" t="s">
        <v>133</v>
      </c>
      <c r="G1852" s="7" t="s">
        <v>65</v>
      </c>
      <c r="H1852" s="7" t="s">
        <v>24</v>
      </c>
      <c r="I1852" s="7" t="s">
        <v>712</v>
      </c>
      <c r="J1852" s="7" t="s">
        <v>712</v>
      </c>
      <c r="K1852" s="8">
        <v>6218714</v>
      </c>
      <c r="L1852" s="8">
        <v>344298</v>
      </c>
      <c r="M1852" s="8">
        <v>19</v>
      </c>
      <c r="N1852" s="8">
        <v>1</v>
      </c>
      <c r="O1852" s="8">
        <v>3.86</v>
      </c>
      <c r="P1852" s="8"/>
    </row>
    <row r="1853" spans="1:16" hidden="1" x14ac:dyDescent="0.25">
      <c r="A1853" s="7" t="s">
        <v>37</v>
      </c>
      <c r="B1853" s="7" t="s">
        <v>415</v>
      </c>
      <c r="C1853" s="8">
        <v>28451</v>
      </c>
      <c r="D1853" s="7" t="s">
        <v>28</v>
      </c>
      <c r="E1853" s="7" t="s">
        <v>146</v>
      </c>
      <c r="F1853" s="7" t="s">
        <v>541</v>
      </c>
      <c r="G1853" s="7" t="s">
        <v>18</v>
      </c>
      <c r="H1853" s="7" t="s">
        <v>24</v>
      </c>
      <c r="I1853" s="7" t="s">
        <v>712</v>
      </c>
      <c r="J1853" s="7" t="s">
        <v>712</v>
      </c>
      <c r="K1853" s="8">
        <v>6270687</v>
      </c>
      <c r="L1853" s="8">
        <v>316804</v>
      </c>
      <c r="M1853" s="8">
        <v>19</v>
      </c>
      <c r="N1853" s="8">
        <v>1</v>
      </c>
      <c r="O1853" s="8">
        <v>0.96</v>
      </c>
      <c r="P1853" s="8"/>
    </row>
    <row r="1854" spans="1:16" hidden="1" x14ac:dyDescent="0.25">
      <c r="A1854" s="7" t="s">
        <v>37</v>
      </c>
      <c r="B1854" s="7" t="s">
        <v>343</v>
      </c>
      <c r="C1854" s="8">
        <v>28452</v>
      </c>
      <c r="D1854" s="7" t="s">
        <v>16</v>
      </c>
      <c r="E1854" s="7" t="s">
        <v>17</v>
      </c>
      <c r="F1854" s="7" t="s">
        <v>400</v>
      </c>
      <c r="G1854" s="7" t="s">
        <v>18</v>
      </c>
      <c r="H1854" s="7" t="s">
        <v>48</v>
      </c>
      <c r="I1854" s="7" t="s">
        <v>712</v>
      </c>
      <c r="J1854" s="7" t="s">
        <v>712</v>
      </c>
      <c r="K1854" s="8">
        <v>6069159</v>
      </c>
      <c r="L1854" s="8">
        <v>272978</v>
      </c>
      <c r="M1854" s="8">
        <v>19</v>
      </c>
      <c r="N1854" s="8">
        <v>2</v>
      </c>
      <c r="O1854" s="8">
        <v>19</v>
      </c>
      <c r="P1854" s="8"/>
    </row>
    <row r="1855" spans="1:16" hidden="1" x14ac:dyDescent="0.25">
      <c r="A1855" s="7" t="s">
        <v>19</v>
      </c>
      <c r="B1855" s="7" t="s">
        <v>415</v>
      </c>
      <c r="C1855" s="8">
        <v>28453</v>
      </c>
      <c r="D1855" s="7" t="s">
        <v>52</v>
      </c>
      <c r="E1855" s="7" t="s">
        <v>141</v>
      </c>
      <c r="F1855" s="7" t="s">
        <v>470</v>
      </c>
      <c r="G1855" s="7" t="s">
        <v>65</v>
      </c>
      <c r="H1855" s="7" t="s">
        <v>24</v>
      </c>
      <c r="I1855" s="7" t="s">
        <v>712</v>
      </c>
      <c r="J1855" s="7" t="s">
        <v>712</v>
      </c>
      <c r="K1855" s="8">
        <v>6223813</v>
      </c>
      <c r="L1855" s="8">
        <v>349044</v>
      </c>
      <c r="M1855" s="8">
        <v>19</v>
      </c>
      <c r="N1855" s="8">
        <v>1</v>
      </c>
      <c r="O1855" s="8">
        <v>1.48</v>
      </c>
      <c r="P1855" s="8"/>
    </row>
    <row r="1856" spans="1:16" hidden="1" x14ac:dyDescent="0.25">
      <c r="A1856" s="7" t="s">
        <v>37</v>
      </c>
      <c r="B1856" s="7" t="s">
        <v>415</v>
      </c>
      <c r="C1856" s="8">
        <v>28455</v>
      </c>
      <c r="D1856" s="7" t="s">
        <v>28</v>
      </c>
      <c r="E1856" s="7" t="s">
        <v>32</v>
      </c>
      <c r="F1856" s="7" t="s">
        <v>476</v>
      </c>
      <c r="G1856" s="7" t="s">
        <v>18</v>
      </c>
      <c r="H1856" s="7" t="s">
        <v>24</v>
      </c>
      <c r="I1856" s="7" t="s">
        <v>712</v>
      </c>
      <c r="J1856" s="7" t="s">
        <v>712</v>
      </c>
      <c r="K1856" s="8">
        <v>6277327</v>
      </c>
      <c r="L1856" s="8">
        <v>334798</v>
      </c>
      <c r="M1856" s="8">
        <v>19</v>
      </c>
      <c r="N1856" s="8">
        <v>1</v>
      </c>
      <c r="O1856" s="8">
        <v>1.1499999999999999</v>
      </c>
      <c r="P1856" s="8"/>
    </row>
    <row r="1857" spans="1:16" hidden="1" x14ac:dyDescent="0.25">
      <c r="A1857" s="7" t="s">
        <v>14</v>
      </c>
      <c r="B1857" s="7" t="s">
        <v>415</v>
      </c>
      <c r="C1857" s="8">
        <v>28456</v>
      </c>
      <c r="D1857" s="7" t="s">
        <v>28</v>
      </c>
      <c r="E1857" s="7" t="s">
        <v>56</v>
      </c>
      <c r="F1857" s="7" t="s">
        <v>378</v>
      </c>
      <c r="G1857" s="7" t="s">
        <v>65</v>
      </c>
      <c r="H1857" s="7" t="s">
        <v>689</v>
      </c>
      <c r="I1857" s="7" t="s">
        <v>712</v>
      </c>
      <c r="J1857" s="7" t="s">
        <v>712</v>
      </c>
      <c r="K1857" s="8">
        <v>6260300</v>
      </c>
      <c r="L1857" s="8">
        <v>331620</v>
      </c>
      <c r="M1857" s="8">
        <v>19</v>
      </c>
      <c r="N1857" s="8">
        <v>1</v>
      </c>
      <c r="O1857" s="8">
        <v>0.8</v>
      </c>
      <c r="P1857" s="8"/>
    </row>
    <row r="1858" spans="1:16" hidden="1" x14ac:dyDescent="0.25">
      <c r="A1858" s="7" t="s">
        <v>19</v>
      </c>
      <c r="B1858" s="7" t="s">
        <v>415</v>
      </c>
      <c r="C1858" s="8">
        <v>28459</v>
      </c>
      <c r="D1858" s="7" t="s">
        <v>52</v>
      </c>
      <c r="E1858" s="7" t="s">
        <v>141</v>
      </c>
      <c r="F1858" s="7" t="s">
        <v>141</v>
      </c>
      <c r="G1858" s="7" t="s">
        <v>65</v>
      </c>
      <c r="H1858" s="7" t="s">
        <v>24</v>
      </c>
      <c r="I1858" s="7" t="s">
        <v>712</v>
      </c>
      <c r="J1858" s="7" t="s">
        <v>712</v>
      </c>
      <c r="K1858" s="8">
        <v>6221316</v>
      </c>
      <c r="L1858" s="8">
        <v>343775</v>
      </c>
      <c r="M1858" s="8">
        <v>19</v>
      </c>
      <c r="N1858" s="8">
        <v>1</v>
      </c>
      <c r="O1858" s="8">
        <v>6.17</v>
      </c>
      <c r="P1858" s="8"/>
    </row>
    <row r="1859" spans="1:16" hidden="1" x14ac:dyDescent="0.25">
      <c r="A1859" s="7" t="s">
        <v>37</v>
      </c>
      <c r="B1859" s="7" t="s">
        <v>415</v>
      </c>
      <c r="C1859" s="8">
        <v>28463</v>
      </c>
      <c r="D1859" s="7" t="s">
        <v>28</v>
      </c>
      <c r="E1859" s="7" t="s">
        <v>146</v>
      </c>
      <c r="F1859" s="7" t="s">
        <v>465</v>
      </c>
      <c r="G1859" s="7" t="s">
        <v>18</v>
      </c>
      <c r="H1859" s="7" t="s">
        <v>24</v>
      </c>
      <c r="I1859" s="7" t="s">
        <v>712</v>
      </c>
      <c r="J1859" s="7" t="s">
        <v>712</v>
      </c>
      <c r="K1859" s="8">
        <v>6268303</v>
      </c>
      <c r="L1859" s="8">
        <v>323849</v>
      </c>
      <c r="M1859" s="8">
        <v>19</v>
      </c>
      <c r="N1859" s="8">
        <v>1</v>
      </c>
      <c r="O1859" s="8">
        <v>0.95</v>
      </c>
      <c r="P1859" s="8"/>
    </row>
    <row r="1860" spans="1:16" hidden="1" x14ac:dyDescent="0.25">
      <c r="A1860" s="7" t="s">
        <v>37</v>
      </c>
      <c r="B1860" s="7" t="s">
        <v>415</v>
      </c>
      <c r="C1860" s="8">
        <v>28464</v>
      </c>
      <c r="D1860" s="7" t="s">
        <v>28</v>
      </c>
      <c r="E1860" s="7" t="s">
        <v>364</v>
      </c>
      <c r="F1860" s="7" t="s">
        <v>489</v>
      </c>
      <c r="G1860" s="7" t="s">
        <v>18</v>
      </c>
      <c r="H1860" s="7" t="s">
        <v>24</v>
      </c>
      <c r="I1860" s="7" t="s">
        <v>712</v>
      </c>
      <c r="J1860" s="7" t="s">
        <v>712</v>
      </c>
      <c r="K1860" s="8">
        <v>6294191</v>
      </c>
      <c r="L1860" s="8">
        <v>335728</v>
      </c>
      <c r="M1860" s="8">
        <v>19</v>
      </c>
      <c r="N1860" s="8">
        <v>1</v>
      </c>
      <c r="O1860" s="8">
        <v>0.4</v>
      </c>
      <c r="P1860" s="8"/>
    </row>
    <row r="1861" spans="1:16" hidden="1" x14ac:dyDescent="0.25">
      <c r="A1861" s="7" t="s">
        <v>37</v>
      </c>
      <c r="B1861" s="7" t="s">
        <v>415</v>
      </c>
      <c r="C1861" s="8">
        <v>28467</v>
      </c>
      <c r="D1861" s="7" t="s">
        <v>28</v>
      </c>
      <c r="E1861" s="7" t="s">
        <v>429</v>
      </c>
      <c r="F1861" s="7" t="s">
        <v>430</v>
      </c>
      <c r="G1861" s="7" t="s">
        <v>18</v>
      </c>
      <c r="H1861" s="7" t="s">
        <v>109</v>
      </c>
      <c r="I1861" s="7" t="s">
        <v>712</v>
      </c>
      <c r="J1861" s="7" t="s">
        <v>691</v>
      </c>
      <c r="K1861" s="8">
        <v>6326957</v>
      </c>
      <c r="L1861" s="8">
        <v>324148</v>
      </c>
      <c r="M1861" s="8">
        <v>19</v>
      </c>
      <c r="N1861" s="8">
        <v>1</v>
      </c>
      <c r="O1861" s="8">
        <v>3.91</v>
      </c>
      <c r="P1861" s="8"/>
    </row>
    <row r="1862" spans="1:16" hidden="1" x14ac:dyDescent="0.25">
      <c r="A1862" s="7" t="s">
        <v>37</v>
      </c>
      <c r="B1862" s="7" t="s">
        <v>415</v>
      </c>
      <c r="C1862" s="8">
        <v>28468</v>
      </c>
      <c r="D1862" s="7" t="s">
        <v>28</v>
      </c>
      <c r="E1862" s="7" t="s">
        <v>344</v>
      </c>
      <c r="F1862" s="7" t="s">
        <v>345</v>
      </c>
      <c r="G1862" s="7" t="s">
        <v>18</v>
      </c>
      <c r="H1862" s="7" t="s">
        <v>24</v>
      </c>
      <c r="I1862" s="7" t="s">
        <v>712</v>
      </c>
      <c r="J1862" s="7" t="s">
        <v>712</v>
      </c>
      <c r="K1862" s="8">
        <v>6272789</v>
      </c>
      <c r="L1862" s="8">
        <v>301671</v>
      </c>
      <c r="M1862" s="8">
        <v>19</v>
      </c>
      <c r="N1862" s="8">
        <v>1</v>
      </c>
      <c r="O1862" s="8">
        <v>0.95</v>
      </c>
      <c r="P1862" s="8"/>
    </row>
    <row r="1863" spans="1:16" hidden="1" x14ac:dyDescent="0.25">
      <c r="A1863" s="7" t="s">
        <v>37</v>
      </c>
      <c r="B1863" s="7" t="s">
        <v>343</v>
      </c>
      <c r="C1863" s="8">
        <v>28469</v>
      </c>
      <c r="D1863" s="7" t="s">
        <v>16</v>
      </c>
      <c r="E1863" s="7" t="s">
        <v>127</v>
      </c>
      <c r="F1863" s="7" t="s">
        <v>127</v>
      </c>
      <c r="G1863" s="7" t="s">
        <v>18</v>
      </c>
      <c r="H1863" s="7" t="s">
        <v>48</v>
      </c>
      <c r="I1863" s="7" t="s">
        <v>712</v>
      </c>
      <c r="J1863" s="7" t="s">
        <v>712</v>
      </c>
      <c r="K1863" s="8">
        <v>6047470</v>
      </c>
      <c r="L1863" s="8">
        <v>281964</v>
      </c>
      <c r="M1863" s="8">
        <v>19</v>
      </c>
      <c r="N1863" s="8">
        <v>3</v>
      </c>
      <c r="O1863" s="8">
        <v>20</v>
      </c>
      <c r="P1863" s="8"/>
    </row>
    <row r="1864" spans="1:16" hidden="1" x14ac:dyDescent="0.25">
      <c r="A1864" s="7" t="s">
        <v>37</v>
      </c>
      <c r="B1864" s="7" t="s">
        <v>343</v>
      </c>
      <c r="C1864" s="8">
        <v>28470</v>
      </c>
      <c r="D1864" s="7" t="s">
        <v>16</v>
      </c>
      <c r="E1864" s="7" t="s">
        <v>72</v>
      </c>
      <c r="F1864" s="7" t="s">
        <v>72</v>
      </c>
      <c r="G1864" s="7" t="s">
        <v>18</v>
      </c>
      <c r="H1864" s="7" t="s">
        <v>48</v>
      </c>
      <c r="I1864" s="7" t="s">
        <v>712</v>
      </c>
      <c r="J1864" s="7" t="s">
        <v>712</v>
      </c>
      <c r="K1864" s="8">
        <v>6090131</v>
      </c>
      <c r="L1864" s="8">
        <v>286663</v>
      </c>
      <c r="M1864" s="8">
        <v>19</v>
      </c>
      <c r="N1864" s="8">
        <v>2</v>
      </c>
      <c r="O1864" s="8">
        <v>25</v>
      </c>
      <c r="P1864" s="8"/>
    </row>
    <row r="1865" spans="1:16" hidden="1" x14ac:dyDescent="0.25">
      <c r="A1865" s="7" t="s">
        <v>37</v>
      </c>
      <c r="B1865" s="7" t="s">
        <v>343</v>
      </c>
      <c r="C1865" s="8">
        <v>28471</v>
      </c>
      <c r="D1865" s="7" t="s">
        <v>16</v>
      </c>
      <c r="E1865" s="7" t="s">
        <v>127</v>
      </c>
      <c r="F1865" s="7" t="s">
        <v>128</v>
      </c>
      <c r="G1865" s="7" t="s">
        <v>18</v>
      </c>
      <c r="H1865" s="7" t="s">
        <v>48</v>
      </c>
      <c r="I1865" s="7" t="s">
        <v>712</v>
      </c>
      <c r="J1865" s="7" t="s">
        <v>712</v>
      </c>
      <c r="K1865" s="8">
        <v>6045602</v>
      </c>
      <c r="L1865" s="8">
        <v>279022</v>
      </c>
      <c r="M1865" s="8">
        <v>19</v>
      </c>
      <c r="N1865" s="8">
        <v>1</v>
      </c>
      <c r="O1865" s="8">
        <v>14</v>
      </c>
      <c r="P1865" s="8"/>
    </row>
    <row r="1866" spans="1:16" hidden="1" x14ac:dyDescent="0.25">
      <c r="A1866" s="7" t="s">
        <v>37</v>
      </c>
      <c r="B1866" s="7" t="s">
        <v>254</v>
      </c>
      <c r="C1866" s="8">
        <v>28472</v>
      </c>
      <c r="D1866" s="7" t="s">
        <v>16</v>
      </c>
      <c r="E1866" s="7" t="s">
        <v>268</v>
      </c>
      <c r="F1866" s="7" t="s">
        <v>335</v>
      </c>
      <c r="G1866" s="7" t="s">
        <v>18</v>
      </c>
      <c r="H1866" s="7" t="s">
        <v>24</v>
      </c>
      <c r="I1866" s="7" t="s">
        <v>712</v>
      </c>
      <c r="J1866" s="7" t="s">
        <v>712</v>
      </c>
      <c r="K1866" s="8">
        <v>6131766</v>
      </c>
      <c r="L1866" s="8">
        <v>320403</v>
      </c>
      <c r="M1866" s="8">
        <v>19</v>
      </c>
      <c r="N1866" s="8">
        <v>1</v>
      </c>
      <c r="O1866" s="8">
        <v>2</v>
      </c>
      <c r="P1866" s="8"/>
    </row>
    <row r="1867" spans="1:16" hidden="1" x14ac:dyDescent="0.25">
      <c r="A1867" s="7" t="s">
        <v>37</v>
      </c>
      <c r="B1867" s="7" t="s">
        <v>343</v>
      </c>
      <c r="C1867" s="8">
        <v>28473</v>
      </c>
      <c r="D1867" s="7" t="s">
        <v>16</v>
      </c>
      <c r="E1867" s="7" t="s">
        <v>17</v>
      </c>
      <c r="F1867" s="7" t="s">
        <v>400</v>
      </c>
      <c r="G1867" s="7" t="s">
        <v>18</v>
      </c>
      <c r="H1867" s="7" t="s">
        <v>48</v>
      </c>
      <c r="I1867" s="7" t="s">
        <v>712</v>
      </c>
      <c r="J1867" s="7" t="s">
        <v>712</v>
      </c>
      <c r="K1867" s="8">
        <v>6070083</v>
      </c>
      <c r="L1867" s="8">
        <v>271083</v>
      </c>
      <c r="M1867" s="8">
        <v>19</v>
      </c>
      <c r="N1867" s="8">
        <v>1</v>
      </c>
      <c r="O1867" s="8">
        <v>27</v>
      </c>
      <c r="P1867" s="8"/>
    </row>
    <row r="1868" spans="1:16" hidden="1" x14ac:dyDescent="0.25">
      <c r="A1868" s="7" t="s">
        <v>37</v>
      </c>
      <c r="B1868" s="7" t="s">
        <v>343</v>
      </c>
      <c r="C1868" s="8">
        <v>28474</v>
      </c>
      <c r="D1868" s="7" t="s">
        <v>16</v>
      </c>
      <c r="E1868" s="7" t="s">
        <v>17</v>
      </c>
      <c r="F1868" s="7" t="s">
        <v>294</v>
      </c>
      <c r="G1868" s="7" t="s">
        <v>18</v>
      </c>
      <c r="H1868" s="7" t="s">
        <v>48</v>
      </c>
      <c r="I1868" s="7" t="s">
        <v>712</v>
      </c>
      <c r="J1868" s="7" t="s">
        <v>712</v>
      </c>
      <c r="K1868" s="8">
        <v>6073439</v>
      </c>
      <c r="L1868" s="8">
        <v>279015</v>
      </c>
      <c r="M1868" s="8">
        <v>19</v>
      </c>
      <c r="N1868" s="8">
        <v>1</v>
      </c>
      <c r="O1868" s="8">
        <v>10</v>
      </c>
      <c r="P1868" s="8"/>
    </row>
    <row r="1869" spans="1:16" hidden="1" x14ac:dyDescent="0.25">
      <c r="A1869" s="7" t="s">
        <v>14</v>
      </c>
      <c r="B1869" s="7" t="s">
        <v>415</v>
      </c>
      <c r="C1869" s="8">
        <v>28475</v>
      </c>
      <c r="D1869" s="7" t="s">
        <v>322</v>
      </c>
      <c r="E1869" s="7" t="s">
        <v>323</v>
      </c>
      <c r="F1869" s="7" t="s">
        <v>422</v>
      </c>
      <c r="G1869" s="7" t="s">
        <v>18</v>
      </c>
      <c r="H1869" s="7" t="s">
        <v>689</v>
      </c>
      <c r="I1869" s="7" t="s">
        <v>712</v>
      </c>
      <c r="J1869" s="7" t="s">
        <v>712</v>
      </c>
      <c r="K1869" s="8">
        <v>7950246</v>
      </c>
      <c r="L1869" s="8">
        <v>378641</v>
      </c>
      <c r="M1869" s="8">
        <v>19</v>
      </c>
      <c r="N1869" s="8">
        <v>1</v>
      </c>
      <c r="O1869" s="8">
        <v>0.13</v>
      </c>
      <c r="P1869" s="8"/>
    </row>
    <row r="1870" spans="1:16" hidden="1" x14ac:dyDescent="0.25">
      <c r="A1870" s="7" t="s">
        <v>14</v>
      </c>
      <c r="B1870" s="7" t="s">
        <v>415</v>
      </c>
      <c r="C1870" s="8">
        <v>28476</v>
      </c>
      <c r="D1870" s="7" t="s">
        <v>322</v>
      </c>
      <c r="E1870" s="7" t="s">
        <v>323</v>
      </c>
      <c r="F1870" s="7" t="s">
        <v>422</v>
      </c>
      <c r="G1870" s="7" t="s">
        <v>18</v>
      </c>
      <c r="H1870" s="7" t="s">
        <v>689</v>
      </c>
      <c r="I1870" s="7" t="s">
        <v>712</v>
      </c>
      <c r="J1870" s="7" t="s">
        <v>712</v>
      </c>
      <c r="K1870" s="8">
        <v>7952735</v>
      </c>
      <c r="L1870" s="8">
        <v>370970</v>
      </c>
      <c r="M1870" s="8">
        <v>19</v>
      </c>
      <c r="N1870" s="8">
        <v>1</v>
      </c>
      <c r="O1870" s="8">
        <v>0.15</v>
      </c>
      <c r="P1870" s="8"/>
    </row>
    <row r="1871" spans="1:16" hidden="1" x14ac:dyDescent="0.25">
      <c r="A1871" s="7" t="s">
        <v>14</v>
      </c>
      <c r="B1871" s="7" t="s">
        <v>415</v>
      </c>
      <c r="C1871" s="8">
        <v>28477</v>
      </c>
      <c r="D1871" s="7" t="s">
        <v>322</v>
      </c>
      <c r="E1871" s="7" t="s">
        <v>323</v>
      </c>
      <c r="F1871" s="7" t="s">
        <v>422</v>
      </c>
      <c r="G1871" s="7" t="s">
        <v>18</v>
      </c>
      <c r="H1871" s="7" t="s">
        <v>689</v>
      </c>
      <c r="I1871" s="7" t="s">
        <v>712</v>
      </c>
      <c r="J1871" s="7" t="s">
        <v>712</v>
      </c>
      <c r="K1871" s="8">
        <v>7955544</v>
      </c>
      <c r="L1871" s="8">
        <v>366036</v>
      </c>
      <c r="M1871" s="8">
        <v>19</v>
      </c>
      <c r="N1871" s="8">
        <v>1</v>
      </c>
      <c r="O1871" s="8">
        <v>1.65</v>
      </c>
      <c r="P1871" s="8"/>
    </row>
    <row r="1872" spans="1:16" hidden="1" x14ac:dyDescent="0.25">
      <c r="A1872" s="7" t="s">
        <v>14</v>
      </c>
      <c r="B1872" s="7" t="s">
        <v>415</v>
      </c>
      <c r="C1872" s="8">
        <v>28478</v>
      </c>
      <c r="D1872" s="7" t="s">
        <v>322</v>
      </c>
      <c r="E1872" s="7" t="s">
        <v>323</v>
      </c>
      <c r="F1872" s="7" t="s">
        <v>422</v>
      </c>
      <c r="G1872" s="7" t="s">
        <v>18</v>
      </c>
      <c r="H1872" s="7" t="s">
        <v>689</v>
      </c>
      <c r="I1872" s="7" t="s">
        <v>712</v>
      </c>
      <c r="J1872" s="7" t="s">
        <v>712</v>
      </c>
      <c r="K1872" s="8">
        <v>7952542</v>
      </c>
      <c r="L1872" s="8">
        <v>371267</v>
      </c>
      <c r="M1872" s="8">
        <v>19</v>
      </c>
      <c r="N1872" s="8">
        <v>1</v>
      </c>
      <c r="O1872" s="8">
        <v>0.51</v>
      </c>
      <c r="P1872" s="8"/>
    </row>
    <row r="1873" spans="1:16" hidden="1" x14ac:dyDescent="0.25">
      <c r="A1873" s="7" t="s">
        <v>37</v>
      </c>
      <c r="B1873" s="7" t="s">
        <v>415</v>
      </c>
      <c r="C1873" s="8">
        <v>28486</v>
      </c>
      <c r="D1873" s="7" t="s">
        <v>28</v>
      </c>
      <c r="E1873" s="7" t="s">
        <v>387</v>
      </c>
      <c r="F1873" s="7" t="s">
        <v>540</v>
      </c>
      <c r="G1873" s="7" t="s">
        <v>18</v>
      </c>
      <c r="H1873" s="7" t="s">
        <v>109</v>
      </c>
      <c r="I1873" s="7" t="s">
        <v>712</v>
      </c>
      <c r="J1873" s="7" t="s">
        <v>691</v>
      </c>
      <c r="K1873" s="8">
        <v>6306402</v>
      </c>
      <c r="L1873" s="8">
        <v>332798</v>
      </c>
      <c r="M1873" s="8">
        <v>19</v>
      </c>
      <c r="N1873" s="8">
        <v>1</v>
      </c>
      <c r="O1873" s="8">
        <v>2.4</v>
      </c>
      <c r="P1873" s="8"/>
    </row>
    <row r="1874" spans="1:16" hidden="1" x14ac:dyDescent="0.25">
      <c r="A1874" s="7" t="s">
        <v>37</v>
      </c>
      <c r="B1874" s="7" t="s">
        <v>415</v>
      </c>
      <c r="C1874" s="8">
        <v>28488</v>
      </c>
      <c r="D1874" s="7" t="s">
        <v>28</v>
      </c>
      <c r="E1874" s="7" t="s">
        <v>32</v>
      </c>
      <c r="F1874" s="7" t="s">
        <v>457</v>
      </c>
      <c r="G1874" s="7" t="s">
        <v>18</v>
      </c>
      <c r="H1874" s="7" t="s">
        <v>24</v>
      </c>
      <c r="I1874" s="7" t="s">
        <v>712</v>
      </c>
      <c r="J1874" s="7" t="s">
        <v>712</v>
      </c>
      <c r="K1874" s="8">
        <v>6277359</v>
      </c>
      <c r="L1874" s="8">
        <v>347485</v>
      </c>
      <c r="M1874" s="8">
        <v>19</v>
      </c>
      <c r="N1874" s="8">
        <v>1</v>
      </c>
      <c r="O1874" s="8">
        <v>1.6</v>
      </c>
      <c r="P1874" s="8"/>
    </row>
    <row r="1875" spans="1:16" hidden="1" x14ac:dyDescent="0.25">
      <c r="A1875" s="7" t="s">
        <v>37</v>
      </c>
      <c r="B1875" s="7" t="s">
        <v>415</v>
      </c>
      <c r="C1875" s="8">
        <v>28489</v>
      </c>
      <c r="D1875" s="7" t="s">
        <v>28</v>
      </c>
      <c r="E1875" s="7" t="s">
        <v>29</v>
      </c>
      <c r="F1875" s="7" t="s">
        <v>461</v>
      </c>
      <c r="G1875" s="7" t="s">
        <v>18</v>
      </c>
      <c r="H1875" s="7" t="s">
        <v>109</v>
      </c>
      <c r="I1875" s="7" t="s">
        <v>712</v>
      </c>
      <c r="J1875" s="7" t="s">
        <v>691</v>
      </c>
      <c r="K1875" s="8">
        <v>6256492</v>
      </c>
      <c r="L1875" s="8">
        <v>346609</v>
      </c>
      <c r="M1875" s="8">
        <v>19</v>
      </c>
      <c r="N1875" s="8">
        <v>1</v>
      </c>
      <c r="O1875" s="8">
        <v>2.88</v>
      </c>
      <c r="P1875" s="8"/>
    </row>
    <row r="1876" spans="1:16" hidden="1" x14ac:dyDescent="0.25">
      <c r="A1876" s="7" t="s">
        <v>37</v>
      </c>
      <c r="B1876" s="7" t="s">
        <v>270</v>
      </c>
      <c r="C1876" s="8">
        <v>28490</v>
      </c>
      <c r="D1876" s="7" t="s">
        <v>16</v>
      </c>
      <c r="E1876" s="7" t="s">
        <v>17</v>
      </c>
      <c r="F1876" s="7" t="s">
        <v>149</v>
      </c>
      <c r="G1876" s="7" t="s">
        <v>18</v>
      </c>
      <c r="H1876" s="7" t="s">
        <v>24</v>
      </c>
      <c r="I1876" s="7" t="s">
        <v>712</v>
      </c>
      <c r="J1876" s="7" t="s">
        <v>712</v>
      </c>
      <c r="K1876" s="8">
        <v>6058475</v>
      </c>
      <c r="L1876" s="8">
        <v>276175</v>
      </c>
      <c r="M1876" s="8">
        <v>19</v>
      </c>
      <c r="N1876" s="8">
        <v>1</v>
      </c>
      <c r="O1876" s="8">
        <v>0.5</v>
      </c>
      <c r="P1876" s="8"/>
    </row>
    <row r="1877" spans="1:16" hidden="1" x14ac:dyDescent="0.25">
      <c r="A1877" s="7" t="s">
        <v>37</v>
      </c>
      <c r="B1877" s="7" t="s">
        <v>415</v>
      </c>
      <c r="C1877" s="8">
        <v>28491</v>
      </c>
      <c r="D1877" s="7" t="s">
        <v>28</v>
      </c>
      <c r="E1877" s="7" t="s">
        <v>32</v>
      </c>
      <c r="F1877" s="7" t="s">
        <v>443</v>
      </c>
      <c r="G1877" s="7" t="s">
        <v>18</v>
      </c>
      <c r="H1877" s="7" t="s">
        <v>109</v>
      </c>
      <c r="I1877" s="7" t="s">
        <v>712</v>
      </c>
      <c r="J1877" s="7" t="s">
        <v>691</v>
      </c>
      <c r="K1877" s="8">
        <v>6274207</v>
      </c>
      <c r="L1877" s="8">
        <v>341783</v>
      </c>
      <c r="M1877" s="8">
        <v>19</v>
      </c>
      <c r="N1877" s="8">
        <v>1</v>
      </c>
      <c r="O1877" s="8">
        <v>2.4</v>
      </c>
      <c r="P1877" s="8"/>
    </row>
    <row r="1878" spans="1:16" hidden="1" x14ac:dyDescent="0.25">
      <c r="A1878" s="7" t="s">
        <v>37</v>
      </c>
      <c r="B1878" s="7" t="s">
        <v>415</v>
      </c>
      <c r="C1878" s="8">
        <v>28492</v>
      </c>
      <c r="D1878" s="7" t="s">
        <v>28</v>
      </c>
      <c r="E1878" s="7" t="s">
        <v>32</v>
      </c>
      <c r="F1878" s="7" t="s">
        <v>450</v>
      </c>
      <c r="G1878" s="7" t="s">
        <v>18</v>
      </c>
      <c r="H1878" s="7" t="s">
        <v>24</v>
      </c>
      <c r="I1878" s="7" t="s">
        <v>712</v>
      </c>
      <c r="J1878" s="7" t="s">
        <v>712</v>
      </c>
      <c r="K1878" s="8">
        <v>6279688</v>
      </c>
      <c r="L1878" s="8">
        <v>339893</v>
      </c>
      <c r="M1878" s="8">
        <v>19</v>
      </c>
      <c r="N1878" s="8">
        <v>1</v>
      </c>
      <c r="O1878" s="8">
        <v>1</v>
      </c>
      <c r="P1878" s="8"/>
    </row>
    <row r="1879" spans="1:16" hidden="1" x14ac:dyDescent="0.25">
      <c r="A1879" s="7" t="s">
        <v>37</v>
      </c>
      <c r="B1879" s="7" t="s">
        <v>415</v>
      </c>
      <c r="C1879" s="8">
        <v>28495</v>
      </c>
      <c r="D1879" s="7" t="s">
        <v>28</v>
      </c>
      <c r="E1879" s="7" t="s">
        <v>344</v>
      </c>
      <c r="F1879" s="7" t="s">
        <v>457</v>
      </c>
      <c r="G1879" s="7" t="s">
        <v>18</v>
      </c>
      <c r="H1879" s="7" t="s">
        <v>24</v>
      </c>
      <c r="I1879" s="7" t="s">
        <v>712</v>
      </c>
      <c r="J1879" s="7" t="s">
        <v>712</v>
      </c>
      <c r="K1879" s="8">
        <v>6276375</v>
      </c>
      <c r="L1879" s="8">
        <v>289294</v>
      </c>
      <c r="M1879" s="8">
        <v>19</v>
      </c>
      <c r="N1879" s="8">
        <v>1</v>
      </c>
      <c r="O1879" s="8">
        <v>1</v>
      </c>
      <c r="P1879" s="8"/>
    </row>
    <row r="1880" spans="1:16" hidden="1" x14ac:dyDescent="0.25">
      <c r="A1880" s="7" t="s">
        <v>37</v>
      </c>
      <c r="B1880" s="7" t="s">
        <v>415</v>
      </c>
      <c r="C1880" s="8">
        <v>28496</v>
      </c>
      <c r="D1880" s="7" t="s">
        <v>28</v>
      </c>
      <c r="E1880" s="7" t="s">
        <v>32</v>
      </c>
      <c r="F1880" s="7" t="s">
        <v>457</v>
      </c>
      <c r="G1880" s="7" t="s">
        <v>18</v>
      </c>
      <c r="H1880" s="7" t="s">
        <v>24</v>
      </c>
      <c r="I1880" s="7" t="s">
        <v>712</v>
      </c>
      <c r="J1880" s="7" t="s">
        <v>712</v>
      </c>
      <c r="K1880" s="8">
        <v>6277175</v>
      </c>
      <c r="L1880" s="8">
        <v>347091</v>
      </c>
      <c r="M1880" s="8">
        <v>19</v>
      </c>
      <c r="N1880" s="8">
        <v>1</v>
      </c>
      <c r="O1880" s="8">
        <v>1.3</v>
      </c>
      <c r="P1880" s="8"/>
    </row>
    <row r="1881" spans="1:16" hidden="1" x14ac:dyDescent="0.25">
      <c r="A1881" s="7" t="s">
        <v>19</v>
      </c>
      <c r="B1881" s="7" t="s">
        <v>270</v>
      </c>
      <c r="C1881" s="8">
        <v>28497</v>
      </c>
      <c r="D1881" s="7" t="s">
        <v>21</v>
      </c>
      <c r="E1881" s="7" t="s">
        <v>280</v>
      </c>
      <c r="F1881" s="7" t="s">
        <v>280</v>
      </c>
      <c r="G1881" s="7" t="s">
        <v>18</v>
      </c>
      <c r="H1881" s="7" t="s">
        <v>24</v>
      </c>
      <c r="I1881" s="7" t="s">
        <v>712</v>
      </c>
      <c r="J1881" s="7" t="s">
        <v>712</v>
      </c>
      <c r="K1881" s="8">
        <v>6363949</v>
      </c>
      <c r="L1881" s="8">
        <v>322792</v>
      </c>
      <c r="M1881" s="8">
        <v>19</v>
      </c>
      <c r="N1881" s="8">
        <v>1</v>
      </c>
      <c r="O1881" s="8">
        <v>1</v>
      </c>
      <c r="P1881" s="8"/>
    </row>
    <row r="1882" spans="1:16" hidden="1" x14ac:dyDescent="0.25">
      <c r="A1882" s="7" t="s">
        <v>19</v>
      </c>
      <c r="B1882" s="7" t="s">
        <v>270</v>
      </c>
      <c r="C1882" s="8">
        <v>28500</v>
      </c>
      <c r="D1882" s="7" t="s">
        <v>28</v>
      </c>
      <c r="E1882" s="7" t="s">
        <v>393</v>
      </c>
      <c r="F1882" s="7" t="s">
        <v>635</v>
      </c>
      <c r="G1882" s="7" t="s">
        <v>18</v>
      </c>
      <c r="H1882" s="7" t="s">
        <v>24</v>
      </c>
      <c r="I1882" s="7" t="s">
        <v>712</v>
      </c>
      <c r="J1882" s="7" t="s">
        <v>712</v>
      </c>
      <c r="K1882" s="8">
        <v>6269340</v>
      </c>
      <c r="L1882" s="8">
        <v>314739</v>
      </c>
      <c r="M1882" s="8">
        <v>19</v>
      </c>
      <c r="N1882" s="8">
        <v>1</v>
      </c>
      <c r="O1882" s="8">
        <v>1</v>
      </c>
      <c r="P1882" s="8"/>
    </row>
    <row r="1883" spans="1:16" hidden="1" x14ac:dyDescent="0.25">
      <c r="A1883" s="7" t="s">
        <v>37</v>
      </c>
      <c r="B1883" s="7" t="s">
        <v>415</v>
      </c>
      <c r="C1883" s="8">
        <v>28501</v>
      </c>
      <c r="D1883" s="7" t="s">
        <v>28</v>
      </c>
      <c r="E1883" s="7" t="s">
        <v>56</v>
      </c>
      <c r="F1883" s="7" t="s">
        <v>516</v>
      </c>
      <c r="G1883" s="7" t="s">
        <v>18</v>
      </c>
      <c r="H1883" s="7" t="s">
        <v>24</v>
      </c>
      <c r="I1883" s="7" t="s">
        <v>712</v>
      </c>
      <c r="J1883" s="7" t="s">
        <v>712</v>
      </c>
      <c r="K1883" s="8">
        <v>6271542</v>
      </c>
      <c r="L1883" s="8">
        <v>344122</v>
      </c>
      <c r="M1883" s="8">
        <v>19</v>
      </c>
      <c r="N1883" s="8">
        <v>1</v>
      </c>
      <c r="O1883" s="8">
        <v>0.91</v>
      </c>
      <c r="P1883" s="8"/>
    </row>
    <row r="1884" spans="1:16" hidden="1" x14ac:dyDescent="0.25">
      <c r="A1884" s="7" t="s">
        <v>37</v>
      </c>
      <c r="B1884" s="7" t="s">
        <v>415</v>
      </c>
      <c r="C1884" s="8">
        <v>28502</v>
      </c>
      <c r="D1884" s="7" t="s">
        <v>28</v>
      </c>
      <c r="E1884" s="7" t="s">
        <v>56</v>
      </c>
      <c r="F1884" s="7" t="s">
        <v>516</v>
      </c>
      <c r="G1884" s="7" t="s">
        <v>18</v>
      </c>
      <c r="H1884" s="7" t="s">
        <v>24</v>
      </c>
      <c r="I1884" s="7" t="s">
        <v>712</v>
      </c>
      <c r="J1884" s="7" t="s">
        <v>712</v>
      </c>
      <c r="K1884" s="8">
        <v>6271227</v>
      </c>
      <c r="L1884" s="8">
        <v>343960</v>
      </c>
      <c r="M1884" s="8">
        <v>19</v>
      </c>
      <c r="N1884" s="8">
        <v>1</v>
      </c>
      <c r="O1884" s="8">
        <v>0.97</v>
      </c>
      <c r="P1884" s="8"/>
    </row>
    <row r="1885" spans="1:16" hidden="1" x14ac:dyDescent="0.25">
      <c r="A1885" s="7" t="s">
        <v>37</v>
      </c>
      <c r="B1885" s="7" t="s">
        <v>415</v>
      </c>
      <c r="C1885" s="8">
        <v>28503</v>
      </c>
      <c r="D1885" s="7" t="s">
        <v>28</v>
      </c>
      <c r="E1885" s="7" t="s">
        <v>364</v>
      </c>
      <c r="F1885" s="7" t="s">
        <v>364</v>
      </c>
      <c r="G1885" s="7" t="s">
        <v>18</v>
      </c>
      <c r="H1885" s="7" t="s">
        <v>24</v>
      </c>
      <c r="I1885" s="7" t="s">
        <v>712</v>
      </c>
      <c r="J1885" s="7" t="s">
        <v>712</v>
      </c>
      <c r="K1885" s="8">
        <v>6272242</v>
      </c>
      <c r="L1885" s="8">
        <v>320345</v>
      </c>
      <c r="M1885" s="8">
        <v>19</v>
      </c>
      <c r="N1885" s="8">
        <v>1</v>
      </c>
      <c r="O1885" s="8">
        <v>0.8</v>
      </c>
      <c r="P1885" s="8"/>
    </row>
    <row r="1886" spans="1:16" hidden="1" x14ac:dyDescent="0.25">
      <c r="A1886" s="7" t="s">
        <v>37</v>
      </c>
      <c r="B1886" s="7" t="s">
        <v>415</v>
      </c>
      <c r="C1886" s="8">
        <v>28505</v>
      </c>
      <c r="D1886" s="7" t="s">
        <v>28</v>
      </c>
      <c r="E1886" s="7" t="s">
        <v>146</v>
      </c>
      <c r="F1886" s="7" t="s">
        <v>465</v>
      </c>
      <c r="G1886" s="7" t="s">
        <v>18</v>
      </c>
      <c r="H1886" s="7" t="s">
        <v>24</v>
      </c>
      <c r="I1886" s="7" t="s">
        <v>712</v>
      </c>
      <c r="J1886" s="7" t="s">
        <v>712</v>
      </c>
      <c r="K1886" s="8">
        <v>6271541</v>
      </c>
      <c r="L1886" s="8">
        <v>323236</v>
      </c>
      <c r="M1886" s="8">
        <v>19</v>
      </c>
      <c r="N1886" s="8">
        <v>1</v>
      </c>
      <c r="O1886" s="8">
        <v>0.98</v>
      </c>
      <c r="P1886" s="8"/>
    </row>
    <row r="1887" spans="1:16" hidden="1" x14ac:dyDescent="0.25">
      <c r="A1887" s="7" t="s">
        <v>37</v>
      </c>
      <c r="B1887" s="7" t="s">
        <v>415</v>
      </c>
      <c r="C1887" s="8">
        <v>28506</v>
      </c>
      <c r="D1887" s="7" t="s">
        <v>28</v>
      </c>
      <c r="E1887" s="7" t="s">
        <v>29</v>
      </c>
      <c r="F1887" s="7" t="s">
        <v>30</v>
      </c>
      <c r="G1887" s="7" t="s">
        <v>18</v>
      </c>
      <c r="H1887" s="7" t="s">
        <v>109</v>
      </c>
      <c r="I1887" s="7" t="s">
        <v>712</v>
      </c>
      <c r="J1887" s="7" t="s">
        <v>691</v>
      </c>
      <c r="K1887" s="8">
        <v>6279583</v>
      </c>
      <c r="L1887" s="8">
        <v>334319</v>
      </c>
      <c r="M1887" s="8">
        <v>19</v>
      </c>
      <c r="N1887" s="8">
        <v>1</v>
      </c>
      <c r="O1887" s="8">
        <v>4.8499999999999996</v>
      </c>
      <c r="P1887" s="8"/>
    </row>
    <row r="1888" spans="1:16" hidden="1" x14ac:dyDescent="0.25">
      <c r="A1888" s="7" t="s">
        <v>37</v>
      </c>
      <c r="B1888" s="7" t="s">
        <v>415</v>
      </c>
      <c r="C1888" s="8">
        <v>28508</v>
      </c>
      <c r="D1888" s="7" t="s">
        <v>28</v>
      </c>
      <c r="E1888" s="7" t="s">
        <v>146</v>
      </c>
      <c r="F1888" s="7" t="s">
        <v>146</v>
      </c>
      <c r="G1888" s="7" t="s">
        <v>18</v>
      </c>
      <c r="H1888" s="7" t="s">
        <v>24</v>
      </c>
      <c r="I1888" s="7" t="s">
        <v>712</v>
      </c>
      <c r="J1888" s="7" t="s">
        <v>712</v>
      </c>
      <c r="K1888" s="8">
        <v>6272226</v>
      </c>
      <c r="L1888" s="8">
        <v>321646</v>
      </c>
      <c r="M1888" s="8">
        <v>19</v>
      </c>
      <c r="N1888" s="8">
        <v>1</v>
      </c>
      <c r="O1888" s="8">
        <v>0.98</v>
      </c>
      <c r="P1888" s="8"/>
    </row>
    <row r="1889" spans="1:16" hidden="1" x14ac:dyDescent="0.25">
      <c r="A1889" s="7" t="s">
        <v>37</v>
      </c>
      <c r="B1889" s="7" t="s">
        <v>415</v>
      </c>
      <c r="C1889" s="8">
        <v>28509</v>
      </c>
      <c r="D1889" s="7" t="s">
        <v>28</v>
      </c>
      <c r="E1889" s="7" t="s">
        <v>146</v>
      </c>
      <c r="F1889" s="7" t="s">
        <v>515</v>
      </c>
      <c r="G1889" s="7" t="s">
        <v>18</v>
      </c>
      <c r="H1889" s="7" t="s">
        <v>24</v>
      </c>
      <c r="I1889" s="7" t="s">
        <v>712</v>
      </c>
      <c r="J1889" s="7" t="s">
        <v>712</v>
      </c>
      <c r="K1889" s="8">
        <v>6278536</v>
      </c>
      <c r="L1889" s="8">
        <v>335950</v>
      </c>
      <c r="M1889" s="8">
        <v>19</v>
      </c>
      <c r="N1889" s="8">
        <v>1</v>
      </c>
      <c r="O1889" s="8">
        <v>1.02</v>
      </c>
      <c r="P1889" s="8"/>
    </row>
    <row r="1890" spans="1:16" hidden="1" x14ac:dyDescent="0.25">
      <c r="A1890" s="7" t="s">
        <v>37</v>
      </c>
      <c r="B1890" s="7" t="s">
        <v>415</v>
      </c>
      <c r="C1890" s="8">
        <v>28511</v>
      </c>
      <c r="D1890" s="7" t="s">
        <v>28</v>
      </c>
      <c r="E1890" s="7" t="s">
        <v>146</v>
      </c>
      <c r="F1890" s="7" t="s">
        <v>515</v>
      </c>
      <c r="G1890" s="7" t="s">
        <v>18</v>
      </c>
      <c r="H1890" s="7" t="s">
        <v>24</v>
      </c>
      <c r="I1890" s="7" t="s">
        <v>712</v>
      </c>
      <c r="J1890" s="7" t="s">
        <v>712</v>
      </c>
      <c r="K1890" s="8">
        <v>6278849</v>
      </c>
      <c r="L1890" s="8">
        <v>336384</v>
      </c>
      <c r="M1890" s="8">
        <v>19</v>
      </c>
      <c r="N1890" s="8">
        <v>1</v>
      </c>
      <c r="O1890" s="8">
        <v>1</v>
      </c>
      <c r="P1890" s="8"/>
    </row>
    <row r="1891" spans="1:16" hidden="1" x14ac:dyDescent="0.25">
      <c r="A1891" s="7" t="s">
        <v>37</v>
      </c>
      <c r="B1891" s="7" t="s">
        <v>254</v>
      </c>
      <c r="C1891" s="8">
        <v>28513</v>
      </c>
      <c r="D1891" s="7" t="s">
        <v>16</v>
      </c>
      <c r="E1891" s="7" t="s">
        <v>60</v>
      </c>
      <c r="F1891" s="7" t="s">
        <v>290</v>
      </c>
      <c r="G1891" s="7" t="s">
        <v>18</v>
      </c>
      <c r="H1891" s="7" t="s">
        <v>24</v>
      </c>
      <c r="I1891" s="7" t="s">
        <v>712</v>
      </c>
      <c r="J1891" s="7" t="s">
        <v>712</v>
      </c>
      <c r="K1891" s="8">
        <v>6082347</v>
      </c>
      <c r="L1891" s="8">
        <v>279601</v>
      </c>
      <c r="M1891" s="8">
        <v>19</v>
      </c>
      <c r="N1891" s="8">
        <v>2</v>
      </c>
      <c r="O1891" s="8">
        <v>13.4</v>
      </c>
      <c r="P1891" s="8"/>
    </row>
    <row r="1892" spans="1:16" hidden="1" x14ac:dyDescent="0.25">
      <c r="A1892" s="7" t="s">
        <v>37</v>
      </c>
      <c r="B1892" s="7" t="s">
        <v>415</v>
      </c>
      <c r="C1892" s="8">
        <v>28514</v>
      </c>
      <c r="D1892" s="7" t="s">
        <v>28</v>
      </c>
      <c r="E1892" s="7" t="s">
        <v>146</v>
      </c>
      <c r="F1892" s="7" t="s">
        <v>465</v>
      </c>
      <c r="G1892" s="7" t="s">
        <v>18</v>
      </c>
      <c r="H1892" s="7" t="s">
        <v>24</v>
      </c>
      <c r="I1892" s="7" t="s">
        <v>712</v>
      </c>
      <c r="J1892" s="7" t="s">
        <v>712</v>
      </c>
      <c r="K1892" s="8">
        <v>6271314</v>
      </c>
      <c r="L1892" s="8">
        <v>323075</v>
      </c>
      <c r="M1892" s="8">
        <v>19</v>
      </c>
      <c r="N1892" s="8">
        <v>1</v>
      </c>
      <c r="O1892" s="8">
        <v>0.9</v>
      </c>
      <c r="P1892" s="8"/>
    </row>
    <row r="1893" spans="1:16" hidden="1" x14ac:dyDescent="0.25">
      <c r="A1893" s="7" t="s">
        <v>37</v>
      </c>
      <c r="B1893" s="7" t="s">
        <v>245</v>
      </c>
      <c r="C1893" s="8">
        <v>28515</v>
      </c>
      <c r="D1893" s="7" t="s">
        <v>16</v>
      </c>
      <c r="E1893" s="7" t="s">
        <v>60</v>
      </c>
      <c r="F1893" s="7" t="s">
        <v>60</v>
      </c>
      <c r="G1893" s="7" t="s">
        <v>18</v>
      </c>
      <c r="H1893" s="7" t="s">
        <v>24</v>
      </c>
      <c r="I1893" s="7" t="s">
        <v>40</v>
      </c>
      <c r="J1893" s="7" t="s">
        <v>40</v>
      </c>
      <c r="K1893" s="8">
        <v>6080250</v>
      </c>
      <c r="L1893" s="8">
        <v>283092</v>
      </c>
      <c r="M1893" s="8">
        <v>19</v>
      </c>
      <c r="N1893" s="8">
        <v>1</v>
      </c>
      <c r="O1893" s="8">
        <v>0.5</v>
      </c>
      <c r="P1893" s="8"/>
    </row>
    <row r="1894" spans="1:16" hidden="1" x14ac:dyDescent="0.25">
      <c r="A1894" s="7" t="s">
        <v>37</v>
      </c>
      <c r="B1894" s="7" t="s">
        <v>415</v>
      </c>
      <c r="C1894" s="8">
        <v>28516</v>
      </c>
      <c r="D1894" s="7" t="s">
        <v>28</v>
      </c>
      <c r="E1894" s="7" t="s">
        <v>146</v>
      </c>
      <c r="F1894" s="7" t="s">
        <v>465</v>
      </c>
      <c r="G1894" s="7" t="s">
        <v>18</v>
      </c>
      <c r="H1894" s="7" t="s">
        <v>24</v>
      </c>
      <c r="I1894" s="7" t="s">
        <v>712</v>
      </c>
      <c r="J1894" s="7" t="s">
        <v>712</v>
      </c>
      <c r="K1894" s="8">
        <v>6272216</v>
      </c>
      <c r="L1894" s="8">
        <v>321021</v>
      </c>
      <c r="M1894" s="8">
        <v>19</v>
      </c>
      <c r="N1894" s="8">
        <v>1</v>
      </c>
      <c r="O1894" s="8">
        <v>1</v>
      </c>
      <c r="P1894" s="8"/>
    </row>
    <row r="1895" spans="1:16" hidden="1" x14ac:dyDescent="0.25">
      <c r="A1895" s="7" t="s">
        <v>37</v>
      </c>
      <c r="B1895" s="7" t="s">
        <v>245</v>
      </c>
      <c r="C1895" s="8">
        <v>28517</v>
      </c>
      <c r="D1895" s="7" t="s">
        <v>16</v>
      </c>
      <c r="E1895" s="7" t="s">
        <v>60</v>
      </c>
      <c r="F1895" s="7" t="s">
        <v>60</v>
      </c>
      <c r="G1895" s="7" t="s">
        <v>18</v>
      </c>
      <c r="H1895" s="7" t="s">
        <v>24</v>
      </c>
      <c r="I1895" s="7" t="s">
        <v>40</v>
      </c>
      <c r="J1895" s="7" t="s">
        <v>40</v>
      </c>
      <c r="K1895" s="8">
        <v>6080104</v>
      </c>
      <c r="L1895" s="8">
        <v>283757</v>
      </c>
      <c r="M1895" s="8">
        <v>19</v>
      </c>
      <c r="N1895" s="8">
        <v>1</v>
      </c>
      <c r="O1895" s="8">
        <v>0.5</v>
      </c>
      <c r="P1895" s="8"/>
    </row>
    <row r="1896" spans="1:16" hidden="1" x14ac:dyDescent="0.25">
      <c r="A1896" s="7" t="s">
        <v>37</v>
      </c>
      <c r="B1896" s="7" t="s">
        <v>343</v>
      </c>
      <c r="C1896" s="8">
        <v>28518</v>
      </c>
      <c r="D1896" s="7" t="s">
        <v>52</v>
      </c>
      <c r="E1896" s="7" t="s">
        <v>273</v>
      </c>
      <c r="F1896" s="7" t="s">
        <v>273</v>
      </c>
      <c r="G1896" s="7" t="s">
        <v>18</v>
      </c>
      <c r="H1896" s="7" t="s">
        <v>48</v>
      </c>
      <c r="I1896" s="7" t="s">
        <v>712</v>
      </c>
      <c r="J1896" s="7" t="s">
        <v>712</v>
      </c>
      <c r="K1896" s="8">
        <v>6160689</v>
      </c>
      <c r="L1896" s="8">
        <v>293618</v>
      </c>
      <c r="M1896" s="8">
        <v>19</v>
      </c>
      <c r="N1896" s="8">
        <v>2</v>
      </c>
      <c r="O1896" s="8">
        <v>41.35</v>
      </c>
      <c r="P1896" s="8"/>
    </row>
    <row r="1897" spans="1:16" hidden="1" x14ac:dyDescent="0.25">
      <c r="A1897" s="7" t="s">
        <v>37</v>
      </c>
      <c r="B1897" s="7" t="s">
        <v>415</v>
      </c>
      <c r="C1897" s="8">
        <v>28519</v>
      </c>
      <c r="D1897" s="7" t="s">
        <v>28</v>
      </c>
      <c r="E1897" s="7" t="s">
        <v>32</v>
      </c>
      <c r="F1897" s="7" t="s">
        <v>33</v>
      </c>
      <c r="G1897" s="7" t="s">
        <v>18</v>
      </c>
      <c r="H1897" s="7" t="s">
        <v>24</v>
      </c>
      <c r="I1897" s="7" t="s">
        <v>712</v>
      </c>
      <c r="J1897" s="7" t="s">
        <v>712</v>
      </c>
      <c r="K1897" s="8">
        <v>6275922</v>
      </c>
      <c r="L1897" s="8">
        <v>346301</v>
      </c>
      <c r="M1897" s="8">
        <v>19</v>
      </c>
      <c r="N1897" s="8">
        <v>1</v>
      </c>
      <c r="O1897" s="8">
        <v>2.4500000000000002</v>
      </c>
      <c r="P1897" s="8"/>
    </row>
    <row r="1898" spans="1:16" hidden="1" x14ac:dyDescent="0.25">
      <c r="A1898" s="7" t="s">
        <v>37</v>
      </c>
      <c r="B1898" s="7" t="s">
        <v>415</v>
      </c>
      <c r="C1898" s="8">
        <v>28520</v>
      </c>
      <c r="D1898" s="7" t="s">
        <v>28</v>
      </c>
      <c r="E1898" s="7" t="s">
        <v>146</v>
      </c>
      <c r="F1898" s="7" t="s">
        <v>465</v>
      </c>
      <c r="G1898" s="7" t="s">
        <v>18</v>
      </c>
      <c r="H1898" s="7" t="s">
        <v>24</v>
      </c>
      <c r="I1898" s="7" t="s">
        <v>712</v>
      </c>
      <c r="J1898" s="7" t="s">
        <v>712</v>
      </c>
      <c r="K1898" s="8">
        <v>6271918</v>
      </c>
      <c r="L1898" s="8">
        <v>320750</v>
      </c>
      <c r="M1898" s="8">
        <v>19</v>
      </c>
      <c r="N1898" s="8">
        <v>1</v>
      </c>
      <c r="O1898" s="8">
        <v>1.1599999999999999</v>
      </c>
      <c r="P1898" s="8"/>
    </row>
    <row r="1899" spans="1:16" hidden="1" x14ac:dyDescent="0.25">
      <c r="A1899" s="7" t="s">
        <v>37</v>
      </c>
      <c r="B1899" s="7" t="s">
        <v>415</v>
      </c>
      <c r="C1899" s="8">
        <v>28522</v>
      </c>
      <c r="D1899" s="7" t="s">
        <v>28</v>
      </c>
      <c r="E1899" s="7" t="s">
        <v>146</v>
      </c>
      <c r="F1899" s="7" t="s">
        <v>146</v>
      </c>
      <c r="G1899" s="7" t="s">
        <v>18</v>
      </c>
      <c r="H1899" s="7" t="s">
        <v>24</v>
      </c>
      <c r="I1899" s="7" t="s">
        <v>712</v>
      </c>
      <c r="J1899" s="7" t="s">
        <v>712</v>
      </c>
      <c r="K1899" s="8">
        <v>6271380</v>
      </c>
      <c r="L1899" s="8">
        <v>326439</v>
      </c>
      <c r="M1899" s="8">
        <v>19</v>
      </c>
      <c r="N1899" s="8">
        <v>1</v>
      </c>
      <c r="O1899" s="8">
        <v>1.06</v>
      </c>
      <c r="P1899" s="8"/>
    </row>
    <row r="1900" spans="1:16" hidden="1" x14ac:dyDescent="0.25">
      <c r="A1900" s="7" t="s">
        <v>37</v>
      </c>
      <c r="B1900" s="7" t="s">
        <v>415</v>
      </c>
      <c r="C1900" s="8">
        <v>28524</v>
      </c>
      <c r="D1900" s="7" t="s">
        <v>28</v>
      </c>
      <c r="E1900" s="7" t="s">
        <v>29</v>
      </c>
      <c r="F1900" s="7" t="s">
        <v>30</v>
      </c>
      <c r="G1900" s="7" t="s">
        <v>18</v>
      </c>
      <c r="H1900" s="7" t="s">
        <v>24</v>
      </c>
      <c r="I1900" s="7" t="s">
        <v>712</v>
      </c>
      <c r="J1900" s="7" t="s">
        <v>712</v>
      </c>
      <c r="K1900" s="8">
        <v>6253297</v>
      </c>
      <c r="L1900" s="8">
        <v>345418</v>
      </c>
      <c r="M1900" s="8">
        <v>19</v>
      </c>
      <c r="N1900" s="8">
        <v>1</v>
      </c>
      <c r="O1900" s="8">
        <v>1</v>
      </c>
      <c r="P1900" s="8"/>
    </row>
    <row r="1901" spans="1:16" hidden="1" x14ac:dyDescent="0.25">
      <c r="A1901" s="7" t="s">
        <v>37</v>
      </c>
      <c r="B1901" s="7" t="s">
        <v>415</v>
      </c>
      <c r="C1901" s="8">
        <v>28525</v>
      </c>
      <c r="D1901" s="7" t="s">
        <v>28</v>
      </c>
      <c r="E1901" s="7" t="s">
        <v>32</v>
      </c>
      <c r="F1901" s="7" t="s">
        <v>496</v>
      </c>
      <c r="G1901" s="7" t="s">
        <v>18</v>
      </c>
      <c r="H1901" s="7" t="s">
        <v>24</v>
      </c>
      <c r="I1901" s="7" t="s">
        <v>712</v>
      </c>
      <c r="J1901" s="7" t="s">
        <v>712</v>
      </c>
      <c r="K1901" s="8">
        <v>6277037</v>
      </c>
      <c r="L1901" s="8">
        <v>345313</v>
      </c>
      <c r="M1901" s="8">
        <v>19</v>
      </c>
      <c r="N1901" s="8">
        <v>1</v>
      </c>
      <c r="O1901" s="8">
        <v>1.65</v>
      </c>
      <c r="P1901" s="8"/>
    </row>
    <row r="1902" spans="1:16" hidden="1" x14ac:dyDescent="0.25">
      <c r="A1902" s="7" t="s">
        <v>37</v>
      </c>
      <c r="B1902" s="7" t="s">
        <v>415</v>
      </c>
      <c r="C1902" s="8">
        <v>28526</v>
      </c>
      <c r="D1902" s="7" t="s">
        <v>28</v>
      </c>
      <c r="E1902" s="7" t="s">
        <v>135</v>
      </c>
      <c r="F1902" s="7" t="s">
        <v>471</v>
      </c>
      <c r="G1902" s="7" t="s">
        <v>18</v>
      </c>
      <c r="H1902" s="7" t="s">
        <v>24</v>
      </c>
      <c r="I1902" s="7" t="s">
        <v>712</v>
      </c>
      <c r="J1902" s="7" t="s">
        <v>712</v>
      </c>
      <c r="K1902" s="8">
        <v>6280667</v>
      </c>
      <c r="L1902" s="8">
        <v>346323</v>
      </c>
      <c r="M1902" s="8">
        <v>19</v>
      </c>
      <c r="N1902" s="8">
        <v>1</v>
      </c>
      <c r="O1902" s="8">
        <v>1</v>
      </c>
      <c r="P1902" s="8"/>
    </row>
    <row r="1903" spans="1:16" hidden="1" x14ac:dyDescent="0.25">
      <c r="A1903" s="7" t="s">
        <v>37</v>
      </c>
      <c r="B1903" s="7" t="s">
        <v>415</v>
      </c>
      <c r="C1903" s="8">
        <v>28527</v>
      </c>
      <c r="D1903" s="7" t="s">
        <v>28</v>
      </c>
      <c r="E1903" s="7" t="s">
        <v>29</v>
      </c>
      <c r="F1903" s="7" t="s">
        <v>532</v>
      </c>
      <c r="G1903" s="7" t="s">
        <v>18</v>
      </c>
      <c r="H1903" s="7" t="s">
        <v>109</v>
      </c>
      <c r="I1903" s="7" t="s">
        <v>712</v>
      </c>
      <c r="J1903" s="7" t="s">
        <v>691</v>
      </c>
      <c r="K1903" s="8">
        <v>6260054</v>
      </c>
      <c r="L1903" s="8">
        <v>347039</v>
      </c>
      <c r="M1903" s="8">
        <v>19</v>
      </c>
      <c r="N1903" s="8">
        <v>1</v>
      </c>
      <c r="O1903" s="8">
        <v>1.64</v>
      </c>
      <c r="P1903" s="8"/>
    </row>
    <row r="1904" spans="1:16" hidden="1" x14ac:dyDescent="0.25">
      <c r="A1904" s="7" t="s">
        <v>37</v>
      </c>
      <c r="B1904" s="7" t="s">
        <v>415</v>
      </c>
      <c r="C1904" s="8">
        <v>28528</v>
      </c>
      <c r="D1904" s="7" t="s">
        <v>28</v>
      </c>
      <c r="E1904" s="7" t="s">
        <v>387</v>
      </c>
      <c r="F1904" s="7" t="s">
        <v>387</v>
      </c>
      <c r="G1904" s="7" t="s">
        <v>18</v>
      </c>
      <c r="H1904" s="7" t="s">
        <v>24</v>
      </c>
      <c r="I1904" s="7" t="s">
        <v>712</v>
      </c>
      <c r="J1904" s="7" t="s">
        <v>712</v>
      </c>
      <c r="K1904" s="8">
        <v>6306015</v>
      </c>
      <c r="L1904" s="8">
        <v>331827</v>
      </c>
      <c r="M1904" s="8">
        <v>19</v>
      </c>
      <c r="N1904" s="8">
        <v>1</v>
      </c>
      <c r="O1904" s="8">
        <v>0.95</v>
      </c>
      <c r="P1904" s="8"/>
    </row>
    <row r="1905" spans="1:16" hidden="1" x14ac:dyDescent="0.25">
      <c r="A1905" s="7" t="s">
        <v>37</v>
      </c>
      <c r="B1905" s="7" t="s">
        <v>415</v>
      </c>
      <c r="C1905" s="8">
        <v>28529</v>
      </c>
      <c r="D1905" s="7" t="s">
        <v>28</v>
      </c>
      <c r="E1905" s="7" t="s">
        <v>344</v>
      </c>
      <c r="F1905" s="7" t="s">
        <v>531</v>
      </c>
      <c r="G1905" s="7" t="s">
        <v>18</v>
      </c>
      <c r="H1905" s="7" t="s">
        <v>24</v>
      </c>
      <c r="I1905" s="7" t="s">
        <v>712</v>
      </c>
      <c r="J1905" s="7" t="s">
        <v>712</v>
      </c>
      <c r="K1905" s="8">
        <v>6276836</v>
      </c>
      <c r="L1905" s="8">
        <v>295790</v>
      </c>
      <c r="M1905" s="8">
        <v>19</v>
      </c>
      <c r="N1905" s="8">
        <v>1</v>
      </c>
      <c r="O1905" s="8">
        <v>1</v>
      </c>
      <c r="P1905" s="8"/>
    </row>
    <row r="1906" spans="1:16" hidden="1" x14ac:dyDescent="0.25">
      <c r="A1906" s="7" t="s">
        <v>37</v>
      </c>
      <c r="B1906" s="7" t="s">
        <v>415</v>
      </c>
      <c r="C1906" s="8">
        <v>28531</v>
      </c>
      <c r="D1906" s="7" t="s">
        <v>28</v>
      </c>
      <c r="E1906" s="7" t="s">
        <v>166</v>
      </c>
      <c r="F1906" s="7" t="s">
        <v>363</v>
      </c>
      <c r="G1906" s="7" t="s">
        <v>18</v>
      </c>
      <c r="H1906" s="7" t="s">
        <v>24</v>
      </c>
      <c r="I1906" s="7" t="s">
        <v>712</v>
      </c>
      <c r="J1906" s="7" t="s">
        <v>712</v>
      </c>
      <c r="K1906" s="8">
        <v>6266012</v>
      </c>
      <c r="L1906" s="8">
        <v>325512</v>
      </c>
      <c r="M1906" s="8">
        <v>19</v>
      </c>
      <c r="N1906" s="8">
        <v>1</v>
      </c>
      <c r="O1906" s="8">
        <v>0.85</v>
      </c>
      <c r="P1906" s="8"/>
    </row>
    <row r="1907" spans="1:16" hidden="1" x14ac:dyDescent="0.25">
      <c r="A1907" s="7" t="s">
        <v>37</v>
      </c>
      <c r="B1907" s="7" t="s">
        <v>415</v>
      </c>
      <c r="C1907" s="8">
        <v>28532</v>
      </c>
      <c r="D1907" s="7" t="s">
        <v>28</v>
      </c>
      <c r="E1907" s="7" t="s">
        <v>32</v>
      </c>
      <c r="F1907" s="7" t="s">
        <v>147</v>
      </c>
      <c r="G1907" s="7" t="s">
        <v>18</v>
      </c>
      <c r="H1907" s="7" t="s">
        <v>24</v>
      </c>
      <c r="I1907" s="7" t="s">
        <v>712</v>
      </c>
      <c r="J1907" s="7" t="s">
        <v>712</v>
      </c>
      <c r="K1907" s="8">
        <v>6275678</v>
      </c>
      <c r="L1907" s="8">
        <v>339801</v>
      </c>
      <c r="M1907" s="8">
        <v>19</v>
      </c>
      <c r="N1907" s="8">
        <v>1</v>
      </c>
      <c r="O1907" s="8">
        <v>3.65</v>
      </c>
      <c r="P1907" s="8"/>
    </row>
    <row r="1908" spans="1:16" hidden="1" x14ac:dyDescent="0.25">
      <c r="A1908" s="7" t="s">
        <v>37</v>
      </c>
      <c r="B1908" s="7" t="s">
        <v>415</v>
      </c>
      <c r="C1908" s="8">
        <v>28533</v>
      </c>
      <c r="D1908" s="7" t="s">
        <v>28</v>
      </c>
      <c r="E1908" s="7" t="s">
        <v>344</v>
      </c>
      <c r="F1908" s="7" t="s">
        <v>345</v>
      </c>
      <c r="G1908" s="7" t="s">
        <v>18</v>
      </c>
      <c r="H1908" s="7" t="s">
        <v>24</v>
      </c>
      <c r="I1908" s="7" t="s">
        <v>712</v>
      </c>
      <c r="J1908" s="7" t="s">
        <v>712</v>
      </c>
      <c r="K1908" s="8">
        <v>6276352</v>
      </c>
      <c r="L1908" s="8">
        <v>297309</v>
      </c>
      <c r="M1908" s="8">
        <v>19</v>
      </c>
      <c r="N1908" s="8">
        <v>1</v>
      </c>
      <c r="O1908" s="8">
        <v>1.05</v>
      </c>
      <c r="P1908" s="8"/>
    </row>
    <row r="1909" spans="1:16" hidden="1" x14ac:dyDescent="0.25">
      <c r="A1909" s="7" t="s">
        <v>37</v>
      </c>
      <c r="B1909" s="7" t="s">
        <v>415</v>
      </c>
      <c r="C1909" s="8">
        <v>28534</v>
      </c>
      <c r="D1909" s="7" t="s">
        <v>28</v>
      </c>
      <c r="E1909" s="7" t="s">
        <v>344</v>
      </c>
      <c r="F1909" s="7" t="s">
        <v>345</v>
      </c>
      <c r="G1909" s="7" t="s">
        <v>18</v>
      </c>
      <c r="H1909" s="7" t="s">
        <v>24</v>
      </c>
      <c r="I1909" s="7" t="s">
        <v>712</v>
      </c>
      <c r="J1909" s="7" t="s">
        <v>712</v>
      </c>
      <c r="K1909" s="8">
        <v>6272735</v>
      </c>
      <c r="L1909" s="8">
        <v>300527</v>
      </c>
      <c r="M1909" s="8">
        <v>19</v>
      </c>
      <c r="N1909" s="8">
        <v>1</v>
      </c>
      <c r="O1909" s="8">
        <v>1.66</v>
      </c>
      <c r="P1909" s="8"/>
    </row>
    <row r="1910" spans="1:16" hidden="1" x14ac:dyDescent="0.25">
      <c r="A1910" s="7" t="s">
        <v>37</v>
      </c>
      <c r="B1910" s="7" t="s">
        <v>254</v>
      </c>
      <c r="C1910" s="8">
        <v>28536</v>
      </c>
      <c r="D1910" s="7" t="s">
        <v>16</v>
      </c>
      <c r="E1910" s="7" t="s">
        <v>50</v>
      </c>
      <c r="F1910" s="7" t="s">
        <v>255</v>
      </c>
      <c r="G1910" s="7" t="s">
        <v>18</v>
      </c>
      <c r="H1910" s="7" t="s">
        <v>24</v>
      </c>
      <c r="I1910" s="7" t="s">
        <v>712</v>
      </c>
      <c r="J1910" s="7" t="s">
        <v>712</v>
      </c>
      <c r="K1910" s="8">
        <v>6083124</v>
      </c>
      <c r="L1910" s="8">
        <v>263109</v>
      </c>
      <c r="M1910" s="8">
        <v>19</v>
      </c>
      <c r="N1910" s="8">
        <v>1</v>
      </c>
      <c r="O1910" s="8">
        <v>0.4</v>
      </c>
      <c r="P1910" s="8"/>
    </row>
    <row r="1911" spans="1:16" hidden="1" x14ac:dyDescent="0.25">
      <c r="A1911" s="7" t="s">
        <v>37</v>
      </c>
      <c r="B1911" s="7" t="s">
        <v>415</v>
      </c>
      <c r="C1911" s="8">
        <v>28539</v>
      </c>
      <c r="D1911" s="7" t="s">
        <v>28</v>
      </c>
      <c r="E1911" s="7" t="s">
        <v>146</v>
      </c>
      <c r="F1911" s="7" t="s">
        <v>146</v>
      </c>
      <c r="G1911" s="7" t="s">
        <v>18</v>
      </c>
      <c r="H1911" s="7" t="s">
        <v>109</v>
      </c>
      <c r="I1911" s="7" t="s">
        <v>712</v>
      </c>
      <c r="J1911" s="7" t="s">
        <v>691</v>
      </c>
      <c r="K1911" s="8">
        <v>6277441</v>
      </c>
      <c r="L1911" s="8">
        <v>329612</v>
      </c>
      <c r="M1911" s="8">
        <v>19</v>
      </c>
      <c r="N1911" s="8">
        <v>1</v>
      </c>
      <c r="O1911" s="8">
        <v>2.44</v>
      </c>
      <c r="P1911" s="8"/>
    </row>
    <row r="1912" spans="1:16" hidden="1" x14ac:dyDescent="0.25">
      <c r="A1912" s="7" t="s">
        <v>37</v>
      </c>
      <c r="B1912" s="7" t="s">
        <v>254</v>
      </c>
      <c r="C1912" s="8">
        <v>28540</v>
      </c>
      <c r="D1912" s="7" t="s">
        <v>16</v>
      </c>
      <c r="E1912" s="7" t="s">
        <v>268</v>
      </c>
      <c r="F1912" s="7" t="s">
        <v>282</v>
      </c>
      <c r="G1912" s="7" t="s">
        <v>18</v>
      </c>
      <c r="H1912" s="7" t="s">
        <v>24</v>
      </c>
      <c r="I1912" s="7" t="s">
        <v>712</v>
      </c>
      <c r="J1912" s="7" t="s">
        <v>712</v>
      </c>
      <c r="K1912" s="8">
        <v>6134538</v>
      </c>
      <c r="L1912" s="8">
        <v>310550</v>
      </c>
      <c r="M1912" s="8">
        <v>19</v>
      </c>
      <c r="N1912" s="8">
        <v>1</v>
      </c>
      <c r="O1912" s="8">
        <v>0.4</v>
      </c>
      <c r="P1912" s="8"/>
    </row>
    <row r="1913" spans="1:16" hidden="1" x14ac:dyDescent="0.25">
      <c r="A1913" s="7" t="s">
        <v>37</v>
      </c>
      <c r="B1913" s="7" t="s">
        <v>415</v>
      </c>
      <c r="C1913" s="8">
        <v>28542</v>
      </c>
      <c r="D1913" s="7" t="s">
        <v>28</v>
      </c>
      <c r="E1913" s="7" t="s">
        <v>393</v>
      </c>
      <c r="F1913" s="7" t="s">
        <v>517</v>
      </c>
      <c r="G1913" s="7" t="s">
        <v>18</v>
      </c>
      <c r="H1913" s="7" t="s">
        <v>24</v>
      </c>
      <c r="I1913" s="7" t="s">
        <v>712</v>
      </c>
      <c r="J1913" s="7" t="s">
        <v>712</v>
      </c>
      <c r="K1913" s="8">
        <v>6272386</v>
      </c>
      <c r="L1913" s="8">
        <v>306508</v>
      </c>
      <c r="M1913" s="8">
        <v>19</v>
      </c>
      <c r="N1913" s="8">
        <v>1</v>
      </c>
      <c r="O1913" s="8">
        <v>3.67</v>
      </c>
      <c r="P1913" s="8"/>
    </row>
    <row r="1914" spans="1:16" hidden="1" x14ac:dyDescent="0.25">
      <c r="A1914" s="7" t="s">
        <v>37</v>
      </c>
      <c r="B1914" s="7" t="s">
        <v>415</v>
      </c>
      <c r="C1914" s="8">
        <v>28543</v>
      </c>
      <c r="D1914" s="7" t="s">
        <v>28</v>
      </c>
      <c r="E1914" s="7" t="s">
        <v>393</v>
      </c>
      <c r="F1914" s="7" t="s">
        <v>393</v>
      </c>
      <c r="G1914" s="7" t="s">
        <v>18</v>
      </c>
      <c r="H1914" s="7" t="s">
        <v>24</v>
      </c>
      <c r="I1914" s="7" t="s">
        <v>712</v>
      </c>
      <c r="J1914" s="7" t="s">
        <v>712</v>
      </c>
      <c r="K1914" s="8">
        <v>6274304</v>
      </c>
      <c r="L1914" s="8">
        <v>316462</v>
      </c>
      <c r="M1914" s="8">
        <v>19</v>
      </c>
      <c r="N1914" s="8">
        <v>1</v>
      </c>
      <c r="O1914" s="8">
        <v>2.4</v>
      </c>
      <c r="P1914" s="8"/>
    </row>
    <row r="1915" spans="1:16" hidden="1" x14ac:dyDescent="0.25">
      <c r="A1915" s="7" t="s">
        <v>37</v>
      </c>
      <c r="B1915" s="7" t="s">
        <v>415</v>
      </c>
      <c r="C1915" s="8">
        <v>28544</v>
      </c>
      <c r="D1915" s="7" t="s">
        <v>28</v>
      </c>
      <c r="E1915" s="7" t="s">
        <v>344</v>
      </c>
      <c r="F1915" s="7" t="s">
        <v>514</v>
      </c>
      <c r="G1915" s="7" t="s">
        <v>18</v>
      </c>
      <c r="H1915" s="7" t="s">
        <v>24</v>
      </c>
      <c r="I1915" s="7" t="s">
        <v>712</v>
      </c>
      <c r="J1915" s="7" t="s">
        <v>712</v>
      </c>
      <c r="K1915" s="8">
        <v>6276281</v>
      </c>
      <c r="L1915" s="8">
        <v>295961</v>
      </c>
      <c r="M1915" s="8">
        <v>19</v>
      </c>
      <c r="N1915" s="8">
        <v>1</v>
      </c>
      <c r="O1915" s="8">
        <v>0.95</v>
      </c>
      <c r="P1915" s="8"/>
    </row>
    <row r="1916" spans="1:16" hidden="1" x14ac:dyDescent="0.25">
      <c r="A1916" s="7" t="s">
        <v>14</v>
      </c>
      <c r="B1916" s="7" t="s">
        <v>270</v>
      </c>
      <c r="C1916" s="8">
        <v>28545</v>
      </c>
      <c r="D1916" s="7" t="s">
        <v>322</v>
      </c>
      <c r="E1916" s="7" t="s">
        <v>323</v>
      </c>
      <c r="F1916" s="7" t="s">
        <v>422</v>
      </c>
      <c r="G1916" s="7" t="s">
        <v>18</v>
      </c>
      <c r="H1916" s="7" t="s">
        <v>689</v>
      </c>
      <c r="I1916" s="7" t="s">
        <v>712</v>
      </c>
      <c r="J1916" s="7" t="s">
        <v>712</v>
      </c>
      <c r="K1916" s="8">
        <v>7945650</v>
      </c>
      <c r="L1916" s="8">
        <v>388051</v>
      </c>
      <c r="M1916" s="8">
        <v>19</v>
      </c>
      <c r="N1916" s="8">
        <v>1</v>
      </c>
      <c r="O1916" s="8">
        <v>1.34</v>
      </c>
      <c r="P1916" s="8"/>
    </row>
    <row r="1917" spans="1:16" hidden="1" x14ac:dyDescent="0.25">
      <c r="A1917" s="7" t="s">
        <v>14</v>
      </c>
      <c r="B1917" s="7" t="s">
        <v>270</v>
      </c>
      <c r="C1917" s="8">
        <v>28547</v>
      </c>
      <c r="D1917" s="7" t="s">
        <v>322</v>
      </c>
      <c r="E1917" s="7" t="s">
        <v>323</v>
      </c>
      <c r="F1917" s="7" t="s">
        <v>422</v>
      </c>
      <c r="G1917" s="7" t="s">
        <v>18</v>
      </c>
      <c r="H1917" s="7" t="s">
        <v>689</v>
      </c>
      <c r="I1917" s="7" t="s">
        <v>712</v>
      </c>
      <c r="J1917" s="7" t="s">
        <v>712</v>
      </c>
      <c r="K1917" s="8">
        <v>7947397</v>
      </c>
      <c r="L1917" s="8">
        <v>382291</v>
      </c>
      <c r="M1917" s="8">
        <v>19</v>
      </c>
      <c r="N1917" s="8">
        <v>1</v>
      </c>
      <c r="O1917" s="8">
        <v>0.97</v>
      </c>
      <c r="P1917" s="8"/>
    </row>
    <row r="1918" spans="1:16" hidden="1" x14ac:dyDescent="0.25">
      <c r="A1918" s="7" t="s">
        <v>37</v>
      </c>
      <c r="B1918" s="7" t="s">
        <v>254</v>
      </c>
      <c r="C1918" s="8">
        <v>28549</v>
      </c>
      <c r="D1918" s="7" t="s">
        <v>16</v>
      </c>
      <c r="E1918" s="7" t="s">
        <v>127</v>
      </c>
      <c r="F1918" s="7" t="s">
        <v>267</v>
      </c>
      <c r="G1918" s="7" t="s">
        <v>65</v>
      </c>
      <c r="H1918" s="7" t="s">
        <v>66</v>
      </c>
      <c r="I1918" s="7" t="s">
        <v>712</v>
      </c>
      <c r="J1918" s="7" t="s">
        <v>712</v>
      </c>
      <c r="K1918" s="8">
        <v>6037565</v>
      </c>
      <c r="L1918" s="8">
        <v>278235</v>
      </c>
      <c r="M1918" s="8">
        <v>19</v>
      </c>
      <c r="N1918" s="8">
        <v>4</v>
      </c>
      <c r="O1918" s="8">
        <v>23.5</v>
      </c>
      <c r="P1918" s="8"/>
    </row>
    <row r="1919" spans="1:16" hidden="1" x14ac:dyDescent="0.25">
      <c r="A1919" s="7" t="s">
        <v>37</v>
      </c>
      <c r="B1919" s="7" t="s">
        <v>343</v>
      </c>
      <c r="C1919" s="8">
        <v>28550</v>
      </c>
      <c r="D1919" s="7" t="s">
        <v>16</v>
      </c>
      <c r="E1919" s="7" t="s">
        <v>17</v>
      </c>
      <c r="F1919" s="7" t="s">
        <v>391</v>
      </c>
      <c r="G1919" s="7" t="s">
        <v>18</v>
      </c>
      <c r="H1919" s="7" t="s">
        <v>48</v>
      </c>
      <c r="I1919" s="7" t="s">
        <v>712</v>
      </c>
      <c r="J1919" s="7" t="s">
        <v>712</v>
      </c>
      <c r="K1919" s="8">
        <v>6066319</v>
      </c>
      <c r="L1919" s="8">
        <v>283910</v>
      </c>
      <c r="M1919" s="8">
        <v>19</v>
      </c>
      <c r="N1919" s="8">
        <v>1</v>
      </c>
      <c r="O1919" s="8">
        <v>12</v>
      </c>
      <c r="P1919" s="8"/>
    </row>
    <row r="1920" spans="1:16" hidden="1" x14ac:dyDescent="0.25">
      <c r="A1920" s="7" t="s">
        <v>37</v>
      </c>
      <c r="B1920" s="7" t="s">
        <v>181</v>
      </c>
      <c r="C1920" s="8">
        <v>28551</v>
      </c>
      <c r="D1920" s="7" t="s">
        <v>119</v>
      </c>
      <c r="E1920" s="7" t="s">
        <v>222</v>
      </c>
      <c r="F1920" s="7" t="s">
        <v>230</v>
      </c>
      <c r="G1920" s="7" t="s">
        <v>43</v>
      </c>
      <c r="H1920" s="7" t="s">
        <v>48</v>
      </c>
      <c r="I1920" s="7" t="s">
        <v>91</v>
      </c>
      <c r="J1920" s="7" t="s">
        <v>91</v>
      </c>
      <c r="K1920" s="8">
        <v>5680972</v>
      </c>
      <c r="L1920" s="8">
        <v>721365</v>
      </c>
      <c r="M1920" s="8">
        <v>18</v>
      </c>
      <c r="N1920" s="8">
        <v>1</v>
      </c>
      <c r="O1920" s="8">
        <v>1.1299999999999999</v>
      </c>
      <c r="P1920" s="8"/>
    </row>
    <row r="1921" spans="1:16" hidden="1" x14ac:dyDescent="0.25">
      <c r="A1921" s="7" t="s">
        <v>14</v>
      </c>
      <c r="B1921" s="7" t="s">
        <v>181</v>
      </c>
      <c r="C1921" s="8">
        <v>28552</v>
      </c>
      <c r="D1921" s="7" t="s">
        <v>119</v>
      </c>
      <c r="E1921" s="7" t="s">
        <v>222</v>
      </c>
      <c r="F1921" s="7" t="s">
        <v>230</v>
      </c>
      <c r="G1921" s="7" t="s">
        <v>43</v>
      </c>
      <c r="H1921" s="7" t="s">
        <v>689</v>
      </c>
      <c r="I1921" s="7" t="s">
        <v>690</v>
      </c>
      <c r="J1921" s="7" t="s">
        <v>690</v>
      </c>
      <c r="K1921" s="8">
        <v>5680972</v>
      </c>
      <c r="L1921" s="8">
        <v>721365</v>
      </c>
      <c r="M1921" s="8">
        <v>18</v>
      </c>
      <c r="N1921" s="8">
        <v>1</v>
      </c>
      <c r="O1921" s="8">
        <v>0.82</v>
      </c>
      <c r="P1921" s="8"/>
    </row>
    <row r="1922" spans="1:16" hidden="1" x14ac:dyDescent="0.25">
      <c r="A1922" s="7" t="s">
        <v>37</v>
      </c>
      <c r="B1922" s="7" t="s">
        <v>254</v>
      </c>
      <c r="C1922" s="8">
        <v>28553</v>
      </c>
      <c r="D1922" s="7" t="s">
        <v>16</v>
      </c>
      <c r="E1922" s="7" t="s">
        <v>127</v>
      </c>
      <c r="F1922" s="7" t="s">
        <v>267</v>
      </c>
      <c r="G1922" s="7" t="s">
        <v>65</v>
      </c>
      <c r="H1922" s="7" t="s">
        <v>66</v>
      </c>
      <c r="I1922" s="7" t="s">
        <v>712</v>
      </c>
      <c r="J1922" s="7" t="s">
        <v>712</v>
      </c>
      <c r="K1922" s="8">
        <v>6039107</v>
      </c>
      <c r="L1922" s="8">
        <v>278068</v>
      </c>
      <c r="M1922" s="8">
        <v>19</v>
      </c>
      <c r="N1922" s="8">
        <v>7</v>
      </c>
      <c r="O1922" s="8">
        <v>18</v>
      </c>
      <c r="P1922" s="8"/>
    </row>
    <row r="1923" spans="1:16" hidden="1" x14ac:dyDescent="0.25">
      <c r="A1923" s="7" t="s">
        <v>37</v>
      </c>
      <c r="B1923" s="7" t="s">
        <v>254</v>
      </c>
      <c r="C1923" s="8">
        <v>28554</v>
      </c>
      <c r="D1923" s="7" t="s">
        <v>16</v>
      </c>
      <c r="E1923" s="7" t="s">
        <v>127</v>
      </c>
      <c r="F1923" s="7" t="s">
        <v>261</v>
      </c>
      <c r="G1923" s="7" t="s">
        <v>65</v>
      </c>
      <c r="H1923" s="7" t="s">
        <v>66</v>
      </c>
      <c r="I1923" s="7" t="s">
        <v>712</v>
      </c>
      <c r="J1923" s="7" t="s">
        <v>712</v>
      </c>
      <c r="K1923" s="8">
        <v>6042447</v>
      </c>
      <c r="L1923" s="8">
        <v>281727</v>
      </c>
      <c r="M1923" s="8">
        <v>19</v>
      </c>
      <c r="N1923" s="8">
        <v>3</v>
      </c>
      <c r="O1923" s="8">
        <v>15</v>
      </c>
      <c r="P1923" s="8"/>
    </row>
    <row r="1924" spans="1:16" hidden="1" x14ac:dyDescent="0.25">
      <c r="A1924" s="7" t="s">
        <v>37</v>
      </c>
      <c r="B1924" s="7" t="s">
        <v>343</v>
      </c>
      <c r="C1924" s="8">
        <v>28555</v>
      </c>
      <c r="D1924" s="7" t="s">
        <v>16</v>
      </c>
      <c r="E1924" s="7" t="s">
        <v>17</v>
      </c>
      <c r="F1924" s="7" t="s">
        <v>294</v>
      </c>
      <c r="G1924" s="7" t="s">
        <v>18</v>
      </c>
      <c r="H1924" s="7" t="s">
        <v>48</v>
      </c>
      <c r="I1924" s="7" t="s">
        <v>712</v>
      </c>
      <c r="J1924" s="7" t="s">
        <v>691</v>
      </c>
      <c r="K1924" s="8">
        <v>6074376</v>
      </c>
      <c r="L1924" s="8">
        <v>279096</v>
      </c>
      <c r="M1924" s="8">
        <v>19</v>
      </c>
      <c r="N1924" s="8">
        <v>1</v>
      </c>
      <c r="O1924" s="8">
        <v>23</v>
      </c>
      <c r="P1924" s="8"/>
    </row>
    <row r="1925" spans="1:16" hidden="1" x14ac:dyDescent="0.25">
      <c r="A1925" s="7" t="s">
        <v>37</v>
      </c>
      <c r="B1925" s="7" t="s">
        <v>343</v>
      </c>
      <c r="C1925" s="8">
        <v>28557</v>
      </c>
      <c r="D1925" s="7" t="s">
        <v>16</v>
      </c>
      <c r="E1925" s="7" t="s">
        <v>50</v>
      </c>
      <c r="F1925" s="7" t="s">
        <v>161</v>
      </c>
      <c r="G1925" s="7" t="s">
        <v>18</v>
      </c>
      <c r="H1925" s="7" t="s">
        <v>48</v>
      </c>
      <c r="I1925" s="7" t="s">
        <v>712</v>
      </c>
      <c r="J1925" s="7" t="s">
        <v>712</v>
      </c>
      <c r="K1925" s="8">
        <v>6072836</v>
      </c>
      <c r="L1925" s="8">
        <v>268042</v>
      </c>
      <c r="M1925" s="8">
        <v>19</v>
      </c>
      <c r="N1925" s="8">
        <v>1</v>
      </c>
      <c r="O1925" s="8">
        <v>12</v>
      </c>
      <c r="P1925" s="8"/>
    </row>
    <row r="1926" spans="1:16" hidden="1" x14ac:dyDescent="0.25">
      <c r="A1926" s="7" t="s">
        <v>37</v>
      </c>
      <c r="B1926" s="7" t="s">
        <v>254</v>
      </c>
      <c r="C1926" s="8">
        <v>28559</v>
      </c>
      <c r="D1926" s="7" t="s">
        <v>16</v>
      </c>
      <c r="E1926" s="7" t="s">
        <v>127</v>
      </c>
      <c r="F1926" s="7" t="s">
        <v>336</v>
      </c>
      <c r="G1926" s="7" t="s">
        <v>65</v>
      </c>
      <c r="H1926" s="7" t="s">
        <v>66</v>
      </c>
      <c r="I1926" s="7" t="s">
        <v>712</v>
      </c>
      <c r="J1926" s="7" t="s">
        <v>712</v>
      </c>
      <c r="K1926" s="8">
        <v>6039993</v>
      </c>
      <c r="L1926" s="8">
        <v>274345</v>
      </c>
      <c r="M1926" s="8">
        <v>19</v>
      </c>
      <c r="N1926" s="8">
        <v>2</v>
      </c>
      <c r="O1926" s="8">
        <v>17</v>
      </c>
      <c r="P1926" s="8"/>
    </row>
    <row r="1927" spans="1:16" hidden="1" x14ac:dyDescent="0.25">
      <c r="A1927" s="7" t="s">
        <v>37</v>
      </c>
      <c r="B1927" s="7" t="s">
        <v>254</v>
      </c>
      <c r="C1927" s="8">
        <v>28560</v>
      </c>
      <c r="D1927" s="7" t="s">
        <v>21</v>
      </c>
      <c r="E1927" s="7" t="s">
        <v>278</v>
      </c>
      <c r="F1927" s="7" t="s">
        <v>337</v>
      </c>
      <c r="G1927" s="7" t="s">
        <v>18</v>
      </c>
      <c r="H1927" s="7" t="s">
        <v>24</v>
      </c>
      <c r="I1927" s="7" t="s">
        <v>712</v>
      </c>
      <c r="J1927" s="7" t="s">
        <v>712</v>
      </c>
      <c r="K1927" s="8">
        <v>6366386</v>
      </c>
      <c r="L1927" s="8">
        <v>308915</v>
      </c>
      <c r="M1927" s="8">
        <v>19</v>
      </c>
      <c r="N1927" s="8">
        <v>1</v>
      </c>
      <c r="O1927" s="8">
        <v>2.2999999999999998</v>
      </c>
      <c r="P1927" s="8"/>
    </row>
    <row r="1928" spans="1:16" hidden="1" x14ac:dyDescent="0.25">
      <c r="A1928" s="7" t="s">
        <v>37</v>
      </c>
      <c r="B1928" s="7" t="s">
        <v>254</v>
      </c>
      <c r="C1928" s="8">
        <v>28561</v>
      </c>
      <c r="D1928" s="7" t="s">
        <v>16</v>
      </c>
      <c r="E1928" s="7" t="s">
        <v>173</v>
      </c>
      <c r="F1928" s="7" t="s">
        <v>173</v>
      </c>
      <c r="G1928" s="7" t="s">
        <v>65</v>
      </c>
      <c r="H1928" s="7" t="s">
        <v>66</v>
      </c>
      <c r="I1928" s="7" t="s">
        <v>712</v>
      </c>
      <c r="J1928" s="7" t="s">
        <v>712</v>
      </c>
      <c r="K1928" s="8">
        <v>6039642</v>
      </c>
      <c r="L1928" s="8">
        <v>271814</v>
      </c>
      <c r="M1928" s="8">
        <v>19</v>
      </c>
      <c r="N1928" s="8">
        <v>3</v>
      </c>
      <c r="O1928" s="8">
        <v>12</v>
      </c>
      <c r="P1928" s="8"/>
    </row>
    <row r="1929" spans="1:16" hidden="1" x14ac:dyDescent="0.25">
      <c r="A1929" s="7" t="s">
        <v>37</v>
      </c>
      <c r="B1929" s="7" t="s">
        <v>254</v>
      </c>
      <c r="C1929" s="8">
        <v>28563</v>
      </c>
      <c r="D1929" s="7" t="s">
        <v>16</v>
      </c>
      <c r="E1929" s="7" t="s">
        <v>173</v>
      </c>
      <c r="F1929" s="7" t="s">
        <v>262</v>
      </c>
      <c r="G1929" s="7" t="s">
        <v>65</v>
      </c>
      <c r="H1929" s="7" t="s">
        <v>66</v>
      </c>
      <c r="I1929" s="7" t="s">
        <v>712</v>
      </c>
      <c r="J1929" s="7" t="s">
        <v>712</v>
      </c>
      <c r="K1929" s="8">
        <v>6039784</v>
      </c>
      <c r="L1929" s="8">
        <v>272928</v>
      </c>
      <c r="M1929" s="8">
        <v>19</v>
      </c>
      <c r="N1929" s="8">
        <v>2</v>
      </c>
      <c r="O1929" s="8">
        <v>12</v>
      </c>
      <c r="P1929" s="8"/>
    </row>
    <row r="1930" spans="1:16" hidden="1" x14ac:dyDescent="0.25">
      <c r="A1930" s="7" t="s">
        <v>37</v>
      </c>
      <c r="B1930" s="7" t="s">
        <v>343</v>
      </c>
      <c r="C1930" s="8">
        <v>28581</v>
      </c>
      <c r="D1930" s="7" t="s">
        <v>16</v>
      </c>
      <c r="E1930" s="7" t="s">
        <v>268</v>
      </c>
      <c r="F1930" s="7" t="s">
        <v>359</v>
      </c>
      <c r="G1930" s="7" t="s">
        <v>18</v>
      </c>
      <c r="H1930" s="7" t="s">
        <v>48</v>
      </c>
      <c r="I1930" s="7" t="s">
        <v>712</v>
      </c>
      <c r="J1930" s="7" t="s">
        <v>712</v>
      </c>
      <c r="K1930" s="8">
        <v>6135182</v>
      </c>
      <c r="L1930" s="8">
        <v>314797</v>
      </c>
      <c r="M1930" s="8">
        <v>19</v>
      </c>
      <c r="N1930" s="8">
        <v>1</v>
      </c>
      <c r="O1930" s="8">
        <v>0.45</v>
      </c>
      <c r="P1930" s="8"/>
    </row>
    <row r="1931" spans="1:16" hidden="1" x14ac:dyDescent="0.25">
      <c r="A1931" s="7" t="s">
        <v>37</v>
      </c>
      <c r="B1931" s="7" t="s">
        <v>415</v>
      </c>
      <c r="C1931" s="8">
        <v>28586</v>
      </c>
      <c r="D1931" s="7" t="s">
        <v>28</v>
      </c>
      <c r="E1931" s="7" t="s">
        <v>32</v>
      </c>
      <c r="F1931" s="7" t="s">
        <v>33</v>
      </c>
      <c r="G1931" s="7" t="s">
        <v>18</v>
      </c>
      <c r="H1931" s="7" t="s">
        <v>24</v>
      </c>
      <c r="I1931" s="7" t="s">
        <v>712</v>
      </c>
      <c r="J1931" s="7" t="s">
        <v>712</v>
      </c>
      <c r="K1931" s="8">
        <v>6275828</v>
      </c>
      <c r="L1931" s="8">
        <v>341156</v>
      </c>
      <c r="M1931" s="8">
        <v>19</v>
      </c>
      <c r="N1931" s="8">
        <v>1</v>
      </c>
      <c r="O1931" s="8">
        <v>0.85</v>
      </c>
      <c r="P1931" s="8"/>
    </row>
    <row r="1932" spans="1:16" hidden="1" x14ac:dyDescent="0.25">
      <c r="A1932" s="7" t="s">
        <v>19</v>
      </c>
      <c r="B1932" s="7" t="s">
        <v>254</v>
      </c>
      <c r="C1932" s="8">
        <v>28587</v>
      </c>
      <c r="D1932" s="7" t="s">
        <v>52</v>
      </c>
      <c r="E1932" s="7" t="s">
        <v>141</v>
      </c>
      <c r="F1932" s="7" t="s">
        <v>270</v>
      </c>
      <c r="G1932" s="7" t="s">
        <v>65</v>
      </c>
      <c r="H1932" s="7" t="s">
        <v>66</v>
      </c>
      <c r="I1932" s="7" t="s">
        <v>712</v>
      </c>
      <c r="J1932" s="7" t="s">
        <v>712</v>
      </c>
      <c r="K1932" s="8">
        <v>6220146</v>
      </c>
      <c r="L1932" s="8">
        <v>337442</v>
      </c>
      <c r="M1932" s="8">
        <v>19</v>
      </c>
      <c r="N1932" s="8">
        <v>1</v>
      </c>
      <c r="O1932" s="8">
        <v>6</v>
      </c>
      <c r="P1932" s="8"/>
    </row>
    <row r="1933" spans="1:16" hidden="1" x14ac:dyDescent="0.25">
      <c r="A1933" s="7" t="s">
        <v>37</v>
      </c>
      <c r="B1933" s="7" t="s">
        <v>415</v>
      </c>
      <c r="C1933" s="8">
        <v>28589</v>
      </c>
      <c r="D1933" s="7" t="s">
        <v>28</v>
      </c>
      <c r="E1933" s="7" t="s">
        <v>364</v>
      </c>
      <c r="F1933" s="7" t="s">
        <v>455</v>
      </c>
      <c r="G1933" s="7" t="s">
        <v>18</v>
      </c>
      <c r="H1933" s="7" t="s">
        <v>24</v>
      </c>
      <c r="I1933" s="7" t="s">
        <v>712</v>
      </c>
      <c r="J1933" s="7" t="s">
        <v>712</v>
      </c>
      <c r="K1933" s="8">
        <v>6289780</v>
      </c>
      <c r="L1933" s="8">
        <v>331056</v>
      </c>
      <c r="M1933" s="8">
        <v>19</v>
      </c>
      <c r="N1933" s="8">
        <v>1</v>
      </c>
      <c r="O1933" s="8">
        <v>0.04</v>
      </c>
      <c r="P1933" s="8"/>
    </row>
    <row r="1934" spans="1:16" hidden="1" x14ac:dyDescent="0.25">
      <c r="A1934" s="7" t="s">
        <v>19</v>
      </c>
      <c r="B1934" s="7" t="s">
        <v>254</v>
      </c>
      <c r="C1934" s="8">
        <v>28593</v>
      </c>
      <c r="D1934" s="7" t="s">
        <v>52</v>
      </c>
      <c r="E1934" s="7" t="s">
        <v>141</v>
      </c>
      <c r="F1934" s="7" t="s">
        <v>272</v>
      </c>
      <c r="G1934" s="7" t="s">
        <v>65</v>
      </c>
      <c r="H1934" s="7" t="s">
        <v>66</v>
      </c>
      <c r="I1934" s="7" t="s">
        <v>712</v>
      </c>
      <c r="J1934" s="7" t="s">
        <v>712</v>
      </c>
      <c r="K1934" s="8">
        <v>6221462</v>
      </c>
      <c r="L1934" s="8">
        <v>335848</v>
      </c>
      <c r="M1934" s="8">
        <v>19</v>
      </c>
      <c r="N1934" s="8">
        <v>1</v>
      </c>
      <c r="O1934" s="8">
        <v>4</v>
      </c>
      <c r="P1934" s="8"/>
    </row>
    <row r="1935" spans="1:16" hidden="1" x14ac:dyDescent="0.25">
      <c r="A1935" s="7" t="s">
        <v>19</v>
      </c>
      <c r="B1935" s="7" t="s">
        <v>270</v>
      </c>
      <c r="C1935" s="8">
        <v>28594</v>
      </c>
      <c r="D1935" s="7" t="s">
        <v>16</v>
      </c>
      <c r="E1935" s="7" t="s">
        <v>60</v>
      </c>
      <c r="F1935" s="7" t="s">
        <v>613</v>
      </c>
      <c r="G1935" s="7" t="s">
        <v>18</v>
      </c>
      <c r="H1935" s="7" t="s">
        <v>48</v>
      </c>
      <c r="I1935" s="7" t="s">
        <v>712</v>
      </c>
      <c r="J1935" s="7" t="s">
        <v>712</v>
      </c>
      <c r="K1935" s="8">
        <v>6079232</v>
      </c>
      <c r="L1935" s="8">
        <v>275929</v>
      </c>
      <c r="M1935" s="8">
        <v>19</v>
      </c>
      <c r="N1935" s="8">
        <v>3</v>
      </c>
      <c r="O1935" s="8">
        <v>25.5</v>
      </c>
      <c r="P1935" s="8"/>
    </row>
    <row r="1936" spans="1:16" hidden="1" x14ac:dyDescent="0.25">
      <c r="A1936" s="7" t="s">
        <v>19</v>
      </c>
      <c r="B1936" s="7" t="s">
        <v>254</v>
      </c>
      <c r="C1936" s="8">
        <v>28595</v>
      </c>
      <c r="D1936" s="7" t="s">
        <v>52</v>
      </c>
      <c r="E1936" s="7" t="s">
        <v>145</v>
      </c>
      <c r="F1936" s="7" t="s">
        <v>248</v>
      </c>
      <c r="G1936" s="7" t="s">
        <v>65</v>
      </c>
      <c r="H1936" s="7" t="s">
        <v>66</v>
      </c>
      <c r="I1936" s="7" t="s">
        <v>712</v>
      </c>
      <c r="J1936" s="7" t="s">
        <v>712</v>
      </c>
      <c r="K1936" s="8">
        <v>6164346</v>
      </c>
      <c r="L1936" s="8">
        <v>325672</v>
      </c>
      <c r="M1936" s="8">
        <v>19</v>
      </c>
      <c r="N1936" s="8">
        <v>1</v>
      </c>
      <c r="O1936" s="8">
        <v>10</v>
      </c>
      <c r="P1936" s="8"/>
    </row>
    <row r="1937" spans="1:16" hidden="1" x14ac:dyDescent="0.25">
      <c r="A1937" s="7" t="s">
        <v>19</v>
      </c>
      <c r="B1937" s="7" t="s">
        <v>270</v>
      </c>
      <c r="C1937" s="8">
        <v>28596</v>
      </c>
      <c r="D1937" s="7" t="s">
        <v>16</v>
      </c>
      <c r="E1937" s="7" t="s">
        <v>292</v>
      </c>
      <c r="F1937" s="7" t="s">
        <v>636</v>
      </c>
      <c r="G1937" s="7" t="s">
        <v>18</v>
      </c>
      <c r="H1937" s="7" t="s">
        <v>48</v>
      </c>
      <c r="I1937" s="7" t="s">
        <v>712</v>
      </c>
      <c r="J1937" s="7" t="s">
        <v>712</v>
      </c>
      <c r="K1937" s="8">
        <v>6088529</v>
      </c>
      <c r="L1937" s="8">
        <v>271407</v>
      </c>
      <c r="M1937" s="8">
        <v>19</v>
      </c>
      <c r="N1937" s="8">
        <v>7</v>
      </c>
      <c r="O1937" s="8">
        <v>38</v>
      </c>
      <c r="P1937" s="8"/>
    </row>
    <row r="1938" spans="1:16" hidden="1" x14ac:dyDescent="0.25">
      <c r="A1938" s="7" t="s">
        <v>19</v>
      </c>
      <c r="B1938" s="7" t="s">
        <v>254</v>
      </c>
      <c r="C1938" s="8">
        <v>28597</v>
      </c>
      <c r="D1938" s="7" t="s">
        <v>52</v>
      </c>
      <c r="E1938" s="7" t="s">
        <v>145</v>
      </c>
      <c r="F1938" s="7" t="s">
        <v>145</v>
      </c>
      <c r="G1938" s="7" t="s">
        <v>65</v>
      </c>
      <c r="H1938" s="7" t="s">
        <v>66</v>
      </c>
      <c r="I1938" s="7" t="s">
        <v>712</v>
      </c>
      <c r="J1938" s="7" t="s">
        <v>712</v>
      </c>
      <c r="K1938" s="8">
        <v>6170851</v>
      </c>
      <c r="L1938" s="8">
        <v>319888</v>
      </c>
      <c r="M1938" s="8">
        <v>19</v>
      </c>
      <c r="N1938" s="8">
        <v>2</v>
      </c>
      <c r="O1938" s="8">
        <v>16</v>
      </c>
      <c r="P1938" s="8"/>
    </row>
    <row r="1939" spans="1:16" hidden="1" x14ac:dyDescent="0.25">
      <c r="A1939" s="7" t="s">
        <v>37</v>
      </c>
      <c r="B1939" s="7" t="s">
        <v>270</v>
      </c>
      <c r="C1939" s="8">
        <v>28598</v>
      </c>
      <c r="D1939" s="7" t="s">
        <v>16</v>
      </c>
      <c r="E1939" s="7" t="s">
        <v>17</v>
      </c>
      <c r="F1939" s="7" t="s">
        <v>555</v>
      </c>
      <c r="G1939" s="7" t="s">
        <v>18</v>
      </c>
      <c r="H1939" s="7" t="s">
        <v>48</v>
      </c>
      <c r="I1939" s="7" t="s">
        <v>712</v>
      </c>
      <c r="J1939" s="7" t="s">
        <v>712</v>
      </c>
      <c r="K1939" s="8">
        <v>6064509</v>
      </c>
      <c r="L1939" s="8">
        <v>278294</v>
      </c>
      <c r="M1939" s="8">
        <v>19</v>
      </c>
      <c r="N1939" s="8">
        <v>2</v>
      </c>
      <c r="O1939" s="8">
        <v>16</v>
      </c>
      <c r="P1939" s="8"/>
    </row>
    <row r="1940" spans="1:16" hidden="1" x14ac:dyDescent="0.25">
      <c r="A1940" s="7" t="s">
        <v>37</v>
      </c>
      <c r="B1940" s="7" t="s">
        <v>254</v>
      </c>
      <c r="C1940" s="8">
        <v>28600</v>
      </c>
      <c r="D1940" s="7" t="s">
        <v>16</v>
      </c>
      <c r="E1940" s="7" t="s">
        <v>268</v>
      </c>
      <c r="F1940" s="7" t="s">
        <v>285</v>
      </c>
      <c r="G1940" s="7" t="s">
        <v>65</v>
      </c>
      <c r="H1940" s="7" t="s">
        <v>66</v>
      </c>
      <c r="I1940" s="7" t="s">
        <v>712</v>
      </c>
      <c r="J1940" s="7" t="s">
        <v>712</v>
      </c>
      <c r="K1940" s="8">
        <v>6135564</v>
      </c>
      <c r="L1940" s="8">
        <v>310308</v>
      </c>
      <c r="M1940" s="8">
        <v>19</v>
      </c>
      <c r="N1940" s="8">
        <v>1</v>
      </c>
      <c r="O1940" s="8">
        <v>15</v>
      </c>
      <c r="P1940" s="8"/>
    </row>
    <row r="1941" spans="1:16" hidden="1" x14ac:dyDescent="0.25">
      <c r="A1941" s="7" t="s">
        <v>19</v>
      </c>
      <c r="B1941" s="7" t="s">
        <v>254</v>
      </c>
      <c r="C1941" s="8">
        <v>28603</v>
      </c>
      <c r="D1941" s="7" t="s">
        <v>16</v>
      </c>
      <c r="E1941" s="7" t="s">
        <v>268</v>
      </c>
      <c r="F1941" s="7" t="s">
        <v>282</v>
      </c>
      <c r="G1941" s="7" t="s">
        <v>65</v>
      </c>
      <c r="H1941" s="7" t="s">
        <v>66</v>
      </c>
      <c r="I1941" s="7" t="s">
        <v>712</v>
      </c>
      <c r="J1941" s="7" t="s">
        <v>712</v>
      </c>
      <c r="K1941" s="8">
        <v>6133004</v>
      </c>
      <c r="L1941" s="8">
        <v>317227</v>
      </c>
      <c r="M1941" s="8">
        <v>19</v>
      </c>
      <c r="N1941" s="8">
        <v>1</v>
      </c>
      <c r="O1941" s="8">
        <v>12</v>
      </c>
      <c r="P1941" s="8"/>
    </row>
    <row r="1942" spans="1:16" hidden="1" x14ac:dyDescent="0.25">
      <c r="A1942" s="7" t="s">
        <v>14</v>
      </c>
      <c r="B1942" s="7" t="s">
        <v>245</v>
      </c>
      <c r="C1942" s="8">
        <v>28604</v>
      </c>
      <c r="D1942" s="7" t="s">
        <v>52</v>
      </c>
      <c r="E1942" s="7" t="s">
        <v>139</v>
      </c>
      <c r="F1942" s="7" t="s">
        <v>246</v>
      </c>
      <c r="G1942" s="7" t="s">
        <v>18</v>
      </c>
      <c r="H1942" s="7" t="s">
        <v>689</v>
      </c>
      <c r="I1942" s="7" t="s">
        <v>690</v>
      </c>
      <c r="J1942" s="7" t="s">
        <v>690</v>
      </c>
      <c r="K1942" s="8">
        <v>6225939</v>
      </c>
      <c r="L1942" s="8">
        <v>340247</v>
      </c>
      <c r="M1942" s="8">
        <v>19</v>
      </c>
      <c r="N1942" s="8">
        <v>1</v>
      </c>
      <c r="O1942" s="8">
        <v>0.49</v>
      </c>
      <c r="P1942" s="8"/>
    </row>
    <row r="1943" spans="1:16" hidden="1" x14ac:dyDescent="0.25">
      <c r="A1943" s="7" t="s">
        <v>37</v>
      </c>
      <c r="B1943" s="7" t="s">
        <v>254</v>
      </c>
      <c r="C1943" s="8">
        <v>28605</v>
      </c>
      <c r="D1943" s="7" t="s">
        <v>16</v>
      </c>
      <c r="E1943" s="7" t="s">
        <v>268</v>
      </c>
      <c r="F1943" s="7" t="s">
        <v>282</v>
      </c>
      <c r="G1943" s="7" t="s">
        <v>65</v>
      </c>
      <c r="H1943" s="7" t="s">
        <v>66</v>
      </c>
      <c r="I1943" s="7" t="s">
        <v>712</v>
      </c>
      <c r="J1943" s="7" t="s">
        <v>712</v>
      </c>
      <c r="K1943" s="8">
        <v>6132809</v>
      </c>
      <c r="L1943" s="8">
        <v>314730</v>
      </c>
      <c r="M1943" s="8">
        <v>19</v>
      </c>
      <c r="N1943" s="8">
        <v>1</v>
      </c>
      <c r="O1943" s="8">
        <v>15</v>
      </c>
      <c r="P1943" s="8"/>
    </row>
    <row r="1944" spans="1:16" hidden="1" x14ac:dyDescent="0.25">
      <c r="A1944" s="7" t="s">
        <v>37</v>
      </c>
      <c r="B1944" s="7" t="s">
        <v>254</v>
      </c>
      <c r="C1944" s="8">
        <v>28606</v>
      </c>
      <c r="D1944" s="7" t="s">
        <v>16</v>
      </c>
      <c r="E1944" s="7" t="s">
        <v>17</v>
      </c>
      <c r="F1944" s="7" t="s">
        <v>258</v>
      </c>
      <c r="G1944" s="7" t="s">
        <v>65</v>
      </c>
      <c r="H1944" s="7" t="s">
        <v>66</v>
      </c>
      <c r="I1944" s="7" t="s">
        <v>712</v>
      </c>
      <c r="J1944" s="7" t="s">
        <v>712</v>
      </c>
      <c r="K1944" s="8">
        <v>6061459</v>
      </c>
      <c r="L1944" s="8">
        <v>273383</v>
      </c>
      <c r="M1944" s="8">
        <v>19</v>
      </c>
      <c r="N1944" s="8">
        <v>2</v>
      </c>
      <c r="O1944" s="8">
        <v>11</v>
      </c>
      <c r="P1944" s="8"/>
    </row>
    <row r="1945" spans="1:16" hidden="1" x14ac:dyDescent="0.25">
      <c r="A1945" s="7" t="s">
        <v>37</v>
      </c>
      <c r="B1945" s="7" t="s">
        <v>415</v>
      </c>
      <c r="C1945" s="8">
        <v>28608</v>
      </c>
      <c r="D1945" s="7" t="s">
        <v>28</v>
      </c>
      <c r="E1945" s="7" t="s">
        <v>53</v>
      </c>
      <c r="F1945" s="7" t="s">
        <v>55</v>
      </c>
      <c r="G1945" s="7" t="s">
        <v>18</v>
      </c>
      <c r="H1945" s="7" t="s">
        <v>109</v>
      </c>
      <c r="I1945" s="7" t="s">
        <v>712</v>
      </c>
      <c r="J1945" s="7" t="s">
        <v>691</v>
      </c>
      <c r="K1945" s="8">
        <v>6269254</v>
      </c>
      <c r="L1945" s="8">
        <v>318279</v>
      </c>
      <c r="M1945" s="8">
        <v>19</v>
      </c>
      <c r="N1945" s="8">
        <v>1</v>
      </c>
      <c r="O1945" s="8">
        <v>1</v>
      </c>
      <c r="P1945" s="8"/>
    </row>
    <row r="1946" spans="1:16" hidden="1" x14ac:dyDescent="0.25">
      <c r="A1946" s="7" t="s">
        <v>37</v>
      </c>
      <c r="B1946" s="7" t="s">
        <v>415</v>
      </c>
      <c r="C1946" s="8">
        <v>28609</v>
      </c>
      <c r="D1946" s="7" t="s">
        <v>28</v>
      </c>
      <c r="E1946" s="7" t="s">
        <v>344</v>
      </c>
      <c r="F1946" s="7" t="s">
        <v>492</v>
      </c>
      <c r="G1946" s="7" t="s">
        <v>18</v>
      </c>
      <c r="H1946" s="7" t="s">
        <v>24</v>
      </c>
      <c r="I1946" s="7" t="s">
        <v>712</v>
      </c>
      <c r="J1946" s="7" t="s">
        <v>712</v>
      </c>
      <c r="K1946" s="8">
        <v>6267996</v>
      </c>
      <c r="L1946" s="8">
        <v>308716</v>
      </c>
      <c r="M1946" s="8">
        <v>19</v>
      </c>
      <c r="N1946" s="8">
        <v>1</v>
      </c>
      <c r="O1946" s="8">
        <v>1.06</v>
      </c>
      <c r="P1946" s="8"/>
    </row>
    <row r="1947" spans="1:16" hidden="1" x14ac:dyDescent="0.25">
      <c r="A1947" s="7" t="s">
        <v>37</v>
      </c>
      <c r="B1947" s="7" t="s">
        <v>415</v>
      </c>
      <c r="C1947" s="8">
        <v>28610</v>
      </c>
      <c r="D1947" s="7" t="s">
        <v>28</v>
      </c>
      <c r="E1947" s="7" t="s">
        <v>142</v>
      </c>
      <c r="F1947" s="7" t="s">
        <v>142</v>
      </c>
      <c r="G1947" s="7" t="s">
        <v>18</v>
      </c>
      <c r="H1947" s="7" t="s">
        <v>109</v>
      </c>
      <c r="I1947" s="7" t="s">
        <v>712</v>
      </c>
      <c r="J1947" s="7" t="s">
        <v>691</v>
      </c>
      <c r="K1947" s="8">
        <v>6277445</v>
      </c>
      <c r="L1947" s="8">
        <v>335584</v>
      </c>
      <c r="M1947" s="8">
        <v>19</v>
      </c>
      <c r="N1947" s="8">
        <v>1</v>
      </c>
      <c r="O1947" s="8">
        <v>1.64</v>
      </c>
      <c r="P1947" s="8"/>
    </row>
    <row r="1948" spans="1:16" hidden="1" x14ac:dyDescent="0.25">
      <c r="A1948" s="7" t="s">
        <v>37</v>
      </c>
      <c r="B1948" s="7" t="s">
        <v>415</v>
      </c>
      <c r="C1948" s="8">
        <v>28611</v>
      </c>
      <c r="D1948" s="7" t="s">
        <v>28</v>
      </c>
      <c r="E1948" s="7" t="s">
        <v>142</v>
      </c>
      <c r="F1948" s="7" t="s">
        <v>142</v>
      </c>
      <c r="G1948" s="7" t="s">
        <v>18</v>
      </c>
      <c r="H1948" s="7" t="s">
        <v>109</v>
      </c>
      <c r="I1948" s="7" t="s">
        <v>712</v>
      </c>
      <c r="J1948" s="7" t="s">
        <v>691</v>
      </c>
      <c r="K1948" s="8">
        <v>6277173</v>
      </c>
      <c r="L1948" s="8">
        <v>335521</v>
      </c>
      <c r="M1948" s="8">
        <v>19</v>
      </c>
      <c r="N1948" s="8">
        <v>1</v>
      </c>
      <c r="O1948" s="8">
        <v>2.42</v>
      </c>
      <c r="P1948" s="8"/>
    </row>
    <row r="1949" spans="1:16" hidden="1" x14ac:dyDescent="0.25">
      <c r="A1949" s="7" t="s">
        <v>37</v>
      </c>
      <c r="B1949" s="7" t="s">
        <v>415</v>
      </c>
      <c r="C1949" s="8">
        <v>28612</v>
      </c>
      <c r="D1949" s="7" t="s">
        <v>28</v>
      </c>
      <c r="E1949" s="7" t="s">
        <v>393</v>
      </c>
      <c r="F1949" s="7" t="s">
        <v>542</v>
      </c>
      <c r="G1949" s="7" t="s">
        <v>18</v>
      </c>
      <c r="H1949" s="7" t="s">
        <v>24</v>
      </c>
      <c r="I1949" s="7" t="s">
        <v>712</v>
      </c>
      <c r="J1949" s="7" t="s">
        <v>712</v>
      </c>
      <c r="K1949" s="8">
        <v>6272169</v>
      </c>
      <c r="L1949" s="8">
        <v>309873</v>
      </c>
      <c r="M1949" s="8">
        <v>19</v>
      </c>
      <c r="N1949" s="8">
        <v>1</v>
      </c>
      <c r="O1949" s="8">
        <v>1.1000000000000001</v>
      </c>
      <c r="P1949" s="8"/>
    </row>
    <row r="1950" spans="1:16" hidden="1" x14ac:dyDescent="0.25">
      <c r="A1950" s="7" t="s">
        <v>37</v>
      </c>
      <c r="B1950" s="7" t="s">
        <v>415</v>
      </c>
      <c r="C1950" s="8">
        <v>28614</v>
      </c>
      <c r="D1950" s="7" t="s">
        <v>28</v>
      </c>
      <c r="E1950" s="7" t="s">
        <v>393</v>
      </c>
      <c r="F1950" s="7" t="s">
        <v>486</v>
      </c>
      <c r="G1950" s="7" t="s">
        <v>18</v>
      </c>
      <c r="H1950" s="7" t="s">
        <v>24</v>
      </c>
      <c r="I1950" s="7" t="s">
        <v>712</v>
      </c>
      <c r="J1950" s="7" t="s">
        <v>712</v>
      </c>
      <c r="K1950" s="8">
        <v>6268179</v>
      </c>
      <c r="L1950" s="8">
        <v>309484</v>
      </c>
      <c r="M1950" s="8">
        <v>19</v>
      </c>
      <c r="N1950" s="8">
        <v>1</v>
      </c>
      <c r="O1950" s="8">
        <v>1.64</v>
      </c>
      <c r="P1950" s="8"/>
    </row>
    <row r="1951" spans="1:16" hidden="1" x14ac:dyDescent="0.25">
      <c r="A1951" s="7" t="s">
        <v>37</v>
      </c>
      <c r="B1951" s="7" t="s">
        <v>415</v>
      </c>
      <c r="C1951" s="8">
        <v>28615</v>
      </c>
      <c r="D1951" s="7" t="s">
        <v>28</v>
      </c>
      <c r="E1951" s="7" t="s">
        <v>393</v>
      </c>
      <c r="F1951" s="7" t="s">
        <v>509</v>
      </c>
      <c r="G1951" s="7" t="s">
        <v>18</v>
      </c>
      <c r="H1951" s="7" t="s">
        <v>24</v>
      </c>
      <c r="I1951" s="7" t="s">
        <v>712</v>
      </c>
      <c r="J1951" s="7" t="s">
        <v>712</v>
      </c>
      <c r="K1951" s="8">
        <v>6273500</v>
      </c>
      <c r="L1951" s="8">
        <v>315575</v>
      </c>
      <c r="M1951" s="8">
        <v>19</v>
      </c>
      <c r="N1951" s="8">
        <v>1</v>
      </c>
      <c r="O1951" s="8">
        <v>1</v>
      </c>
      <c r="P1951" s="8"/>
    </row>
    <row r="1952" spans="1:16" hidden="1" x14ac:dyDescent="0.25">
      <c r="A1952" s="7" t="s">
        <v>37</v>
      </c>
      <c r="B1952" s="7" t="s">
        <v>415</v>
      </c>
      <c r="C1952" s="8">
        <v>28617</v>
      </c>
      <c r="D1952" s="7" t="s">
        <v>28</v>
      </c>
      <c r="E1952" s="7" t="s">
        <v>393</v>
      </c>
      <c r="F1952" s="7" t="s">
        <v>393</v>
      </c>
      <c r="G1952" s="7" t="s">
        <v>18</v>
      </c>
      <c r="H1952" s="7" t="s">
        <v>24</v>
      </c>
      <c r="I1952" s="7" t="s">
        <v>712</v>
      </c>
      <c r="J1952" s="7" t="s">
        <v>712</v>
      </c>
      <c r="K1952" s="8">
        <v>6273927</v>
      </c>
      <c r="L1952" s="8">
        <v>316493</v>
      </c>
      <c r="M1952" s="8">
        <v>19</v>
      </c>
      <c r="N1952" s="8">
        <v>1</v>
      </c>
      <c r="O1952" s="8">
        <v>1.2</v>
      </c>
      <c r="P1952" s="8"/>
    </row>
    <row r="1953" spans="1:16" hidden="1" x14ac:dyDescent="0.25">
      <c r="A1953" s="7" t="s">
        <v>37</v>
      </c>
      <c r="B1953" s="7" t="s">
        <v>415</v>
      </c>
      <c r="C1953" s="8">
        <v>28618</v>
      </c>
      <c r="D1953" s="7" t="s">
        <v>28</v>
      </c>
      <c r="E1953" s="7" t="s">
        <v>273</v>
      </c>
      <c r="F1953" s="7" t="s">
        <v>286</v>
      </c>
      <c r="G1953" s="7" t="s">
        <v>18</v>
      </c>
      <c r="H1953" s="7" t="s">
        <v>109</v>
      </c>
      <c r="I1953" s="7" t="s">
        <v>712</v>
      </c>
      <c r="J1953" s="7" t="s">
        <v>691</v>
      </c>
      <c r="K1953" s="8">
        <v>6268453</v>
      </c>
      <c r="L1953" s="8">
        <v>307800</v>
      </c>
      <c r="M1953" s="8">
        <v>19</v>
      </c>
      <c r="N1953" s="8">
        <v>1</v>
      </c>
      <c r="O1953" s="8">
        <v>3.57</v>
      </c>
      <c r="P1953" s="8"/>
    </row>
    <row r="1954" spans="1:16" hidden="1" x14ac:dyDescent="0.25">
      <c r="A1954" s="7" t="s">
        <v>37</v>
      </c>
      <c r="B1954" s="7" t="s">
        <v>415</v>
      </c>
      <c r="C1954" s="8">
        <v>28619</v>
      </c>
      <c r="D1954" s="7" t="s">
        <v>28</v>
      </c>
      <c r="E1954" s="7" t="s">
        <v>146</v>
      </c>
      <c r="F1954" s="7" t="s">
        <v>146</v>
      </c>
      <c r="G1954" s="7" t="s">
        <v>18</v>
      </c>
      <c r="H1954" s="7" t="s">
        <v>24</v>
      </c>
      <c r="I1954" s="7" t="s">
        <v>712</v>
      </c>
      <c r="J1954" s="7" t="s">
        <v>712</v>
      </c>
      <c r="K1954" s="8">
        <v>6272052</v>
      </c>
      <c r="L1954" s="8">
        <v>321958</v>
      </c>
      <c r="M1954" s="8">
        <v>19</v>
      </c>
      <c r="N1954" s="8">
        <v>1</v>
      </c>
      <c r="O1954" s="8">
        <v>2.5</v>
      </c>
      <c r="P1954" s="8"/>
    </row>
    <row r="1955" spans="1:16" hidden="1" x14ac:dyDescent="0.25">
      <c r="A1955" s="7" t="s">
        <v>37</v>
      </c>
      <c r="B1955" s="7" t="s">
        <v>415</v>
      </c>
      <c r="C1955" s="8">
        <v>28620</v>
      </c>
      <c r="D1955" s="7" t="s">
        <v>28</v>
      </c>
      <c r="E1955" s="7" t="s">
        <v>142</v>
      </c>
      <c r="F1955" s="7" t="s">
        <v>543</v>
      </c>
      <c r="G1955" s="7" t="s">
        <v>18</v>
      </c>
      <c r="H1955" s="7" t="s">
        <v>109</v>
      </c>
      <c r="I1955" s="7" t="s">
        <v>712</v>
      </c>
      <c r="J1955" s="7" t="s">
        <v>691</v>
      </c>
      <c r="K1955" s="8">
        <v>6279023</v>
      </c>
      <c r="L1955" s="8">
        <v>334882</v>
      </c>
      <c r="M1955" s="8">
        <v>19</v>
      </c>
      <c r="N1955" s="8">
        <v>1</v>
      </c>
      <c r="O1955" s="8">
        <v>3.57</v>
      </c>
      <c r="P1955" s="8"/>
    </row>
    <row r="1956" spans="1:16" hidden="1" x14ac:dyDescent="0.25">
      <c r="A1956" s="7" t="s">
        <v>37</v>
      </c>
      <c r="B1956" s="7" t="s">
        <v>415</v>
      </c>
      <c r="C1956" s="8">
        <v>28622</v>
      </c>
      <c r="D1956" s="7" t="s">
        <v>28</v>
      </c>
      <c r="E1956" s="7" t="s">
        <v>393</v>
      </c>
      <c r="F1956" s="7" t="s">
        <v>492</v>
      </c>
      <c r="G1956" s="7" t="s">
        <v>18</v>
      </c>
      <c r="H1956" s="7" t="s">
        <v>24</v>
      </c>
      <c r="I1956" s="7" t="s">
        <v>712</v>
      </c>
      <c r="J1956" s="7" t="s">
        <v>712</v>
      </c>
      <c r="K1956" s="8">
        <v>6267977</v>
      </c>
      <c r="L1956" s="8">
        <v>309841</v>
      </c>
      <c r="M1956" s="8">
        <v>19</v>
      </c>
      <c r="N1956" s="8">
        <v>1</v>
      </c>
      <c r="O1956" s="8">
        <v>2.4</v>
      </c>
      <c r="P1956" s="8"/>
    </row>
    <row r="1957" spans="1:16" hidden="1" x14ac:dyDescent="0.25">
      <c r="A1957" s="7" t="s">
        <v>19</v>
      </c>
      <c r="B1957" s="7" t="s">
        <v>254</v>
      </c>
      <c r="C1957" s="8">
        <v>28623</v>
      </c>
      <c r="D1957" s="7" t="s">
        <v>16</v>
      </c>
      <c r="E1957" s="7" t="s">
        <v>268</v>
      </c>
      <c r="F1957" s="7" t="s">
        <v>282</v>
      </c>
      <c r="G1957" s="7" t="s">
        <v>65</v>
      </c>
      <c r="H1957" s="7" t="s">
        <v>66</v>
      </c>
      <c r="I1957" s="7" t="s">
        <v>712</v>
      </c>
      <c r="J1957" s="7" t="s">
        <v>712</v>
      </c>
      <c r="K1957" s="8">
        <v>6132883</v>
      </c>
      <c r="L1957" s="8">
        <v>316621</v>
      </c>
      <c r="M1957" s="8">
        <v>19</v>
      </c>
      <c r="N1957" s="8">
        <v>1</v>
      </c>
      <c r="O1957" s="8">
        <v>5</v>
      </c>
      <c r="P1957" s="8"/>
    </row>
    <row r="1958" spans="1:16" hidden="1" x14ac:dyDescent="0.25">
      <c r="A1958" s="7" t="s">
        <v>37</v>
      </c>
      <c r="B1958" s="7" t="s">
        <v>254</v>
      </c>
      <c r="C1958" s="8">
        <v>28625</v>
      </c>
      <c r="D1958" s="7" t="s">
        <v>16</v>
      </c>
      <c r="E1958" s="7" t="s">
        <v>17</v>
      </c>
      <c r="F1958" s="7" t="s">
        <v>260</v>
      </c>
      <c r="G1958" s="7" t="s">
        <v>65</v>
      </c>
      <c r="H1958" s="7" t="s">
        <v>66</v>
      </c>
      <c r="I1958" s="7" t="s">
        <v>712</v>
      </c>
      <c r="J1958" s="7" t="s">
        <v>712</v>
      </c>
      <c r="K1958" s="8">
        <v>6057596</v>
      </c>
      <c r="L1958" s="8">
        <v>283465</v>
      </c>
      <c r="M1958" s="8">
        <v>19</v>
      </c>
      <c r="N1958" s="8">
        <v>1</v>
      </c>
      <c r="O1958" s="8">
        <v>25</v>
      </c>
      <c r="P1958" s="8"/>
    </row>
    <row r="1959" spans="1:16" hidden="1" x14ac:dyDescent="0.25">
      <c r="A1959" s="7" t="s">
        <v>19</v>
      </c>
      <c r="B1959" s="7" t="s">
        <v>254</v>
      </c>
      <c r="C1959" s="8">
        <v>28626</v>
      </c>
      <c r="D1959" s="7" t="s">
        <v>16</v>
      </c>
      <c r="E1959" s="7" t="s">
        <v>268</v>
      </c>
      <c r="F1959" s="7" t="s">
        <v>282</v>
      </c>
      <c r="G1959" s="7" t="s">
        <v>65</v>
      </c>
      <c r="H1959" s="7" t="s">
        <v>66</v>
      </c>
      <c r="I1959" s="7" t="s">
        <v>712</v>
      </c>
      <c r="J1959" s="7" t="s">
        <v>712</v>
      </c>
      <c r="K1959" s="8">
        <v>6132709</v>
      </c>
      <c r="L1959" s="8">
        <v>316601</v>
      </c>
      <c r="M1959" s="8">
        <v>19</v>
      </c>
      <c r="N1959" s="8">
        <v>1</v>
      </c>
      <c r="O1959" s="8">
        <v>4</v>
      </c>
      <c r="P1959" s="8"/>
    </row>
    <row r="1960" spans="1:16" hidden="1" x14ac:dyDescent="0.25">
      <c r="A1960" s="7" t="s">
        <v>19</v>
      </c>
      <c r="B1960" s="7" t="s">
        <v>254</v>
      </c>
      <c r="C1960" s="8">
        <v>28629</v>
      </c>
      <c r="D1960" s="7" t="s">
        <v>16</v>
      </c>
      <c r="E1960" s="7" t="s">
        <v>268</v>
      </c>
      <c r="F1960" s="7" t="s">
        <v>276</v>
      </c>
      <c r="G1960" s="7" t="s">
        <v>65</v>
      </c>
      <c r="H1960" s="7" t="s">
        <v>66</v>
      </c>
      <c r="I1960" s="7" t="s">
        <v>712</v>
      </c>
      <c r="J1960" s="7" t="s">
        <v>712</v>
      </c>
      <c r="K1960" s="8">
        <v>6138986</v>
      </c>
      <c r="L1960" s="8">
        <v>319734</v>
      </c>
      <c r="M1960" s="8">
        <v>19</v>
      </c>
      <c r="N1960" s="8">
        <v>1</v>
      </c>
      <c r="O1960" s="8">
        <v>10</v>
      </c>
      <c r="P1960" s="8"/>
    </row>
    <row r="1961" spans="1:16" hidden="1" x14ac:dyDescent="0.25">
      <c r="A1961" s="7" t="s">
        <v>19</v>
      </c>
      <c r="B1961" s="7" t="s">
        <v>254</v>
      </c>
      <c r="C1961" s="8">
        <v>28630</v>
      </c>
      <c r="D1961" s="7" t="s">
        <v>16</v>
      </c>
      <c r="E1961" s="7" t="s">
        <v>268</v>
      </c>
      <c r="F1961" s="7" t="s">
        <v>282</v>
      </c>
      <c r="G1961" s="7" t="s">
        <v>65</v>
      </c>
      <c r="H1961" s="7" t="s">
        <v>66</v>
      </c>
      <c r="I1961" s="7" t="s">
        <v>712</v>
      </c>
      <c r="J1961" s="7" t="s">
        <v>712</v>
      </c>
      <c r="K1961" s="8">
        <v>6134714</v>
      </c>
      <c r="L1961" s="8">
        <v>312509</v>
      </c>
      <c r="M1961" s="8">
        <v>19</v>
      </c>
      <c r="N1961" s="8">
        <v>1</v>
      </c>
      <c r="O1961" s="8">
        <v>10</v>
      </c>
      <c r="P1961" s="8"/>
    </row>
    <row r="1962" spans="1:16" hidden="1" x14ac:dyDescent="0.25">
      <c r="A1962" s="7" t="s">
        <v>19</v>
      </c>
      <c r="B1962" s="7" t="s">
        <v>254</v>
      </c>
      <c r="C1962" s="8">
        <v>28631</v>
      </c>
      <c r="D1962" s="7" t="s">
        <v>52</v>
      </c>
      <c r="E1962" s="7" t="s">
        <v>141</v>
      </c>
      <c r="F1962" s="7" t="s">
        <v>272</v>
      </c>
      <c r="G1962" s="7" t="s">
        <v>65</v>
      </c>
      <c r="H1962" s="7" t="s">
        <v>66</v>
      </c>
      <c r="I1962" s="7" t="s">
        <v>712</v>
      </c>
      <c r="J1962" s="7" t="s">
        <v>712</v>
      </c>
      <c r="K1962" s="8">
        <v>6221491</v>
      </c>
      <c r="L1962" s="8">
        <v>335747</v>
      </c>
      <c r="M1962" s="8">
        <v>19</v>
      </c>
      <c r="N1962" s="8">
        <v>1</v>
      </c>
      <c r="O1962" s="8">
        <v>4</v>
      </c>
      <c r="P1962" s="8"/>
    </row>
    <row r="1963" spans="1:16" hidden="1" x14ac:dyDescent="0.25">
      <c r="A1963" s="7" t="s">
        <v>19</v>
      </c>
      <c r="B1963" s="7" t="s">
        <v>254</v>
      </c>
      <c r="C1963" s="8">
        <v>28632</v>
      </c>
      <c r="D1963" s="7" t="s">
        <v>52</v>
      </c>
      <c r="E1963" s="7" t="s">
        <v>141</v>
      </c>
      <c r="F1963" s="7" t="s">
        <v>299</v>
      </c>
      <c r="G1963" s="7" t="s">
        <v>65</v>
      </c>
      <c r="H1963" s="7" t="s">
        <v>66</v>
      </c>
      <c r="I1963" s="7" t="s">
        <v>712</v>
      </c>
      <c r="J1963" s="7" t="s">
        <v>712</v>
      </c>
      <c r="K1963" s="8">
        <v>6223777</v>
      </c>
      <c r="L1963" s="8">
        <v>333642</v>
      </c>
      <c r="M1963" s="8">
        <v>19</v>
      </c>
      <c r="N1963" s="8">
        <v>1</v>
      </c>
      <c r="O1963" s="8">
        <v>11.3</v>
      </c>
      <c r="P1963" s="8"/>
    </row>
    <row r="1964" spans="1:16" hidden="1" x14ac:dyDescent="0.25">
      <c r="A1964" s="7" t="s">
        <v>37</v>
      </c>
      <c r="B1964" s="7" t="s">
        <v>415</v>
      </c>
      <c r="C1964" s="8">
        <v>28633</v>
      </c>
      <c r="D1964" s="7" t="s">
        <v>28</v>
      </c>
      <c r="E1964" s="7" t="s">
        <v>29</v>
      </c>
      <c r="F1964" s="7" t="s">
        <v>544</v>
      </c>
      <c r="G1964" s="7" t="s">
        <v>18</v>
      </c>
      <c r="H1964" s="7" t="s">
        <v>24</v>
      </c>
      <c r="I1964" s="7" t="s">
        <v>712</v>
      </c>
      <c r="J1964" s="7" t="s">
        <v>712</v>
      </c>
      <c r="K1964" s="8">
        <v>6260171</v>
      </c>
      <c r="L1964" s="8">
        <v>345940</v>
      </c>
      <c r="M1964" s="8">
        <v>19</v>
      </c>
      <c r="N1964" s="8">
        <v>1</v>
      </c>
      <c r="O1964" s="8">
        <v>3.62</v>
      </c>
      <c r="P1964" s="8"/>
    </row>
    <row r="1965" spans="1:16" hidden="1" x14ac:dyDescent="0.25">
      <c r="A1965" s="7" t="s">
        <v>37</v>
      </c>
      <c r="B1965" s="7" t="s">
        <v>254</v>
      </c>
      <c r="C1965" s="8">
        <v>28634</v>
      </c>
      <c r="D1965" s="7" t="s">
        <v>16</v>
      </c>
      <c r="E1965" s="7" t="s">
        <v>155</v>
      </c>
      <c r="F1965" s="7" t="s">
        <v>305</v>
      </c>
      <c r="G1965" s="7" t="s">
        <v>65</v>
      </c>
      <c r="H1965" s="7" t="s">
        <v>66</v>
      </c>
      <c r="I1965" s="7" t="s">
        <v>712</v>
      </c>
      <c r="J1965" s="7" t="s">
        <v>712</v>
      </c>
      <c r="K1965" s="8">
        <v>6123997</v>
      </c>
      <c r="L1965" s="8">
        <v>298131</v>
      </c>
      <c r="M1965" s="8">
        <v>19</v>
      </c>
      <c r="N1965" s="8">
        <v>2</v>
      </c>
      <c r="O1965" s="8">
        <v>8</v>
      </c>
      <c r="P1965" s="8"/>
    </row>
    <row r="1966" spans="1:16" hidden="1" x14ac:dyDescent="0.25">
      <c r="A1966" s="7" t="s">
        <v>37</v>
      </c>
      <c r="B1966" s="7" t="s">
        <v>254</v>
      </c>
      <c r="C1966" s="8">
        <v>28635</v>
      </c>
      <c r="D1966" s="7" t="s">
        <v>16</v>
      </c>
      <c r="E1966" s="7" t="s">
        <v>155</v>
      </c>
      <c r="F1966" s="7" t="s">
        <v>289</v>
      </c>
      <c r="G1966" s="7" t="s">
        <v>65</v>
      </c>
      <c r="H1966" s="7" t="s">
        <v>66</v>
      </c>
      <c r="I1966" s="7" t="s">
        <v>712</v>
      </c>
      <c r="J1966" s="7" t="s">
        <v>712</v>
      </c>
      <c r="K1966" s="8">
        <v>6124336</v>
      </c>
      <c r="L1966" s="8">
        <v>299197</v>
      </c>
      <c r="M1966" s="8">
        <v>19</v>
      </c>
      <c r="N1966" s="8">
        <v>1</v>
      </c>
      <c r="O1966" s="8">
        <v>14</v>
      </c>
      <c r="P1966" s="8"/>
    </row>
    <row r="1967" spans="1:16" hidden="1" x14ac:dyDescent="0.25">
      <c r="A1967" s="7" t="s">
        <v>37</v>
      </c>
      <c r="B1967" s="7" t="s">
        <v>254</v>
      </c>
      <c r="C1967" s="8">
        <v>28636</v>
      </c>
      <c r="D1967" s="7" t="s">
        <v>16</v>
      </c>
      <c r="E1967" s="7" t="s">
        <v>17</v>
      </c>
      <c r="F1967" s="7" t="s">
        <v>291</v>
      </c>
      <c r="G1967" s="7" t="s">
        <v>18</v>
      </c>
      <c r="H1967" s="7" t="s">
        <v>24</v>
      </c>
      <c r="I1967" s="7" t="s">
        <v>712</v>
      </c>
      <c r="J1967" s="7" t="s">
        <v>712</v>
      </c>
      <c r="K1967" s="8">
        <v>6061391</v>
      </c>
      <c r="L1967" s="8">
        <v>282850</v>
      </c>
      <c r="M1967" s="8">
        <v>19</v>
      </c>
      <c r="N1967" s="8">
        <v>1</v>
      </c>
      <c r="O1967" s="8">
        <v>0.9</v>
      </c>
      <c r="P1967" s="8"/>
    </row>
    <row r="1968" spans="1:16" hidden="1" x14ac:dyDescent="0.25">
      <c r="A1968" s="7" t="s">
        <v>37</v>
      </c>
      <c r="B1968" s="7" t="s">
        <v>254</v>
      </c>
      <c r="C1968" s="8">
        <v>28637</v>
      </c>
      <c r="D1968" s="7" t="s">
        <v>16</v>
      </c>
      <c r="E1968" s="7" t="s">
        <v>17</v>
      </c>
      <c r="F1968" s="7" t="s">
        <v>291</v>
      </c>
      <c r="G1968" s="7" t="s">
        <v>18</v>
      </c>
      <c r="H1968" s="7" t="s">
        <v>24</v>
      </c>
      <c r="I1968" s="7" t="s">
        <v>712</v>
      </c>
      <c r="J1968" s="7" t="s">
        <v>712</v>
      </c>
      <c r="K1968" s="8">
        <v>6061391</v>
      </c>
      <c r="L1968" s="8">
        <v>282850</v>
      </c>
      <c r="M1968" s="8">
        <v>19</v>
      </c>
      <c r="N1968" s="8">
        <v>1</v>
      </c>
      <c r="O1968" s="8">
        <v>1.6</v>
      </c>
      <c r="P1968" s="8"/>
    </row>
    <row r="1969" spans="1:16" hidden="1" x14ac:dyDescent="0.25">
      <c r="A1969" s="7" t="s">
        <v>37</v>
      </c>
      <c r="B1969" s="7" t="s">
        <v>415</v>
      </c>
      <c r="C1969" s="8">
        <v>28638</v>
      </c>
      <c r="D1969" s="7" t="s">
        <v>28</v>
      </c>
      <c r="E1969" s="7" t="s">
        <v>29</v>
      </c>
      <c r="F1969" s="7" t="s">
        <v>544</v>
      </c>
      <c r="G1969" s="7" t="s">
        <v>18</v>
      </c>
      <c r="H1969" s="7" t="s">
        <v>109</v>
      </c>
      <c r="I1969" s="7" t="s">
        <v>712</v>
      </c>
      <c r="J1969" s="7" t="s">
        <v>691</v>
      </c>
      <c r="K1969" s="8">
        <v>6259655</v>
      </c>
      <c r="L1969" s="8">
        <v>346167</v>
      </c>
      <c r="M1969" s="8">
        <v>19</v>
      </c>
      <c r="N1969" s="8">
        <v>1</v>
      </c>
      <c r="O1969" s="8">
        <v>1.01</v>
      </c>
      <c r="P1969" s="8"/>
    </row>
    <row r="1970" spans="1:16" hidden="1" x14ac:dyDescent="0.25">
      <c r="A1970" s="7" t="s">
        <v>37</v>
      </c>
      <c r="B1970" s="7" t="s">
        <v>181</v>
      </c>
      <c r="C1970" s="8">
        <v>28640</v>
      </c>
      <c r="D1970" s="7" t="s">
        <v>119</v>
      </c>
      <c r="E1970" s="7" t="s">
        <v>197</v>
      </c>
      <c r="F1970" s="7" t="s">
        <v>231</v>
      </c>
      <c r="G1970" s="7" t="s">
        <v>43</v>
      </c>
      <c r="H1970" s="7" t="s">
        <v>48</v>
      </c>
      <c r="I1970" s="7" t="s">
        <v>91</v>
      </c>
      <c r="J1970" s="7" t="s">
        <v>91</v>
      </c>
      <c r="K1970" s="8">
        <v>5688873</v>
      </c>
      <c r="L1970" s="8">
        <v>685114</v>
      </c>
      <c r="M1970" s="8">
        <v>18</v>
      </c>
      <c r="N1970" s="8">
        <v>1</v>
      </c>
      <c r="O1970" s="8">
        <v>1.6</v>
      </c>
      <c r="P1970" s="8"/>
    </row>
    <row r="1971" spans="1:16" hidden="1" x14ac:dyDescent="0.25">
      <c r="A1971" s="7" t="s">
        <v>19</v>
      </c>
      <c r="B1971" s="7" t="s">
        <v>270</v>
      </c>
      <c r="C1971" s="8">
        <v>28641</v>
      </c>
      <c r="D1971" s="7" t="s">
        <v>16</v>
      </c>
      <c r="E1971" s="7" t="s">
        <v>17</v>
      </c>
      <c r="F1971" s="7" t="s">
        <v>637</v>
      </c>
      <c r="G1971" s="7" t="s">
        <v>18</v>
      </c>
      <c r="H1971" s="7" t="s">
        <v>48</v>
      </c>
      <c r="I1971" s="7" t="s">
        <v>712</v>
      </c>
      <c r="J1971" s="7" t="s">
        <v>712</v>
      </c>
      <c r="K1971" s="8">
        <v>6061636</v>
      </c>
      <c r="L1971" s="8">
        <v>285379</v>
      </c>
      <c r="M1971" s="8">
        <v>19</v>
      </c>
      <c r="N1971" s="8">
        <v>1</v>
      </c>
      <c r="O1971" s="8">
        <v>5</v>
      </c>
      <c r="P1971" s="8"/>
    </row>
    <row r="1972" spans="1:16" hidden="1" x14ac:dyDescent="0.25">
      <c r="A1972" s="7" t="s">
        <v>14</v>
      </c>
      <c r="B1972" s="7" t="s">
        <v>181</v>
      </c>
      <c r="C1972" s="8">
        <v>28642</v>
      </c>
      <c r="D1972" s="7" t="s">
        <v>119</v>
      </c>
      <c r="E1972" s="7" t="s">
        <v>197</v>
      </c>
      <c r="F1972" s="7" t="s">
        <v>231</v>
      </c>
      <c r="G1972" s="7" t="s">
        <v>43</v>
      </c>
      <c r="H1972" s="7" t="s">
        <v>689</v>
      </c>
      <c r="I1972" s="7" t="s">
        <v>690</v>
      </c>
      <c r="J1972" s="7" t="s">
        <v>690</v>
      </c>
      <c r="K1972" s="8">
        <v>5688873</v>
      </c>
      <c r="L1972" s="8">
        <v>685114</v>
      </c>
      <c r="M1972" s="8">
        <v>18</v>
      </c>
      <c r="N1972" s="8">
        <v>1</v>
      </c>
      <c r="O1972" s="8">
        <v>0.24</v>
      </c>
      <c r="P1972" s="8"/>
    </row>
    <row r="1973" spans="1:16" hidden="1" x14ac:dyDescent="0.25">
      <c r="A1973" s="7" t="s">
        <v>37</v>
      </c>
      <c r="B1973" s="7" t="s">
        <v>254</v>
      </c>
      <c r="C1973" s="8">
        <v>28644</v>
      </c>
      <c r="D1973" s="7" t="s">
        <v>16</v>
      </c>
      <c r="E1973" s="7" t="s">
        <v>46</v>
      </c>
      <c r="F1973" s="7" t="s">
        <v>46</v>
      </c>
      <c r="G1973" s="7" t="s">
        <v>65</v>
      </c>
      <c r="H1973" s="7" t="s">
        <v>66</v>
      </c>
      <c r="I1973" s="7" t="s">
        <v>712</v>
      </c>
      <c r="J1973" s="7" t="s">
        <v>712</v>
      </c>
      <c r="K1973" s="8">
        <v>6111242</v>
      </c>
      <c r="L1973" s="8">
        <v>288830</v>
      </c>
      <c r="M1973" s="8">
        <v>19</v>
      </c>
      <c r="N1973" s="8">
        <v>1</v>
      </c>
      <c r="O1973" s="8">
        <v>8.5</v>
      </c>
      <c r="P1973" s="8"/>
    </row>
    <row r="1974" spans="1:16" hidden="1" x14ac:dyDescent="0.25">
      <c r="A1974" s="7" t="s">
        <v>19</v>
      </c>
      <c r="B1974" s="7" t="s">
        <v>254</v>
      </c>
      <c r="C1974" s="8">
        <v>28645</v>
      </c>
      <c r="D1974" s="7" t="s">
        <v>16</v>
      </c>
      <c r="E1974" s="7" t="s">
        <v>46</v>
      </c>
      <c r="F1974" s="7" t="s">
        <v>46</v>
      </c>
      <c r="G1974" s="7" t="s">
        <v>65</v>
      </c>
      <c r="H1974" s="7" t="s">
        <v>66</v>
      </c>
      <c r="I1974" s="7" t="s">
        <v>712</v>
      </c>
      <c r="J1974" s="7" t="s">
        <v>712</v>
      </c>
      <c r="K1974" s="8">
        <v>6111686</v>
      </c>
      <c r="L1974" s="8">
        <v>289505</v>
      </c>
      <c r="M1974" s="8">
        <v>19</v>
      </c>
      <c r="N1974" s="8">
        <v>1</v>
      </c>
      <c r="O1974" s="8">
        <v>11.5</v>
      </c>
      <c r="P1974" s="8"/>
    </row>
    <row r="1975" spans="1:16" hidden="1" x14ac:dyDescent="0.25">
      <c r="A1975" s="7" t="s">
        <v>37</v>
      </c>
      <c r="B1975" s="7" t="s">
        <v>254</v>
      </c>
      <c r="C1975" s="8">
        <v>28648</v>
      </c>
      <c r="D1975" s="7" t="s">
        <v>16</v>
      </c>
      <c r="E1975" s="7" t="s">
        <v>46</v>
      </c>
      <c r="F1975" s="7" t="s">
        <v>46</v>
      </c>
      <c r="G1975" s="7" t="s">
        <v>65</v>
      </c>
      <c r="H1975" s="7" t="s">
        <v>66</v>
      </c>
      <c r="I1975" s="7" t="s">
        <v>712</v>
      </c>
      <c r="J1975" s="7" t="s">
        <v>712</v>
      </c>
      <c r="K1975" s="8">
        <v>6111956</v>
      </c>
      <c r="L1975" s="8">
        <v>290061</v>
      </c>
      <c r="M1975" s="8">
        <v>19</v>
      </c>
      <c r="N1975" s="8">
        <v>2</v>
      </c>
      <c r="O1975" s="8">
        <v>10</v>
      </c>
      <c r="P1975" s="8"/>
    </row>
    <row r="1976" spans="1:16" hidden="1" x14ac:dyDescent="0.25">
      <c r="A1976" s="7" t="s">
        <v>37</v>
      </c>
      <c r="B1976" s="7" t="s">
        <v>254</v>
      </c>
      <c r="C1976" s="8">
        <v>28649</v>
      </c>
      <c r="D1976" s="7" t="s">
        <v>16</v>
      </c>
      <c r="E1976" s="7" t="s">
        <v>268</v>
      </c>
      <c r="F1976" s="7" t="s">
        <v>338</v>
      </c>
      <c r="G1976" s="7" t="s">
        <v>18</v>
      </c>
      <c r="H1976" s="7" t="s">
        <v>24</v>
      </c>
      <c r="I1976" s="7" t="s">
        <v>712</v>
      </c>
      <c r="J1976" s="7" t="s">
        <v>712</v>
      </c>
      <c r="K1976" s="8">
        <v>6131227</v>
      </c>
      <c r="L1976" s="8">
        <v>320576</v>
      </c>
      <c r="M1976" s="8">
        <v>19</v>
      </c>
      <c r="N1976" s="8">
        <v>1</v>
      </c>
      <c r="O1976" s="8">
        <v>4.5999999999999996</v>
      </c>
      <c r="P1976" s="8"/>
    </row>
    <row r="1977" spans="1:16" hidden="1" x14ac:dyDescent="0.25">
      <c r="A1977" s="7" t="s">
        <v>37</v>
      </c>
      <c r="B1977" s="7" t="s">
        <v>415</v>
      </c>
      <c r="C1977" s="8">
        <v>28651</v>
      </c>
      <c r="D1977" s="7" t="s">
        <v>28</v>
      </c>
      <c r="E1977" s="7" t="s">
        <v>32</v>
      </c>
      <c r="F1977" s="7" t="s">
        <v>442</v>
      </c>
      <c r="G1977" s="7" t="s">
        <v>18</v>
      </c>
      <c r="H1977" s="7" t="s">
        <v>24</v>
      </c>
      <c r="I1977" s="7" t="s">
        <v>712</v>
      </c>
      <c r="J1977" s="7" t="s">
        <v>712</v>
      </c>
      <c r="K1977" s="8">
        <v>6271816</v>
      </c>
      <c r="L1977" s="8">
        <v>337364</v>
      </c>
      <c r="M1977" s="8">
        <v>19</v>
      </c>
      <c r="N1977" s="8">
        <v>1</v>
      </c>
      <c r="O1977" s="8">
        <v>1.6</v>
      </c>
      <c r="P1977" s="8"/>
    </row>
    <row r="1978" spans="1:16" hidden="1" x14ac:dyDescent="0.25">
      <c r="A1978" s="7" t="s">
        <v>37</v>
      </c>
      <c r="B1978" s="7" t="s">
        <v>254</v>
      </c>
      <c r="C1978" s="8">
        <v>28652</v>
      </c>
      <c r="D1978" s="7" t="s">
        <v>16</v>
      </c>
      <c r="E1978" s="7" t="s">
        <v>46</v>
      </c>
      <c r="F1978" s="7" t="s">
        <v>46</v>
      </c>
      <c r="G1978" s="7" t="s">
        <v>65</v>
      </c>
      <c r="H1978" s="7" t="s">
        <v>66</v>
      </c>
      <c r="I1978" s="7" t="s">
        <v>712</v>
      </c>
      <c r="J1978" s="7" t="s">
        <v>712</v>
      </c>
      <c r="K1978" s="8">
        <v>6115920</v>
      </c>
      <c r="L1978" s="8">
        <v>290539</v>
      </c>
      <c r="M1978" s="8">
        <v>19</v>
      </c>
      <c r="N1978" s="8">
        <v>3</v>
      </c>
      <c r="O1978" s="8">
        <v>14</v>
      </c>
      <c r="P1978" s="8"/>
    </row>
    <row r="1979" spans="1:16" hidden="1" x14ac:dyDescent="0.25">
      <c r="A1979" s="7" t="s">
        <v>37</v>
      </c>
      <c r="B1979" s="7" t="s">
        <v>415</v>
      </c>
      <c r="C1979" s="8">
        <v>28655</v>
      </c>
      <c r="D1979" s="7" t="s">
        <v>28</v>
      </c>
      <c r="E1979" s="7" t="s">
        <v>146</v>
      </c>
      <c r="F1979" s="7" t="s">
        <v>465</v>
      </c>
      <c r="G1979" s="7" t="s">
        <v>18</v>
      </c>
      <c r="H1979" s="7" t="s">
        <v>109</v>
      </c>
      <c r="I1979" s="7" t="s">
        <v>712</v>
      </c>
      <c r="J1979" s="7" t="s">
        <v>691</v>
      </c>
      <c r="K1979" s="8">
        <v>6271766</v>
      </c>
      <c r="L1979" s="8">
        <v>323397</v>
      </c>
      <c r="M1979" s="8">
        <v>19</v>
      </c>
      <c r="N1979" s="8">
        <v>1</v>
      </c>
      <c r="O1979" s="8">
        <v>0.8</v>
      </c>
      <c r="P1979" s="8"/>
    </row>
    <row r="1980" spans="1:16" hidden="1" x14ac:dyDescent="0.25">
      <c r="A1980" s="7" t="s">
        <v>37</v>
      </c>
      <c r="B1980" s="7" t="s">
        <v>415</v>
      </c>
      <c r="C1980" s="8">
        <v>28656</v>
      </c>
      <c r="D1980" s="7" t="s">
        <v>28</v>
      </c>
      <c r="E1980" s="7" t="s">
        <v>146</v>
      </c>
      <c r="F1980" s="7" t="s">
        <v>465</v>
      </c>
      <c r="G1980" s="7" t="s">
        <v>18</v>
      </c>
      <c r="H1980" s="7" t="s">
        <v>109</v>
      </c>
      <c r="I1980" s="7" t="s">
        <v>712</v>
      </c>
      <c r="J1980" s="7" t="s">
        <v>691</v>
      </c>
      <c r="K1980" s="8">
        <v>6272008</v>
      </c>
      <c r="L1980" s="8">
        <v>322529</v>
      </c>
      <c r="M1980" s="8">
        <v>19</v>
      </c>
      <c r="N1980" s="8">
        <v>1</v>
      </c>
      <c r="O1980" s="8">
        <v>1</v>
      </c>
      <c r="P1980" s="8"/>
    </row>
    <row r="1981" spans="1:16" hidden="1" x14ac:dyDescent="0.25">
      <c r="A1981" s="7" t="s">
        <v>37</v>
      </c>
      <c r="B1981" s="7" t="s">
        <v>415</v>
      </c>
      <c r="C1981" s="8">
        <v>28657</v>
      </c>
      <c r="D1981" s="7" t="s">
        <v>28</v>
      </c>
      <c r="E1981" s="7" t="s">
        <v>146</v>
      </c>
      <c r="F1981" s="7" t="s">
        <v>465</v>
      </c>
      <c r="G1981" s="7" t="s">
        <v>18</v>
      </c>
      <c r="H1981" s="7" t="s">
        <v>109</v>
      </c>
      <c r="I1981" s="7" t="s">
        <v>712</v>
      </c>
      <c r="J1981" s="7" t="s">
        <v>691</v>
      </c>
      <c r="K1981" s="8">
        <v>6271795</v>
      </c>
      <c r="L1981" s="8">
        <v>322532</v>
      </c>
      <c r="M1981" s="8">
        <v>19</v>
      </c>
      <c r="N1981" s="8">
        <v>1</v>
      </c>
      <c r="O1981" s="8">
        <v>1.07</v>
      </c>
      <c r="P1981" s="8"/>
    </row>
    <row r="1982" spans="1:16" hidden="1" x14ac:dyDescent="0.25">
      <c r="A1982" s="7" t="s">
        <v>14</v>
      </c>
      <c r="B1982" s="7" t="s">
        <v>415</v>
      </c>
      <c r="C1982" s="8">
        <v>28658</v>
      </c>
      <c r="D1982" s="7" t="s">
        <v>28</v>
      </c>
      <c r="E1982" s="7" t="s">
        <v>56</v>
      </c>
      <c r="F1982" s="7" t="s">
        <v>378</v>
      </c>
      <c r="G1982" s="7" t="s">
        <v>18</v>
      </c>
      <c r="H1982" s="7" t="s">
        <v>689</v>
      </c>
      <c r="I1982" s="7" t="s">
        <v>712</v>
      </c>
      <c r="J1982" s="7" t="s">
        <v>712</v>
      </c>
      <c r="K1982" s="8">
        <v>6260024</v>
      </c>
      <c r="L1982" s="8">
        <v>330942</v>
      </c>
      <c r="M1982" s="8">
        <v>19</v>
      </c>
      <c r="N1982" s="8">
        <v>1</v>
      </c>
      <c r="O1982" s="8">
        <v>1.1599999999999999</v>
      </c>
      <c r="P1982" s="8"/>
    </row>
    <row r="1983" spans="1:16" hidden="1" x14ac:dyDescent="0.25">
      <c r="A1983" s="7" t="s">
        <v>37</v>
      </c>
      <c r="B1983" s="7" t="s">
        <v>415</v>
      </c>
      <c r="C1983" s="8">
        <v>28659</v>
      </c>
      <c r="D1983" s="7" t="s">
        <v>28</v>
      </c>
      <c r="E1983" s="7" t="s">
        <v>146</v>
      </c>
      <c r="F1983" s="7" t="s">
        <v>146</v>
      </c>
      <c r="G1983" s="7" t="s">
        <v>18</v>
      </c>
      <c r="H1983" s="7" t="s">
        <v>24</v>
      </c>
      <c r="I1983" s="7" t="s">
        <v>712</v>
      </c>
      <c r="J1983" s="7" t="s">
        <v>712</v>
      </c>
      <c r="K1983" s="8">
        <v>6273620</v>
      </c>
      <c r="L1983" s="8">
        <v>323206</v>
      </c>
      <c r="M1983" s="8">
        <v>19</v>
      </c>
      <c r="N1983" s="8">
        <v>1</v>
      </c>
      <c r="O1983" s="8">
        <v>0.93</v>
      </c>
      <c r="P1983" s="8"/>
    </row>
    <row r="1984" spans="1:16" hidden="1" x14ac:dyDescent="0.25">
      <c r="A1984" s="7" t="s">
        <v>37</v>
      </c>
      <c r="B1984" s="7" t="s">
        <v>415</v>
      </c>
      <c r="C1984" s="8">
        <v>28660</v>
      </c>
      <c r="D1984" s="7" t="s">
        <v>28</v>
      </c>
      <c r="E1984" s="7" t="s">
        <v>146</v>
      </c>
      <c r="F1984" s="7" t="s">
        <v>465</v>
      </c>
      <c r="G1984" s="7" t="s">
        <v>18</v>
      </c>
      <c r="H1984" s="7" t="s">
        <v>109</v>
      </c>
      <c r="I1984" s="7" t="s">
        <v>712</v>
      </c>
      <c r="J1984" s="7" t="s">
        <v>691</v>
      </c>
      <c r="K1984" s="8">
        <v>6271167</v>
      </c>
      <c r="L1984" s="8">
        <v>322664</v>
      </c>
      <c r="M1984" s="8">
        <v>19</v>
      </c>
      <c r="N1984" s="8">
        <v>1</v>
      </c>
      <c r="O1984" s="8">
        <v>1</v>
      </c>
      <c r="P1984" s="8"/>
    </row>
    <row r="1985" spans="1:16" hidden="1" x14ac:dyDescent="0.25">
      <c r="A1985" s="7" t="s">
        <v>37</v>
      </c>
      <c r="B1985" s="7" t="s">
        <v>415</v>
      </c>
      <c r="C1985" s="8">
        <v>28661</v>
      </c>
      <c r="D1985" s="7" t="s">
        <v>28</v>
      </c>
      <c r="E1985" s="7" t="s">
        <v>146</v>
      </c>
      <c r="F1985" s="7" t="s">
        <v>465</v>
      </c>
      <c r="G1985" s="7" t="s">
        <v>18</v>
      </c>
      <c r="H1985" s="7" t="s">
        <v>109</v>
      </c>
      <c r="I1985" s="7" t="s">
        <v>712</v>
      </c>
      <c r="J1985" s="7" t="s">
        <v>691</v>
      </c>
      <c r="K1985" s="8">
        <v>6271020</v>
      </c>
      <c r="L1985" s="8">
        <v>322924</v>
      </c>
      <c r="M1985" s="8">
        <v>19</v>
      </c>
      <c r="N1985" s="8">
        <v>1</v>
      </c>
      <c r="O1985" s="8">
        <v>1.05</v>
      </c>
      <c r="P1985" s="8"/>
    </row>
    <row r="1986" spans="1:16" hidden="1" x14ac:dyDescent="0.25">
      <c r="A1986" s="7" t="s">
        <v>37</v>
      </c>
      <c r="B1986" s="7" t="s">
        <v>415</v>
      </c>
      <c r="C1986" s="8">
        <v>28663</v>
      </c>
      <c r="D1986" s="7" t="s">
        <v>28</v>
      </c>
      <c r="E1986" s="7" t="s">
        <v>44</v>
      </c>
      <c r="F1986" s="7" t="s">
        <v>488</v>
      </c>
      <c r="G1986" s="7" t="s">
        <v>18</v>
      </c>
      <c r="H1986" s="7" t="s">
        <v>24</v>
      </c>
      <c r="I1986" s="7" t="s">
        <v>712</v>
      </c>
      <c r="J1986" s="7" t="s">
        <v>712</v>
      </c>
      <c r="K1986" s="8">
        <v>6276665</v>
      </c>
      <c r="L1986" s="8">
        <v>355677</v>
      </c>
      <c r="M1986" s="8">
        <v>19</v>
      </c>
      <c r="N1986" s="8">
        <v>1</v>
      </c>
      <c r="O1986" s="8">
        <v>2.04</v>
      </c>
      <c r="P1986" s="8"/>
    </row>
    <row r="1987" spans="1:16" hidden="1" x14ac:dyDescent="0.25">
      <c r="A1987" s="7" t="s">
        <v>37</v>
      </c>
      <c r="B1987" s="7" t="s">
        <v>415</v>
      </c>
      <c r="C1987" s="8">
        <v>28664</v>
      </c>
      <c r="D1987" s="7" t="s">
        <v>28</v>
      </c>
      <c r="E1987" s="7" t="s">
        <v>56</v>
      </c>
      <c r="F1987" s="7" t="s">
        <v>536</v>
      </c>
      <c r="G1987" s="7" t="s">
        <v>18</v>
      </c>
      <c r="H1987" s="7" t="s">
        <v>24</v>
      </c>
      <c r="I1987" s="7" t="s">
        <v>712</v>
      </c>
      <c r="J1987" s="7" t="s">
        <v>712</v>
      </c>
      <c r="K1987" s="8">
        <v>6264165</v>
      </c>
      <c r="L1987" s="8">
        <v>335392</v>
      </c>
      <c r="M1987" s="8">
        <v>19</v>
      </c>
      <c r="N1987" s="8">
        <v>1</v>
      </c>
      <c r="O1987" s="8">
        <v>3.3</v>
      </c>
      <c r="P1987" s="8"/>
    </row>
    <row r="1988" spans="1:16" hidden="1" x14ac:dyDescent="0.25">
      <c r="A1988" s="7" t="s">
        <v>37</v>
      </c>
      <c r="B1988" s="7" t="s">
        <v>415</v>
      </c>
      <c r="C1988" s="8">
        <v>28665</v>
      </c>
      <c r="D1988" s="7" t="s">
        <v>28</v>
      </c>
      <c r="E1988" s="7" t="s">
        <v>29</v>
      </c>
      <c r="F1988" s="7" t="s">
        <v>461</v>
      </c>
      <c r="G1988" s="7" t="s">
        <v>18</v>
      </c>
      <c r="H1988" s="7" t="s">
        <v>24</v>
      </c>
      <c r="I1988" s="7" t="s">
        <v>712</v>
      </c>
      <c r="J1988" s="7" t="s">
        <v>712</v>
      </c>
      <c r="K1988" s="8">
        <v>6255795</v>
      </c>
      <c r="L1988" s="8">
        <v>347063</v>
      </c>
      <c r="M1988" s="8">
        <v>19</v>
      </c>
      <c r="N1988" s="8">
        <v>1</v>
      </c>
      <c r="O1988" s="8">
        <v>1</v>
      </c>
      <c r="P1988" s="8"/>
    </row>
    <row r="1989" spans="1:16" hidden="1" x14ac:dyDescent="0.25">
      <c r="A1989" s="7" t="s">
        <v>37</v>
      </c>
      <c r="B1989" s="7" t="s">
        <v>415</v>
      </c>
      <c r="C1989" s="8">
        <v>28666</v>
      </c>
      <c r="D1989" s="7" t="s">
        <v>28</v>
      </c>
      <c r="E1989" s="7" t="s">
        <v>32</v>
      </c>
      <c r="F1989" s="7" t="s">
        <v>460</v>
      </c>
      <c r="G1989" s="7" t="s">
        <v>18</v>
      </c>
      <c r="H1989" s="7" t="s">
        <v>24</v>
      </c>
      <c r="I1989" s="7" t="s">
        <v>712</v>
      </c>
      <c r="J1989" s="7" t="s">
        <v>712</v>
      </c>
      <c r="K1989" s="8">
        <v>6278408</v>
      </c>
      <c r="L1989" s="8">
        <v>338524</v>
      </c>
      <c r="M1989" s="8">
        <v>19</v>
      </c>
      <c r="N1989" s="8">
        <v>1</v>
      </c>
      <c r="O1989" s="8">
        <v>1</v>
      </c>
      <c r="P1989" s="8"/>
    </row>
    <row r="1990" spans="1:16" hidden="1" x14ac:dyDescent="0.25">
      <c r="A1990" s="7" t="s">
        <v>37</v>
      </c>
      <c r="B1990" s="7" t="s">
        <v>415</v>
      </c>
      <c r="C1990" s="8">
        <v>28669</v>
      </c>
      <c r="D1990" s="7" t="s">
        <v>28</v>
      </c>
      <c r="E1990" s="7" t="s">
        <v>146</v>
      </c>
      <c r="F1990" s="7" t="s">
        <v>146</v>
      </c>
      <c r="G1990" s="7" t="s">
        <v>18</v>
      </c>
      <c r="H1990" s="7" t="s">
        <v>24</v>
      </c>
      <c r="I1990" s="7" t="s">
        <v>712</v>
      </c>
      <c r="J1990" s="7" t="s">
        <v>712</v>
      </c>
      <c r="K1990" s="8">
        <v>6304316</v>
      </c>
      <c r="L1990" s="8">
        <v>328545</v>
      </c>
      <c r="M1990" s="8">
        <v>19</v>
      </c>
      <c r="N1990" s="8">
        <v>1</v>
      </c>
      <c r="O1990" s="8">
        <v>0.09</v>
      </c>
      <c r="P1990" s="8"/>
    </row>
    <row r="1991" spans="1:16" hidden="1" x14ac:dyDescent="0.25">
      <c r="A1991" s="7" t="s">
        <v>37</v>
      </c>
      <c r="B1991" s="7" t="s">
        <v>415</v>
      </c>
      <c r="C1991" s="8">
        <v>28670</v>
      </c>
      <c r="D1991" s="7" t="s">
        <v>28</v>
      </c>
      <c r="E1991" s="7" t="s">
        <v>146</v>
      </c>
      <c r="F1991" s="7" t="s">
        <v>487</v>
      </c>
      <c r="G1991" s="7" t="s">
        <v>18</v>
      </c>
      <c r="H1991" s="7" t="s">
        <v>24</v>
      </c>
      <c r="I1991" s="7" t="s">
        <v>712</v>
      </c>
      <c r="J1991" s="7" t="s">
        <v>712</v>
      </c>
      <c r="K1991" s="8">
        <v>6270353</v>
      </c>
      <c r="L1991" s="8">
        <v>317942</v>
      </c>
      <c r="M1991" s="8">
        <v>19</v>
      </c>
      <c r="N1991" s="8">
        <v>1</v>
      </c>
      <c r="O1991" s="8">
        <v>0.95</v>
      </c>
      <c r="P1991" s="8"/>
    </row>
    <row r="1992" spans="1:16" hidden="1" x14ac:dyDescent="0.25">
      <c r="A1992" s="7" t="s">
        <v>37</v>
      </c>
      <c r="B1992" s="7" t="s">
        <v>415</v>
      </c>
      <c r="C1992" s="8">
        <v>28671</v>
      </c>
      <c r="D1992" s="7" t="s">
        <v>28</v>
      </c>
      <c r="E1992" s="7" t="s">
        <v>29</v>
      </c>
      <c r="F1992" s="7" t="s">
        <v>545</v>
      </c>
      <c r="G1992" s="7" t="s">
        <v>18</v>
      </c>
      <c r="H1992" s="7" t="s">
        <v>24</v>
      </c>
      <c r="I1992" s="7" t="s">
        <v>712</v>
      </c>
      <c r="J1992" s="7" t="s">
        <v>712</v>
      </c>
      <c r="K1992" s="8">
        <v>6254992</v>
      </c>
      <c r="L1992" s="8">
        <v>338779</v>
      </c>
      <c r="M1992" s="8">
        <v>19</v>
      </c>
      <c r="N1992" s="8">
        <v>1</v>
      </c>
      <c r="O1992" s="8">
        <v>1.36</v>
      </c>
      <c r="P1992" s="8"/>
    </row>
    <row r="1993" spans="1:16" hidden="1" x14ac:dyDescent="0.25">
      <c r="A1993" s="7" t="s">
        <v>37</v>
      </c>
      <c r="B1993" s="7" t="s">
        <v>415</v>
      </c>
      <c r="C1993" s="8">
        <v>28672</v>
      </c>
      <c r="D1993" s="7" t="s">
        <v>28</v>
      </c>
      <c r="E1993" s="7" t="s">
        <v>32</v>
      </c>
      <c r="F1993" s="7" t="s">
        <v>496</v>
      </c>
      <c r="G1993" s="7" t="s">
        <v>18</v>
      </c>
      <c r="H1993" s="7" t="s">
        <v>24</v>
      </c>
      <c r="I1993" s="7" t="s">
        <v>712</v>
      </c>
      <c r="J1993" s="7" t="s">
        <v>712</v>
      </c>
      <c r="K1993" s="8">
        <v>6275943</v>
      </c>
      <c r="L1993" s="8">
        <v>345873</v>
      </c>
      <c r="M1993" s="8">
        <v>19</v>
      </c>
      <c r="N1993" s="8">
        <v>1</v>
      </c>
      <c r="O1993" s="8">
        <v>2.46</v>
      </c>
      <c r="P1993" s="8"/>
    </row>
    <row r="1994" spans="1:16" hidden="1" x14ac:dyDescent="0.25">
      <c r="A1994" s="7" t="s">
        <v>37</v>
      </c>
      <c r="B1994" s="7" t="s">
        <v>415</v>
      </c>
      <c r="C1994" s="8">
        <v>28673</v>
      </c>
      <c r="D1994" s="7" t="s">
        <v>28</v>
      </c>
      <c r="E1994" s="7" t="s">
        <v>146</v>
      </c>
      <c r="F1994" s="7" t="s">
        <v>479</v>
      </c>
      <c r="G1994" s="7" t="s">
        <v>18</v>
      </c>
      <c r="H1994" s="7" t="s">
        <v>24</v>
      </c>
      <c r="I1994" s="7" t="s">
        <v>712</v>
      </c>
      <c r="J1994" s="7" t="s">
        <v>712</v>
      </c>
      <c r="K1994" s="8">
        <v>6275115</v>
      </c>
      <c r="L1994" s="8">
        <v>322346</v>
      </c>
      <c r="M1994" s="8">
        <v>19</v>
      </c>
      <c r="N1994" s="8">
        <v>1</v>
      </c>
      <c r="O1994" s="8">
        <v>1.0900000000000001</v>
      </c>
      <c r="P1994" s="8"/>
    </row>
    <row r="1995" spans="1:16" hidden="1" x14ac:dyDescent="0.25">
      <c r="A1995" s="7" t="s">
        <v>14</v>
      </c>
      <c r="B1995" s="7" t="s">
        <v>415</v>
      </c>
      <c r="C1995" s="8">
        <v>28674</v>
      </c>
      <c r="D1995" s="7" t="s">
        <v>28</v>
      </c>
      <c r="E1995" s="7" t="s">
        <v>56</v>
      </c>
      <c r="F1995" s="7" t="s">
        <v>162</v>
      </c>
      <c r="G1995" s="7" t="s">
        <v>18</v>
      </c>
      <c r="H1995" s="7" t="s">
        <v>689</v>
      </c>
      <c r="I1995" s="7" t="s">
        <v>712</v>
      </c>
      <c r="J1995" s="7" t="s">
        <v>712</v>
      </c>
      <c r="K1995" s="8">
        <v>6260399</v>
      </c>
      <c r="L1995" s="8">
        <v>332773</v>
      </c>
      <c r="M1995" s="8">
        <v>19</v>
      </c>
      <c r="N1995" s="8">
        <v>1</v>
      </c>
      <c r="O1995" s="8">
        <v>0.56000000000000005</v>
      </c>
      <c r="P1995" s="8"/>
    </row>
    <row r="1996" spans="1:16" hidden="1" x14ac:dyDescent="0.25">
      <c r="A1996" s="7" t="s">
        <v>37</v>
      </c>
      <c r="B1996" s="7" t="s">
        <v>415</v>
      </c>
      <c r="C1996" s="8">
        <v>28675</v>
      </c>
      <c r="D1996" s="7" t="s">
        <v>28</v>
      </c>
      <c r="E1996" s="7" t="s">
        <v>344</v>
      </c>
      <c r="F1996" s="7" t="s">
        <v>531</v>
      </c>
      <c r="G1996" s="7" t="s">
        <v>18</v>
      </c>
      <c r="H1996" s="7" t="s">
        <v>24</v>
      </c>
      <c r="I1996" s="7" t="s">
        <v>712</v>
      </c>
      <c r="J1996" s="7" t="s">
        <v>712</v>
      </c>
      <c r="K1996" s="8">
        <v>6276581</v>
      </c>
      <c r="L1996" s="8">
        <v>296026</v>
      </c>
      <c r="M1996" s="8">
        <v>19</v>
      </c>
      <c r="N1996" s="8">
        <v>1</v>
      </c>
      <c r="O1996" s="8">
        <v>0.97</v>
      </c>
      <c r="P1996" s="8"/>
    </row>
    <row r="1997" spans="1:16" hidden="1" x14ac:dyDescent="0.25">
      <c r="A1997" s="7" t="s">
        <v>37</v>
      </c>
      <c r="B1997" s="7" t="s">
        <v>415</v>
      </c>
      <c r="C1997" s="8">
        <v>28676</v>
      </c>
      <c r="D1997" s="7" t="s">
        <v>28</v>
      </c>
      <c r="E1997" s="7" t="s">
        <v>344</v>
      </c>
      <c r="F1997" s="7" t="s">
        <v>517</v>
      </c>
      <c r="G1997" s="7" t="s">
        <v>18</v>
      </c>
      <c r="H1997" s="7" t="s">
        <v>24</v>
      </c>
      <c r="I1997" s="7" t="s">
        <v>712</v>
      </c>
      <c r="J1997" s="7" t="s">
        <v>712</v>
      </c>
      <c r="K1997" s="8">
        <v>6272321</v>
      </c>
      <c r="L1997" s="8">
        <v>302953</v>
      </c>
      <c r="M1997" s="8">
        <v>19</v>
      </c>
      <c r="N1997" s="8">
        <v>1</v>
      </c>
      <c r="O1997" s="8">
        <v>1</v>
      </c>
      <c r="P1997" s="8"/>
    </row>
    <row r="1998" spans="1:16" hidden="1" x14ac:dyDescent="0.25">
      <c r="A1998" s="7" t="s">
        <v>37</v>
      </c>
      <c r="B1998" s="7" t="s">
        <v>415</v>
      </c>
      <c r="C1998" s="8">
        <v>28677</v>
      </c>
      <c r="D1998" s="7" t="s">
        <v>28</v>
      </c>
      <c r="E1998" s="7" t="s">
        <v>146</v>
      </c>
      <c r="F1998" s="7" t="s">
        <v>362</v>
      </c>
      <c r="G1998" s="7" t="s">
        <v>18</v>
      </c>
      <c r="H1998" s="7" t="s">
        <v>24</v>
      </c>
      <c r="I1998" s="7" t="s">
        <v>712</v>
      </c>
      <c r="J1998" s="7" t="s">
        <v>712</v>
      </c>
      <c r="K1998" s="8">
        <v>6275965</v>
      </c>
      <c r="L1998" s="8">
        <v>327062</v>
      </c>
      <c r="M1998" s="8">
        <v>19</v>
      </c>
      <c r="N1998" s="8">
        <v>1</v>
      </c>
      <c r="O1998" s="8">
        <v>1.1000000000000001</v>
      </c>
      <c r="P1998" s="8"/>
    </row>
    <row r="1999" spans="1:16" hidden="1" x14ac:dyDescent="0.25">
      <c r="A1999" s="7" t="s">
        <v>37</v>
      </c>
      <c r="B1999" s="7" t="s">
        <v>415</v>
      </c>
      <c r="C1999" s="8">
        <v>28678</v>
      </c>
      <c r="D1999" s="7" t="s">
        <v>28</v>
      </c>
      <c r="E1999" s="7" t="s">
        <v>32</v>
      </c>
      <c r="F1999" s="7" t="s">
        <v>546</v>
      </c>
      <c r="G1999" s="7" t="s">
        <v>18</v>
      </c>
      <c r="H1999" s="7" t="s">
        <v>24</v>
      </c>
      <c r="I1999" s="7" t="s">
        <v>712</v>
      </c>
      <c r="J1999" s="7" t="s">
        <v>712</v>
      </c>
      <c r="K1999" s="8">
        <v>6285431</v>
      </c>
      <c r="L1999" s="8">
        <v>338757</v>
      </c>
      <c r="M1999" s="8">
        <v>19</v>
      </c>
      <c r="N1999" s="8">
        <v>1</v>
      </c>
      <c r="O1999" s="8">
        <v>1.63</v>
      </c>
      <c r="P1999" s="8"/>
    </row>
    <row r="2000" spans="1:16" hidden="1" x14ac:dyDescent="0.25">
      <c r="A2000" s="7" t="s">
        <v>37</v>
      </c>
      <c r="B2000" s="7" t="s">
        <v>415</v>
      </c>
      <c r="C2000" s="8">
        <v>28679</v>
      </c>
      <c r="D2000" s="7" t="s">
        <v>28</v>
      </c>
      <c r="E2000" s="7" t="s">
        <v>32</v>
      </c>
      <c r="F2000" s="7" t="s">
        <v>337</v>
      </c>
      <c r="G2000" s="7" t="s">
        <v>18</v>
      </c>
      <c r="H2000" s="7" t="s">
        <v>24</v>
      </c>
      <c r="I2000" s="7" t="s">
        <v>712</v>
      </c>
      <c r="J2000" s="7" t="s">
        <v>712</v>
      </c>
      <c r="K2000" s="8">
        <v>6267747</v>
      </c>
      <c r="L2000" s="8">
        <v>333766</v>
      </c>
      <c r="M2000" s="8">
        <v>19</v>
      </c>
      <c r="N2000" s="8">
        <v>1</v>
      </c>
      <c r="O2000" s="8">
        <v>1.6</v>
      </c>
      <c r="P2000" s="8"/>
    </row>
    <row r="2001" spans="1:16" hidden="1" x14ac:dyDescent="0.25">
      <c r="A2001" s="7" t="s">
        <v>37</v>
      </c>
      <c r="B2001" s="7" t="s">
        <v>415</v>
      </c>
      <c r="C2001" s="8">
        <v>28680</v>
      </c>
      <c r="D2001" s="7" t="s">
        <v>28</v>
      </c>
      <c r="E2001" s="7" t="s">
        <v>32</v>
      </c>
      <c r="F2001" s="7" t="s">
        <v>457</v>
      </c>
      <c r="G2001" s="7" t="s">
        <v>18</v>
      </c>
      <c r="H2001" s="7" t="s">
        <v>24</v>
      </c>
      <c r="I2001" s="7" t="s">
        <v>712</v>
      </c>
      <c r="J2001" s="7" t="s">
        <v>712</v>
      </c>
      <c r="K2001" s="8">
        <v>6277851</v>
      </c>
      <c r="L2001" s="8">
        <v>347661</v>
      </c>
      <c r="M2001" s="8">
        <v>19</v>
      </c>
      <c r="N2001" s="8">
        <v>1</v>
      </c>
      <c r="O2001" s="8">
        <v>2.4</v>
      </c>
      <c r="P2001" s="8"/>
    </row>
    <row r="2002" spans="1:16" hidden="1" x14ac:dyDescent="0.25">
      <c r="A2002" s="7" t="s">
        <v>14</v>
      </c>
      <c r="B2002" s="7" t="s">
        <v>415</v>
      </c>
      <c r="C2002" s="8">
        <v>28681</v>
      </c>
      <c r="D2002" s="7" t="s">
        <v>28</v>
      </c>
      <c r="E2002" s="7" t="s">
        <v>56</v>
      </c>
      <c r="F2002" s="7" t="s">
        <v>378</v>
      </c>
      <c r="G2002" s="7" t="s">
        <v>18</v>
      </c>
      <c r="H2002" s="7" t="s">
        <v>689</v>
      </c>
      <c r="I2002" s="7" t="s">
        <v>712</v>
      </c>
      <c r="J2002" s="7" t="s">
        <v>712</v>
      </c>
      <c r="K2002" s="8">
        <v>6260029</v>
      </c>
      <c r="L2002" s="8">
        <v>331029</v>
      </c>
      <c r="M2002" s="8">
        <v>19</v>
      </c>
      <c r="N2002" s="8">
        <v>1</v>
      </c>
      <c r="O2002" s="8">
        <v>0.34</v>
      </c>
      <c r="P2002" s="8"/>
    </row>
    <row r="2003" spans="1:16" hidden="1" x14ac:dyDescent="0.25">
      <c r="A2003" s="7" t="s">
        <v>37</v>
      </c>
      <c r="B2003" s="7" t="s">
        <v>415</v>
      </c>
      <c r="C2003" s="8">
        <v>28683</v>
      </c>
      <c r="D2003" s="7" t="s">
        <v>28</v>
      </c>
      <c r="E2003" s="7" t="s">
        <v>32</v>
      </c>
      <c r="F2003" s="7" t="s">
        <v>535</v>
      </c>
      <c r="G2003" s="7" t="s">
        <v>18</v>
      </c>
      <c r="H2003" s="7" t="s">
        <v>24</v>
      </c>
      <c r="I2003" s="7" t="s">
        <v>712</v>
      </c>
      <c r="J2003" s="7" t="s">
        <v>712</v>
      </c>
      <c r="K2003" s="8">
        <v>6276886</v>
      </c>
      <c r="L2003" s="8">
        <v>345614</v>
      </c>
      <c r="M2003" s="8">
        <v>19</v>
      </c>
      <c r="N2003" s="8">
        <v>1</v>
      </c>
      <c r="O2003" s="8">
        <v>1</v>
      </c>
      <c r="P2003" s="8"/>
    </row>
    <row r="2004" spans="1:16" hidden="1" x14ac:dyDescent="0.25">
      <c r="A2004" s="7" t="s">
        <v>37</v>
      </c>
      <c r="B2004" s="7" t="s">
        <v>415</v>
      </c>
      <c r="C2004" s="8">
        <v>28685</v>
      </c>
      <c r="D2004" s="7" t="s">
        <v>28</v>
      </c>
      <c r="E2004" s="7" t="s">
        <v>142</v>
      </c>
      <c r="F2004" s="7" t="s">
        <v>142</v>
      </c>
      <c r="G2004" s="7" t="s">
        <v>18</v>
      </c>
      <c r="H2004" s="7" t="s">
        <v>24</v>
      </c>
      <c r="I2004" s="7" t="s">
        <v>712</v>
      </c>
      <c r="J2004" s="7" t="s">
        <v>712</v>
      </c>
      <c r="K2004" s="8">
        <v>6278849</v>
      </c>
      <c r="L2004" s="8">
        <v>335894</v>
      </c>
      <c r="M2004" s="8">
        <v>19</v>
      </c>
      <c r="N2004" s="8">
        <v>1</v>
      </c>
      <c r="O2004" s="8">
        <v>1.01</v>
      </c>
      <c r="P2004" s="8"/>
    </row>
    <row r="2005" spans="1:16" hidden="1" x14ac:dyDescent="0.25">
      <c r="A2005" s="7" t="s">
        <v>14</v>
      </c>
      <c r="B2005" s="7" t="s">
        <v>415</v>
      </c>
      <c r="C2005" s="8">
        <v>28686</v>
      </c>
      <c r="D2005" s="7" t="s">
        <v>28</v>
      </c>
      <c r="E2005" s="7" t="s">
        <v>56</v>
      </c>
      <c r="F2005" s="7" t="s">
        <v>378</v>
      </c>
      <c r="G2005" s="7" t="s">
        <v>18</v>
      </c>
      <c r="H2005" s="7" t="s">
        <v>689</v>
      </c>
      <c r="I2005" s="7" t="s">
        <v>712</v>
      </c>
      <c r="J2005" s="7" t="s">
        <v>712</v>
      </c>
      <c r="K2005" s="8">
        <v>6260231</v>
      </c>
      <c r="L2005" s="8">
        <v>330928</v>
      </c>
      <c r="M2005" s="8">
        <v>19</v>
      </c>
      <c r="N2005" s="8">
        <v>1</v>
      </c>
      <c r="O2005" s="8">
        <v>0.49</v>
      </c>
      <c r="P2005" s="8"/>
    </row>
    <row r="2006" spans="1:16" hidden="1" x14ac:dyDescent="0.25">
      <c r="A2006" s="7" t="s">
        <v>14</v>
      </c>
      <c r="B2006" s="7" t="s">
        <v>415</v>
      </c>
      <c r="C2006" s="8">
        <v>28687</v>
      </c>
      <c r="D2006" s="7" t="s">
        <v>28</v>
      </c>
      <c r="E2006" s="7" t="s">
        <v>56</v>
      </c>
      <c r="F2006" s="7" t="s">
        <v>162</v>
      </c>
      <c r="G2006" s="7" t="s">
        <v>18</v>
      </c>
      <c r="H2006" s="7" t="s">
        <v>689</v>
      </c>
      <c r="I2006" s="7" t="s">
        <v>712</v>
      </c>
      <c r="J2006" s="7" t="s">
        <v>712</v>
      </c>
      <c r="K2006" s="8">
        <v>6260631</v>
      </c>
      <c r="L2006" s="8">
        <v>333217</v>
      </c>
      <c r="M2006" s="8">
        <v>19</v>
      </c>
      <c r="N2006" s="8">
        <v>1</v>
      </c>
      <c r="O2006" s="8">
        <v>0.39</v>
      </c>
      <c r="P2006" s="8"/>
    </row>
    <row r="2007" spans="1:16" hidden="1" x14ac:dyDescent="0.25">
      <c r="A2007" s="7" t="s">
        <v>14</v>
      </c>
      <c r="B2007" s="7" t="s">
        <v>415</v>
      </c>
      <c r="C2007" s="8">
        <v>28688</v>
      </c>
      <c r="D2007" s="7" t="s">
        <v>28</v>
      </c>
      <c r="E2007" s="7" t="s">
        <v>56</v>
      </c>
      <c r="F2007" s="7" t="s">
        <v>162</v>
      </c>
      <c r="G2007" s="7" t="s">
        <v>18</v>
      </c>
      <c r="H2007" s="7" t="s">
        <v>689</v>
      </c>
      <c r="I2007" s="7" t="s">
        <v>712</v>
      </c>
      <c r="J2007" s="7" t="s">
        <v>712</v>
      </c>
      <c r="K2007" s="8">
        <v>6260538</v>
      </c>
      <c r="L2007" s="8">
        <v>332946</v>
      </c>
      <c r="M2007" s="8">
        <v>19</v>
      </c>
      <c r="N2007" s="8">
        <v>1</v>
      </c>
      <c r="O2007" s="8">
        <v>0.57999999999999996</v>
      </c>
      <c r="P2007" s="8"/>
    </row>
    <row r="2008" spans="1:16" hidden="1" x14ac:dyDescent="0.25">
      <c r="A2008" s="7" t="s">
        <v>14</v>
      </c>
      <c r="B2008" s="7" t="s">
        <v>415</v>
      </c>
      <c r="C2008" s="8">
        <v>28689</v>
      </c>
      <c r="D2008" s="7" t="s">
        <v>28</v>
      </c>
      <c r="E2008" s="7" t="s">
        <v>56</v>
      </c>
      <c r="F2008" s="7" t="s">
        <v>162</v>
      </c>
      <c r="G2008" s="7" t="s">
        <v>18</v>
      </c>
      <c r="H2008" s="7" t="s">
        <v>689</v>
      </c>
      <c r="I2008" s="7" t="s">
        <v>712</v>
      </c>
      <c r="J2008" s="7" t="s">
        <v>712</v>
      </c>
      <c r="K2008" s="8">
        <v>6260231</v>
      </c>
      <c r="L2008" s="8">
        <v>332873</v>
      </c>
      <c r="M2008" s="8">
        <v>19</v>
      </c>
      <c r="N2008" s="8">
        <v>1</v>
      </c>
      <c r="O2008" s="8">
        <v>0.27</v>
      </c>
      <c r="P2008" s="8"/>
    </row>
    <row r="2009" spans="1:16" hidden="1" x14ac:dyDescent="0.25">
      <c r="A2009" s="7" t="s">
        <v>14</v>
      </c>
      <c r="B2009" s="7" t="s">
        <v>415</v>
      </c>
      <c r="C2009" s="8">
        <v>28690</v>
      </c>
      <c r="D2009" s="7" t="s">
        <v>28</v>
      </c>
      <c r="E2009" s="7" t="s">
        <v>56</v>
      </c>
      <c r="F2009" s="7" t="s">
        <v>162</v>
      </c>
      <c r="G2009" s="7" t="s">
        <v>18</v>
      </c>
      <c r="H2009" s="7" t="s">
        <v>689</v>
      </c>
      <c r="I2009" s="7" t="s">
        <v>712</v>
      </c>
      <c r="J2009" s="7" t="s">
        <v>712</v>
      </c>
      <c r="K2009" s="8">
        <v>6260468</v>
      </c>
      <c r="L2009" s="8">
        <v>332903</v>
      </c>
      <c r="M2009" s="8">
        <v>19</v>
      </c>
      <c r="N2009" s="8">
        <v>1</v>
      </c>
      <c r="O2009" s="8">
        <v>0.69</v>
      </c>
      <c r="P2009" s="8"/>
    </row>
    <row r="2010" spans="1:16" hidden="1" x14ac:dyDescent="0.25">
      <c r="A2010" s="7" t="s">
        <v>14</v>
      </c>
      <c r="B2010" s="7" t="s">
        <v>415</v>
      </c>
      <c r="C2010" s="8">
        <v>28691</v>
      </c>
      <c r="D2010" s="7" t="s">
        <v>28</v>
      </c>
      <c r="E2010" s="7" t="s">
        <v>56</v>
      </c>
      <c r="F2010" s="7" t="s">
        <v>378</v>
      </c>
      <c r="G2010" s="7" t="s">
        <v>18</v>
      </c>
      <c r="H2010" s="7" t="s">
        <v>689</v>
      </c>
      <c r="I2010" s="7" t="s">
        <v>712</v>
      </c>
      <c r="J2010" s="7" t="s">
        <v>712</v>
      </c>
      <c r="K2010" s="8">
        <v>6259482</v>
      </c>
      <c r="L2010" s="8">
        <v>331078</v>
      </c>
      <c r="M2010" s="8">
        <v>19</v>
      </c>
      <c r="N2010" s="8">
        <v>1</v>
      </c>
      <c r="O2010" s="8">
        <v>0.86</v>
      </c>
      <c r="P2010" s="8"/>
    </row>
    <row r="2011" spans="1:16" hidden="1" x14ac:dyDescent="0.25">
      <c r="A2011" s="7" t="s">
        <v>14</v>
      </c>
      <c r="B2011" s="7" t="s">
        <v>415</v>
      </c>
      <c r="C2011" s="8">
        <v>28692</v>
      </c>
      <c r="D2011" s="7" t="s">
        <v>28</v>
      </c>
      <c r="E2011" s="7" t="s">
        <v>56</v>
      </c>
      <c r="F2011" s="7" t="s">
        <v>162</v>
      </c>
      <c r="G2011" s="7" t="s">
        <v>18</v>
      </c>
      <c r="H2011" s="7" t="s">
        <v>689</v>
      </c>
      <c r="I2011" s="7" t="s">
        <v>712</v>
      </c>
      <c r="J2011" s="7" t="s">
        <v>712</v>
      </c>
      <c r="K2011" s="8">
        <v>6260624</v>
      </c>
      <c r="L2011" s="8">
        <v>332792</v>
      </c>
      <c r="M2011" s="8">
        <v>19</v>
      </c>
      <c r="N2011" s="8">
        <v>1</v>
      </c>
      <c r="O2011" s="8">
        <v>0.6</v>
      </c>
      <c r="P2011" s="8"/>
    </row>
    <row r="2012" spans="1:16" hidden="1" x14ac:dyDescent="0.25">
      <c r="A2012" s="7" t="s">
        <v>14</v>
      </c>
      <c r="B2012" s="7" t="s">
        <v>415</v>
      </c>
      <c r="C2012" s="8">
        <v>28693</v>
      </c>
      <c r="D2012" s="7" t="s">
        <v>28</v>
      </c>
      <c r="E2012" s="7" t="s">
        <v>56</v>
      </c>
      <c r="F2012" s="7" t="s">
        <v>378</v>
      </c>
      <c r="G2012" s="7" t="s">
        <v>18</v>
      </c>
      <c r="H2012" s="7" t="s">
        <v>689</v>
      </c>
      <c r="I2012" s="7" t="s">
        <v>712</v>
      </c>
      <c r="J2012" s="7" t="s">
        <v>712</v>
      </c>
      <c r="K2012" s="8">
        <v>6259563</v>
      </c>
      <c r="L2012" s="8">
        <v>330885</v>
      </c>
      <c r="M2012" s="8">
        <v>19</v>
      </c>
      <c r="N2012" s="8">
        <v>1</v>
      </c>
      <c r="O2012" s="8">
        <v>1.05</v>
      </c>
      <c r="P2012" s="8"/>
    </row>
    <row r="2013" spans="1:16" hidden="1" x14ac:dyDescent="0.25">
      <c r="A2013" s="7" t="s">
        <v>14</v>
      </c>
      <c r="B2013" s="7" t="s">
        <v>415</v>
      </c>
      <c r="C2013" s="8">
        <v>28694</v>
      </c>
      <c r="D2013" s="7" t="s">
        <v>322</v>
      </c>
      <c r="E2013" s="7" t="s">
        <v>323</v>
      </c>
      <c r="F2013" s="7" t="s">
        <v>422</v>
      </c>
      <c r="G2013" s="7" t="s">
        <v>18</v>
      </c>
      <c r="H2013" s="7" t="s">
        <v>689</v>
      </c>
      <c r="I2013" s="7" t="s">
        <v>712</v>
      </c>
      <c r="J2013" s="7" t="s">
        <v>712</v>
      </c>
      <c r="K2013" s="8">
        <v>7950230</v>
      </c>
      <c r="L2013" s="8">
        <v>378355</v>
      </c>
      <c r="M2013" s="8">
        <v>19</v>
      </c>
      <c r="N2013" s="8">
        <v>1</v>
      </c>
      <c r="O2013" s="8">
        <v>1.29</v>
      </c>
      <c r="P2013" s="8"/>
    </row>
    <row r="2014" spans="1:16" hidden="1" x14ac:dyDescent="0.25">
      <c r="A2014" s="7" t="s">
        <v>14</v>
      </c>
      <c r="B2014" s="7" t="s">
        <v>415</v>
      </c>
      <c r="C2014" s="8">
        <v>28695</v>
      </c>
      <c r="D2014" s="7" t="s">
        <v>322</v>
      </c>
      <c r="E2014" s="7" t="s">
        <v>323</v>
      </c>
      <c r="F2014" s="7" t="s">
        <v>422</v>
      </c>
      <c r="G2014" s="7" t="s">
        <v>18</v>
      </c>
      <c r="H2014" s="7" t="s">
        <v>689</v>
      </c>
      <c r="I2014" s="7" t="s">
        <v>712</v>
      </c>
      <c r="J2014" s="7" t="s">
        <v>712</v>
      </c>
      <c r="K2014" s="8">
        <v>7950187</v>
      </c>
      <c r="L2014" s="8">
        <v>378395</v>
      </c>
      <c r="M2014" s="8">
        <v>19</v>
      </c>
      <c r="N2014" s="8">
        <v>1</v>
      </c>
      <c r="O2014" s="8">
        <v>0.24</v>
      </c>
      <c r="P2014" s="8"/>
    </row>
    <row r="2015" spans="1:16" hidden="1" x14ac:dyDescent="0.25">
      <c r="A2015" s="7" t="s">
        <v>14</v>
      </c>
      <c r="B2015" s="7" t="s">
        <v>415</v>
      </c>
      <c r="C2015" s="8">
        <v>28696</v>
      </c>
      <c r="D2015" s="7" t="s">
        <v>322</v>
      </c>
      <c r="E2015" s="7" t="s">
        <v>323</v>
      </c>
      <c r="F2015" s="7" t="s">
        <v>422</v>
      </c>
      <c r="G2015" s="7" t="s">
        <v>18</v>
      </c>
      <c r="H2015" s="7" t="s">
        <v>689</v>
      </c>
      <c r="I2015" s="7" t="s">
        <v>712</v>
      </c>
      <c r="J2015" s="7" t="s">
        <v>712</v>
      </c>
      <c r="K2015" s="8">
        <v>7950170</v>
      </c>
      <c r="L2015" s="8">
        <v>378291</v>
      </c>
      <c r="M2015" s="8">
        <v>19</v>
      </c>
      <c r="N2015" s="8">
        <v>1</v>
      </c>
      <c r="O2015" s="8">
        <v>0.11</v>
      </c>
      <c r="P2015" s="8"/>
    </row>
    <row r="2016" spans="1:16" hidden="1" x14ac:dyDescent="0.25">
      <c r="A2016" s="7" t="s">
        <v>14</v>
      </c>
      <c r="B2016" s="7" t="s">
        <v>415</v>
      </c>
      <c r="C2016" s="8">
        <v>28697</v>
      </c>
      <c r="D2016" s="7" t="s">
        <v>322</v>
      </c>
      <c r="E2016" s="7" t="s">
        <v>323</v>
      </c>
      <c r="F2016" s="7" t="s">
        <v>422</v>
      </c>
      <c r="G2016" s="7" t="s">
        <v>18</v>
      </c>
      <c r="H2016" s="7" t="s">
        <v>689</v>
      </c>
      <c r="I2016" s="7" t="s">
        <v>712</v>
      </c>
      <c r="J2016" s="7" t="s">
        <v>712</v>
      </c>
      <c r="K2016" s="8">
        <v>7949577</v>
      </c>
      <c r="L2016" s="8">
        <v>378340</v>
      </c>
      <c r="M2016" s="8">
        <v>19</v>
      </c>
      <c r="N2016" s="8">
        <v>1</v>
      </c>
      <c r="O2016" s="8">
        <v>0.37</v>
      </c>
      <c r="P2016" s="8"/>
    </row>
    <row r="2017" spans="1:16" hidden="1" x14ac:dyDescent="0.25">
      <c r="A2017" s="7" t="s">
        <v>14</v>
      </c>
      <c r="B2017" s="7" t="s">
        <v>415</v>
      </c>
      <c r="C2017" s="8">
        <v>28698</v>
      </c>
      <c r="D2017" s="7" t="s">
        <v>322</v>
      </c>
      <c r="E2017" s="7" t="s">
        <v>323</v>
      </c>
      <c r="F2017" s="7" t="s">
        <v>422</v>
      </c>
      <c r="G2017" s="7" t="s">
        <v>18</v>
      </c>
      <c r="H2017" s="7" t="s">
        <v>689</v>
      </c>
      <c r="I2017" s="7" t="s">
        <v>712</v>
      </c>
      <c r="J2017" s="7" t="s">
        <v>712</v>
      </c>
      <c r="K2017" s="8">
        <v>7952792</v>
      </c>
      <c r="L2017" s="8">
        <v>371220</v>
      </c>
      <c r="M2017" s="8">
        <v>19</v>
      </c>
      <c r="N2017" s="8">
        <v>1</v>
      </c>
      <c r="O2017" s="8">
        <v>0.36</v>
      </c>
      <c r="P2017" s="8"/>
    </row>
    <row r="2018" spans="1:16" hidden="1" x14ac:dyDescent="0.25">
      <c r="A2018" s="7" t="s">
        <v>37</v>
      </c>
      <c r="B2018" s="7" t="s">
        <v>415</v>
      </c>
      <c r="C2018" s="8">
        <v>28699</v>
      </c>
      <c r="D2018" s="7" t="s">
        <v>28</v>
      </c>
      <c r="E2018" s="7" t="s">
        <v>146</v>
      </c>
      <c r="F2018" s="7" t="s">
        <v>146</v>
      </c>
      <c r="G2018" s="7" t="s">
        <v>18</v>
      </c>
      <c r="H2018" s="7" t="s">
        <v>24</v>
      </c>
      <c r="I2018" s="7" t="s">
        <v>712</v>
      </c>
      <c r="J2018" s="7" t="s">
        <v>712</v>
      </c>
      <c r="K2018" s="8">
        <v>6273492</v>
      </c>
      <c r="L2018" s="8">
        <v>322795</v>
      </c>
      <c r="M2018" s="8">
        <v>19</v>
      </c>
      <c r="N2018" s="8">
        <v>1</v>
      </c>
      <c r="O2018" s="8">
        <v>0.98</v>
      </c>
      <c r="P2018" s="8"/>
    </row>
    <row r="2019" spans="1:16" hidden="1" x14ac:dyDescent="0.25">
      <c r="A2019" s="7" t="s">
        <v>14</v>
      </c>
      <c r="B2019" s="7" t="s">
        <v>415</v>
      </c>
      <c r="C2019" s="8">
        <v>28700</v>
      </c>
      <c r="D2019" s="7" t="s">
        <v>28</v>
      </c>
      <c r="E2019" s="7" t="s">
        <v>56</v>
      </c>
      <c r="F2019" s="7" t="s">
        <v>378</v>
      </c>
      <c r="G2019" s="7" t="s">
        <v>18</v>
      </c>
      <c r="H2019" s="7" t="s">
        <v>689</v>
      </c>
      <c r="I2019" s="7" t="s">
        <v>712</v>
      </c>
      <c r="J2019" s="7" t="s">
        <v>712</v>
      </c>
      <c r="K2019" s="8">
        <v>6260134</v>
      </c>
      <c r="L2019" s="8">
        <v>330878</v>
      </c>
      <c r="M2019" s="8">
        <v>19</v>
      </c>
      <c r="N2019" s="8">
        <v>1</v>
      </c>
      <c r="O2019" s="8">
        <v>0.77</v>
      </c>
      <c r="P2019" s="8"/>
    </row>
    <row r="2020" spans="1:16" hidden="1" x14ac:dyDescent="0.25">
      <c r="A2020" s="7" t="s">
        <v>14</v>
      </c>
      <c r="B2020" s="7" t="s">
        <v>563</v>
      </c>
      <c r="C2020" s="8">
        <v>28701</v>
      </c>
      <c r="D2020" s="7" t="s">
        <v>119</v>
      </c>
      <c r="E2020" s="7" t="s">
        <v>574</v>
      </c>
      <c r="F2020" s="7" t="s">
        <v>576</v>
      </c>
      <c r="G2020" s="7" t="s">
        <v>43</v>
      </c>
      <c r="H2020" s="7" t="s">
        <v>689</v>
      </c>
      <c r="I2020" s="7" t="s">
        <v>690</v>
      </c>
      <c r="J2020" s="7" t="s">
        <v>690</v>
      </c>
      <c r="K2020" s="8">
        <v>5737970</v>
      </c>
      <c r="L2020" s="8">
        <v>728480</v>
      </c>
      <c r="M2020" s="8">
        <v>18</v>
      </c>
      <c r="N2020" s="8">
        <v>1</v>
      </c>
      <c r="O2020" s="8">
        <v>0.13</v>
      </c>
      <c r="P2020" s="8"/>
    </row>
    <row r="2021" spans="1:16" hidden="1" x14ac:dyDescent="0.25">
      <c r="A2021" s="7" t="s">
        <v>37</v>
      </c>
      <c r="B2021" s="7" t="s">
        <v>415</v>
      </c>
      <c r="C2021" s="8">
        <v>28702</v>
      </c>
      <c r="D2021" s="7" t="s">
        <v>28</v>
      </c>
      <c r="E2021" s="7" t="s">
        <v>29</v>
      </c>
      <c r="F2021" s="7" t="s">
        <v>30</v>
      </c>
      <c r="G2021" s="7" t="s">
        <v>18</v>
      </c>
      <c r="H2021" s="7" t="s">
        <v>24</v>
      </c>
      <c r="I2021" s="7" t="s">
        <v>712</v>
      </c>
      <c r="J2021" s="7" t="s">
        <v>712</v>
      </c>
      <c r="K2021" s="8">
        <v>6254412</v>
      </c>
      <c r="L2021" s="8">
        <v>345076</v>
      </c>
      <c r="M2021" s="8">
        <v>19</v>
      </c>
      <c r="N2021" s="8">
        <v>1</v>
      </c>
      <c r="O2021" s="8">
        <v>1.07</v>
      </c>
      <c r="P2021" s="8"/>
    </row>
    <row r="2022" spans="1:16" hidden="1" x14ac:dyDescent="0.25">
      <c r="A2022" s="7" t="s">
        <v>14</v>
      </c>
      <c r="B2022" s="7" t="s">
        <v>415</v>
      </c>
      <c r="C2022" s="8">
        <v>28703</v>
      </c>
      <c r="D2022" s="7" t="s">
        <v>28</v>
      </c>
      <c r="E2022" s="7" t="s">
        <v>56</v>
      </c>
      <c r="F2022" s="7" t="s">
        <v>378</v>
      </c>
      <c r="G2022" s="7" t="s">
        <v>18</v>
      </c>
      <c r="H2022" s="7" t="s">
        <v>689</v>
      </c>
      <c r="I2022" s="7" t="s">
        <v>712</v>
      </c>
      <c r="J2022" s="7" t="s">
        <v>712</v>
      </c>
      <c r="K2022" s="8">
        <v>6260051</v>
      </c>
      <c r="L2022" s="8">
        <v>330828</v>
      </c>
      <c r="M2022" s="8">
        <v>19</v>
      </c>
      <c r="N2022" s="8">
        <v>1</v>
      </c>
      <c r="O2022" s="8">
        <v>0.32</v>
      </c>
      <c r="P2022" s="8"/>
    </row>
    <row r="2023" spans="1:16" hidden="1" x14ac:dyDescent="0.25">
      <c r="A2023" s="7" t="s">
        <v>14</v>
      </c>
      <c r="B2023" s="7" t="s">
        <v>563</v>
      </c>
      <c r="C2023" s="8">
        <v>28704</v>
      </c>
      <c r="D2023" s="7" t="s">
        <v>119</v>
      </c>
      <c r="E2023" s="7" t="s">
        <v>179</v>
      </c>
      <c r="F2023" s="7" t="s">
        <v>179</v>
      </c>
      <c r="G2023" s="7" t="s">
        <v>43</v>
      </c>
      <c r="H2023" s="7" t="s">
        <v>689</v>
      </c>
      <c r="I2023" s="7" t="s">
        <v>690</v>
      </c>
      <c r="J2023" s="7" t="s">
        <v>690</v>
      </c>
      <c r="K2023" s="8">
        <v>5738632</v>
      </c>
      <c r="L2023" s="8">
        <v>723213</v>
      </c>
      <c r="M2023" s="8">
        <v>18</v>
      </c>
      <c r="N2023" s="8">
        <v>1</v>
      </c>
      <c r="O2023" s="8">
        <v>1.5</v>
      </c>
      <c r="P2023" s="8"/>
    </row>
    <row r="2024" spans="1:16" hidden="1" x14ac:dyDescent="0.25">
      <c r="A2024" s="7" t="s">
        <v>37</v>
      </c>
      <c r="B2024" s="7" t="s">
        <v>415</v>
      </c>
      <c r="C2024" s="8">
        <v>28705</v>
      </c>
      <c r="D2024" s="7" t="s">
        <v>28</v>
      </c>
      <c r="E2024" s="7" t="s">
        <v>344</v>
      </c>
      <c r="F2024" s="7" t="s">
        <v>345</v>
      </c>
      <c r="G2024" s="7" t="s">
        <v>18</v>
      </c>
      <c r="H2024" s="7" t="s">
        <v>24</v>
      </c>
      <c r="I2024" s="7" t="s">
        <v>712</v>
      </c>
      <c r="J2024" s="7" t="s">
        <v>712</v>
      </c>
      <c r="K2024" s="8">
        <v>6277253</v>
      </c>
      <c r="L2024" s="8">
        <v>298264</v>
      </c>
      <c r="M2024" s="8">
        <v>19</v>
      </c>
      <c r="N2024" s="8">
        <v>1</v>
      </c>
      <c r="O2024" s="8">
        <v>0.92</v>
      </c>
      <c r="P2024" s="8"/>
    </row>
    <row r="2025" spans="1:16" hidden="1" x14ac:dyDescent="0.25">
      <c r="A2025" s="7" t="s">
        <v>37</v>
      </c>
      <c r="B2025" s="7" t="s">
        <v>415</v>
      </c>
      <c r="C2025" s="8">
        <v>28706</v>
      </c>
      <c r="D2025" s="7" t="s">
        <v>28</v>
      </c>
      <c r="E2025" s="7" t="s">
        <v>344</v>
      </c>
      <c r="F2025" s="7" t="s">
        <v>345</v>
      </c>
      <c r="G2025" s="7" t="s">
        <v>18</v>
      </c>
      <c r="H2025" s="7" t="s">
        <v>24</v>
      </c>
      <c r="I2025" s="7" t="s">
        <v>712</v>
      </c>
      <c r="J2025" s="7" t="s">
        <v>712</v>
      </c>
      <c r="K2025" s="8">
        <v>6276679</v>
      </c>
      <c r="L2025" s="8">
        <v>297170</v>
      </c>
      <c r="M2025" s="8">
        <v>19</v>
      </c>
      <c r="N2025" s="8">
        <v>1</v>
      </c>
      <c r="O2025" s="8">
        <v>1.03</v>
      </c>
      <c r="P2025" s="8"/>
    </row>
    <row r="2026" spans="1:16" hidden="1" x14ac:dyDescent="0.25">
      <c r="A2026" s="7" t="s">
        <v>37</v>
      </c>
      <c r="B2026" s="7" t="s">
        <v>415</v>
      </c>
      <c r="C2026" s="8">
        <v>28707</v>
      </c>
      <c r="D2026" s="7" t="s">
        <v>28</v>
      </c>
      <c r="E2026" s="7" t="s">
        <v>146</v>
      </c>
      <c r="F2026" s="7" t="s">
        <v>146</v>
      </c>
      <c r="G2026" s="7" t="s">
        <v>18</v>
      </c>
      <c r="H2026" s="7" t="s">
        <v>24</v>
      </c>
      <c r="I2026" s="7" t="s">
        <v>712</v>
      </c>
      <c r="J2026" s="7" t="s">
        <v>712</v>
      </c>
      <c r="K2026" s="8">
        <v>6271683</v>
      </c>
      <c r="L2026" s="8">
        <v>326575</v>
      </c>
      <c r="M2026" s="8">
        <v>19</v>
      </c>
      <c r="N2026" s="8">
        <v>1</v>
      </c>
      <c r="O2026" s="8">
        <v>0.95</v>
      </c>
      <c r="P2026" s="8"/>
    </row>
    <row r="2027" spans="1:16" hidden="1" x14ac:dyDescent="0.25">
      <c r="A2027" s="7" t="s">
        <v>37</v>
      </c>
      <c r="B2027" s="7" t="s">
        <v>415</v>
      </c>
      <c r="C2027" s="8">
        <v>28708</v>
      </c>
      <c r="D2027" s="7" t="s">
        <v>28</v>
      </c>
      <c r="E2027" s="7" t="s">
        <v>166</v>
      </c>
      <c r="F2027" s="7" t="s">
        <v>363</v>
      </c>
      <c r="G2027" s="7" t="s">
        <v>18</v>
      </c>
      <c r="H2027" s="7" t="s">
        <v>24</v>
      </c>
      <c r="I2027" s="7" t="s">
        <v>712</v>
      </c>
      <c r="J2027" s="7" t="s">
        <v>712</v>
      </c>
      <c r="K2027" s="8">
        <v>6266293</v>
      </c>
      <c r="L2027" s="8">
        <v>325986</v>
      </c>
      <c r="M2027" s="8">
        <v>19</v>
      </c>
      <c r="N2027" s="8">
        <v>1</v>
      </c>
      <c r="O2027" s="8">
        <v>2.2999999999999998</v>
      </c>
      <c r="P2027" s="8"/>
    </row>
    <row r="2028" spans="1:16" hidden="1" x14ac:dyDescent="0.25">
      <c r="A2028" s="7" t="s">
        <v>37</v>
      </c>
      <c r="B2028" s="7" t="s">
        <v>415</v>
      </c>
      <c r="C2028" s="8">
        <v>28709</v>
      </c>
      <c r="D2028" s="7" t="s">
        <v>28</v>
      </c>
      <c r="E2028" s="7" t="s">
        <v>146</v>
      </c>
      <c r="F2028" s="7" t="s">
        <v>146</v>
      </c>
      <c r="G2028" s="7" t="s">
        <v>18</v>
      </c>
      <c r="H2028" s="7" t="s">
        <v>24</v>
      </c>
      <c r="I2028" s="7" t="s">
        <v>712</v>
      </c>
      <c r="J2028" s="7" t="s">
        <v>712</v>
      </c>
      <c r="K2028" s="8">
        <v>6273913</v>
      </c>
      <c r="L2028" s="8">
        <v>324062</v>
      </c>
      <c r="M2028" s="8">
        <v>19</v>
      </c>
      <c r="N2028" s="8">
        <v>1</v>
      </c>
      <c r="O2028" s="8">
        <v>1.69</v>
      </c>
      <c r="P2028" s="8"/>
    </row>
    <row r="2029" spans="1:16" hidden="1" x14ac:dyDescent="0.25">
      <c r="A2029" s="7" t="s">
        <v>37</v>
      </c>
      <c r="B2029" s="7" t="s">
        <v>415</v>
      </c>
      <c r="C2029" s="8">
        <v>28710</v>
      </c>
      <c r="D2029" s="7" t="s">
        <v>28</v>
      </c>
      <c r="E2029" s="7" t="s">
        <v>344</v>
      </c>
      <c r="F2029" s="7" t="s">
        <v>448</v>
      </c>
      <c r="G2029" s="7" t="s">
        <v>18</v>
      </c>
      <c r="H2029" s="7" t="s">
        <v>24</v>
      </c>
      <c r="I2029" s="7" t="s">
        <v>712</v>
      </c>
      <c r="J2029" s="7" t="s">
        <v>712</v>
      </c>
      <c r="K2029" s="8">
        <v>6276485</v>
      </c>
      <c r="L2029" s="8">
        <v>292113</v>
      </c>
      <c r="M2029" s="8">
        <v>19</v>
      </c>
      <c r="N2029" s="8">
        <v>1</v>
      </c>
      <c r="O2029" s="8">
        <v>0.95</v>
      </c>
      <c r="P2029" s="8"/>
    </row>
    <row r="2030" spans="1:16" hidden="1" x14ac:dyDescent="0.25">
      <c r="A2030" s="7" t="s">
        <v>37</v>
      </c>
      <c r="B2030" s="7" t="s">
        <v>181</v>
      </c>
      <c r="C2030" s="8">
        <v>28711</v>
      </c>
      <c r="D2030" s="7" t="s">
        <v>119</v>
      </c>
      <c r="E2030" s="7" t="s">
        <v>204</v>
      </c>
      <c r="F2030" s="7" t="s">
        <v>232</v>
      </c>
      <c r="G2030" s="7" t="s">
        <v>43</v>
      </c>
      <c r="H2030" s="7" t="s">
        <v>48</v>
      </c>
      <c r="I2030" s="7" t="s">
        <v>91</v>
      </c>
      <c r="J2030" s="7" t="s">
        <v>91</v>
      </c>
      <c r="K2030" s="8">
        <v>5729345</v>
      </c>
      <c r="L2030" s="8">
        <v>678837</v>
      </c>
      <c r="M2030" s="8">
        <v>18</v>
      </c>
      <c r="N2030" s="8">
        <v>1</v>
      </c>
      <c r="O2030" s="8">
        <v>0.5</v>
      </c>
      <c r="P2030" s="8"/>
    </row>
    <row r="2031" spans="1:16" hidden="1" x14ac:dyDescent="0.25">
      <c r="A2031" s="7" t="s">
        <v>37</v>
      </c>
      <c r="B2031" s="7" t="s">
        <v>415</v>
      </c>
      <c r="C2031" s="8">
        <v>28712</v>
      </c>
      <c r="D2031" s="7" t="s">
        <v>28</v>
      </c>
      <c r="E2031" s="7" t="s">
        <v>29</v>
      </c>
      <c r="F2031" s="7" t="s">
        <v>29</v>
      </c>
      <c r="G2031" s="7" t="s">
        <v>18</v>
      </c>
      <c r="H2031" s="7" t="s">
        <v>24</v>
      </c>
      <c r="I2031" s="7" t="s">
        <v>712</v>
      </c>
      <c r="J2031" s="7" t="s">
        <v>712</v>
      </c>
      <c r="K2031" s="8">
        <v>6254530</v>
      </c>
      <c r="L2031" s="8">
        <v>339057</v>
      </c>
      <c r="M2031" s="8">
        <v>19</v>
      </c>
      <c r="N2031" s="8">
        <v>1</v>
      </c>
      <c r="O2031" s="8">
        <v>1.1000000000000001</v>
      </c>
      <c r="P2031" s="8"/>
    </row>
    <row r="2032" spans="1:16" hidden="1" x14ac:dyDescent="0.25">
      <c r="A2032" s="7" t="s">
        <v>14</v>
      </c>
      <c r="B2032" s="7" t="s">
        <v>15</v>
      </c>
      <c r="C2032" s="8">
        <v>28713</v>
      </c>
      <c r="D2032" s="7" t="s">
        <v>16</v>
      </c>
      <c r="E2032" s="7" t="s">
        <v>17</v>
      </c>
      <c r="F2032" s="7" t="s">
        <v>17</v>
      </c>
      <c r="G2032" s="7" t="s">
        <v>18</v>
      </c>
      <c r="H2032" s="7" t="s">
        <v>689</v>
      </c>
      <c r="I2032" s="7" t="s">
        <v>690</v>
      </c>
      <c r="J2032" s="7" t="s">
        <v>690</v>
      </c>
      <c r="K2032" s="8">
        <v>6066747</v>
      </c>
      <c r="L2032" s="8">
        <v>272430</v>
      </c>
      <c r="M2032" s="8">
        <v>19</v>
      </c>
      <c r="N2032" s="8">
        <v>1</v>
      </c>
      <c r="O2032" s="8">
        <v>0.4</v>
      </c>
      <c r="P2032" s="8"/>
    </row>
    <row r="2033" spans="1:16" hidden="1" x14ac:dyDescent="0.25">
      <c r="A2033" s="7" t="s">
        <v>37</v>
      </c>
      <c r="B2033" s="7" t="s">
        <v>181</v>
      </c>
      <c r="C2033" s="8">
        <v>28714</v>
      </c>
      <c r="D2033" s="7" t="s">
        <v>119</v>
      </c>
      <c r="E2033" s="7" t="s">
        <v>196</v>
      </c>
      <c r="F2033" s="7" t="s">
        <v>233</v>
      </c>
      <c r="G2033" s="7" t="s">
        <v>43</v>
      </c>
      <c r="H2033" s="7" t="s">
        <v>48</v>
      </c>
      <c r="I2033" s="7" t="s">
        <v>91</v>
      </c>
      <c r="J2033" s="7" t="s">
        <v>91</v>
      </c>
      <c r="K2033" s="8">
        <v>5698805</v>
      </c>
      <c r="L2033" s="8">
        <v>705796</v>
      </c>
      <c r="M2033" s="8">
        <v>18</v>
      </c>
      <c r="N2033" s="8">
        <v>1</v>
      </c>
      <c r="O2033" s="8">
        <v>0.61</v>
      </c>
      <c r="P2033" s="8"/>
    </row>
    <row r="2034" spans="1:16" hidden="1" x14ac:dyDescent="0.25">
      <c r="A2034" s="7" t="s">
        <v>37</v>
      </c>
      <c r="B2034" s="7" t="s">
        <v>254</v>
      </c>
      <c r="C2034" s="8">
        <v>28715</v>
      </c>
      <c r="D2034" s="7" t="s">
        <v>16</v>
      </c>
      <c r="E2034" s="7" t="s">
        <v>46</v>
      </c>
      <c r="F2034" s="7" t="s">
        <v>46</v>
      </c>
      <c r="G2034" s="7" t="s">
        <v>65</v>
      </c>
      <c r="H2034" s="7" t="s">
        <v>66</v>
      </c>
      <c r="I2034" s="7" t="s">
        <v>712</v>
      </c>
      <c r="J2034" s="7" t="s">
        <v>712</v>
      </c>
      <c r="K2034" s="8">
        <v>6114893</v>
      </c>
      <c r="L2034" s="8">
        <v>292715</v>
      </c>
      <c r="M2034" s="8">
        <v>19</v>
      </c>
      <c r="N2034" s="8">
        <v>1</v>
      </c>
      <c r="O2034" s="8">
        <v>15.5</v>
      </c>
      <c r="P2034" s="8"/>
    </row>
    <row r="2035" spans="1:16" hidden="1" x14ac:dyDescent="0.25">
      <c r="A2035" s="7" t="s">
        <v>19</v>
      </c>
      <c r="B2035" s="7" t="s">
        <v>254</v>
      </c>
      <c r="C2035" s="8">
        <v>28716</v>
      </c>
      <c r="D2035" s="7" t="s">
        <v>16</v>
      </c>
      <c r="E2035" s="7" t="s">
        <v>60</v>
      </c>
      <c r="F2035" s="7" t="s">
        <v>60</v>
      </c>
      <c r="G2035" s="7" t="s">
        <v>65</v>
      </c>
      <c r="H2035" s="7" t="s">
        <v>66</v>
      </c>
      <c r="I2035" s="7" t="s">
        <v>712</v>
      </c>
      <c r="J2035" s="7" t="s">
        <v>712</v>
      </c>
      <c r="K2035" s="8">
        <v>6081042</v>
      </c>
      <c r="L2035" s="8">
        <v>278116</v>
      </c>
      <c r="M2035" s="8">
        <v>19</v>
      </c>
      <c r="N2035" s="8">
        <v>2</v>
      </c>
      <c r="O2035" s="8">
        <v>10</v>
      </c>
      <c r="P2035" s="8"/>
    </row>
    <row r="2036" spans="1:16" hidden="1" x14ac:dyDescent="0.25">
      <c r="A2036" s="7" t="s">
        <v>37</v>
      </c>
      <c r="B2036" s="7" t="s">
        <v>181</v>
      </c>
      <c r="C2036" s="8">
        <v>28718</v>
      </c>
      <c r="D2036" s="7" t="s">
        <v>119</v>
      </c>
      <c r="E2036" s="7" t="s">
        <v>197</v>
      </c>
      <c r="F2036" s="7" t="s">
        <v>234</v>
      </c>
      <c r="G2036" s="7" t="s">
        <v>43</v>
      </c>
      <c r="H2036" s="7" t="s">
        <v>48</v>
      </c>
      <c r="I2036" s="7" t="s">
        <v>691</v>
      </c>
      <c r="J2036" s="7" t="s">
        <v>91</v>
      </c>
      <c r="K2036" s="8">
        <v>5786945</v>
      </c>
      <c r="L2036" s="8">
        <v>697946</v>
      </c>
      <c r="M2036" s="8">
        <v>18</v>
      </c>
      <c r="N2036" s="8">
        <v>1</v>
      </c>
      <c r="O2036" s="8">
        <v>0.78</v>
      </c>
      <c r="P2036" s="8"/>
    </row>
    <row r="2037" spans="1:16" hidden="1" x14ac:dyDescent="0.25">
      <c r="A2037" s="7" t="s">
        <v>14</v>
      </c>
      <c r="B2037" s="7" t="s">
        <v>181</v>
      </c>
      <c r="C2037" s="8">
        <v>28719</v>
      </c>
      <c r="D2037" s="7" t="s">
        <v>119</v>
      </c>
      <c r="E2037" s="7" t="s">
        <v>199</v>
      </c>
      <c r="F2037" s="7" t="s">
        <v>235</v>
      </c>
      <c r="G2037" s="7" t="s">
        <v>43</v>
      </c>
      <c r="H2037" s="7" t="s">
        <v>689</v>
      </c>
      <c r="I2037" s="7" t="s">
        <v>690</v>
      </c>
      <c r="J2037" s="7" t="s">
        <v>690</v>
      </c>
      <c r="K2037" s="8">
        <v>5690967</v>
      </c>
      <c r="L2037" s="8">
        <v>676591</v>
      </c>
      <c r="M2037" s="8">
        <v>18</v>
      </c>
      <c r="N2037" s="8">
        <v>1</v>
      </c>
      <c r="O2037" s="8">
        <v>0.4</v>
      </c>
      <c r="P2037" s="8"/>
    </row>
    <row r="2038" spans="1:16" hidden="1" x14ac:dyDescent="0.25">
      <c r="A2038" s="7" t="s">
        <v>37</v>
      </c>
      <c r="B2038" s="7" t="s">
        <v>254</v>
      </c>
      <c r="C2038" s="8">
        <v>28720</v>
      </c>
      <c r="D2038" s="7" t="s">
        <v>16</v>
      </c>
      <c r="E2038" s="7" t="s">
        <v>17</v>
      </c>
      <c r="F2038" s="7" t="s">
        <v>290</v>
      </c>
      <c r="G2038" s="7" t="s">
        <v>65</v>
      </c>
      <c r="H2038" s="7" t="s">
        <v>66</v>
      </c>
      <c r="I2038" s="7" t="s">
        <v>712</v>
      </c>
      <c r="J2038" s="7" t="s">
        <v>712</v>
      </c>
      <c r="K2038" s="8">
        <v>6073644</v>
      </c>
      <c r="L2038" s="8">
        <v>275340</v>
      </c>
      <c r="M2038" s="8">
        <v>19</v>
      </c>
      <c r="N2038" s="8">
        <v>2</v>
      </c>
      <c r="O2038" s="8">
        <v>14</v>
      </c>
      <c r="P2038" s="8"/>
    </row>
    <row r="2039" spans="1:16" hidden="1" x14ac:dyDescent="0.25">
      <c r="A2039" s="7" t="s">
        <v>37</v>
      </c>
      <c r="B2039" s="7" t="s">
        <v>254</v>
      </c>
      <c r="C2039" s="8">
        <v>28721</v>
      </c>
      <c r="D2039" s="7" t="s">
        <v>16</v>
      </c>
      <c r="E2039" s="7" t="s">
        <v>60</v>
      </c>
      <c r="F2039" s="7" t="s">
        <v>339</v>
      </c>
      <c r="G2039" s="7" t="s">
        <v>65</v>
      </c>
      <c r="H2039" s="7" t="s">
        <v>66</v>
      </c>
      <c r="I2039" s="7" t="s">
        <v>712</v>
      </c>
      <c r="J2039" s="7" t="s">
        <v>712</v>
      </c>
      <c r="K2039" s="8">
        <v>6078863</v>
      </c>
      <c r="L2039" s="8">
        <v>276585</v>
      </c>
      <c r="M2039" s="8">
        <v>19</v>
      </c>
      <c r="N2039" s="8">
        <v>2</v>
      </c>
      <c r="O2039" s="8">
        <v>10</v>
      </c>
      <c r="P2039" s="8"/>
    </row>
    <row r="2040" spans="1:16" hidden="1" x14ac:dyDescent="0.25">
      <c r="A2040" s="7" t="s">
        <v>14</v>
      </c>
      <c r="B2040" s="7" t="s">
        <v>651</v>
      </c>
      <c r="C2040" s="8">
        <v>28722</v>
      </c>
      <c r="D2040" s="7" t="s">
        <v>52</v>
      </c>
      <c r="E2040" s="7" t="s">
        <v>159</v>
      </c>
      <c r="F2040" s="7" t="s">
        <v>160</v>
      </c>
      <c r="G2040" s="7" t="s">
        <v>18</v>
      </c>
      <c r="H2040" s="7" t="s">
        <v>689</v>
      </c>
      <c r="I2040" s="7" t="s">
        <v>712</v>
      </c>
      <c r="J2040" s="7" t="s">
        <v>712</v>
      </c>
      <c r="K2040" s="8">
        <v>6236084</v>
      </c>
      <c r="L2040" s="8">
        <v>343755</v>
      </c>
      <c r="M2040" s="8">
        <v>19</v>
      </c>
      <c r="N2040" s="8">
        <v>3</v>
      </c>
      <c r="O2040" s="8">
        <v>0.63</v>
      </c>
      <c r="P2040" s="8"/>
    </row>
    <row r="2041" spans="1:16" hidden="1" x14ac:dyDescent="0.25">
      <c r="A2041" s="7" t="s">
        <v>37</v>
      </c>
      <c r="B2041" s="7" t="s">
        <v>254</v>
      </c>
      <c r="C2041" s="8">
        <v>28723</v>
      </c>
      <c r="D2041" s="7" t="s">
        <v>16</v>
      </c>
      <c r="E2041" s="7" t="s">
        <v>50</v>
      </c>
      <c r="F2041" s="7" t="s">
        <v>256</v>
      </c>
      <c r="G2041" s="7" t="s">
        <v>65</v>
      </c>
      <c r="H2041" s="7" t="s">
        <v>66</v>
      </c>
      <c r="I2041" s="7" t="s">
        <v>712</v>
      </c>
      <c r="J2041" s="7" t="s">
        <v>712</v>
      </c>
      <c r="K2041" s="8">
        <v>6078667</v>
      </c>
      <c r="L2041" s="8">
        <v>267370</v>
      </c>
      <c r="M2041" s="8">
        <v>19</v>
      </c>
      <c r="N2041" s="8">
        <v>1</v>
      </c>
      <c r="O2041" s="8">
        <v>12</v>
      </c>
      <c r="P2041" s="8"/>
    </row>
    <row r="2042" spans="1:16" hidden="1" x14ac:dyDescent="0.25">
      <c r="A2042" s="7" t="s">
        <v>37</v>
      </c>
      <c r="B2042" s="7" t="s">
        <v>415</v>
      </c>
      <c r="C2042" s="8">
        <v>28724</v>
      </c>
      <c r="D2042" s="7" t="s">
        <v>28</v>
      </c>
      <c r="E2042" s="7" t="s">
        <v>32</v>
      </c>
      <c r="F2042" s="7" t="s">
        <v>460</v>
      </c>
      <c r="G2042" s="7" t="s">
        <v>18</v>
      </c>
      <c r="H2042" s="7" t="s">
        <v>24</v>
      </c>
      <c r="I2042" s="7" t="s">
        <v>712</v>
      </c>
      <c r="J2042" s="7" t="s">
        <v>712</v>
      </c>
      <c r="K2042" s="8">
        <v>6278307</v>
      </c>
      <c r="L2042" s="8">
        <v>338823</v>
      </c>
      <c r="M2042" s="8">
        <v>19</v>
      </c>
      <c r="N2042" s="8">
        <v>1</v>
      </c>
      <c r="O2042" s="8">
        <v>0.7</v>
      </c>
      <c r="P2042" s="8"/>
    </row>
    <row r="2043" spans="1:16" hidden="1" x14ac:dyDescent="0.25">
      <c r="A2043" s="7" t="s">
        <v>37</v>
      </c>
      <c r="B2043" s="7" t="s">
        <v>415</v>
      </c>
      <c r="C2043" s="8">
        <v>28725</v>
      </c>
      <c r="D2043" s="7" t="s">
        <v>28</v>
      </c>
      <c r="E2043" s="7" t="s">
        <v>142</v>
      </c>
      <c r="F2043" s="7" t="s">
        <v>462</v>
      </c>
      <c r="G2043" s="7" t="s">
        <v>18</v>
      </c>
      <c r="H2043" s="7" t="s">
        <v>24</v>
      </c>
      <c r="I2043" s="7" t="s">
        <v>712</v>
      </c>
      <c r="J2043" s="7" t="s">
        <v>712</v>
      </c>
      <c r="K2043" s="8">
        <v>6278953</v>
      </c>
      <c r="L2043" s="8">
        <v>335574</v>
      </c>
      <c r="M2043" s="8">
        <v>19</v>
      </c>
      <c r="N2043" s="8">
        <v>1</v>
      </c>
      <c r="O2043" s="8">
        <v>0.86</v>
      </c>
      <c r="P2043" s="8"/>
    </row>
    <row r="2044" spans="1:16" hidden="1" x14ac:dyDescent="0.25">
      <c r="A2044" s="7" t="s">
        <v>37</v>
      </c>
      <c r="B2044" s="7" t="s">
        <v>415</v>
      </c>
      <c r="C2044" s="8">
        <v>28726</v>
      </c>
      <c r="D2044" s="7" t="s">
        <v>28</v>
      </c>
      <c r="E2044" s="7" t="s">
        <v>344</v>
      </c>
      <c r="F2044" s="7" t="s">
        <v>345</v>
      </c>
      <c r="G2044" s="7" t="s">
        <v>18</v>
      </c>
      <c r="H2044" s="7" t="s">
        <v>24</v>
      </c>
      <c r="I2044" s="7" t="s">
        <v>712</v>
      </c>
      <c r="J2044" s="7" t="s">
        <v>712</v>
      </c>
      <c r="K2044" s="8">
        <v>6276951</v>
      </c>
      <c r="L2044" s="8">
        <v>298180</v>
      </c>
      <c r="M2044" s="8">
        <v>19</v>
      </c>
      <c r="N2044" s="8">
        <v>1</v>
      </c>
      <c r="O2044" s="8">
        <v>0.9</v>
      </c>
      <c r="P2044" s="8"/>
    </row>
    <row r="2045" spans="1:16" hidden="1" x14ac:dyDescent="0.25">
      <c r="A2045" s="7" t="s">
        <v>19</v>
      </c>
      <c r="B2045" s="7" t="s">
        <v>254</v>
      </c>
      <c r="C2045" s="8">
        <v>28727</v>
      </c>
      <c r="D2045" s="7" t="s">
        <v>16</v>
      </c>
      <c r="E2045" s="7" t="s">
        <v>46</v>
      </c>
      <c r="F2045" s="7" t="s">
        <v>340</v>
      </c>
      <c r="G2045" s="7" t="s">
        <v>65</v>
      </c>
      <c r="H2045" s="7" t="s">
        <v>66</v>
      </c>
      <c r="I2045" s="7" t="s">
        <v>712</v>
      </c>
      <c r="J2045" s="7" t="s">
        <v>712</v>
      </c>
      <c r="K2045" s="8">
        <v>6117585</v>
      </c>
      <c r="L2045" s="8">
        <v>290994</v>
      </c>
      <c r="M2045" s="8">
        <v>19</v>
      </c>
      <c r="N2045" s="8">
        <v>2</v>
      </c>
      <c r="O2045" s="8">
        <v>11.5</v>
      </c>
      <c r="P2045" s="8"/>
    </row>
    <row r="2046" spans="1:16" hidden="1" x14ac:dyDescent="0.25">
      <c r="A2046" s="7" t="s">
        <v>37</v>
      </c>
      <c r="B2046" s="7" t="s">
        <v>415</v>
      </c>
      <c r="C2046" s="8">
        <v>28728</v>
      </c>
      <c r="D2046" s="7" t="s">
        <v>28</v>
      </c>
      <c r="E2046" s="7" t="s">
        <v>142</v>
      </c>
      <c r="F2046" s="7" t="s">
        <v>142</v>
      </c>
      <c r="G2046" s="7" t="s">
        <v>18</v>
      </c>
      <c r="H2046" s="7" t="s">
        <v>24</v>
      </c>
      <c r="I2046" s="7" t="s">
        <v>712</v>
      </c>
      <c r="J2046" s="7" t="s">
        <v>712</v>
      </c>
      <c r="K2046" s="8">
        <v>6279301</v>
      </c>
      <c r="L2046" s="8">
        <v>331670</v>
      </c>
      <c r="M2046" s="8">
        <v>19</v>
      </c>
      <c r="N2046" s="8">
        <v>1</v>
      </c>
      <c r="O2046" s="8">
        <v>1.05</v>
      </c>
      <c r="P2046" s="8"/>
    </row>
    <row r="2047" spans="1:16" hidden="1" x14ac:dyDescent="0.25">
      <c r="A2047" s="7" t="s">
        <v>19</v>
      </c>
      <c r="B2047" s="7" t="s">
        <v>254</v>
      </c>
      <c r="C2047" s="8">
        <v>28729</v>
      </c>
      <c r="D2047" s="7" t="s">
        <v>16</v>
      </c>
      <c r="E2047" s="7" t="s">
        <v>72</v>
      </c>
      <c r="F2047" s="7" t="s">
        <v>274</v>
      </c>
      <c r="G2047" s="7" t="s">
        <v>65</v>
      </c>
      <c r="H2047" s="7" t="s">
        <v>66</v>
      </c>
      <c r="I2047" s="7" t="s">
        <v>712</v>
      </c>
      <c r="J2047" s="7" t="s">
        <v>712</v>
      </c>
      <c r="K2047" s="8">
        <v>6096122</v>
      </c>
      <c r="L2047" s="8">
        <v>292091</v>
      </c>
      <c r="M2047" s="8">
        <v>19</v>
      </c>
      <c r="N2047" s="8">
        <v>3</v>
      </c>
      <c r="O2047" s="8">
        <v>15</v>
      </c>
      <c r="P2047" s="8"/>
    </row>
    <row r="2048" spans="1:16" hidden="1" x14ac:dyDescent="0.25">
      <c r="A2048" s="7" t="s">
        <v>37</v>
      </c>
      <c r="B2048" s="7" t="s">
        <v>415</v>
      </c>
      <c r="C2048" s="8">
        <v>28730</v>
      </c>
      <c r="D2048" s="7" t="s">
        <v>28</v>
      </c>
      <c r="E2048" s="7" t="s">
        <v>166</v>
      </c>
      <c r="F2048" s="7" t="s">
        <v>363</v>
      </c>
      <c r="G2048" s="7" t="s">
        <v>18</v>
      </c>
      <c r="H2048" s="7" t="s">
        <v>24</v>
      </c>
      <c r="I2048" s="7" t="s">
        <v>712</v>
      </c>
      <c r="J2048" s="7" t="s">
        <v>712</v>
      </c>
      <c r="K2048" s="8">
        <v>6265996</v>
      </c>
      <c r="L2048" s="8">
        <v>326151</v>
      </c>
      <c r="M2048" s="8">
        <v>19</v>
      </c>
      <c r="N2048" s="8">
        <v>1</v>
      </c>
      <c r="O2048" s="8">
        <v>2.2000000000000002</v>
      </c>
      <c r="P2048" s="8"/>
    </row>
    <row r="2049" spans="1:16" hidden="1" x14ac:dyDescent="0.25">
      <c r="A2049" s="7" t="s">
        <v>37</v>
      </c>
      <c r="B2049" s="7" t="s">
        <v>415</v>
      </c>
      <c r="C2049" s="8">
        <v>28731</v>
      </c>
      <c r="D2049" s="7" t="s">
        <v>28</v>
      </c>
      <c r="E2049" s="7" t="s">
        <v>32</v>
      </c>
      <c r="F2049" s="7" t="s">
        <v>337</v>
      </c>
      <c r="G2049" s="7" t="s">
        <v>18</v>
      </c>
      <c r="H2049" s="7" t="s">
        <v>24</v>
      </c>
      <c r="I2049" s="7" t="s">
        <v>712</v>
      </c>
      <c r="J2049" s="7" t="s">
        <v>712</v>
      </c>
      <c r="K2049" s="8">
        <v>6268075</v>
      </c>
      <c r="L2049" s="8">
        <v>334732</v>
      </c>
      <c r="M2049" s="8">
        <v>19</v>
      </c>
      <c r="N2049" s="8">
        <v>1</v>
      </c>
      <c r="O2049" s="8">
        <v>1.66</v>
      </c>
      <c r="P2049" s="8"/>
    </row>
    <row r="2050" spans="1:16" hidden="1" x14ac:dyDescent="0.25">
      <c r="A2050" s="7" t="s">
        <v>19</v>
      </c>
      <c r="B2050" s="7" t="s">
        <v>254</v>
      </c>
      <c r="C2050" s="8">
        <v>28732</v>
      </c>
      <c r="D2050" s="7" t="s">
        <v>16</v>
      </c>
      <c r="E2050" s="7" t="s">
        <v>50</v>
      </c>
      <c r="F2050" s="7" t="s">
        <v>341</v>
      </c>
      <c r="G2050" s="7" t="s">
        <v>65</v>
      </c>
      <c r="H2050" s="7" t="s">
        <v>66</v>
      </c>
      <c r="I2050" s="7" t="s">
        <v>712</v>
      </c>
      <c r="J2050" s="7" t="s">
        <v>712</v>
      </c>
      <c r="K2050" s="8">
        <v>6074372</v>
      </c>
      <c r="L2050" s="8">
        <v>268806</v>
      </c>
      <c r="M2050" s="8">
        <v>19</v>
      </c>
      <c r="N2050" s="8">
        <v>2</v>
      </c>
      <c r="O2050" s="8">
        <v>20</v>
      </c>
      <c r="P2050" s="8"/>
    </row>
    <row r="2051" spans="1:16" hidden="1" x14ac:dyDescent="0.25">
      <c r="A2051" s="7" t="s">
        <v>37</v>
      </c>
      <c r="B2051" s="7" t="s">
        <v>415</v>
      </c>
      <c r="C2051" s="8">
        <v>28733</v>
      </c>
      <c r="D2051" s="7" t="s">
        <v>28</v>
      </c>
      <c r="E2051" s="7" t="s">
        <v>344</v>
      </c>
      <c r="F2051" s="7" t="s">
        <v>495</v>
      </c>
      <c r="G2051" s="7" t="s">
        <v>18</v>
      </c>
      <c r="H2051" s="7" t="s">
        <v>24</v>
      </c>
      <c r="I2051" s="7" t="s">
        <v>712</v>
      </c>
      <c r="J2051" s="7" t="s">
        <v>712</v>
      </c>
      <c r="K2051" s="8">
        <v>6277385</v>
      </c>
      <c r="L2051" s="8">
        <v>297908</v>
      </c>
      <c r="M2051" s="8">
        <v>19</v>
      </c>
      <c r="N2051" s="8">
        <v>1</v>
      </c>
      <c r="O2051" s="8">
        <v>0.62</v>
      </c>
      <c r="P2051" s="8"/>
    </row>
    <row r="2052" spans="1:16" hidden="1" x14ac:dyDescent="0.25">
      <c r="A2052" s="7" t="s">
        <v>37</v>
      </c>
      <c r="B2052" s="7" t="s">
        <v>254</v>
      </c>
      <c r="C2052" s="8">
        <v>28734</v>
      </c>
      <c r="D2052" s="7" t="s">
        <v>16</v>
      </c>
      <c r="E2052" s="7" t="s">
        <v>155</v>
      </c>
      <c r="F2052" s="7" t="s">
        <v>319</v>
      </c>
      <c r="G2052" s="7" t="s">
        <v>65</v>
      </c>
      <c r="H2052" s="7" t="s">
        <v>66</v>
      </c>
      <c r="I2052" s="7" t="s">
        <v>712</v>
      </c>
      <c r="J2052" s="7" t="s">
        <v>712</v>
      </c>
      <c r="K2052" s="8">
        <v>6123616</v>
      </c>
      <c r="L2052" s="8">
        <v>298308</v>
      </c>
      <c r="M2052" s="8">
        <v>19</v>
      </c>
      <c r="N2052" s="8">
        <v>1</v>
      </c>
      <c r="O2052" s="8">
        <v>10</v>
      </c>
      <c r="P2052" s="8"/>
    </row>
    <row r="2053" spans="1:16" hidden="1" x14ac:dyDescent="0.25">
      <c r="A2053" s="7" t="s">
        <v>37</v>
      </c>
      <c r="B2053" s="7" t="s">
        <v>415</v>
      </c>
      <c r="C2053" s="8">
        <v>28736</v>
      </c>
      <c r="D2053" s="7" t="s">
        <v>28</v>
      </c>
      <c r="E2053" s="7" t="s">
        <v>142</v>
      </c>
      <c r="F2053" s="7" t="s">
        <v>458</v>
      </c>
      <c r="G2053" s="7" t="s">
        <v>18</v>
      </c>
      <c r="H2053" s="7" t="s">
        <v>24</v>
      </c>
      <c r="I2053" s="7" t="s">
        <v>712</v>
      </c>
      <c r="J2053" s="7" t="s">
        <v>712</v>
      </c>
      <c r="K2053" s="8">
        <v>6286649</v>
      </c>
      <c r="L2053" s="8">
        <v>338265</v>
      </c>
      <c r="M2053" s="8">
        <v>19</v>
      </c>
      <c r="N2053" s="8">
        <v>1</v>
      </c>
      <c r="O2053" s="8">
        <v>1.0900000000000001</v>
      </c>
      <c r="P2053" s="8"/>
    </row>
    <row r="2054" spans="1:16" hidden="1" x14ac:dyDescent="0.25">
      <c r="A2054" s="7" t="s">
        <v>37</v>
      </c>
      <c r="B2054" s="7" t="s">
        <v>415</v>
      </c>
      <c r="C2054" s="8">
        <v>28737</v>
      </c>
      <c r="D2054" s="7" t="s">
        <v>28</v>
      </c>
      <c r="E2054" s="7" t="s">
        <v>142</v>
      </c>
      <c r="F2054" s="7" t="s">
        <v>458</v>
      </c>
      <c r="G2054" s="7" t="s">
        <v>18</v>
      </c>
      <c r="H2054" s="7" t="s">
        <v>24</v>
      </c>
      <c r="I2054" s="7" t="s">
        <v>712</v>
      </c>
      <c r="J2054" s="7" t="s">
        <v>712</v>
      </c>
      <c r="K2054" s="8">
        <v>6281550</v>
      </c>
      <c r="L2054" s="8">
        <v>335776</v>
      </c>
      <c r="M2054" s="8">
        <v>19</v>
      </c>
      <c r="N2054" s="8">
        <v>1</v>
      </c>
      <c r="O2054" s="8">
        <v>0.8</v>
      </c>
      <c r="P2054" s="8"/>
    </row>
    <row r="2055" spans="1:16" hidden="1" x14ac:dyDescent="0.25">
      <c r="A2055" s="7" t="s">
        <v>14</v>
      </c>
      <c r="B2055" s="7" t="s">
        <v>343</v>
      </c>
      <c r="C2055" s="8">
        <v>28738</v>
      </c>
      <c r="D2055" s="7" t="s">
        <v>28</v>
      </c>
      <c r="E2055" s="7" t="s">
        <v>344</v>
      </c>
      <c r="F2055" s="7" t="s">
        <v>401</v>
      </c>
      <c r="G2055" s="7" t="s">
        <v>402</v>
      </c>
      <c r="H2055" s="7" t="s">
        <v>689</v>
      </c>
      <c r="I2055" s="7" t="s">
        <v>712</v>
      </c>
      <c r="J2055" s="7" t="s">
        <v>712</v>
      </c>
      <c r="K2055" s="8">
        <v>6270514</v>
      </c>
      <c r="L2055" s="8">
        <v>300349</v>
      </c>
      <c r="M2055" s="8">
        <v>19</v>
      </c>
      <c r="N2055" s="8">
        <v>1</v>
      </c>
      <c r="O2055" s="8">
        <v>1</v>
      </c>
      <c r="P2055" s="8"/>
    </row>
    <row r="2056" spans="1:16" hidden="1" x14ac:dyDescent="0.25">
      <c r="A2056" s="7" t="s">
        <v>37</v>
      </c>
      <c r="B2056" s="7" t="s">
        <v>415</v>
      </c>
      <c r="C2056" s="8">
        <v>28739</v>
      </c>
      <c r="D2056" s="7" t="s">
        <v>28</v>
      </c>
      <c r="E2056" s="7" t="s">
        <v>387</v>
      </c>
      <c r="F2056" s="7" t="s">
        <v>435</v>
      </c>
      <c r="G2056" s="7" t="s">
        <v>18</v>
      </c>
      <c r="H2056" s="7" t="s">
        <v>24</v>
      </c>
      <c r="I2056" s="7" t="s">
        <v>712</v>
      </c>
      <c r="J2056" s="7" t="s">
        <v>712</v>
      </c>
      <c r="K2056" s="8">
        <v>6303629</v>
      </c>
      <c r="L2056" s="8">
        <v>328062</v>
      </c>
      <c r="M2056" s="8">
        <v>19</v>
      </c>
      <c r="N2056" s="8">
        <v>1</v>
      </c>
      <c r="O2056" s="8">
        <v>0.13</v>
      </c>
      <c r="P2056" s="8"/>
    </row>
    <row r="2057" spans="1:16" hidden="1" x14ac:dyDescent="0.25">
      <c r="A2057" s="7" t="s">
        <v>37</v>
      </c>
      <c r="B2057" s="7" t="s">
        <v>415</v>
      </c>
      <c r="C2057" s="8">
        <v>28740</v>
      </c>
      <c r="D2057" s="7" t="s">
        <v>28</v>
      </c>
      <c r="E2057" s="7" t="s">
        <v>29</v>
      </c>
      <c r="F2057" s="7" t="s">
        <v>532</v>
      </c>
      <c r="G2057" s="7" t="s">
        <v>18</v>
      </c>
      <c r="H2057" s="7" t="s">
        <v>109</v>
      </c>
      <c r="I2057" s="7" t="s">
        <v>712</v>
      </c>
      <c r="J2057" s="7" t="s">
        <v>691</v>
      </c>
      <c r="K2057" s="8">
        <v>6259358</v>
      </c>
      <c r="L2057" s="8">
        <v>346204</v>
      </c>
      <c r="M2057" s="8">
        <v>19</v>
      </c>
      <c r="N2057" s="8">
        <v>1</v>
      </c>
      <c r="O2057" s="8">
        <v>1.07</v>
      </c>
      <c r="P2057" s="8"/>
    </row>
    <row r="2058" spans="1:16" hidden="1" x14ac:dyDescent="0.25">
      <c r="A2058" s="7" t="s">
        <v>37</v>
      </c>
      <c r="B2058" s="7" t="s">
        <v>270</v>
      </c>
      <c r="C2058" s="8">
        <v>28741</v>
      </c>
      <c r="D2058" s="7" t="s">
        <v>21</v>
      </c>
      <c r="E2058" s="7" t="s">
        <v>278</v>
      </c>
      <c r="F2058" s="7" t="s">
        <v>638</v>
      </c>
      <c r="G2058" s="7" t="s">
        <v>18</v>
      </c>
      <c r="H2058" s="7" t="s">
        <v>24</v>
      </c>
      <c r="I2058" s="7" t="s">
        <v>712</v>
      </c>
      <c r="J2058" s="7" t="s">
        <v>712</v>
      </c>
      <c r="K2058" s="8">
        <v>6361479</v>
      </c>
      <c r="L2058" s="8">
        <v>302812</v>
      </c>
      <c r="M2058" s="8">
        <v>19</v>
      </c>
      <c r="N2058" s="8">
        <v>1</v>
      </c>
      <c r="O2058" s="8">
        <v>0.5</v>
      </c>
      <c r="P2058" s="8"/>
    </row>
    <row r="2059" spans="1:16" hidden="1" x14ac:dyDescent="0.25">
      <c r="A2059" s="7" t="s">
        <v>37</v>
      </c>
      <c r="B2059" s="7" t="s">
        <v>415</v>
      </c>
      <c r="C2059" s="8">
        <v>28742</v>
      </c>
      <c r="D2059" s="7" t="s">
        <v>28</v>
      </c>
      <c r="E2059" s="7" t="s">
        <v>166</v>
      </c>
      <c r="F2059" s="7" t="s">
        <v>363</v>
      </c>
      <c r="G2059" s="7" t="s">
        <v>18</v>
      </c>
      <c r="H2059" s="7" t="s">
        <v>24</v>
      </c>
      <c r="I2059" s="7" t="s">
        <v>712</v>
      </c>
      <c r="J2059" s="7" t="s">
        <v>712</v>
      </c>
      <c r="K2059" s="8">
        <v>6266079</v>
      </c>
      <c r="L2059" s="8">
        <v>324017</v>
      </c>
      <c r="M2059" s="8">
        <v>19</v>
      </c>
      <c r="N2059" s="8">
        <v>1</v>
      </c>
      <c r="O2059" s="8">
        <v>1</v>
      </c>
      <c r="P2059" s="8"/>
    </row>
    <row r="2060" spans="1:16" hidden="1" x14ac:dyDescent="0.25">
      <c r="A2060" s="7" t="s">
        <v>19</v>
      </c>
      <c r="B2060" s="7" t="s">
        <v>254</v>
      </c>
      <c r="C2060" s="8">
        <v>28743</v>
      </c>
      <c r="D2060" s="7" t="s">
        <v>52</v>
      </c>
      <c r="E2060" s="7" t="s">
        <v>145</v>
      </c>
      <c r="F2060" s="7" t="s">
        <v>248</v>
      </c>
      <c r="G2060" s="7" t="s">
        <v>65</v>
      </c>
      <c r="H2060" s="7" t="s">
        <v>66</v>
      </c>
      <c r="I2060" s="7" t="s">
        <v>712</v>
      </c>
      <c r="J2060" s="7" t="s">
        <v>712</v>
      </c>
      <c r="K2060" s="8">
        <v>6164399</v>
      </c>
      <c r="L2060" s="8">
        <v>324806</v>
      </c>
      <c r="M2060" s="8">
        <v>19</v>
      </c>
      <c r="N2060" s="8">
        <v>1</v>
      </c>
      <c r="O2060" s="8">
        <v>8</v>
      </c>
      <c r="P2060" s="8"/>
    </row>
    <row r="2061" spans="1:16" hidden="1" x14ac:dyDescent="0.25">
      <c r="A2061" s="7" t="s">
        <v>37</v>
      </c>
      <c r="B2061" s="7" t="s">
        <v>415</v>
      </c>
      <c r="C2061" s="8">
        <v>28744</v>
      </c>
      <c r="D2061" s="7" t="s">
        <v>28</v>
      </c>
      <c r="E2061" s="7" t="s">
        <v>393</v>
      </c>
      <c r="F2061" s="7" t="s">
        <v>492</v>
      </c>
      <c r="G2061" s="7" t="s">
        <v>18</v>
      </c>
      <c r="H2061" s="7" t="s">
        <v>24</v>
      </c>
      <c r="I2061" s="7" t="s">
        <v>712</v>
      </c>
      <c r="J2061" s="7" t="s">
        <v>712</v>
      </c>
      <c r="K2061" s="8">
        <v>6271047</v>
      </c>
      <c r="L2061" s="8">
        <v>310119</v>
      </c>
      <c r="M2061" s="8">
        <v>19</v>
      </c>
      <c r="N2061" s="8">
        <v>1</v>
      </c>
      <c r="O2061" s="8">
        <v>1.1000000000000001</v>
      </c>
      <c r="P2061" s="8"/>
    </row>
    <row r="2062" spans="1:16" hidden="1" x14ac:dyDescent="0.25">
      <c r="A2062" s="7" t="s">
        <v>37</v>
      </c>
      <c r="B2062" s="7" t="s">
        <v>415</v>
      </c>
      <c r="C2062" s="8">
        <v>28745</v>
      </c>
      <c r="D2062" s="7" t="s">
        <v>28</v>
      </c>
      <c r="E2062" s="7" t="s">
        <v>393</v>
      </c>
      <c r="F2062" s="7" t="s">
        <v>492</v>
      </c>
      <c r="G2062" s="7" t="s">
        <v>18</v>
      </c>
      <c r="H2062" s="7" t="s">
        <v>24</v>
      </c>
      <c r="I2062" s="7" t="s">
        <v>712</v>
      </c>
      <c r="J2062" s="7" t="s">
        <v>712</v>
      </c>
      <c r="K2062" s="8">
        <v>6271409</v>
      </c>
      <c r="L2062" s="8">
        <v>310045</v>
      </c>
      <c r="M2062" s="8">
        <v>19</v>
      </c>
      <c r="N2062" s="8">
        <v>1</v>
      </c>
      <c r="O2062" s="8">
        <v>1</v>
      </c>
      <c r="P2062" s="8"/>
    </row>
    <row r="2063" spans="1:16" hidden="1" x14ac:dyDescent="0.25">
      <c r="A2063" s="7" t="s">
        <v>37</v>
      </c>
      <c r="B2063" s="7" t="s">
        <v>415</v>
      </c>
      <c r="C2063" s="8">
        <v>28746</v>
      </c>
      <c r="D2063" s="7" t="s">
        <v>28</v>
      </c>
      <c r="E2063" s="7" t="s">
        <v>393</v>
      </c>
      <c r="F2063" s="7" t="s">
        <v>492</v>
      </c>
      <c r="G2063" s="7" t="s">
        <v>18</v>
      </c>
      <c r="H2063" s="7" t="s">
        <v>24</v>
      </c>
      <c r="I2063" s="7" t="s">
        <v>712</v>
      </c>
      <c r="J2063" s="7" t="s">
        <v>712</v>
      </c>
      <c r="K2063" s="8">
        <v>6268305</v>
      </c>
      <c r="L2063" s="8">
        <v>309887</v>
      </c>
      <c r="M2063" s="8">
        <v>19</v>
      </c>
      <c r="N2063" s="8">
        <v>1</v>
      </c>
      <c r="O2063" s="8">
        <v>0.95</v>
      </c>
      <c r="P2063" s="8"/>
    </row>
    <row r="2064" spans="1:16" hidden="1" x14ac:dyDescent="0.25">
      <c r="A2064" s="7" t="s">
        <v>37</v>
      </c>
      <c r="B2064" s="7" t="s">
        <v>415</v>
      </c>
      <c r="C2064" s="8">
        <v>28747</v>
      </c>
      <c r="D2064" s="7" t="s">
        <v>28</v>
      </c>
      <c r="E2064" s="7" t="s">
        <v>142</v>
      </c>
      <c r="F2064" s="7" t="s">
        <v>458</v>
      </c>
      <c r="G2064" s="7" t="s">
        <v>18</v>
      </c>
      <c r="H2064" s="7" t="s">
        <v>24</v>
      </c>
      <c r="I2064" s="7" t="s">
        <v>712</v>
      </c>
      <c r="J2064" s="7" t="s">
        <v>712</v>
      </c>
      <c r="K2064" s="8">
        <v>6286389</v>
      </c>
      <c r="L2064" s="8">
        <v>338550</v>
      </c>
      <c r="M2064" s="8">
        <v>19</v>
      </c>
      <c r="N2064" s="8">
        <v>1</v>
      </c>
      <c r="O2064" s="8">
        <v>1.05</v>
      </c>
      <c r="P2064" s="8"/>
    </row>
    <row r="2065" spans="1:16" hidden="1" x14ac:dyDescent="0.25">
      <c r="A2065" s="7" t="s">
        <v>37</v>
      </c>
      <c r="B2065" s="7" t="s">
        <v>415</v>
      </c>
      <c r="C2065" s="8">
        <v>28748</v>
      </c>
      <c r="D2065" s="7" t="s">
        <v>28</v>
      </c>
      <c r="E2065" s="7" t="s">
        <v>387</v>
      </c>
      <c r="F2065" s="7" t="s">
        <v>435</v>
      </c>
      <c r="G2065" s="7" t="s">
        <v>18</v>
      </c>
      <c r="H2065" s="7" t="s">
        <v>48</v>
      </c>
      <c r="I2065" s="7" t="s">
        <v>712</v>
      </c>
      <c r="J2065" s="7" t="s">
        <v>691</v>
      </c>
      <c r="K2065" s="8">
        <v>6305421</v>
      </c>
      <c r="L2065" s="8">
        <v>330822</v>
      </c>
      <c r="M2065" s="8">
        <v>19</v>
      </c>
      <c r="N2065" s="8">
        <v>1</v>
      </c>
      <c r="O2065" s="8">
        <v>1.63</v>
      </c>
      <c r="P2065" s="8"/>
    </row>
    <row r="2066" spans="1:16" hidden="1" x14ac:dyDescent="0.25">
      <c r="A2066" s="7" t="s">
        <v>19</v>
      </c>
      <c r="B2066" s="7" t="s">
        <v>254</v>
      </c>
      <c r="C2066" s="8">
        <v>28749</v>
      </c>
      <c r="D2066" s="7" t="s">
        <v>52</v>
      </c>
      <c r="E2066" s="7" t="s">
        <v>141</v>
      </c>
      <c r="F2066" s="7" t="s">
        <v>272</v>
      </c>
      <c r="G2066" s="7" t="s">
        <v>65</v>
      </c>
      <c r="H2066" s="7" t="s">
        <v>66</v>
      </c>
      <c r="I2066" s="7" t="s">
        <v>712</v>
      </c>
      <c r="J2066" s="7" t="s">
        <v>712</v>
      </c>
      <c r="K2066" s="8">
        <v>6225462</v>
      </c>
      <c r="L2066" s="8">
        <v>331999</v>
      </c>
      <c r="M2066" s="8">
        <v>19</v>
      </c>
      <c r="N2066" s="8">
        <v>1</v>
      </c>
      <c r="O2066" s="8">
        <v>17.5</v>
      </c>
      <c r="P2066" s="8"/>
    </row>
    <row r="2067" spans="1:16" hidden="1" x14ac:dyDescent="0.25">
      <c r="A2067" s="7" t="s">
        <v>19</v>
      </c>
      <c r="B2067" s="7" t="s">
        <v>254</v>
      </c>
      <c r="C2067" s="8">
        <v>28750</v>
      </c>
      <c r="D2067" s="7" t="s">
        <v>52</v>
      </c>
      <c r="E2067" s="7" t="s">
        <v>141</v>
      </c>
      <c r="F2067" s="7" t="s">
        <v>272</v>
      </c>
      <c r="G2067" s="7" t="s">
        <v>65</v>
      </c>
      <c r="H2067" s="7" t="s">
        <v>66</v>
      </c>
      <c r="I2067" s="7" t="s">
        <v>712</v>
      </c>
      <c r="J2067" s="7" t="s">
        <v>712</v>
      </c>
      <c r="K2067" s="8">
        <v>6220465</v>
      </c>
      <c r="L2067" s="8">
        <v>337104</v>
      </c>
      <c r="M2067" s="8">
        <v>19</v>
      </c>
      <c r="N2067" s="8">
        <v>1</v>
      </c>
      <c r="O2067" s="8">
        <v>9.5</v>
      </c>
      <c r="P2067" s="8"/>
    </row>
    <row r="2068" spans="1:16" hidden="1" x14ac:dyDescent="0.25">
      <c r="A2068" s="7" t="s">
        <v>19</v>
      </c>
      <c r="B2068" s="7" t="s">
        <v>254</v>
      </c>
      <c r="C2068" s="8">
        <v>28751</v>
      </c>
      <c r="D2068" s="7" t="s">
        <v>52</v>
      </c>
      <c r="E2068" s="7" t="s">
        <v>141</v>
      </c>
      <c r="F2068" s="7" t="s">
        <v>272</v>
      </c>
      <c r="G2068" s="7" t="s">
        <v>65</v>
      </c>
      <c r="H2068" s="7" t="s">
        <v>66</v>
      </c>
      <c r="I2068" s="7" t="s">
        <v>712</v>
      </c>
      <c r="J2068" s="7" t="s">
        <v>712</v>
      </c>
      <c r="K2068" s="8">
        <v>6221889</v>
      </c>
      <c r="L2068" s="8">
        <v>332995</v>
      </c>
      <c r="M2068" s="8">
        <v>19</v>
      </c>
      <c r="N2068" s="8">
        <v>1</v>
      </c>
      <c r="O2068" s="8">
        <v>8.3000000000000007</v>
      </c>
      <c r="P2068" s="8"/>
    </row>
    <row r="2069" spans="1:16" hidden="1" x14ac:dyDescent="0.25">
      <c r="A2069" s="7" t="s">
        <v>19</v>
      </c>
      <c r="B2069" s="7" t="s">
        <v>254</v>
      </c>
      <c r="C2069" s="8">
        <v>28752</v>
      </c>
      <c r="D2069" s="7" t="s">
        <v>52</v>
      </c>
      <c r="E2069" s="7" t="s">
        <v>145</v>
      </c>
      <c r="F2069" s="7" t="s">
        <v>248</v>
      </c>
      <c r="G2069" s="7" t="s">
        <v>65</v>
      </c>
      <c r="H2069" s="7" t="s">
        <v>66</v>
      </c>
      <c r="I2069" s="7" t="s">
        <v>712</v>
      </c>
      <c r="J2069" s="7" t="s">
        <v>712</v>
      </c>
      <c r="K2069" s="8">
        <v>6165681</v>
      </c>
      <c r="L2069" s="8">
        <v>327396</v>
      </c>
      <c r="M2069" s="8">
        <v>19</v>
      </c>
      <c r="N2069" s="8">
        <v>1</v>
      </c>
      <c r="O2069" s="8">
        <v>9</v>
      </c>
      <c r="P2069" s="8"/>
    </row>
    <row r="2070" spans="1:16" hidden="1" x14ac:dyDescent="0.25">
      <c r="A2070" s="7" t="s">
        <v>19</v>
      </c>
      <c r="B2070" s="7" t="s">
        <v>254</v>
      </c>
      <c r="C2070" s="8">
        <v>28753</v>
      </c>
      <c r="D2070" s="7" t="s">
        <v>52</v>
      </c>
      <c r="E2070" s="7" t="s">
        <v>145</v>
      </c>
      <c r="F2070" s="7" t="s">
        <v>248</v>
      </c>
      <c r="G2070" s="7" t="s">
        <v>65</v>
      </c>
      <c r="H2070" s="7" t="s">
        <v>66</v>
      </c>
      <c r="I2070" s="7" t="s">
        <v>712</v>
      </c>
      <c r="J2070" s="7" t="s">
        <v>712</v>
      </c>
      <c r="K2070" s="8">
        <v>6165597</v>
      </c>
      <c r="L2070" s="8">
        <v>327802</v>
      </c>
      <c r="M2070" s="8">
        <v>19</v>
      </c>
      <c r="N2070" s="8">
        <v>1</v>
      </c>
      <c r="O2070" s="8">
        <v>6</v>
      </c>
      <c r="P2070" s="8"/>
    </row>
    <row r="2071" spans="1:16" hidden="1" x14ac:dyDescent="0.25">
      <c r="A2071" s="7" t="s">
        <v>37</v>
      </c>
      <c r="B2071" s="7" t="s">
        <v>415</v>
      </c>
      <c r="C2071" s="8">
        <v>28754</v>
      </c>
      <c r="D2071" s="7" t="s">
        <v>28</v>
      </c>
      <c r="E2071" s="7" t="s">
        <v>429</v>
      </c>
      <c r="F2071" s="7" t="s">
        <v>430</v>
      </c>
      <c r="G2071" s="7" t="s">
        <v>18</v>
      </c>
      <c r="H2071" s="7" t="s">
        <v>109</v>
      </c>
      <c r="I2071" s="7" t="s">
        <v>712</v>
      </c>
      <c r="J2071" s="7" t="s">
        <v>691</v>
      </c>
      <c r="K2071" s="8">
        <v>6326476</v>
      </c>
      <c r="L2071" s="8">
        <v>325437</v>
      </c>
      <c r="M2071" s="8">
        <v>19</v>
      </c>
      <c r="N2071" s="8">
        <v>1</v>
      </c>
      <c r="O2071" s="8">
        <v>1.1000000000000001</v>
      </c>
      <c r="P2071" s="8"/>
    </row>
    <row r="2072" spans="1:16" hidden="1" x14ac:dyDescent="0.25">
      <c r="A2072" s="7" t="s">
        <v>19</v>
      </c>
      <c r="B2072" s="7" t="s">
        <v>254</v>
      </c>
      <c r="C2072" s="8">
        <v>28755</v>
      </c>
      <c r="D2072" s="7" t="s">
        <v>52</v>
      </c>
      <c r="E2072" s="7" t="s">
        <v>141</v>
      </c>
      <c r="F2072" s="7" t="s">
        <v>272</v>
      </c>
      <c r="G2072" s="7" t="s">
        <v>65</v>
      </c>
      <c r="H2072" s="7" t="s">
        <v>66</v>
      </c>
      <c r="I2072" s="7" t="s">
        <v>712</v>
      </c>
      <c r="J2072" s="7" t="s">
        <v>712</v>
      </c>
      <c r="K2072" s="8">
        <v>6222444</v>
      </c>
      <c r="L2072" s="8">
        <v>332846</v>
      </c>
      <c r="M2072" s="8">
        <v>19</v>
      </c>
      <c r="N2072" s="8">
        <v>1</v>
      </c>
      <c r="O2072" s="8">
        <v>8</v>
      </c>
      <c r="P2072" s="8"/>
    </row>
    <row r="2073" spans="1:16" hidden="1" x14ac:dyDescent="0.25">
      <c r="A2073" s="7" t="s">
        <v>37</v>
      </c>
      <c r="B2073" s="7" t="s">
        <v>415</v>
      </c>
      <c r="C2073" s="8">
        <v>28756</v>
      </c>
      <c r="D2073" s="7" t="s">
        <v>28</v>
      </c>
      <c r="E2073" s="7" t="s">
        <v>32</v>
      </c>
      <c r="F2073" s="7" t="s">
        <v>147</v>
      </c>
      <c r="G2073" s="7" t="s">
        <v>18</v>
      </c>
      <c r="H2073" s="7" t="s">
        <v>24</v>
      </c>
      <c r="I2073" s="7" t="s">
        <v>712</v>
      </c>
      <c r="J2073" s="7" t="s">
        <v>712</v>
      </c>
      <c r="K2073" s="8">
        <v>6276166</v>
      </c>
      <c r="L2073" s="8">
        <v>339491</v>
      </c>
      <c r="M2073" s="8">
        <v>19</v>
      </c>
      <c r="N2073" s="8">
        <v>1</v>
      </c>
      <c r="O2073" s="8">
        <v>1</v>
      </c>
      <c r="P2073" s="8"/>
    </row>
    <row r="2074" spans="1:16" hidden="1" x14ac:dyDescent="0.25">
      <c r="A2074" s="7" t="s">
        <v>19</v>
      </c>
      <c r="B2074" s="7" t="s">
        <v>270</v>
      </c>
      <c r="C2074" s="8">
        <v>28757</v>
      </c>
      <c r="D2074" s="7" t="s">
        <v>52</v>
      </c>
      <c r="E2074" s="7" t="s">
        <v>53</v>
      </c>
      <c r="F2074" s="7" t="s">
        <v>87</v>
      </c>
      <c r="G2074" s="7" t="s">
        <v>18</v>
      </c>
      <c r="H2074" s="7" t="s">
        <v>24</v>
      </c>
      <c r="I2074" s="7" t="s">
        <v>712</v>
      </c>
      <c r="J2074" s="7" t="s">
        <v>712</v>
      </c>
      <c r="K2074" s="8">
        <v>6166310</v>
      </c>
      <c r="L2074" s="8">
        <v>326813</v>
      </c>
      <c r="M2074" s="8">
        <v>19</v>
      </c>
      <c r="N2074" s="8">
        <v>1</v>
      </c>
      <c r="O2074" s="8">
        <v>0.7</v>
      </c>
      <c r="P2074" s="8"/>
    </row>
    <row r="2075" spans="1:16" hidden="1" x14ac:dyDescent="0.25">
      <c r="A2075" s="7" t="s">
        <v>37</v>
      </c>
      <c r="B2075" s="7" t="s">
        <v>415</v>
      </c>
      <c r="C2075" s="8">
        <v>28758</v>
      </c>
      <c r="D2075" s="7" t="s">
        <v>28</v>
      </c>
      <c r="E2075" s="7" t="s">
        <v>429</v>
      </c>
      <c r="F2075" s="7" t="s">
        <v>430</v>
      </c>
      <c r="G2075" s="7" t="s">
        <v>18</v>
      </c>
      <c r="H2075" s="7" t="s">
        <v>109</v>
      </c>
      <c r="I2075" s="7" t="s">
        <v>712</v>
      </c>
      <c r="J2075" s="7" t="s">
        <v>691</v>
      </c>
      <c r="K2075" s="8">
        <v>6326608</v>
      </c>
      <c r="L2075" s="8">
        <v>325124</v>
      </c>
      <c r="M2075" s="8">
        <v>19</v>
      </c>
      <c r="N2075" s="8">
        <v>1</v>
      </c>
      <c r="O2075" s="8">
        <v>1.1499999999999999</v>
      </c>
      <c r="P2075" s="8"/>
    </row>
    <row r="2076" spans="1:16" hidden="1" x14ac:dyDescent="0.25">
      <c r="A2076" s="7" t="s">
        <v>19</v>
      </c>
      <c r="B2076" s="7" t="s">
        <v>254</v>
      </c>
      <c r="C2076" s="8">
        <v>28759</v>
      </c>
      <c r="D2076" s="7" t="s">
        <v>52</v>
      </c>
      <c r="E2076" s="7" t="s">
        <v>141</v>
      </c>
      <c r="F2076" s="7" t="s">
        <v>272</v>
      </c>
      <c r="G2076" s="7" t="s">
        <v>65</v>
      </c>
      <c r="H2076" s="7" t="s">
        <v>66</v>
      </c>
      <c r="I2076" s="7" t="s">
        <v>712</v>
      </c>
      <c r="J2076" s="7" t="s">
        <v>712</v>
      </c>
      <c r="K2076" s="8">
        <v>6222671</v>
      </c>
      <c r="L2076" s="8">
        <v>334131</v>
      </c>
      <c r="M2076" s="8">
        <v>19</v>
      </c>
      <c r="N2076" s="8">
        <v>2</v>
      </c>
      <c r="O2076" s="8">
        <v>12.5</v>
      </c>
      <c r="P2076" s="8"/>
    </row>
    <row r="2077" spans="1:16" hidden="1" x14ac:dyDescent="0.25">
      <c r="A2077" s="7" t="s">
        <v>37</v>
      </c>
      <c r="B2077" s="7" t="s">
        <v>415</v>
      </c>
      <c r="C2077" s="8">
        <v>28760</v>
      </c>
      <c r="D2077" s="7" t="s">
        <v>28</v>
      </c>
      <c r="E2077" s="7" t="s">
        <v>429</v>
      </c>
      <c r="F2077" s="7" t="s">
        <v>430</v>
      </c>
      <c r="G2077" s="7" t="s">
        <v>18</v>
      </c>
      <c r="H2077" s="7" t="s">
        <v>109</v>
      </c>
      <c r="I2077" s="7" t="s">
        <v>712</v>
      </c>
      <c r="J2077" s="7" t="s">
        <v>691</v>
      </c>
      <c r="K2077" s="8">
        <v>6326065</v>
      </c>
      <c r="L2077" s="8">
        <v>325550</v>
      </c>
      <c r="M2077" s="8">
        <v>19</v>
      </c>
      <c r="N2077" s="8">
        <v>1</v>
      </c>
      <c r="O2077" s="8">
        <v>1.1000000000000001</v>
      </c>
      <c r="P2077" s="8"/>
    </row>
    <row r="2078" spans="1:16" hidden="1" x14ac:dyDescent="0.25">
      <c r="A2078" s="7" t="s">
        <v>37</v>
      </c>
      <c r="B2078" s="7" t="s">
        <v>270</v>
      </c>
      <c r="C2078" s="8">
        <v>28761</v>
      </c>
      <c r="D2078" s="7" t="s">
        <v>21</v>
      </c>
      <c r="E2078" s="7" t="s">
        <v>584</v>
      </c>
      <c r="F2078" s="7" t="s">
        <v>339</v>
      </c>
      <c r="G2078" s="7" t="s">
        <v>18</v>
      </c>
      <c r="H2078" s="7" t="s">
        <v>24</v>
      </c>
      <c r="I2078" s="7" t="s">
        <v>712</v>
      </c>
      <c r="J2078" s="7" t="s">
        <v>712</v>
      </c>
      <c r="K2078" s="8">
        <v>6370574</v>
      </c>
      <c r="L2078" s="8">
        <v>319188</v>
      </c>
      <c r="M2078" s="8">
        <v>19</v>
      </c>
      <c r="N2078" s="8">
        <v>1</v>
      </c>
      <c r="O2078" s="8">
        <v>2</v>
      </c>
      <c r="P2078" s="8"/>
    </row>
    <row r="2079" spans="1:16" hidden="1" x14ac:dyDescent="0.25">
      <c r="A2079" s="7" t="s">
        <v>37</v>
      </c>
      <c r="B2079" s="7" t="s">
        <v>415</v>
      </c>
      <c r="C2079" s="8">
        <v>28762</v>
      </c>
      <c r="D2079" s="7" t="s">
        <v>28</v>
      </c>
      <c r="E2079" s="7" t="s">
        <v>29</v>
      </c>
      <c r="F2079" s="7" t="s">
        <v>29</v>
      </c>
      <c r="G2079" s="7" t="s">
        <v>18</v>
      </c>
      <c r="H2079" s="7" t="s">
        <v>24</v>
      </c>
      <c r="I2079" s="7" t="s">
        <v>712</v>
      </c>
      <c r="J2079" s="7" t="s">
        <v>712</v>
      </c>
      <c r="K2079" s="8">
        <v>6250916</v>
      </c>
      <c r="L2079" s="8">
        <v>337563</v>
      </c>
      <c r="M2079" s="8">
        <v>19</v>
      </c>
      <c r="N2079" s="8">
        <v>1</v>
      </c>
      <c r="O2079" s="8">
        <v>1.6</v>
      </c>
      <c r="P2079" s="8"/>
    </row>
    <row r="2080" spans="1:16" hidden="1" x14ac:dyDescent="0.25">
      <c r="A2080" s="7" t="s">
        <v>19</v>
      </c>
      <c r="B2080" s="7" t="s">
        <v>254</v>
      </c>
      <c r="C2080" s="8">
        <v>28764</v>
      </c>
      <c r="D2080" s="7" t="s">
        <v>52</v>
      </c>
      <c r="E2080" s="7" t="s">
        <v>141</v>
      </c>
      <c r="F2080" s="7" t="s">
        <v>165</v>
      </c>
      <c r="G2080" s="7" t="s">
        <v>65</v>
      </c>
      <c r="H2080" s="7" t="s">
        <v>66</v>
      </c>
      <c r="I2080" s="7" t="s">
        <v>712</v>
      </c>
      <c r="J2080" s="7" t="s">
        <v>712</v>
      </c>
      <c r="K2080" s="8">
        <v>6221696</v>
      </c>
      <c r="L2080" s="8">
        <v>331207</v>
      </c>
      <c r="M2080" s="8">
        <v>19</v>
      </c>
      <c r="N2080" s="8">
        <v>1</v>
      </c>
      <c r="O2080" s="8">
        <v>12</v>
      </c>
      <c r="P2080" s="8"/>
    </row>
    <row r="2081" spans="1:16" hidden="1" x14ac:dyDescent="0.25">
      <c r="A2081" s="7" t="s">
        <v>37</v>
      </c>
      <c r="B2081" s="7" t="s">
        <v>415</v>
      </c>
      <c r="C2081" s="8">
        <v>28766</v>
      </c>
      <c r="D2081" s="7" t="s">
        <v>28</v>
      </c>
      <c r="E2081" s="7" t="s">
        <v>344</v>
      </c>
      <c r="F2081" s="7" t="s">
        <v>345</v>
      </c>
      <c r="G2081" s="7" t="s">
        <v>18</v>
      </c>
      <c r="H2081" s="7" t="s">
        <v>24</v>
      </c>
      <c r="I2081" s="7" t="s">
        <v>712</v>
      </c>
      <c r="J2081" s="7" t="s">
        <v>712</v>
      </c>
      <c r="K2081" s="8">
        <v>6273015</v>
      </c>
      <c r="L2081" s="8">
        <v>301952</v>
      </c>
      <c r="M2081" s="8">
        <v>19</v>
      </c>
      <c r="N2081" s="8">
        <v>1</v>
      </c>
      <c r="O2081" s="8">
        <v>0.95</v>
      </c>
      <c r="P2081" s="8"/>
    </row>
    <row r="2082" spans="1:16" hidden="1" x14ac:dyDescent="0.25">
      <c r="A2082" s="7" t="s">
        <v>19</v>
      </c>
      <c r="B2082" s="7" t="s">
        <v>254</v>
      </c>
      <c r="C2082" s="8">
        <v>28767</v>
      </c>
      <c r="D2082" s="7" t="s">
        <v>52</v>
      </c>
      <c r="E2082" s="7" t="s">
        <v>141</v>
      </c>
      <c r="F2082" s="7" t="s">
        <v>272</v>
      </c>
      <c r="G2082" s="7" t="s">
        <v>65</v>
      </c>
      <c r="H2082" s="7" t="s">
        <v>66</v>
      </c>
      <c r="I2082" s="7" t="s">
        <v>712</v>
      </c>
      <c r="J2082" s="7" t="s">
        <v>712</v>
      </c>
      <c r="K2082" s="8">
        <v>6222176</v>
      </c>
      <c r="L2082" s="8">
        <v>333520</v>
      </c>
      <c r="M2082" s="8">
        <v>19</v>
      </c>
      <c r="N2082" s="8">
        <v>1</v>
      </c>
      <c r="O2082" s="8">
        <v>8.1999999999999993</v>
      </c>
      <c r="P2082" s="8"/>
    </row>
    <row r="2083" spans="1:16" hidden="1" x14ac:dyDescent="0.25">
      <c r="A2083" s="7" t="s">
        <v>14</v>
      </c>
      <c r="B2083" s="7" t="s">
        <v>27</v>
      </c>
      <c r="C2083" s="8">
        <v>28768</v>
      </c>
      <c r="D2083" s="7" t="s">
        <v>28</v>
      </c>
      <c r="E2083" s="7" t="s">
        <v>29</v>
      </c>
      <c r="F2083" s="7" t="s">
        <v>30</v>
      </c>
      <c r="G2083" s="7" t="s">
        <v>31</v>
      </c>
      <c r="H2083" s="7" t="s">
        <v>689</v>
      </c>
      <c r="I2083" s="7" t="s">
        <v>690</v>
      </c>
      <c r="J2083" s="7" t="s">
        <v>690</v>
      </c>
      <c r="K2083" s="8">
        <v>6255233</v>
      </c>
      <c r="L2083" s="8">
        <v>345158</v>
      </c>
      <c r="M2083" s="8">
        <v>19</v>
      </c>
      <c r="N2083" s="8">
        <v>1</v>
      </c>
      <c r="O2083" s="8">
        <v>6</v>
      </c>
      <c r="P2083" s="8"/>
    </row>
    <row r="2084" spans="1:16" hidden="1" x14ac:dyDescent="0.25">
      <c r="A2084" s="7" t="s">
        <v>37</v>
      </c>
      <c r="B2084" s="7" t="s">
        <v>270</v>
      </c>
      <c r="C2084" s="8">
        <v>28769</v>
      </c>
      <c r="D2084" s="7" t="s">
        <v>16</v>
      </c>
      <c r="E2084" s="7" t="s">
        <v>17</v>
      </c>
      <c r="F2084" s="7" t="s">
        <v>327</v>
      </c>
      <c r="G2084" s="7" t="s">
        <v>18</v>
      </c>
      <c r="H2084" s="7" t="s">
        <v>24</v>
      </c>
      <c r="I2084" s="7" t="s">
        <v>712</v>
      </c>
      <c r="J2084" s="7" t="s">
        <v>712</v>
      </c>
      <c r="K2084" s="8">
        <v>6065418</v>
      </c>
      <c r="L2084" s="8">
        <v>289554</v>
      </c>
      <c r="M2084" s="8">
        <v>19</v>
      </c>
      <c r="N2084" s="8">
        <v>1</v>
      </c>
      <c r="O2084" s="8">
        <v>0.5</v>
      </c>
      <c r="P2084" s="8"/>
    </row>
    <row r="2085" spans="1:16" hidden="1" x14ac:dyDescent="0.25">
      <c r="A2085" s="7" t="s">
        <v>19</v>
      </c>
      <c r="B2085" s="7" t="s">
        <v>254</v>
      </c>
      <c r="C2085" s="8">
        <v>28770</v>
      </c>
      <c r="D2085" s="7" t="s">
        <v>52</v>
      </c>
      <c r="E2085" s="7" t="s">
        <v>141</v>
      </c>
      <c r="F2085" s="7" t="s">
        <v>165</v>
      </c>
      <c r="G2085" s="7" t="s">
        <v>65</v>
      </c>
      <c r="H2085" s="7" t="s">
        <v>66</v>
      </c>
      <c r="I2085" s="7" t="s">
        <v>712</v>
      </c>
      <c r="J2085" s="7" t="s">
        <v>712</v>
      </c>
      <c r="K2085" s="8">
        <v>6221593</v>
      </c>
      <c r="L2085" s="8">
        <v>331610</v>
      </c>
      <c r="M2085" s="8">
        <v>19</v>
      </c>
      <c r="N2085" s="8">
        <v>2</v>
      </c>
      <c r="O2085" s="8">
        <v>14.5</v>
      </c>
      <c r="P2085" s="8"/>
    </row>
    <row r="2086" spans="1:16" hidden="1" x14ac:dyDescent="0.25">
      <c r="A2086" s="7" t="s">
        <v>19</v>
      </c>
      <c r="B2086" s="7" t="s">
        <v>254</v>
      </c>
      <c r="C2086" s="8">
        <v>28771</v>
      </c>
      <c r="D2086" s="7" t="s">
        <v>16</v>
      </c>
      <c r="E2086" s="7" t="s">
        <v>268</v>
      </c>
      <c r="F2086" s="7" t="s">
        <v>282</v>
      </c>
      <c r="G2086" s="7" t="s">
        <v>65</v>
      </c>
      <c r="H2086" s="7" t="s">
        <v>66</v>
      </c>
      <c r="I2086" s="7" t="s">
        <v>712</v>
      </c>
      <c r="J2086" s="7" t="s">
        <v>712</v>
      </c>
      <c r="K2086" s="8">
        <v>6135166</v>
      </c>
      <c r="L2086" s="8">
        <v>315826</v>
      </c>
      <c r="M2086" s="8">
        <v>19</v>
      </c>
      <c r="N2086" s="8">
        <v>2</v>
      </c>
      <c r="O2086" s="8">
        <v>12.5</v>
      </c>
      <c r="P2086" s="8"/>
    </row>
    <row r="2087" spans="1:16" hidden="1" x14ac:dyDescent="0.25">
      <c r="A2087" s="7" t="s">
        <v>37</v>
      </c>
      <c r="B2087" s="7" t="s">
        <v>254</v>
      </c>
      <c r="C2087" s="8">
        <v>28772</v>
      </c>
      <c r="D2087" s="7" t="s">
        <v>16</v>
      </c>
      <c r="E2087" s="7" t="s">
        <v>17</v>
      </c>
      <c r="F2087" s="7" t="s">
        <v>75</v>
      </c>
      <c r="G2087" s="7" t="s">
        <v>65</v>
      </c>
      <c r="H2087" s="7" t="s">
        <v>66</v>
      </c>
      <c r="I2087" s="7" t="s">
        <v>712</v>
      </c>
      <c r="J2087" s="7" t="s">
        <v>712</v>
      </c>
      <c r="K2087" s="8">
        <v>6061455</v>
      </c>
      <c r="L2087" s="8">
        <v>274911</v>
      </c>
      <c r="M2087" s="8">
        <v>19</v>
      </c>
      <c r="N2087" s="8">
        <v>2</v>
      </c>
      <c r="O2087" s="8">
        <v>19.5</v>
      </c>
      <c r="P2087" s="8"/>
    </row>
    <row r="2088" spans="1:16" hidden="1" x14ac:dyDescent="0.25">
      <c r="A2088" s="7" t="s">
        <v>19</v>
      </c>
      <c r="B2088" s="7" t="s">
        <v>254</v>
      </c>
      <c r="C2088" s="8">
        <v>28773</v>
      </c>
      <c r="D2088" s="7" t="s">
        <v>16</v>
      </c>
      <c r="E2088" s="7" t="s">
        <v>46</v>
      </c>
      <c r="F2088" s="7" t="s">
        <v>46</v>
      </c>
      <c r="G2088" s="7" t="s">
        <v>65</v>
      </c>
      <c r="H2088" s="7" t="s">
        <v>66</v>
      </c>
      <c r="I2088" s="7" t="s">
        <v>712</v>
      </c>
      <c r="J2088" s="7" t="s">
        <v>712</v>
      </c>
      <c r="K2088" s="8">
        <v>6114867</v>
      </c>
      <c r="L2088" s="8">
        <v>292972</v>
      </c>
      <c r="M2088" s="8">
        <v>19</v>
      </c>
      <c r="N2088" s="8">
        <v>2</v>
      </c>
      <c r="O2088" s="8">
        <v>5.5</v>
      </c>
      <c r="P2088" s="8"/>
    </row>
    <row r="2089" spans="1:16" hidden="1" x14ac:dyDescent="0.25">
      <c r="A2089" s="7" t="s">
        <v>37</v>
      </c>
      <c r="B2089" s="7" t="s">
        <v>254</v>
      </c>
      <c r="C2089" s="8">
        <v>28774</v>
      </c>
      <c r="D2089" s="7" t="s">
        <v>16</v>
      </c>
      <c r="E2089" s="7" t="s">
        <v>46</v>
      </c>
      <c r="F2089" s="7" t="s">
        <v>46</v>
      </c>
      <c r="G2089" s="7" t="s">
        <v>65</v>
      </c>
      <c r="H2089" s="7" t="s">
        <v>66</v>
      </c>
      <c r="I2089" s="7" t="s">
        <v>712</v>
      </c>
      <c r="J2089" s="7" t="s">
        <v>712</v>
      </c>
      <c r="K2089" s="8">
        <v>6114519</v>
      </c>
      <c r="L2089" s="8">
        <v>291131</v>
      </c>
      <c r="M2089" s="8">
        <v>19</v>
      </c>
      <c r="N2089" s="8">
        <v>2</v>
      </c>
      <c r="O2089" s="8">
        <v>12</v>
      </c>
      <c r="P2089" s="8"/>
    </row>
    <row r="2090" spans="1:16" hidden="1" x14ac:dyDescent="0.25">
      <c r="A2090" s="7" t="s">
        <v>14</v>
      </c>
      <c r="B2090" s="7" t="s">
        <v>415</v>
      </c>
      <c r="C2090" s="8">
        <v>28775</v>
      </c>
      <c r="D2090" s="7" t="s">
        <v>28</v>
      </c>
      <c r="E2090" s="7" t="s">
        <v>56</v>
      </c>
      <c r="F2090" s="7" t="s">
        <v>378</v>
      </c>
      <c r="G2090" s="7" t="s">
        <v>65</v>
      </c>
      <c r="H2090" s="7" t="s">
        <v>689</v>
      </c>
      <c r="I2090" s="7" t="s">
        <v>712</v>
      </c>
      <c r="J2090" s="7" t="s">
        <v>712</v>
      </c>
      <c r="K2090" s="8">
        <v>6260217</v>
      </c>
      <c r="L2090" s="8">
        <v>331580</v>
      </c>
      <c r="M2090" s="8">
        <v>19</v>
      </c>
      <c r="N2090" s="8">
        <v>1</v>
      </c>
      <c r="O2090" s="8">
        <v>0.45</v>
      </c>
      <c r="P2090" s="8"/>
    </row>
    <row r="2091" spans="1:16" hidden="1" x14ac:dyDescent="0.25">
      <c r="A2091" s="7" t="s">
        <v>14</v>
      </c>
      <c r="B2091" s="7" t="s">
        <v>415</v>
      </c>
      <c r="C2091" s="8">
        <v>28776</v>
      </c>
      <c r="D2091" s="7" t="s">
        <v>322</v>
      </c>
      <c r="E2091" s="7" t="s">
        <v>323</v>
      </c>
      <c r="F2091" s="7" t="s">
        <v>422</v>
      </c>
      <c r="G2091" s="7" t="s">
        <v>18</v>
      </c>
      <c r="H2091" s="7" t="s">
        <v>689</v>
      </c>
      <c r="I2091" s="7" t="s">
        <v>712</v>
      </c>
      <c r="J2091" s="7" t="s">
        <v>712</v>
      </c>
      <c r="K2091" s="8">
        <v>7953403</v>
      </c>
      <c r="L2091" s="8">
        <v>370706</v>
      </c>
      <c r="M2091" s="8">
        <v>19</v>
      </c>
      <c r="N2091" s="8">
        <v>1</v>
      </c>
      <c r="O2091" s="8">
        <v>0.1</v>
      </c>
      <c r="P2091" s="8"/>
    </row>
    <row r="2092" spans="1:16" hidden="1" x14ac:dyDescent="0.25">
      <c r="A2092" s="7" t="s">
        <v>14</v>
      </c>
      <c r="B2092" s="7" t="s">
        <v>415</v>
      </c>
      <c r="C2092" s="8">
        <v>28777</v>
      </c>
      <c r="D2092" s="7" t="s">
        <v>322</v>
      </c>
      <c r="E2092" s="7" t="s">
        <v>323</v>
      </c>
      <c r="F2092" s="7" t="s">
        <v>422</v>
      </c>
      <c r="G2092" s="7" t="s">
        <v>18</v>
      </c>
      <c r="H2092" s="7" t="s">
        <v>689</v>
      </c>
      <c r="I2092" s="7" t="s">
        <v>712</v>
      </c>
      <c r="J2092" s="7" t="s">
        <v>712</v>
      </c>
      <c r="K2092" s="8">
        <v>7950640</v>
      </c>
      <c r="L2092" s="8">
        <v>370890</v>
      </c>
      <c r="M2092" s="8">
        <v>19</v>
      </c>
      <c r="N2092" s="8">
        <v>1</v>
      </c>
      <c r="O2092" s="8">
        <v>1</v>
      </c>
      <c r="P2092" s="8"/>
    </row>
    <row r="2093" spans="1:16" hidden="1" x14ac:dyDescent="0.25">
      <c r="A2093" s="7" t="s">
        <v>14</v>
      </c>
      <c r="B2093" s="7" t="s">
        <v>415</v>
      </c>
      <c r="C2093" s="8">
        <v>28778</v>
      </c>
      <c r="D2093" s="7" t="s">
        <v>322</v>
      </c>
      <c r="E2093" s="7" t="s">
        <v>323</v>
      </c>
      <c r="F2093" s="7" t="s">
        <v>422</v>
      </c>
      <c r="G2093" s="7" t="s">
        <v>18</v>
      </c>
      <c r="H2093" s="7" t="s">
        <v>689</v>
      </c>
      <c r="I2093" s="7" t="s">
        <v>712</v>
      </c>
      <c r="J2093" s="7" t="s">
        <v>712</v>
      </c>
      <c r="K2093" s="8">
        <v>7952542</v>
      </c>
      <c r="L2093" s="8">
        <v>371267</v>
      </c>
      <c r="M2093" s="8">
        <v>19</v>
      </c>
      <c r="N2093" s="8">
        <v>1</v>
      </c>
      <c r="O2093" s="8">
        <v>0.22</v>
      </c>
      <c r="P2093" s="8"/>
    </row>
    <row r="2094" spans="1:16" hidden="1" x14ac:dyDescent="0.25">
      <c r="A2094" s="7" t="s">
        <v>14</v>
      </c>
      <c r="B2094" s="7" t="s">
        <v>415</v>
      </c>
      <c r="C2094" s="8">
        <v>28779</v>
      </c>
      <c r="D2094" s="7" t="s">
        <v>322</v>
      </c>
      <c r="E2094" s="7" t="s">
        <v>323</v>
      </c>
      <c r="F2094" s="7" t="s">
        <v>422</v>
      </c>
      <c r="G2094" s="7" t="s">
        <v>18</v>
      </c>
      <c r="H2094" s="7" t="s">
        <v>689</v>
      </c>
      <c r="I2094" s="7" t="s">
        <v>712</v>
      </c>
      <c r="J2094" s="7" t="s">
        <v>712</v>
      </c>
      <c r="K2094" s="8">
        <v>7952735</v>
      </c>
      <c r="L2094" s="8">
        <v>370970</v>
      </c>
      <c r="M2094" s="8">
        <v>19</v>
      </c>
      <c r="N2094" s="8">
        <v>1</v>
      </c>
      <c r="O2094" s="8">
        <v>0.11</v>
      </c>
      <c r="P2094" s="8"/>
    </row>
    <row r="2095" spans="1:16" hidden="1" x14ac:dyDescent="0.25">
      <c r="A2095" s="7" t="s">
        <v>14</v>
      </c>
      <c r="B2095" s="7" t="s">
        <v>415</v>
      </c>
      <c r="C2095" s="8">
        <v>28780</v>
      </c>
      <c r="D2095" s="7" t="s">
        <v>322</v>
      </c>
      <c r="E2095" s="7" t="s">
        <v>323</v>
      </c>
      <c r="F2095" s="7" t="s">
        <v>422</v>
      </c>
      <c r="G2095" s="7" t="s">
        <v>18</v>
      </c>
      <c r="H2095" s="7" t="s">
        <v>689</v>
      </c>
      <c r="I2095" s="7" t="s">
        <v>712</v>
      </c>
      <c r="J2095" s="7" t="s">
        <v>712</v>
      </c>
      <c r="K2095" s="8">
        <v>7952735</v>
      </c>
      <c r="L2095" s="8">
        <v>370970</v>
      </c>
      <c r="M2095" s="8">
        <v>19</v>
      </c>
      <c r="N2095" s="8">
        <v>1</v>
      </c>
      <c r="O2095" s="8">
        <v>0.01</v>
      </c>
      <c r="P2095" s="8"/>
    </row>
    <row r="2096" spans="1:16" hidden="1" x14ac:dyDescent="0.25">
      <c r="A2096" s="7" t="s">
        <v>14</v>
      </c>
      <c r="B2096" s="7" t="s">
        <v>415</v>
      </c>
      <c r="C2096" s="8">
        <v>28781</v>
      </c>
      <c r="D2096" s="7" t="s">
        <v>322</v>
      </c>
      <c r="E2096" s="7" t="s">
        <v>323</v>
      </c>
      <c r="F2096" s="7" t="s">
        <v>422</v>
      </c>
      <c r="G2096" s="7" t="s">
        <v>18</v>
      </c>
      <c r="H2096" s="7" t="s">
        <v>689</v>
      </c>
      <c r="I2096" s="7" t="s">
        <v>712</v>
      </c>
      <c r="J2096" s="7" t="s">
        <v>712</v>
      </c>
      <c r="K2096" s="8">
        <v>7950211</v>
      </c>
      <c r="L2096" s="8">
        <v>378740</v>
      </c>
      <c r="M2096" s="8">
        <v>19</v>
      </c>
      <c r="N2096" s="8">
        <v>1</v>
      </c>
      <c r="O2096" s="8">
        <v>0.17</v>
      </c>
      <c r="P2096" s="8"/>
    </row>
    <row r="2097" spans="1:16" hidden="1" x14ac:dyDescent="0.25">
      <c r="A2097" s="7" t="s">
        <v>14</v>
      </c>
      <c r="B2097" s="7" t="s">
        <v>415</v>
      </c>
      <c r="C2097" s="8">
        <v>28782</v>
      </c>
      <c r="D2097" s="7" t="s">
        <v>322</v>
      </c>
      <c r="E2097" s="7" t="s">
        <v>323</v>
      </c>
      <c r="F2097" s="7" t="s">
        <v>422</v>
      </c>
      <c r="G2097" s="7" t="s">
        <v>18</v>
      </c>
      <c r="H2097" s="7" t="s">
        <v>689</v>
      </c>
      <c r="I2097" s="7" t="s">
        <v>712</v>
      </c>
      <c r="J2097" s="7" t="s">
        <v>712</v>
      </c>
      <c r="K2097" s="8">
        <v>7950719</v>
      </c>
      <c r="L2097" s="8">
        <v>370904</v>
      </c>
      <c r="M2097" s="8">
        <v>19</v>
      </c>
      <c r="N2097" s="8">
        <v>1</v>
      </c>
      <c r="O2097" s="8">
        <v>0.34</v>
      </c>
      <c r="P2097" s="8"/>
    </row>
    <row r="2098" spans="1:16" hidden="1" x14ac:dyDescent="0.25">
      <c r="A2098" s="7" t="s">
        <v>14</v>
      </c>
      <c r="B2098" s="7" t="s">
        <v>415</v>
      </c>
      <c r="C2098" s="8">
        <v>28783</v>
      </c>
      <c r="D2098" s="7" t="s">
        <v>322</v>
      </c>
      <c r="E2098" s="7" t="s">
        <v>323</v>
      </c>
      <c r="F2098" s="7" t="s">
        <v>422</v>
      </c>
      <c r="G2098" s="7" t="s">
        <v>18</v>
      </c>
      <c r="H2098" s="7" t="s">
        <v>689</v>
      </c>
      <c r="I2098" s="7" t="s">
        <v>712</v>
      </c>
      <c r="J2098" s="7" t="s">
        <v>712</v>
      </c>
      <c r="K2098" s="8">
        <v>7949928</v>
      </c>
      <c r="L2098" s="8">
        <v>378240</v>
      </c>
      <c r="M2098" s="8">
        <v>19</v>
      </c>
      <c r="N2098" s="8">
        <v>1</v>
      </c>
      <c r="O2098" s="8">
        <v>0.05</v>
      </c>
      <c r="P2098" s="8"/>
    </row>
    <row r="2099" spans="1:16" hidden="1" x14ac:dyDescent="0.25">
      <c r="A2099" s="7" t="s">
        <v>14</v>
      </c>
      <c r="B2099" s="7" t="s">
        <v>415</v>
      </c>
      <c r="C2099" s="8">
        <v>28784</v>
      </c>
      <c r="D2099" s="7" t="s">
        <v>28</v>
      </c>
      <c r="E2099" s="7" t="s">
        <v>56</v>
      </c>
      <c r="F2099" s="7" t="s">
        <v>162</v>
      </c>
      <c r="G2099" s="7" t="s">
        <v>65</v>
      </c>
      <c r="H2099" s="7" t="s">
        <v>689</v>
      </c>
      <c r="I2099" s="7" t="s">
        <v>712</v>
      </c>
      <c r="J2099" s="7" t="s">
        <v>712</v>
      </c>
      <c r="K2099" s="8">
        <v>6259328</v>
      </c>
      <c r="L2099" s="8">
        <v>332239</v>
      </c>
      <c r="M2099" s="8">
        <v>19</v>
      </c>
      <c r="N2099" s="8">
        <v>1</v>
      </c>
      <c r="O2099" s="8">
        <v>0.04</v>
      </c>
      <c r="P2099" s="8"/>
    </row>
    <row r="2100" spans="1:16" hidden="1" x14ac:dyDescent="0.25">
      <c r="A2100" s="7" t="s">
        <v>19</v>
      </c>
      <c r="B2100" s="7" t="s">
        <v>254</v>
      </c>
      <c r="C2100" s="8">
        <v>28785</v>
      </c>
      <c r="D2100" s="7" t="s">
        <v>52</v>
      </c>
      <c r="E2100" s="7" t="s">
        <v>53</v>
      </c>
      <c r="F2100" s="7" t="s">
        <v>269</v>
      </c>
      <c r="G2100" s="7" t="s">
        <v>65</v>
      </c>
      <c r="H2100" s="7" t="s">
        <v>66</v>
      </c>
      <c r="I2100" s="7" t="s">
        <v>712</v>
      </c>
      <c r="J2100" s="7" t="s">
        <v>712</v>
      </c>
      <c r="K2100" s="8">
        <v>6150076</v>
      </c>
      <c r="L2100" s="8">
        <v>312706</v>
      </c>
      <c r="M2100" s="8">
        <v>19</v>
      </c>
      <c r="N2100" s="8">
        <v>2</v>
      </c>
      <c r="O2100" s="8">
        <v>13</v>
      </c>
      <c r="P2100" s="8"/>
    </row>
    <row r="2101" spans="1:16" hidden="1" x14ac:dyDescent="0.25">
      <c r="A2101" s="7" t="s">
        <v>14</v>
      </c>
      <c r="B2101" s="7" t="s">
        <v>651</v>
      </c>
      <c r="C2101" s="8">
        <v>28786</v>
      </c>
      <c r="D2101" s="7" t="s">
        <v>52</v>
      </c>
      <c r="E2101" s="7" t="s">
        <v>159</v>
      </c>
      <c r="F2101" s="7" t="s">
        <v>160</v>
      </c>
      <c r="G2101" s="7" t="s">
        <v>65</v>
      </c>
      <c r="H2101" s="7" t="s">
        <v>689</v>
      </c>
      <c r="I2101" s="7" t="s">
        <v>712</v>
      </c>
      <c r="J2101" s="7" t="s">
        <v>712</v>
      </c>
      <c r="K2101" s="8">
        <v>6236084</v>
      </c>
      <c r="L2101" s="8">
        <v>343755</v>
      </c>
      <c r="M2101" s="8">
        <v>19</v>
      </c>
      <c r="N2101" s="8">
        <v>1</v>
      </c>
      <c r="O2101" s="8">
        <v>0.01</v>
      </c>
      <c r="P2101" s="8"/>
    </row>
    <row r="2102" spans="1:16" hidden="1" x14ac:dyDescent="0.25">
      <c r="A2102" s="7" t="s">
        <v>19</v>
      </c>
      <c r="B2102" s="7" t="s">
        <v>254</v>
      </c>
      <c r="C2102" s="8">
        <v>28787</v>
      </c>
      <c r="D2102" s="7" t="s">
        <v>52</v>
      </c>
      <c r="E2102" s="7" t="s">
        <v>53</v>
      </c>
      <c r="F2102" s="7" t="s">
        <v>53</v>
      </c>
      <c r="G2102" s="7" t="s">
        <v>65</v>
      </c>
      <c r="H2102" s="7" t="s">
        <v>66</v>
      </c>
      <c r="I2102" s="7" t="s">
        <v>712</v>
      </c>
      <c r="J2102" s="7" t="s">
        <v>712</v>
      </c>
      <c r="K2102" s="8">
        <v>6159242</v>
      </c>
      <c r="L2102" s="8">
        <v>313275</v>
      </c>
      <c r="M2102" s="8">
        <v>19</v>
      </c>
      <c r="N2102" s="8">
        <v>1</v>
      </c>
      <c r="O2102" s="8">
        <v>9.5</v>
      </c>
      <c r="P2102" s="8"/>
    </row>
    <row r="2103" spans="1:16" hidden="1" x14ac:dyDescent="0.25">
      <c r="A2103" s="7" t="s">
        <v>14</v>
      </c>
      <c r="B2103" s="7" t="s">
        <v>651</v>
      </c>
      <c r="C2103" s="8">
        <v>28788</v>
      </c>
      <c r="D2103" s="7" t="s">
        <v>52</v>
      </c>
      <c r="E2103" s="7" t="s">
        <v>141</v>
      </c>
      <c r="F2103" s="7" t="s">
        <v>165</v>
      </c>
      <c r="G2103" s="7" t="s">
        <v>18</v>
      </c>
      <c r="H2103" s="7" t="s">
        <v>689</v>
      </c>
      <c r="I2103" s="7" t="s">
        <v>712</v>
      </c>
      <c r="J2103" s="7" t="s">
        <v>712</v>
      </c>
      <c r="K2103" s="8">
        <v>6219351</v>
      </c>
      <c r="L2103" s="8">
        <v>336501</v>
      </c>
      <c r="M2103" s="8">
        <v>19</v>
      </c>
      <c r="N2103" s="8">
        <v>1</v>
      </c>
      <c r="O2103" s="8">
        <v>0.35</v>
      </c>
      <c r="P2103" s="8"/>
    </row>
    <row r="2104" spans="1:16" hidden="1" x14ac:dyDescent="0.25">
      <c r="A2104" s="7" t="s">
        <v>37</v>
      </c>
      <c r="B2104" s="7" t="s">
        <v>254</v>
      </c>
      <c r="C2104" s="8">
        <v>28789</v>
      </c>
      <c r="D2104" s="7" t="s">
        <v>16</v>
      </c>
      <c r="E2104" s="7" t="s">
        <v>268</v>
      </c>
      <c r="F2104" s="7" t="s">
        <v>268</v>
      </c>
      <c r="G2104" s="7" t="s">
        <v>65</v>
      </c>
      <c r="H2104" s="7" t="s">
        <v>66</v>
      </c>
      <c r="I2104" s="7" t="s">
        <v>712</v>
      </c>
      <c r="J2104" s="7" t="s">
        <v>712</v>
      </c>
      <c r="K2104" s="8">
        <v>6144885</v>
      </c>
      <c r="L2104" s="8">
        <v>305028</v>
      </c>
      <c r="M2104" s="8">
        <v>19</v>
      </c>
      <c r="N2104" s="8">
        <v>1</v>
      </c>
      <c r="O2104" s="8">
        <v>12</v>
      </c>
      <c r="P2104" s="8"/>
    </row>
    <row r="2105" spans="1:16" hidden="1" x14ac:dyDescent="0.25">
      <c r="A2105" s="7" t="s">
        <v>37</v>
      </c>
      <c r="B2105" s="7" t="s">
        <v>254</v>
      </c>
      <c r="C2105" s="8">
        <v>28790</v>
      </c>
      <c r="D2105" s="7" t="s">
        <v>16</v>
      </c>
      <c r="E2105" s="7" t="s">
        <v>268</v>
      </c>
      <c r="F2105" s="7" t="s">
        <v>268</v>
      </c>
      <c r="G2105" s="7" t="s">
        <v>65</v>
      </c>
      <c r="H2105" s="7" t="s">
        <v>66</v>
      </c>
      <c r="I2105" s="7" t="s">
        <v>712</v>
      </c>
      <c r="J2105" s="7" t="s">
        <v>712</v>
      </c>
      <c r="K2105" s="8">
        <v>6133143</v>
      </c>
      <c r="L2105" s="8">
        <v>316027</v>
      </c>
      <c r="M2105" s="8">
        <v>19</v>
      </c>
      <c r="N2105" s="8">
        <v>1</v>
      </c>
      <c r="O2105" s="8">
        <v>14</v>
      </c>
      <c r="P2105" s="8"/>
    </row>
    <row r="2106" spans="1:16" hidden="1" x14ac:dyDescent="0.25">
      <c r="A2106" s="7" t="s">
        <v>37</v>
      </c>
      <c r="B2106" s="7" t="s">
        <v>254</v>
      </c>
      <c r="C2106" s="8">
        <v>28791</v>
      </c>
      <c r="D2106" s="7" t="s">
        <v>16</v>
      </c>
      <c r="E2106" s="7" t="s">
        <v>268</v>
      </c>
      <c r="F2106" s="7" t="s">
        <v>282</v>
      </c>
      <c r="G2106" s="7" t="s">
        <v>65</v>
      </c>
      <c r="H2106" s="7" t="s">
        <v>66</v>
      </c>
      <c r="I2106" s="7" t="s">
        <v>712</v>
      </c>
      <c r="J2106" s="7" t="s">
        <v>712</v>
      </c>
      <c r="K2106" s="8">
        <v>6136112</v>
      </c>
      <c r="L2106" s="8">
        <v>312470</v>
      </c>
      <c r="M2106" s="8">
        <v>19</v>
      </c>
      <c r="N2106" s="8">
        <v>1</v>
      </c>
      <c r="O2106" s="8">
        <v>10.3</v>
      </c>
      <c r="P2106" s="8"/>
    </row>
    <row r="2107" spans="1:16" hidden="1" x14ac:dyDescent="0.25">
      <c r="A2107" s="7" t="s">
        <v>14</v>
      </c>
      <c r="B2107" s="7" t="s">
        <v>651</v>
      </c>
      <c r="C2107" s="8">
        <v>28792</v>
      </c>
      <c r="D2107" s="7" t="s">
        <v>52</v>
      </c>
      <c r="E2107" s="7" t="s">
        <v>139</v>
      </c>
      <c r="F2107" s="7" t="s">
        <v>652</v>
      </c>
      <c r="G2107" s="7" t="s">
        <v>18</v>
      </c>
      <c r="H2107" s="7" t="s">
        <v>689</v>
      </c>
      <c r="I2107" s="7" t="s">
        <v>712</v>
      </c>
      <c r="J2107" s="7" t="s">
        <v>712</v>
      </c>
      <c r="K2107" s="8">
        <v>6227401</v>
      </c>
      <c r="L2107" s="8">
        <v>338348</v>
      </c>
      <c r="M2107" s="8">
        <v>19</v>
      </c>
      <c r="N2107" s="8">
        <v>1</v>
      </c>
      <c r="O2107" s="8">
        <v>0.9</v>
      </c>
      <c r="P2107" s="8"/>
    </row>
    <row r="2108" spans="1:16" hidden="1" x14ac:dyDescent="0.25">
      <c r="A2108" s="7" t="s">
        <v>37</v>
      </c>
      <c r="B2108" s="7" t="s">
        <v>254</v>
      </c>
      <c r="C2108" s="8">
        <v>28793</v>
      </c>
      <c r="D2108" s="7" t="s">
        <v>16</v>
      </c>
      <c r="E2108" s="7" t="s">
        <v>268</v>
      </c>
      <c r="F2108" s="7" t="s">
        <v>282</v>
      </c>
      <c r="G2108" s="7" t="s">
        <v>65</v>
      </c>
      <c r="H2108" s="7" t="s">
        <v>66</v>
      </c>
      <c r="I2108" s="7" t="s">
        <v>712</v>
      </c>
      <c r="J2108" s="7" t="s">
        <v>712</v>
      </c>
      <c r="K2108" s="8">
        <v>6137037</v>
      </c>
      <c r="L2108" s="8">
        <v>311903</v>
      </c>
      <c r="M2108" s="8">
        <v>19</v>
      </c>
      <c r="N2108" s="8">
        <v>1</v>
      </c>
      <c r="O2108" s="8">
        <v>15</v>
      </c>
      <c r="P2108" s="8"/>
    </row>
    <row r="2109" spans="1:16" hidden="1" x14ac:dyDescent="0.25">
      <c r="A2109" s="7" t="s">
        <v>19</v>
      </c>
      <c r="B2109" s="7" t="s">
        <v>254</v>
      </c>
      <c r="C2109" s="8">
        <v>28794</v>
      </c>
      <c r="D2109" s="7" t="s">
        <v>16</v>
      </c>
      <c r="E2109" s="7" t="s">
        <v>268</v>
      </c>
      <c r="F2109" s="7" t="s">
        <v>282</v>
      </c>
      <c r="G2109" s="7" t="s">
        <v>65</v>
      </c>
      <c r="H2109" s="7" t="s">
        <v>66</v>
      </c>
      <c r="I2109" s="7" t="s">
        <v>712</v>
      </c>
      <c r="J2109" s="7" t="s">
        <v>712</v>
      </c>
      <c r="K2109" s="8">
        <v>6137714</v>
      </c>
      <c r="L2109" s="8">
        <v>311481</v>
      </c>
      <c r="M2109" s="8">
        <v>19</v>
      </c>
      <c r="N2109" s="8">
        <v>3</v>
      </c>
      <c r="O2109" s="8">
        <v>10</v>
      </c>
      <c r="P2109" s="8"/>
    </row>
    <row r="2110" spans="1:16" hidden="1" x14ac:dyDescent="0.25">
      <c r="A2110" s="7" t="s">
        <v>19</v>
      </c>
      <c r="B2110" s="7" t="s">
        <v>254</v>
      </c>
      <c r="C2110" s="8">
        <v>28795</v>
      </c>
      <c r="D2110" s="7" t="s">
        <v>16</v>
      </c>
      <c r="E2110" s="7" t="s">
        <v>268</v>
      </c>
      <c r="F2110" s="7" t="s">
        <v>268</v>
      </c>
      <c r="G2110" s="7" t="s">
        <v>65</v>
      </c>
      <c r="H2110" s="7" t="s">
        <v>66</v>
      </c>
      <c r="I2110" s="7" t="s">
        <v>712</v>
      </c>
      <c r="J2110" s="7" t="s">
        <v>712</v>
      </c>
      <c r="K2110" s="8">
        <v>6144924</v>
      </c>
      <c r="L2110" s="8">
        <v>305674</v>
      </c>
      <c r="M2110" s="8">
        <v>19</v>
      </c>
      <c r="N2110" s="8">
        <v>1</v>
      </c>
      <c r="O2110" s="8">
        <v>8</v>
      </c>
      <c r="P2110" s="8"/>
    </row>
    <row r="2111" spans="1:16" hidden="1" x14ac:dyDescent="0.25">
      <c r="A2111" s="7" t="s">
        <v>19</v>
      </c>
      <c r="B2111" s="7" t="s">
        <v>254</v>
      </c>
      <c r="C2111" s="8">
        <v>28796</v>
      </c>
      <c r="D2111" s="7" t="s">
        <v>16</v>
      </c>
      <c r="E2111" s="7" t="s">
        <v>268</v>
      </c>
      <c r="F2111" s="7" t="s">
        <v>282</v>
      </c>
      <c r="G2111" s="7" t="s">
        <v>65</v>
      </c>
      <c r="H2111" s="7" t="s">
        <v>66</v>
      </c>
      <c r="I2111" s="7" t="s">
        <v>712</v>
      </c>
      <c r="J2111" s="7" t="s">
        <v>712</v>
      </c>
      <c r="K2111" s="8">
        <v>6132075</v>
      </c>
      <c r="L2111" s="8">
        <v>316803</v>
      </c>
      <c r="M2111" s="8">
        <v>19</v>
      </c>
      <c r="N2111" s="8">
        <v>1</v>
      </c>
      <c r="O2111" s="8">
        <v>7.7</v>
      </c>
      <c r="P2111" s="8"/>
    </row>
    <row r="2112" spans="1:16" hidden="1" x14ac:dyDescent="0.25">
      <c r="A2112" s="7" t="s">
        <v>14</v>
      </c>
      <c r="B2112" s="7" t="s">
        <v>651</v>
      </c>
      <c r="C2112" s="8">
        <v>28797</v>
      </c>
      <c r="D2112" s="7" t="s">
        <v>16</v>
      </c>
      <c r="E2112" s="7" t="s">
        <v>17</v>
      </c>
      <c r="F2112" s="7" t="s">
        <v>400</v>
      </c>
      <c r="G2112" s="7" t="s">
        <v>18</v>
      </c>
      <c r="H2112" s="7" t="s">
        <v>689</v>
      </c>
      <c r="I2112" s="7" t="s">
        <v>712</v>
      </c>
      <c r="J2112" s="7" t="s">
        <v>712</v>
      </c>
      <c r="K2112" s="8">
        <v>6068354</v>
      </c>
      <c r="L2112" s="8">
        <v>272213</v>
      </c>
      <c r="M2112" s="8">
        <v>19</v>
      </c>
      <c r="N2112" s="8">
        <v>1</v>
      </c>
      <c r="O2112" s="8">
        <v>0.21</v>
      </c>
      <c r="P2112" s="8"/>
    </row>
    <row r="2113" spans="1:16" hidden="1" x14ac:dyDescent="0.25">
      <c r="A2113" s="7" t="s">
        <v>19</v>
      </c>
      <c r="B2113" s="7" t="s">
        <v>254</v>
      </c>
      <c r="C2113" s="8">
        <v>28798</v>
      </c>
      <c r="D2113" s="7" t="s">
        <v>52</v>
      </c>
      <c r="E2113" s="7" t="s">
        <v>53</v>
      </c>
      <c r="F2113" s="7" t="s">
        <v>53</v>
      </c>
      <c r="G2113" s="7" t="s">
        <v>65</v>
      </c>
      <c r="H2113" s="7" t="s">
        <v>66</v>
      </c>
      <c r="I2113" s="7" t="s">
        <v>712</v>
      </c>
      <c r="J2113" s="7" t="s">
        <v>712</v>
      </c>
      <c r="K2113" s="8">
        <v>6159364</v>
      </c>
      <c r="L2113" s="8">
        <v>313106</v>
      </c>
      <c r="M2113" s="8">
        <v>19</v>
      </c>
      <c r="N2113" s="8">
        <v>1</v>
      </c>
      <c r="O2113" s="8">
        <v>8</v>
      </c>
      <c r="P2113" s="8"/>
    </row>
    <row r="2114" spans="1:16" hidden="1" x14ac:dyDescent="0.25">
      <c r="A2114" s="7" t="s">
        <v>19</v>
      </c>
      <c r="B2114" s="7" t="s">
        <v>254</v>
      </c>
      <c r="C2114" s="8">
        <v>28799</v>
      </c>
      <c r="D2114" s="7" t="s">
        <v>16</v>
      </c>
      <c r="E2114" s="7" t="s">
        <v>268</v>
      </c>
      <c r="F2114" s="7" t="s">
        <v>282</v>
      </c>
      <c r="G2114" s="7" t="s">
        <v>65</v>
      </c>
      <c r="H2114" s="7" t="s">
        <v>66</v>
      </c>
      <c r="I2114" s="7" t="s">
        <v>712</v>
      </c>
      <c r="J2114" s="7" t="s">
        <v>712</v>
      </c>
      <c r="K2114" s="8">
        <v>6136246</v>
      </c>
      <c r="L2114" s="8">
        <v>312223</v>
      </c>
      <c r="M2114" s="8">
        <v>19</v>
      </c>
      <c r="N2114" s="8">
        <v>1</v>
      </c>
      <c r="O2114" s="8">
        <v>1.5</v>
      </c>
      <c r="P2114" s="8"/>
    </row>
    <row r="2115" spans="1:16" x14ac:dyDescent="0.25">
      <c r="A2115" s="7" t="s">
        <v>14</v>
      </c>
      <c r="B2115" s="7" t="s">
        <v>713</v>
      </c>
      <c r="C2115" s="8">
        <v>28804</v>
      </c>
      <c r="D2115" s="7" t="s">
        <v>16</v>
      </c>
      <c r="E2115" s="7" t="s">
        <v>155</v>
      </c>
      <c r="F2115" s="7" t="s">
        <v>577</v>
      </c>
      <c r="G2115" s="7" t="s">
        <v>18</v>
      </c>
      <c r="H2115" s="7" t="s">
        <v>689</v>
      </c>
      <c r="I2115" s="7" t="s">
        <v>712</v>
      </c>
      <c r="J2115" s="7" t="s">
        <v>712</v>
      </c>
      <c r="K2115" s="8">
        <v>6105555</v>
      </c>
      <c r="L2115" s="8">
        <v>305778</v>
      </c>
      <c r="M2115" s="8">
        <v>19</v>
      </c>
      <c r="N2115" s="8">
        <v>1</v>
      </c>
      <c r="O2115" s="8">
        <v>1.3</v>
      </c>
      <c r="P2115" s="8"/>
    </row>
    <row r="2116" spans="1:16" hidden="1" x14ac:dyDescent="0.25">
      <c r="A2116" s="7" t="s">
        <v>37</v>
      </c>
      <c r="B2116" s="7" t="s">
        <v>415</v>
      </c>
      <c r="C2116" s="8">
        <v>28819</v>
      </c>
      <c r="D2116" s="7" t="s">
        <v>28</v>
      </c>
      <c r="E2116" s="7" t="s">
        <v>393</v>
      </c>
      <c r="F2116" s="7" t="s">
        <v>393</v>
      </c>
      <c r="G2116" s="7" t="s">
        <v>18</v>
      </c>
      <c r="H2116" s="7" t="s">
        <v>24</v>
      </c>
      <c r="I2116" s="7" t="s">
        <v>712</v>
      </c>
      <c r="J2116" s="7" t="s">
        <v>712</v>
      </c>
      <c r="K2116" s="8">
        <v>6273640</v>
      </c>
      <c r="L2116" s="8">
        <v>316505</v>
      </c>
      <c r="M2116" s="8">
        <v>19</v>
      </c>
      <c r="N2116" s="8">
        <v>1</v>
      </c>
      <c r="O2116" s="8">
        <v>0.96</v>
      </c>
      <c r="P2116" s="8"/>
    </row>
    <row r="2117" spans="1:16" hidden="1" x14ac:dyDescent="0.25">
      <c r="A2117" s="7" t="s">
        <v>37</v>
      </c>
      <c r="B2117" s="7" t="s">
        <v>270</v>
      </c>
      <c r="C2117" s="8">
        <v>28820</v>
      </c>
      <c r="D2117" s="7" t="s">
        <v>28</v>
      </c>
      <c r="E2117" s="7" t="s">
        <v>364</v>
      </c>
      <c r="F2117" s="7" t="s">
        <v>639</v>
      </c>
      <c r="G2117" s="7" t="s">
        <v>18</v>
      </c>
      <c r="H2117" s="7" t="s">
        <v>24</v>
      </c>
      <c r="I2117" s="7" t="s">
        <v>712</v>
      </c>
      <c r="J2117" s="7" t="s">
        <v>712</v>
      </c>
      <c r="K2117" s="8">
        <v>6287178</v>
      </c>
      <c r="L2117" s="8">
        <v>337595</v>
      </c>
      <c r="M2117" s="8">
        <v>19</v>
      </c>
      <c r="N2117" s="8">
        <v>1</v>
      </c>
      <c r="O2117" s="8">
        <v>2</v>
      </c>
      <c r="P2117" s="8"/>
    </row>
    <row r="2118" spans="1:16" hidden="1" x14ac:dyDescent="0.25">
      <c r="A2118" s="7" t="s">
        <v>19</v>
      </c>
      <c r="B2118" s="7" t="s">
        <v>270</v>
      </c>
      <c r="C2118" s="8">
        <v>28821</v>
      </c>
      <c r="D2118" s="7" t="s">
        <v>16</v>
      </c>
      <c r="E2118" s="7" t="s">
        <v>72</v>
      </c>
      <c r="F2118" s="7" t="s">
        <v>602</v>
      </c>
      <c r="G2118" s="7" t="s">
        <v>18</v>
      </c>
      <c r="H2118" s="7" t="s">
        <v>48</v>
      </c>
      <c r="I2118" s="7" t="s">
        <v>712</v>
      </c>
      <c r="J2118" s="7" t="s">
        <v>712</v>
      </c>
      <c r="K2118" s="8">
        <v>6109545</v>
      </c>
      <c r="L2118" s="8">
        <v>288641</v>
      </c>
      <c r="M2118" s="8">
        <v>19</v>
      </c>
      <c r="N2118" s="8">
        <v>1</v>
      </c>
      <c r="O2118" s="8">
        <v>18</v>
      </c>
      <c r="P2118" s="8"/>
    </row>
    <row r="2119" spans="1:16" hidden="1" x14ac:dyDescent="0.25">
      <c r="A2119" s="7" t="s">
        <v>19</v>
      </c>
      <c r="B2119" s="7" t="s">
        <v>270</v>
      </c>
      <c r="C2119" s="8">
        <v>28822</v>
      </c>
      <c r="D2119" s="7" t="s">
        <v>16</v>
      </c>
      <c r="E2119" s="7" t="s">
        <v>337</v>
      </c>
      <c r="F2119" s="7" t="s">
        <v>640</v>
      </c>
      <c r="G2119" s="7" t="s">
        <v>18</v>
      </c>
      <c r="H2119" s="7" t="s">
        <v>48</v>
      </c>
      <c r="I2119" s="7" t="s">
        <v>712</v>
      </c>
      <c r="J2119" s="7" t="s">
        <v>712</v>
      </c>
      <c r="K2119" s="8">
        <v>6134398</v>
      </c>
      <c r="L2119" s="8">
        <v>304997</v>
      </c>
      <c r="M2119" s="8">
        <v>19</v>
      </c>
      <c r="N2119" s="8">
        <v>2</v>
      </c>
      <c r="O2119" s="8">
        <v>17</v>
      </c>
      <c r="P2119" s="8"/>
    </row>
    <row r="2120" spans="1:16" hidden="1" x14ac:dyDescent="0.25">
      <c r="A2120" s="7" t="s">
        <v>19</v>
      </c>
      <c r="B2120" s="7" t="s">
        <v>270</v>
      </c>
      <c r="C2120" s="8">
        <v>28823</v>
      </c>
      <c r="D2120" s="7" t="s">
        <v>16</v>
      </c>
      <c r="E2120" s="7" t="s">
        <v>72</v>
      </c>
      <c r="F2120" s="7" t="s">
        <v>602</v>
      </c>
      <c r="G2120" s="7" t="s">
        <v>18</v>
      </c>
      <c r="H2120" s="7" t="s">
        <v>48</v>
      </c>
      <c r="I2120" s="7" t="s">
        <v>712</v>
      </c>
      <c r="J2120" s="7" t="s">
        <v>712</v>
      </c>
      <c r="K2120" s="8">
        <v>6106642</v>
      </c>
      <c r="L2120" s="8">
        <v>292498</v>
      </c>
      <c r="M2120" s="8">
        <v>19</v>
      </c>
      <c r="N2120" s="8">
        <v>3</v>
      </c>
      <c r="O2120" s="8">
        <v>8</v>
      </c>
      <c r="P2120" s="8"/>
    </row>
    <row r="2121" spans="1:16" hidden="1" x14ac:dyDescent="0.25">
      <c r="A2121" s="7" t="s">
        <v>37</v>
      </c>
      <c r="B2121" s="7" t="s">
        <v>415</v>
      </c>
      <c r="C2121" s="8">
        <v>28825</v>
      </c>
      <c r="D2121" s="7" t="s">
        <v>28</v>
      </c>
      <c r="E2121" s="7" t="s">
        <v>29</v>
      </c>
      <c r="F2121" s="7" t="s">
        <v>530</v>
      </c>
      <c r="G2121" s="7" t="s">
        <v>18</v>
      </c>
      <c r="H2121" s="7" t="s">
        <v>24</v>
      </c>
      <c r="I2121" s="7" t="s">
        <v>712</v>
      </c>
      <c r="J2121" s="7" t="s">
        <v>712</v>
      </c>
      <c r="K2121" s="8">
        <v>6259161</v>
      </c>
      <c r="L2121" s="8">
        <v>348594</v>
      </c>
      <c r="M2121" s="8">
        <v>19</v>
      </c>
      <c r="N2121" s="8">
        <v>1</v>
      </c>
      <c r="O2121" s="8">
        <v>2.5</v>
      </c>
      <c r="P2121" s="8"/>
    </row>
    <row r="2122" spans="1:16" hidden="1" x14ac:dyDescent="0.25">
      <c r="A2122" s="7" t="s">
        <v>37</v>
      </c>
      <c r="B2122" s="7" t="s">
        <v>270</v>
      </c>
      <c r="C2122" s="8">
        <v>28826</v>
      </c>
      <c r="D2122" s="7" t="s">
        <v>28</v>
      </c>
      <c r="E2122" s="7" t="s">
        <v>393</v>
      </c>
      <c r="F2122" s="7" t="s">
        <v>635</v>
      </c>
      <c r="G2122" s="7" t="s">
        <v>18</v>
      </c>
      <c r="H2122" s="7" t="s">
        <v>24</v>
      </c>
      <c r="I2122" s="7" t="s">
        <v>712</v>
      </c>
      <c r="J2122" s="7" t="s">
        <v>712</v>
      </c>
      <c r="K2122" s="8">
        <v>6268107</v>
      </c>
      <c r="L2122" s="8">
        <v>314717</v>
      </c>
      <c r="M2122" s="8">
        <v>19</v>
      </c>
      <c r="N2122" s="8">
        <v>1</v>
      </c>
      <c r="O2122" s="8">
        <v>1.2</v>
      </c>
      <c r="P2122" s="8"/>
    </row>
    <row r="2123" spans="1:16" hidden="1" x14ac:dyDescent="0.25">
      <c r="A2123" s="7" t="s">
        <v>37</v>
      </c>
      <c r="B2123" s="7" t="s">
        <v>415</v>
      </c>
      <c r="C2123" s="8">
        <v>28827</v>
      </c>
      <c r="D2123" s="7" t="s">
        <v>28</v>
      </c>
      <c r="E2123" s="7" t="s">
        <v>29</v>
      </c>
      <c r="F2123" s="7" t="s">
        <v>547</v>
      </c>
      <c r="G2123" s="7" t="s">
        <v>18</v>
      </c>
      <c r="H2123" s="7" t="s">
        <v>109</v>
      </c>
      <c r="I2123" s="7" t="s">
        <v>712</v>
      </c>
      <c r="J2123" s="7" t="s">
        <v>691</v>
      </c>
      <c r="K2123" s="8">
        <v>6253037</v>
      </c>
      <c r="L2123" s="8">
        <v>346612</v>
      </c>
      <c r="M2123" s="8">
        <v>19</v>
      </c>
      <c r="N2123" s="8">
        <v>1</v>
      </c>
      <c r="O2123" s="8">
        <v>4.9000000000000004</v>
      </c>
      <c r="P2123" s="8"/>
    </row>
    <row r="2124" spans="1:16" hidden="1" x14ac:dyDescent="0.25">
      <c r="A2124" s="7" t="s">
        <v>37</v>
      </c>
      <c r="B2124" s="7" t="s">
        <v>415</v>
      </c>
      <c r="C2124" s="8">
        <v>28828</v>
      </c>
      <c r="D2124" s="7" t="s">
        <v>28</v>
      </c>
      <c r="E2124" s="7" t="s">
        <v>393</v>
      </c>
      <c r="F2124" s="7" t="s">
        <v>492</v>
      </c>
      <c r="G2124" s="7" t="s">
        <v>18</v>
      </c>
      <c r="H2124" s="7" t="s">
        <v>24</v>
      </c>
      <c r="I2124" s="7" t="s">
        <v>712</v>
      </c>
      <c r="J2124" s="7" t="s">
        <v>712</v>
      </c>
      <c r="K2124" s="8">
        <v>6268145</v>
      </c>
      <c r="L2124" s="8">
        <v>309146</v>
      </c>
      <c r="M2124" s="8">
        <v>19</v>
      </c>
      <c r="N2124" s="8">
        <v>1</v>
      </c>
      <c r="O2124" s="8">
        <v>1</v>
      </c>
      <c r="P2124" s="8"/>
    </row>
    <row r="2125" spans="1:16" hidden="1" x14ac:dyDescent="0.25">
      <c r="A2125" s="7" t="s">
        <v>37</v>
      </c>
      <c r="B2125" s="7" t="s">
        <v>415</v>
      </c>
      <c r="C2125" s="8">
        <v>28829</v>
      </c>
      <c r="D2125" s="7" t="s">
        <v>28</v>
      </c>
      <c r="E2125" s="7" t="s">
        <v>393</v>
      </c>
      <c r="F2125" s="7" t="s">
        <v>492</v>
      </c>
      <c r="G2125" s="7" t="s">
        <v>18</v>
      </c>
      <c r="H2125" s="7" t="s">
        <v>24</v>
      </c>
      <c r="I2125" s="7" t="s">
        <v>712</v>
      </c>
      <c r="J2125" s="7" t="s">
        <v>712</v>
      </c>
      <c r="K2125" s="8">
        <v>6267830</v>
      </c>
      <c r="L2125" s="8">
        <v>309451</v>
      </c>
      <c r="M2125" s="8">
        <v>19</v>
      </c>
      <c r="N2125" s="8">
        <v>1</v>
      </c>
      <c r="O2125" s="8">
        <v>1.0900000000000001</v>
      </c>
      <c r="P2125" s="8"/>
    </row>
    <row r="2126" spans="1:16" hidden="1" x14ac:dyDescent="0.25">
      <c r="A2126" s="7" t="s">
        <v>19</v>
      </c>
      <c r="B2126" s="7" t="s">
        <v>408</v>
      </c>
      <c r="C2126" s="8">
        <v>28830</v>
      </c>
      <c r="D2126" s="7" t="s">
        <v>28</v>
      </c>
      <c r="E2126" s="7" t="s">
        <v>344</v>
      </c>
      <c r="F2126" s="7" t="s">
        <v>412</v>
      </c>
      <c r="G2126" s="7" t="s">
        <v>18</v>
      </c>
      <c r="H2126" s="7" t="s">
        <v>48</v>
      </c>
      <c r="I2126" s="7" t="s">
        <v>712</v>
      </c>
      <c r="J2126" s="7" t="s">
        <v>691</v>
      </c>
      <c r="K2126" s="8">
        <v>6265333</v>
      </c>
      <c r="L2126" s="8">
        <v>298077</v>
      </c>
      <c r="M2126" s="8">
        <v>19</v>
      </c>
      <c r="N2126" s="8">
        <v>1</v>
      </c>
      <c r="O2126" s="8">
        <v>4</v>
      </c>
      <c r="P2126" s="8"/>
    </row>
    <row r="2127" spans="1:16" hidden="1" x14ac:dyDescent="0.25">
      <c r="A2127" s="7" t="s">
        <v>37</v>
      </c>
      <c r="B2127" s="7" t="s">
        <v>270</v>
      </c>
      <c r="C2127" s="8">
        <v>28831</v>
      </c>
      <c r="D2127" s="7" t="s">
        <v>16</v>
      </c>
      <c r="E2127" s="7" t="s">
        <v>17</v>
      </c>
      <c r="F2127" s="7" t="s">
        <v>293</v>
      </c>
      <c r="G2127" s="7" t="s">
        <v>18</v>
      </c>
      <c r="H2127" s="7" t="s">
        <v>24</v>
      </c>
      <c r="I2127" s="7" t="s">
        <v>712</v>
      </c>
      <c r="J2127" s="7" t="s">
        <v>712</v>
      </c>
      <c r="K2127" s="8">
        <v>6072156</v>
      </c>
      <c r="L2127" s="8">
        <v>280428</v>
      </c>
      <c r="M2127" s="8">
        <v>19</v>
      </c>
      <c r="N2127" s="8">
        <v>1</v>
      </c>
      <c r="O2127" s="8">
        <v>0.5</v>
      </c>
      <c r="P2127" s="8"/>
    </row>
    <row r="2128" spans="1:16" hidden="1" x14ac:dyDescent="0.25">
      <c r="A2128" s="7" t="s">
        <v>14</v>
      </c>
      <c r="B2128" s="7" t="s">
        <v>415</v>
      </c>
      <c r="C2128" s="8">
        <v>28833</v>
      </c>
      <c r="D2128" s="7" t="s">
        <v>28</v>
      </c>
      <c r="E2128" s="7" t="s">
        <v>29</v>
      </c>
      <c r="F2128" s="7" t="s">
        <v>432</v>
      </c>
      <c r="G2128" s="7" t="s">
        <v>18</v>
      </c>
      <c r="H2128" s="7" t="s">
        <v>689</v>
      </c>
      <c r="I2128" s="7" t="s">
        <v>712</v>
      </c>
      <c r="J2128" s="7" t="s">
        <v>712</v>
      </c>
      <c r="K2128" s="8">
        <v>6253749</v>
      </c>
      <c r="L2128" s="8">
        <v>334580</v>
      </c>
      <c r="M2128" s="8">
        <v>19</v>
      </c>
      <c r="N2128" s="8">
        <v>1</v>
      </c>
      <c r="O2128" s="8">
        <v>3.2</v>
      </c>
      <c r="P2128" s="8"/>
    </row>
    <row r="2129" spans="1:16" hidden="1" x14ac:dyDescent="0.25">
      <c r="A2129" s="7" t="s">
        <v>37</v>
      </c>
      <c r="B2129" s="7" t="s">
        <v>415</v>
      </c>
      <c r="C2129" s="8">
        <v>28834</v>
      </c>
      <c r="D2129" s="7" t="s">
        <v>28</v>
      </c>
      <c r="E2129" s="7" t="s">
        <v>166</v>
      </c>
      <c r="F2129" s="7" t="s">
        <v>390</v>
      </c>
      <c r="G2129" s="7" t="s">
        <v>18</v>
      </c>
      <c r="H2129" s="7" t="s">
        <v>24</v>
      </c>
      <c r="I2129" s="7" t="s">
        <v>712</v>
      </c>
      <c r="J2129" s="7" t="s">
        <v>712</v>
      </c>
      <c r="K2129" s="8">
        <v>6265704</v>
      </c>
      <c r="L2129" s="8">
        <v>324788</v>
      </c>
      <c r="M2129" s="8">
        <v>19</v>
      </c>
      <c r="N2129" s="8">
        <v>1</v>
      </c>
      <c r="O2129" s="8">
        <v>1</v>
      </c>
      <c r="P2129" s="8"/>
    </row>
    <row r="2130" spans="1:16" hidden="1" x14ac:dyDescent="0.25">
      <c r="A2130" s="7" t="s">
        <v>37</v>
      </c>
      <c r="B2130" s="7" t="s">
        <v>270</v>
      </c>
      <c r="C2130" s="8">
        <v>28835</v>
      </c>
      <c r="D2130" s="7" t="s">
        <v>16</v>
      </c>
      <c r="E2130" s="7" t="s">
        <v>17</v>
      </c>
      <c r="F2130" s="7" t="s">
        <v>293</v>
      </c>
      <c r="G2130" s="7" t="s">
        <v>18</v>
      </c>
      <c r="H2130" s="7" t="s">
        <v>24</v>
      </c>
      <c r="I2130" s="7" t="s">
        <v>712</v>
      </c>
      <c r="J2130" s="7" t="s">
        <v>712</v>
      </c>
      <c r="K2130" s="8">
        <v>6070743</v>
      </c>
      <c r="L2130" s="8">
        <v>281431</v>
      </c>
      <c r="M2130" s="8">
        <v>19</v>
      </c>
      <c r="N2130" s="8">
        <v>1</v>
      </c>
      <c r="O2130" s="8">
        <v>0.5</v>
      </c>
      <c r="P2130" s="8"/>
    </row>
    <row r="2131" spans="1:16" hidden="1" x14ac:dyDescent="0.25">
      <c r="A2131" s="7" t="s">
        <v>37</v>
      </c>
      <c r="B2131" s="7" t="s">
        <v>415</v>
      </c>
      <c r="C2131" s="8">
        <v>28836</v>
      </c>
      <c r="D2131" s="7" t="s">
        <v>28</v>
      </c>
      <c r="E2131" s="7" t="s">
        <v>29</v>
      </c>
      <c r="F2131" s="7" t="s">
        <v>547</v>
      </c>
      <c r="G2131" s="7" t="s">
        <v>18</v>
      </c>
      <c r="H2131" s="7" t="s">
        <v>109</v>
      </c>
      <c r="I2131" s="7" t="s">
        <v>712</v>
      </c>
      <c r="J2131" s="7" t="s">
        <v>691</v>
      </c>
      <c r="K2131" s="8">
        <v>6252660</v>
      </c>
      <c r="L2131" s="8">
        <v>346604</v>
      </c>
      <c r="M2131" s="8">
        <v>19</v>
      </c>
      <c r="N2131" s="8">
        <v>1</v>
      </c>
      <c r="O2131" s="8">
        <v>1</v>
      </c>
      <c r="P2131" s="8"/>
    </row>
    <row r="2132" spans="1:16" hidden="1" x14ac:dyDescent="0.25">
      <c r="A2132" s="7" t="s">
        <v>37</v>
      </c>
      <c r="B2132" s="7" t="s">
        <v>270</v>
      </c>
      <c r="C2132" s="8">
        <v>28837</v>
      </c>
      <c r="D2132" s="7" t="s">
        <v>16</v>
      </c>
      <c r="E2132" s="7" t="s">
        <v>17</v>
      </c>
      <c r="F2132" s="7" t="s">
        <v>293</v>
      </c>
      <c r="G2132" s="7" t="s">
        <v>18</v>
      </c>
      <c r="H2132" s="7" t="s">
        <v>24</v>
      </c>
      <c r="I2132" s="7" t="s">
        <v>712</v>
      </c>
      <c r="J2132" s="7" t="s">
        <v>712</v>
      </c>
      <c r="K2132" s="8">
        <v>6072380</v>
      </c>
      <c r="L2132" s="8">
        <v>280566</v>
      </c>
      <c r="M2132" s="8">
        <v>19</v>
      </c>
      <c r="N2132" s="8">
        <v>1</v>
      </c>
      <c r="O2132" s="8">
        <v>0.5</v>
      </c>
      <c r="P2132" s="8"/>
    </row>
    <row r="2133" spans="1:16" hidden="1" x14ac:dyDescent="0.25">
      <c r="A2133" s="7" t="s">
        <v>37</v>
      </c>
      <c r="B2133" s="7" t="s">
        <v>270</v>
      </c>
      <c r="C2133" s="8">
        <v>28838</v>
      </c>
      <c r="D2133" s="7" t="s">
        <v>16</v>
      </c>
      <c r="E2133" s="7" t="s">
        <v>17</v>
      </c>
      <c r="F2133" s="7" t="s">
        <v>293</v>
      </c>
      <c r="G2133" s="7" t="s">
        <v>18</v>
      </c>
      <c r="H2133" s="7" t="s">
        <v>24</v>
      </c>
      <c r="I2133" s="7" t="s">
        <v>712</v>
      </c>
      <c r="J2133" s="7" t="s">
        <v>712</v>
      </c>
      <c r="K2133" s="8">
        <v>6071344</v>
      </c>
      <c r="L2133" s="8">
        <v>281026</v>
      </c>
      <c r="M2133" s="8">
        <v>19</v>
      </c>
      <c r="N2133" s="8">
        <v>1</v>
      </c>
      <c r="O2133" s="8">
        <v>0.5</v>
      </c>
      <c r="P2133" s="8"/>
    </row>
    <row r="2134" spans="1:16" hidden="1" x14ac:dyDescent="0.25">
      <c r="A2134" s="7" t="s">
        <v>37</v>
      </c>
      <c r="B2134" s="7" t="s">
        <v>270</v>
      </c>
      <c r="C2134" s="8">
        <v>28839</v>
      </c>
      <c r="D2134" s="7" t="s">
        <v>21</v>
      </c>
      <c r="E2134" s="7" t="s">
        <v>278</v>
      </c>
      <c r="F2134" s="7" t="s">
        <v>638</v>
      </c>
      <c r="G2134" s="7" t="s">
        <v>18</v>
      </c>
      <c r="H2134" s="7" t="s">
        <v>24</v>
      </c>
      <c r="I2134" s="7" t="s">
        <v>712</v>
      </c>
      <c r="J2134" s="7" t="s">
        <v>712</v>
      </c>
      <c r="K2134" s="8">
        <v>6361119</v>
      </c>
      <c r="L2134" s="8">
        <v>303212</v>
      </c>
      <c r="M2134" s="8">
        <v>19</v>
      </c>
      <c r="N2134" s="8">
        <v>1</v>
      </c>
      <c r="O2134" s="8">
        <v>0.5</v>
      </c>
      <c r="P2134" s="8"/>
    </row>
    <row r="2135" spans="1:16" hidden="1" x14ac:dyDescent="0.25">
      <c r="A2135" s="7" t="s">
        <v>37</v>
      </c>
      <c r="B2135" s="7" t="s">
        <v>415</v>
      </c>
      <c r="C2135" s="8">
        <v>28840</v>
      </c>
      <c r="D2135" s="7" t="s">
        <v>28</v>
      </c>
      <c r="E2135" s="7" t="s">
        <v>146</v>
      </c>
      <c r="F2135" s="7" t="s">
        <v>548</v>
      </c>
      <c r="G2135" s="7" t="s">
        <v>18</v>
      </c>
      <c r="H2135" s="7" t="s">
        <v>24</v>
      </c>
      <c r="I2135" s="7" t="s">
        <v>712</v>
      </c>
      <c r="J2135" s="7" t="s">
        <v>712</v>
      </c>
      <c r="K2135" s="8">
        <v>6268460</v>
      </c>
      <c r="L2135" s="8">
        <v>317665</v>
      </c>
      <c r="M2135" s="8">
        <v>19</v>
      </c>
      <c r="N2135" s="8">
        <v>1</v>
      </c>
      <c r="O2135" s="8">
        <v>1.08</v>
      </c>
      <c r="P2135" s="8"/>
    </row>
    <row r="2136" spans="1:16" hidden="1" x14ac:dyDescent="0.25">
      <c r="A2136" s="7" t="s">
        <v>37</v>
      </c>
      <c r="B2136" s="7" t="s">
        <v>415</v>
      </c>
      <c r="C2136" s="8">
        <v>28841</v>
      </c>
      <c r="D2136" s="7" t="s">
        <v>28</v>
      </c>
      <c r="E2136" s="7" t="s">
        <v>142</v>
      </c>
      <c r="F2136" s="7" t="s">
        <v>142</v>
      </c>
      <c r="G2136" s="7" t="s">
        <v>18</v>
      </c>
      <c r="H2136" s="7" t="s">
        <v>24</v>
      </c>
      <c r="I2136" s="7" t="s">
        <v>712</v>
      </c>
      <c r="J2136" s="7" t="s">
        <v>712</v>
      </c>
      <c r="K2136" s="8">
        <v>6278662</v>
      </c>
      <c r="L2136" s="8">
        <v>335534</v>
      </c>
      <c r="M2136" s="8">
        <v>19</v>
      </c>
      <c r="N2136" s="8">
        <v>1</v>
      </c>
      <c r="O2136" s="8">
        <v>0.91</v>
      </c>
      <c r="P2136" s="8"/>
    </row>
    <row r="2137" spans="1:16" hidden="1" x14ac:dyDescent="0.25">
      <c r="A2137" s="7" t="s">
        <v>37</v>
      </c>
      <c r="B2137" s="7" t="s">
        <v>415</v>
      </c>
      <c r="C2137" s="8">
        <v>28842</v>
      </c>
      <c r="D2137" s="7" t="s">
        <v>28</v>
      </c>
      <c r="E2137" s="7" t="s">
        <v>32</v>
      </c>
      <c r="F2137" s="7" t="s">
        <v>476</v>
      </c>
      <c r="G2137" s="7" t="s">
        <v>18</v>
      </c>
      <c r="H2137" s="7" t="s">
        <v>24</v>
      </c>
      <c r="I2137" s="7" t="s">
        <v>712</v>
      </c>
      <c r="J2137" s="7" t="s">
        <v>712</v>
      </c>
      <c r="K2137" s="8">
        <v>6278703</v>
      </c>
      <c r="L2137" s="8">
        <v>334564</v>
      </c>
      <c r="M2137" s="8">
        <v>19</v>
      </c>
      <c r="N2137" s="8">
        <v>1</v>
      </c>
      <c r="O2137" s="8">
        <v>1.08</v>
      </c>
      <c r="P2137" s="8"/>
    </row>
    <row r="2138" spans="1:16" hidden="1" x14ac:dyDescent="0.25">
      <c r="A2138" s="7" t="s">
        <v>37</v>
      </c>
      <c r="B2138" s="7" t="s">
        <v>415</v>
      </c>
      <c r="C2138" s="8">
        <v>28843</v>
      </c>
      <c r="D2138" s="7" t="s">
        <v>28</v>
      </c>
      <c r="E2138" s="7" t="s">
        <v>29</v>
      </c>
      <c r="F2138" s="7" t="s">
        <v>530</v>
      </c>
      <c r="G2138" s="7" t="s">
        <v>18</v>
      </c>
      <c r="H2138" s="7" t="s">
        <v>109</v>
      </c>
      <c r="I2138" s="7" t="s">
        <v>712</v>
      </c>
      <c r="J2138" s="7" t="s">
        <v>691</v>
      </c>
      <c r="K2138" s="8">
        <v>6258038</v>
      </c>
      <c r="L2138" s="8">
        <v>347935</v>
      </c>
      <c r="M2138" s="8">
        <v>19</v>
      </c>
      <c r="N2138" s="8">
        <v>1</v>
      </c>
      <c r="O2138" s="8">
        <v>4.4000000000000004</v>
      </c>
      <c r="P2138" s="8"/>
    </row>
    <row r="2139" spans="1:16" hidden="1" x14ac:dyDescent="0.25">
      <c r="A2139" s="7" t="s">
        <v>37</v>
      </c>
      <c r="B2139" s="7" t="s">
        <v>415</v>
      </c>
      <c r="C2139" s="8">
        <v>28844</v>
      </c>
      <c r="D2139" s="7" t="s">
        <v>28</v>
      </c>
      <c r="E2139" s="7" t="s">
        <v>142</v>
      </c>
      <c r="F2139" s="7" t="s">
        <v>549</v>
      </c>
      <c r="G2139" s="7" t="s">
        <v>18</v>
      </c>
      <c r="H2139" s="7" t="s">
        <v>24</v>
      </c>
      <c r="I2139" s="7" t="s">
        <v>712</v>
      </c>
      <c r="J2139" s="7" t="s">
        <v>712</v>
      </c>
      <c r="K2139" s="8">
        <v>6277590</v>
      </c>
      <c r="L2139" s="8">
        <v>334875</v>
      </c>
      <c r="M2139" s="8">
        <v>19</v>
      </c>
      <c r="N2139" s="8">
        <v>1</v>
      </c>
      <c r="O2139" s="8">
        <v>1</v>
      </c>
      <c r="P2139" s="8"/>
    </row>
    <row r="2140" spans="1:16" hidden="1" x14ac:dyDescent="0.25">
      <c r="A2140" s="7" t="s">
        <v>14</v>
      </c>
      <c r="B2140" s="7" t="s">
        <v>415</v>
      </c>
      <c r="C2140" s="8">
        <v>28845</v>
      </c>
      <c r="D2140" s="7" t="s">
        <v>28</v>
      </c>
      <c r="E2140" s="7" t="s">
        <v>29</v>
      </c>
      <c r="F2140" s="7" t="s">
        <v>29</v>
      </c>
      <c r="G2140" s="7" t="s">
        <v>65</v>
      </c>
      <c r="H2140" s="7" t="s">
        <v>689</v>
      </c>
      <c r="I2140" s="7" t="s">
        <v>712</v>
      </c>
      <c r="J2140" s="7" t="s">
        <v>712</v>
      </c>
      <c r="K2140" s="8">
        <v>6255235</v>
      </c>
      <c r="L2140" s="8">
        <v>341713</v>
      </c>
      <c r="M2140" s="8">
        <v>19</v>
      </c>
      <c r="N2140" s="8">
        <v>1</v>
      </c>
      <c r="O2140" s="8">
        <v>5</v>
      </c>
      <c r="P2140" s="8"/>
    </row>
    <row r="2141" spans="1:16" hidden="1" x14ac:dyDescent="0.25">
      <c r="A2141" s="7" t="s">
        <v>37</v>
      </c>
      <c r="B2141" s="7" t="s">
        <v>415</v>
      </c>
      <c r="C2141" s="8">
        <v>28846</v>
      </c>
      <c r="D2141" s="7" t="s">
        <v>28</v>
      </c>
      <c r="E2141" s="7" t="s">
        <v>344</v>
      </c>
      <c r="F2141" s="7" t="s">
        <v>514</v>
      </c>
      <c r="G2141" s="7" t="s">
        <v>18</v>
      </c>
      <c r="H2141" s="7" t="s">
        <v>109</v>
      </c>
      <c r="I2141" s="7" t="s">
        <v>712</v>
      </c>
      <c r="J2141" s="7" t="s">
        <v>691</v>
      </c>
      <c r="K2141" s="8">
        <v>6275868</v>
      </c>
      <c r="L2141" s="8">
        <v>293385</v>
      </c>
      <c r="M2141" s="8">
        <v>19</v>
      </c>
      <c r="N2141" s="8">
        <v>1</v>
      </c>
      <c r="O2141" s="8">
        <v>1</v>
      </c>
      <c r="P2141" s="8"/>
    </row>
    <row r="2142" spans="1:16" hidden="1" x14ac:dyDescent="0.25">
      <c r="A2142" s="7" t="s">
        <v>37</v>
      </c>
      <c r="B2142" s="7" t="s">
        <v>415</v>
      </c>
      <c r="C2142" s="8">
        <v>28847</v>
      </c>
      <c r="D2142" s="7" t="s">
        <v>28</v>
      </c>
      <c r="E2142" s="7" t="s">
        <v>146</v>
      </c>
      <c r="F2142" s="7" t="s">
        <v>362</v>
      </c>
      <c r="G2142" s="7" t="s">
        <v>18</v>
      </c>
      <c r="H2142" s="7" t="s">
        <v>24</v>
      </c>
      <c r="I2142" s="7" t="s">
        <v>712</v>
      </c>
      <c r="J2142" s="7" t="s">
        <v>712</v>
      </c>
      <c r="K2142" s="8">
        <v>6277236</v>
      </c>
      <c r="L2142" s="8">
        <v>326439</v>
      </c>
      <c r="M2142" s="8">
        <v>19</v>
      </c>
      <c r="N2142" s="8">
        <v>1</v>
      </c>
      <c r="O2142" s="8">
        <v>2.35</v>
      </c>
      <c r="P2142" s="8"/>
    </row>
    <row r="2143" spans="1:16" x14ac:dyDescent="0.25">
      <c r="A2143" s="7" t="s">
        <v>14</v>
      </c>
      <c r="B2143" s="7" t="s">
        <v>713</v>
      </c>
      <c r="C2143" s="8">
        <v>28850</v>
      </c>
      <c r="D2143" s="7" t="s">
        <v>16</v>
      </c>
      <c r="E2143" s="7" t="s">
        <v>155</v>
      </c>
      <c r="F2143" s="7" t="s">
        <v>577</v>
      </c>
      <c r="G2143" s="7" t="s">
        <v>18</v>
      </c>
      <c r="H2143" s="7" t="s">
        <v>689</v>
      </c>
      <c r="I2143" s="7" t="s">
        <v>712</v>
      </c>
      <c r="J2143" s="7" t="s">
        <v>712</v>
      </c>
      <c r="K2143" s="8">
        <v>6105555</v>
      </c>
      <c r="L2143" s="8">
        <v>305778</v>
      </c>
      <c r="M2143" s="8">
        <v>19</v>
      </c>
      <c r="N2143" s="8">
        <v>1</v>
      </c>
      <c r="O2143" s="8">
        <v>2.4</v>
      </c>
      <c r="P2143" s="8"/>
    </row>
    <row r="2144" spans="1:16" x14ac:dyDescent="0.25">
      <c r="A2144" s="7" t="s">
        <v>14</v>
      </c>
      <c r="B2144" s="7" t="s">
        <v>713</v>
      </c>
      <c r="C2144" s="8">
        <v>28854</v>
      </c>
      <c r="D2144" s="7" t="s">
        <v>16</v>
      </c>
      <c r="E2144" s="7" t="s">
        <v>17</v>
      </c>
      <c r="F2144" s="7" t="s">
        <v>260</v>
      </c>
      <c r="G2144" s="7" t="s">
        <v>18</v>
      </c>
      <c r="H2144" s="7" t="s">
        <v>689</v>
      </c>
      <c r="I2144" s="7" t="s">
        <v>712</v>
      </c>
      <c r="J2144" s="7" t="s">
        <v>712</v>
      </c>
      <c r="K2144" s="8">
        <v>6058526</v>
      </c>
      <c r="L2144" s="8">
        <v>281972</v>
      </c>
      <c r="M2144" s="8">
        <v>19</v>
      </c>
      <c r="N2144" s="8">
        <v>1</v>
      </c>
      <c r="O2144" s="8">
        <v>0.5</v>
      </c>
      <c r="P2144" s="8"/>
    </row>
    <row r="2145" spans="1:16" hidden="1" x14ac:dyDescent="0.25">
      <c r="A2145" s="7" t="s">
        <v>37</v>
      </c>
      <c r="B2145" s="7" t="s">
        <v>270</v>
      </c>
      <c r="C2145" s="8">
        <v>28856</v>
      </c>
      <c r="D2145" s="7" t="s">
        <v>16</v>
      </c>
      <c r="E2145" s="7" t="s">
        <v>17</v>
      </c>
      <c r="F2145" s="7" t="s">
        <v>327</v>
      </c>
      <c r="G2145" s="7" t="s">
        <v>18</v>
      </c>
      <c r="H2145" s="7" t="s">
        <v>24</v>
      </c>
      <c r="I2145" s="7" t="s">
        <v>712</v>
      </c>
      <c r="J2145" s="7" t="s">
        <v>712</v>
      </c>
      <c r="K2145" s="8">
        <v>6066844</v>
      </c>
      <c r="L2145" s="8">
        <v>289144</v>
      </c>
      <c r="M2145" s="8">
        <v>19</v>
      </c>
      <c r="N2145" s="8">
        <v>1</v>
      </c>
      <c r="O2145" s="8">
        <v>0.5</v>
      </c>
      <c r="P2145" s="8"/>
    </row>
    <row r="2146" spans="1:16" x14ac:dyDescent="0.25">
      <c r="A2146" s="7" t="s">
        <v>14</v>
      </c>
      <c r="B2146" s="7" t="s">
        <v>713</v>
      </c>
      <c r="C2146" s="8">
        <v>28857</v>
      </c>
      <c r="D2146" s="7" t="s">
        <v>16</v>
      </c>
      <c r="E2146" s="7" t="s">
        <v>17</v>
      </c>
      <c r="F2146" s="7" t="s">
        <v>55</v>
      </c>
      <c r="G2146" s="7" t="s">
        <v>18</v>
      </c>
      <c r="H2146" s="7" t="s">
        <v>689</v>
      </c>
      <c r="I2146" s="7" t="s">
        <v>712</v>
      </c>
      <c r="J2146" s="7" t="s">
        <v>712</v>
      </c>
      <c r="K2146" s="8">
        <v>6065934</v>
      </c>
      <c r="L2146" s="8">
        <v>279123</v>
      </c>
      <c r="M2146" s="8">
        <v>19</v>
      </c>
      <c r="N2146" s="8">
        <v>1</v>
      </c>
      <c r="O2146" s="8">
        <v>0.5</v>
      </c>
      <c r="P2146" s="8"/>
    </row>
    <row r="2147" spans="1:16" x14ac:dyDescent="0.25">
      <c r="A2147" s="7" t="s">
        <v>14</v>
      </c>
      <c r="B2147" s="7" t="s">
        <v>713</v>
      </c>
      <c r="C2147" s="8">
        <v>28859</v>
      </c>
      <c r="D2147" s="7" t="s">
        <v>16</v>
      </c>
      <c r="E2147" s="7" t="s">
        <v>17</v>
      </c>
      <c r="F2147" s="7" t="s">
        <v>17</v>
      </c>
      <c r="G2147" s="7" t="s">
        <v>18</v>
      </c>
      <c r="H2147" s="7" t="s">
        <v>689</v>
      </c>
      <c r="I2147" s="7" t="s">
        <v>712</v>
      </c>
      <c r="J2147" s="7" t="s">
        <v>712</v>
      </c>
      <c r="K2147" s="8">
        <v>6066407</v>
      </c>
      <c r="L2147" s="8">
        <v>274211</v>
      </c>
      <c r="M2147" s="8">
        <v>19</v>
      </c>
      <c r="N2147" s="8">
        <v>1</v>
      </c>
      <c r="O2147" s="8">
        <v>0.7</v>
      </c>
      <c r="P2147" s="8"/>
    </row>
    <row r="2148" spans="1:16" hidden="1" x14ac:dyDescent="0.25">
      <c r="A2148" s="7" t="s">
        <v>37</v>
      </c>
      <c r="B2148" s="7" t="s">
        <v>270</v>
      </c>
      <c r="C2148" s="8">
        <v>28860</v>
      </c>
      <c r="D2148" s="7" t="s">
        <v>16</v>
      </c>
      <c r="E2148" s="7" t="s">
        <v>17</v>
      </c>
      <c r="F2148" s="7" t="s">
        <v>327</v>
      </c>
      <c r="G2148" s="7" t="s">
        <v>18</v>
      </c>
      <c r="H2148" s="7" t="s">
        <v>24</v>
      </c>
      <c r="I2148" s="7" t="s">
        <v>712</v>
      </c>
      <c r="J2148" s="7" t="s">
        <v>712</v>
      </c>
      <c r="K2148" s="8">
        <v>6065688</v>
      </c>
      <c r="L2148" s="8">
        <v>289082</v>
      </c>
      <c r="M2148" s="8">
        <v>19</v>
      </c>
      <c r="N2148" s="8">
        <v>1</v>
      </c>
      <c r="O2148" s="8">
        <v>0.5</v>
      </c>
      <c r="P2148" s="8"/>
    </row>
    <row r="2149" spans="1:16" hidden="1" x14ac:dyDescent="0.25">
      <c r="A2149" s="7" t="s">
        <v>37</v>
      </c>
      <c r="B2149" s="7" t="s">
        <v>270</v>
      </c>
      <c r="C2149" s="8">
        <v>28861</v>
      </c>
      <c r="D2149" s="7" t="s">
        <v>52</v>
      </c>
      <c r="E2149" s="7" t="s">
        <v>385</v>
      </c>
      <c r="F2149" s="7" t="s">
        <v>386</v>
      </c>
      <c r="G2149" s="7" t="s">
        <v>18</v>
      </c>
      <c r="H2149" s="7" t="s">
        <v>24</v>
      </c>
      <c r="I2149" s="7" t="s">
        <v>712</v>
      </c>
      <c r="J2149" s="7" t="s">
        <v>712</v>
      </c>
      <c r="K2149" s="8">
        <v>6189908</v>
      </c>
      <c r="L2149" s="8">
        <v>278942</v>
      </c>
      <c r="M2149" s="8">
        <v>19</v>
      </c>
      <c r="N2149" s="8">
        <v>1</v>
      </c>
      <c r="O2149" s="8">
        <v>0.5</v>
      </c>
      <c r="P2149" s="8"/>
    </row>
    <row r="2150" spans="1:16" hidden="1" x14ac:dyDescent="0.25">
      <c r="A2150" s="7" t="s">
        <v>14</v>
      </c>
      <c r="B2150" s="7" t="s">
        <v>415</v>
      </c>
      <c r="C2150" s="8">
        <v>28862</v>
      </c>
      <c r="D2150" s="7" t="s">
        <v>28</v>
      </c>
      <c r="E2150" s="7" t="s">
        <v>142</v>
      </c>
      <c r="F2150" s="7" t="s">
        <v>268</v>
      </c>
      <c r="G2150" s="7" t="s">
        <v>65</v>
      </c>
      <c r="H2150" s="7" t="s">
        <v>689</v>
      </c>
      <c r="I2150" s="7" t="s">
        <v>712</v>
      </c>
      <c r="J2150" s="7" t="s">
        <v>712</v>
      </c>
      <c r="K2150" s="8">
        <v>6255605</v>
      </c>
      <c r="L2150" s="8">
        <v>345199</v>
      </c>
      <c r="M2150" s="8">
        <v>19</v>
      </c>
      <c r="N2150" s="8">
        <v>2</v>
      </c>
      <c r="O2150" s="8">
        <v>14.43</v>
      </c>
      <c r="P2150" s="8"/>
    </row>
    <row r="2151" spans="1:16" x14ac:dyDescent="0.25">
      <c r="A2151" s="7" t="s">
        <v>14</v>
      </c>
      <c r="B2151" s="7" t="s">
        <v>713</v>
      </c>
      <c r="C2151" s="8">
        <v>28863</v>
      </c>
      <c r="D2151" s="7" t="s">
        <v>16</v>
      </c>
      <c r="E2151" s="7" t="s">
        <v>17</v>
      </c>
      <c r="F2151" s="7" t="s">
        <v>55</v>
      </c>
      <c r="G2151" s="7" t="s">
        <v>18</v>
      </c>
      <c r="H2151" s="7" t="s">
        <v>689</v>
      </c>
      <c r="I2151" s="7" t="s">
        <v>712</v>
      </c>
      <c r="J2151" s="7" t="s">
        <v>712</v>
      </c>
      <c r="K2151" s="8">
        <v>6066670</v>
      </c>
      <c r="L2151" s="8">
        <v>278991</v>
      </c>
      <c r="M2151" s="8">
        <v>19</v>
      </c>
      <c r="N2151" s="8">
        <v>1</v>
      </c>
      <c r="O2151" s="8">
        <v>2</v>
      </c>
      <c r="P2151" s="8"/>
    </row>
    <row r="2152" spans="1:16" hidden="1" x14ac:dyDescent="0.25">
      <c r="A2152" s="7" t="s">
        <v>14</v>
      </c>
      <c r="B2152" s="7" t="s">
        <v>415</v>
      </c>
      <c r="C2152" s="8">
        <v>28864</v>
      </c>
      <c r="D2152" s="7" t="s">
        <v>28</v>
      </c>
      <c r="E2152" s="7" t="s">
        <v>29</v>
      </c>
      <c r="F2152" s="7" t="s">
        <v>104</v>
      </c>
      <c r="G2152" s="7" t="s">
        <v>65</v>
      </c>
      <c r="H2152" s="7" t="s">
        <v>689</v>
      </c>
      <c r="I2152" s="7" t="s">
        <v>712</v>
      </c>
      <c r="J2152" s="7" t="s">
        <v>712</v>
      </c>
      <c r="K2152" s="8">
        <v>6254657</v>
      </c>
      <c r="L2152" s="8">
        <v>342337</v>
      </c>
      <c r="M2152" s="8">
        <v>19</v>
      </c>
      <c r="N2152" s="8">
        <v>1</v>
      </c>
      <c r="O2152" s="8">
        <v>8.1999999999999993</v>
      </c>
      <c r="P2152" s="8"/>
    </row>
    <row r="2153" spans="1:16" x14ac:dyDescent="0.25">
      <c r="A2153" s="7" t="s">
        <v>14</v>
      </c>
      <c r="B2153" s="7" t="s">
        <v>713</v>
      </c>
      <c r="C2153" s="8">
        <v>28865</v>
      </c>
      <c r="D2153" s="7" t="s">
        <v>16</v>
      </c>
      <c r="E2153" s="7" t="s">
        <v>17</v>
      </c>
      <c r="F2153" s="7" t="s">
        <v>55</v>
      </c>
      <c r="G2153" s="7" t="s">
        <v>18</v>
      </c>
      <c r="H2153" s="7" t="s">
        <v>689</v>
      </c>
      <c r="I2153" s="7" t="s">
        <v>712</v>
      </c>
      <c r="J2153" s="7" t="s">
        <v>712</v>
      </c>
      <c r="K2153" s="8">
        <v>6064602</v>
      </c>
      <c r="L2153" s="8">
        <v>281300</v>
      </c>
      <c r="M2153" s="8">
        <v>19</v>
      </c>
      <c r="N2153" s="8">
        <v>1</v>
      </c>
      <c r="O2153" s="8">
        <v>1.7</v>
      </c>
      <c r="P2153" s="8"/>
    </row>
    <row r="2154" spans="1:16" x14ac:dyDescent="0.25">
      <c r="A2154" s="7" t="s">
        <v>14</v>
      </c>
      <c r="B2154" s="7" t="s">
        <v>713</v>
      </c>
      <c r="C2154" s="8">
        <v>28866</v>
      </c>
      <c r="D2154" s="7" t="s">
        <v>16</v>
      </c>
      <c r="E2154" s="7" t="s">
        <v>17</v>
      </c>
      <c r="F2154" s="7" t="s">
        <v>55</v>
      </c>
      <c r="G2154" s="7" t="s">
        <v>18</v>
      </c>
      <c r="H2154" s="7" t="s">
        <v>689</v>
      </c>
      <c r="I2154" s="7" t="s">
        <v>712</v>
      </c>
      <c r="J2154" s="7" t="s">
        <v>712</v>
      </c>
      <c r="K2154" s="8">
        <v>6067464</v>
      </c>
      <c r="L2154" s="8">
        <v>278602</v>
      </c>
      <c r="M2154" s="8">
        <v>19</v>
      </c>
      <c r="N2154" s="8">
        <v>1</v>
      </c>
      <c r="O2154" s="8">
        <v>1.5</v>
      </c>
      <c r="P2154" s="8"/>
    </row>
    <row r="2155" spans="1:16" hidden="1" x14ac:dyDescent="0.25">
      <c r="A2155" s="7" t="s">
        <v>14</v>
      </c>
      <c r="B2155" s="7" t="s">
        <v>415</v>
      </c>
      <c r="C2155" s="8">
        <v>28867</v>
      </c>
      <c r="D2155" s="7" t="s">
        <v>28</v>
      </c>
      <c r="E2155" s="7" t="s">
        <v>29</v>
      </c>
      <c r="F2155" s="7" t="s">
        <v>104</v>
      </c>
      <c r="G2155" s="7" t="s">
        <v>65</v>
      </c>
      <c r="H2155" s="7" t="s">
        <v>689</v>
      </c>
      <c r="I2155" s="7" t="s">
        <v>712</v>
      </c>
      <c r="J2155" s="7" t="s">
        <v>712</v>
      </c>
      <c r="K2155" s="8">
        <v>6254657</v>
      </c>
      <c r="L2155" s="8">
        <v>342337</v>
      </c>
      <c r="M2155" s="8">
        <v>19</v>
      </c>
      <c r="N2155" s="8">
        <v>1</v>
      </c>
      <c r="O2155" s="8">
        <v>4.2</v>
      </c>
      <c r="P2155" s="8"/>
    </row>
    <row r="2156" spans="1:16" x14ac:dyDescent="0.25">
      <c r="A2156" s="7" t="s">
        <v>14</v>
      </c>
      <c r="B2156" s="7" t="s">
        <v>713</v>
      </c>
      <c r="C2156" s="8">
        <v>28868</v>
      </c>
      <c r="D2156" s="7" t="s">
        <v>16</v>
      </c>
      <c r="E2156" s="7" t="s">
        <v>17</v>
      </c>
      <c r="F2156" s="7" t="s">
        <v>55</v>
      </c>
      <c r="G2156" s="7" t="s">
        <v>18</v>
      </c>
      <c r="H2156" s="7" t="s">
        <v>689</v>
      </c>
      <c r="I2156" s="7" t="s">
        <v>712</v>
      </c>
      <c r="J2156" s="7" t="s">
        <v>712</v>
      </c>
      <c r="K2156" s="8">
        <v>6067696</v>
      </c>
      <c r="L2156" s="8">
        <v>280308</v>
      </c>
      <c r="M2156" s="8">
        <v>19</v>
      </c>
      <c r="N2156" s="8">
        <v>1</v>
      </c>
      <c r="O2156" s="8">
        <v>1.6</v>
      </c>
      <c r="P2156" s="8"/>
    </row>
    <row r="2157" spans="1:16" x14ac:dyDescent="0.25">
      <c r="A2157" s="7" t="s">
        <v>14</v>
      </c>
      <c r="B2157" s="7" t="s">
        <v>713</v>
      </c>
      <c r="C2157" s="8">
        <v>28869</v>
      </c>
      <c r="D2157" s="7" t="s">
        <v>16</v>
      </c>
      <c r="E2157" s="7" t="s">
        <v>17</v>
      </c>
      <c r="F2157" s="7" t="s">
        <v>578</v>
      </c>
      <c r="G2157" s="7" t="s">
        <v>18</v>
      </c>
      <c r="H2157" s="7" t="s">
        <v>689</v>
      </c>
      <c r="I2157" s="7" t="s">
        <v>712</v>
      </c>
      <c r="J2157" s="7" t="s">
        <v>712</v>
      </c>
      <c r="K2157" s="8">
        <v>6067204</v>
      </c>
      <c r="L2157" s="8">
        <v>278541</v>
      </c>
      <c r="M2157" s="8">
        <v>19</v>
      </c>
      <c r="N2157" s="8">
        <v>1</v>
      </c>
      <c r="O2157" s="8">
        <v>0.8</v>
      </c>
      <c r="P2157" s="8"/>
    </row>
    <row r="2158" spans="1:16" hidden="1" x14ac:dyDescent="0.25">
      <c r="A2158" s="7" t="s">
        <v>19</v>
      </c>
      <c r="B2158" s="7" t="s">
        <v>408</v>
      </c>
      <c r="C2158" s="8">
        <v>28870</v>
      </c>
      <c r="D2158" s="7" t="s">
        <v>16</v>
      </c>
      <c r="E2158" s="7" t="s">
        <v>337</v>
      </c>
      <c r="F2158" s="7" t="s">
        <v>337</v>
      </c>
      <c r="G2158" s="7" t="s">
        <v>18</v>
      </c>
      <c r="H2158" s="7" t="s">
        <v>48</v>
      </c>
      <c r="I2158" s="7" t="s">
        <v>712</v>
      </c>
      <c r="J2158" s="7" t="s">
        <v>691</v>
      </c>
      <c r="K2158" s="8">
        <v>6127327</v>
      </c>
      <c r="L2158" s="8">
        <v>309836</v>
      </c>
      <c r="M2158" s="8">
        <v>19</v>
      </c>
      <c r="N2158" s="8">
        <v>1</v>
      </c>
      <c r="O2158" s="8">
        <v>2</v>
      </c>
      <c r="P2158" s="8"/>
    </row>
    <row r="2159" spans="1:16" hidden="1" x14ac:dyDescent="0.25">
      <c r="A2159" s="7" t="s">
        <v>37</v>
      </c>
      <c r="B2159" s="7" t="s">
        <v>415</v>
      </c>
      <c r="C2159" s="8">
        <v>28871</v>
      </c>
      <c r="D2159" s="7" t="s">
        <v>28</v>
      </c>
      <c r="E2159" s="7" t="s">
        <v>56</v>
      </c>
      <c r="F2159" s="7" t="s">
        <v>350</v>
      </c>
      <c r="G2159" s="7" t="s">
        <v>18</v>
      </c>
      <c r="H2159" s="7" t="s">
        <v>24</v>
      </c>
      <c r="I2159" s="7" t="s">
        <v>712</v>
      </c>
      <c r="J2159" s="7" t="s">
        <v>712</v>
      </c>
      <c r="K2159" s="8">
        <v>6277495</v>
      </c>
      <c r="L2159" s="8">
        <v>346774</v>
      </c>
      <c r="M2159" s="8">
        <v>19</v>
      </c>
      <c r="N2159" s="8">
        <v>1</v>
      </c>
      <c r="O2159" s="8">
        <v>1.6</v>
      </c>
      <c r="P2159" s="8"/>
    </row>
    <row r="2160" spans="1:16" x14ac:dyDescent="0.25">
      <c r="A2160" s="7" t="s">
        <v>14</v>
      </c>
      <c r="B2160" s="7" t="s">
        <v>713</v>
      </c>
      <c r="C2160" s="8">
        <v>28872</v>
      </c>
      <c r="D2160" s="7" t="s">
        <v>52</v>
      </c>
      <c r="E2160" s="7" t="s">
        <v>139</v>
      </c>
      <c r="F2160" s="7" t="s">
        <v>139</v>
      </c>
      <c r="G2160" s="7" t="s">
        <v>65</v>
      </c>
      <c r="H2160" s="7" t="s">
        <v>689</v>
      </c>
      <c r="I2160" s="7" t="s">
        <v>712</v>
      </c>
      <c r="J2160" s="7" t="s">
        <v>712</v>
      </c>
      <c r="K2160" s="8">
        <v>6228179</v>
      </c>
      <c r="L2160" s="8">
        <v>337877</v>
      </c>
      <c r="M2160" s="8">
        <v>19</v>
      </c>
      <c r="N2160" s="8">
        <v>1</v>
      </c>
      <c r="O2160" s="8">
        <v>4.92</v>
      </c>
      <c r="P2160" s="8"/>
    </row>
    <row r="2161" spans="1:16" x14ac:dyDescent="0.25">
      <c r="A2161" s="7" t="s">
        <v>14</v>
      </c>
      <c r="B2161" s="7" t="s">
        <v>713</v>
      </c>
      <c r="C2161" s="8">
        <v>28873</v>
      </c>
      <c r="D2161" s="7" t="s">
        <v>16</v>
      </c>
      <c r="E2161" s="7" t="s">
        <v>17</v>
      </c>
      <c r="F2161" s="7" t="s">
        <v>55</v>
      </c>
      <c r="G2161" s="7" t="s">
        <v>18</v>
      </c>
      <c r="H2161" s="7" t="s">
        <v>689</v>
      </c>
      <c r="I2161" s="7" t="s">
        <v>712</v>
      </c>
      <c r="J2161" s="7" t="s">
        <v>712</v>
      </c>
      <c r="K2161" s="8">
        <v>6069044</v>
      </c>
      <c r="L2161" s="8">
        <v>280870</v>
      </c>
      <c r="M2161" s="8">
        <v>19</v>
      </c>
      <c r="N2161" s="8">
        <v>1</v>
      </c>
      <c r="O2161" s="8">
        <v>0.5</v>
      </c>
      <c r="P2161" s="8"/>
    </row>
    <row r="2162" spans="1:16" hidden="1" x14ac:dyDescent="0.25">
      <c r="A2162" s="7" t="s">
        <v>14</v>
      </c>
      <c r="B2162" s="7" t="s">
        <v>651</v>
      </c>
      <c r="C2162" s="8">
        <v>28874</v>
      </c>
      <c r="D2162" s="7" t="s">
        <v>16</v>
      </c>
      <c r="E2162" s="7" t="s">
        <v>60</v>
      </c>
      <c r="F2162" s="7" t="s">
        <v>61</v>
      </c>
      <c r="G2162" s="7" t="s">
        <v>18</v>
      </c>
      <c r="H2162" s="7" t="s">
        <v>689</v>
      </c>
      <c r="I2162" s="7" t="s">
        <v>712</v>
      </c>
      <c r="J2162" s="7" t="s">
        <v>712</v>
      </c>
      <c r="K2162" s="8">
        <v>6079755</v>
      </c>
      <c r="L2162" s="8">
        <v>280855</v>
      </c>
      <c r="M2162" s="8">
        <v>19</v>
      </c>
      <c r="N2162" s="8">
        <v>1</v>
      </c>
      <c r="O2162" s="8">
        <v>0.88</v>
      </c>
      <c r="P2162" s="8"/>
    </row>
    <row r="2163" spans="1:16" x14ac:dyDescent="0.25">
      <c r="A2163" s="7" t="s">
        <v>14</v>
      </c>
      <c r="B2163" s="7" t="s">
        <v>713</v>
      </c>
      <c r="C2163" s="8">
        <v>28875</v>
      </c>
      <c r="D2163" s="7" t="s">
        <v>16</v>
      </c>
      <c r="E2163" s="7" t="s">
        <v>17</v>
      </c>
      <c r="F2163" s="7" t="s">
        <v>55</v>
      </c>
      <c r="G2163" s="7" t="s">
        <v>18</v>
      </c>
      <c r="H2163" s="7" t="s">
        <v>689</v>
      </c>
      <c r="I2163" s="7" t="s">
        <v>712</v>
      </c>
      <c r="J2163" s="7" t="s">
        <v>712</v>
      </c>
      <c r="K2163" s="8">
        <v>6068210</v>
      </c>
      <c r="L2163" s="8">
        <v>279999</v>
      </c>
      <c r="M2163" s="8">
        <v>19</v>
      </c>
      <c r="N2163" s="8">
        <v>1</v>
      </c>
      <c r="O2163" s="8">
        <v>2</v>
      </c>
      <c r="P2163" s="8"/>
    </row>
    <row r="2164" spans="1:16" hidden="1" x14ac:dyDescent="0.25">
      <c r="A2164" s="7" t="s">
        <v>14</v>
      </c>
      <c r="B2164" s="7" t="s">
        <v>415</v>
      </c>
      <c r="C2164" s="8">
        <v>28876</v>
      </c>
      <c r="D2164" s="7" t="s">
        <v>28</v>
      </c>
      <c r="E2164" s="7" t="s">
        <v>56</v>
      </c>
      <c r="F2164" s="7" t="s">
        <v>439</v>
      </c>
      <c r="G2164" s="7" t="s">
        <v>18</v>
      </c>
      <c r="H2164" s="7" t="s">
        <v>689</v>
      </c>
      <c r="I2164" s="7" t="s">
        <v>712</v>
      </c>
      <c r="J2164" s="7" t="s">
        <v>712</v>
      </c>
      <c r="K2164" s="8">
        <v>6261789</v>
      </c>
      <c r="L2164" s="8">
        <v>336104</v>
      </c>
      <c r="M2164" s="8">
        <v>19</v>
      </c>
      <c r="N2164" s="8">
        <v>1</v>
      </c>
      <c r="O2164" s="8">
        <v>0.01</v>
      </c>
      <c r="P2164" s="8"/>
    </row>
    <row r="2165" spans="1:16" x14ac:dyDescent="0.25">
      <c r="A2165" s="7" t="s">
        <v>14</v>
      </c>
      <c r="B2165" s="7" t="s">
        <v>713</v>
      </c>
      <c r="C2165" s="8">
        <v>28877</v>
      </c>
      <c r="D2165" s="7" t="s">
        <v>52</v>
      </c>
      <c r="E2165" s="7" t="s">
        <v>139</v>
      </c>
      <c r="F2165" s="7" t="s">
        <v>139</v>
      </c>
      <c r="G2165" s="7" t="s">
        <v>65</v>
      </c>
      <c r="H2165" s="7" t="s">
        <v>689</v>
      </c>
      <c r="I2165" s="7" t="s">
        <v>712</v>
      </c>
      <c r="J2165" s="7" t="s">
        <v>712</v>
      </c>
      <c r="K2165" s="8">
        <v>6228179</v>
      </c>
      <c r="L2165" s="8">
        <v>337877</v>
      </c>
      <c r="M2165" s="8">
        <v>19</v>
      </c>
      <c r="N2165" s="8">
        <v>1</v>
      </c>
      <c r="O2165" s="8">
        <v>0.54</v>
      </c>
      <c r="P2165" s="8"/>
    </row>
    <row r="2166" spans="1:16" x14ac:dyDescent="0.25">
      <c r="A2166" s="7" t="s">
        <v>14</v>
      </c>
      <c r="B2166" s="7" t="s">
        <v>713</v>
      </c>
      <c r="C2166" s="8">
        <v>28878</v>
      </c>
      <c r="D2166" s="7" t="s">
        <v>16</v>
      </c>
      <c r="E2166" s="7" t="s">
        <v>17</v>
      </c>
      <c r="F2166" s="7" t="s">
        <v>293</v>
      </c>
      <c r="G2166" s="7" t="s">
        <v>18</v>
      </c>
      <c r="H2166" s="7" t="s">
        <v>689</v>
      </c>
      <c r="I2166" s="7" t="s">
        <v>712</v>
      </c>
      <c r="J2166" s="7" t="s">
        <v>712</v>
      </c>
      <c r="K2166" s="8">
        <v>6069477</v>
      </c>
      <c r="L2166" s="8">
        <v>280051</v>
      </c>
      <c r="M2166" s="8">
        <v>19</v>
      </c>
      <c r="N2166" s="8">
        <v>1</v>
      </c>
      <c r="O2166" s="8">
        <v>2.2000000000000002</v>
      </c>
      <c r="P2166" s="8"/>
    </row>
    <row r="2167" spans="1:16" hidden="1" x14ac:dyDescent="0.25">
      <c r="A2167" s="7" t="s">
        <v>14</v>
      </c>
      <c r="B2167" s="7" t="s">
        <v>415</v>
      </c>
      <c r="C2167" s="8">
        <v>28879</v>
      </c>
      <c r="D2167" s="7" t="s">
        <v>28</v>
      </c>
      <c r="E2167" s="7" t="s">
        <v>56</v>
      </c>
      <c r="F2167" s="7" t="s">
        <v>439</v>
      </c>
      <c r="G2167" s="7" t="s">
        <v>18</v>
      </c>
      <c r="H2167" s="7" t="s">
        <v>689</v>
      </c>
      <c r="I2167" s="7" t="s">
        <v>712</v>
      </c>
      <c r="J2167" s="7" t="s">
        <v>712</v>
      </c>
      <c r="K2167" s="8">
        <v>6261739</v>
      </c>
      <c r="L2167" s="8">
        <v>336239</v>
      </c>
      <c r="M2167" s="8">
        <v>19</v>
      </c>
      <c r="N2167" s="8">
        <v>1</v>
      </c>
      <c r="O2167" s="8">
        <v>0.06</v>
      </c>
      <c r="P2167" s="8"/>
    </row>
    <row r="2168" spans="1:16" x14ac:dyDescent="0.25">
      <c r="A2168" s="7" t="s">
        <v>14</v>
      </c>
      <c r="B2168" s="7" t="s">
        <v>713</v>
      </c>
      <c r="C2168" s="8">
        <v>28880</v>
      </c>
      <c r="D2168" s="7" t="s">
        <v>52</v>
      </c>
      <c r="E2168" s="7" t="s">
        <v>139</v>
      </c>
      <c r="F2168" s="7" t="s">
        <v>139</v>
      </c>
      <c r="G2168" s="7" t="s">
        <v>18</v>
      </c>
      <c r="H2168" s="7" t="s">
        <v>689</v>
      </c>
      <c r="I2168" s="7" t="s">
        <v>712</v>
      </c>
      <c r="J2168" s="7" t="s">
        <v>712</v>
      </c>
      <c r="K2168" s="8">
        <v>6227930</v>
      </c>
      <c r="L2168" s="8">
        <v>338063</v>
      </c>
      <c r="M2168" s="8">
        <v>19</v>
      </c>
      <c r="N2168" s="8">
        <v>1</v>
      </c>
      <c r="O2168" s="8">
        <v>3.8</v>
      </c>
      <c r="P2168" s="8"/>
    </row>
    <row r="2169" spans="1:16" x14ac:dyDescent="0.25">
      <c r="A2169" s="7" t="s">
        <v>14</v>
      </c>
      <c r="B2169" s="7" t="s">
        <v>713</v>
      </c>
      <c r="C2169" s="8">
        <v>28881</v>
      </c>
      <c r="D2169" s="7" t="s">
        <v>16</v>
      </c>
      <c r="E2169" s="7" t="s">
        <v>17</v>
      </c>
      <c r="F2169" s="7" t="s">
        <v>55</v>
      </c>
      <c r="G2169" s="7" t="s">
        <v>18</v>
      </c>
      <c r="H2169" s="7" t="s">
        <v>689</v>
      </c>
      <c r="I2169" s="7" t="s">
        <v>712</v>
      </c>
      <c r="J2169" s="7" t="s">
        <v>712</v>
      </c>
      <c r="K2169" s="8">
        <v>6070793</v>
      </c>
      <c r="L2169" s="8">
        <v>282496</v>
      </c>
      <c r="M2169" s="8">
        <v>19</v>
      </c>
      <c r="N2169" s="8">
        <v>1</v>
      </c>
      <c r="O2169" s="8">
        <v>0.6</v>
      </c>
      <c r="P2169" s="8"/>
    </row>
    <row r="2170" spans="1:16" hidden="1" x14ac:dyDescent="0.25">
      <c r="A2170" s="7" t="s">
        <v>14</v>
      </c>
      <c r="B2170" s="7" t="s">
        <v>343</v>
      </c>
      <c r="C2170" s="8">
        <v>28882</v>
      </c>
      <c r="D2170" s="7" t="s">
        <v>52</v>
      </c>
      <c r="E2170" s="7" t="s">
        <v>151</v>
      </c>
      <c r="F2170" s="7" t="s">
        <v>151</v>
      </c>
      <c r="G2170" s="7" t="s">
        <v>18</v>
      </c>
      <c r="H2170" s="7" t="s">
        <v>689</v>
      </c>
      <c r="I2170" s="7" t="s">
        <v>712</v>
      </c>
      <c r="J2170" s="7" t="s">
        <v>712</v>
      </c>
      <c r="K2170" s="8">
        <v>6190300</v>
      </c>
      <c r="L2170" s="8">
        <v>328138</v>
      </c>
      <c r="M2170" s="8">
        <v>19</v>
      </c>
      <c r="N2170" s="8">
        <v>1</v>
      </c>
      <c r="O2170" s="8">
        <v>0.17</v>
      </c>
      <c r="P2170" s="8"/>
    </row>
    <row r="2171" spans="1:16" hidden="1" x14ac:dyDescent="0.25">
      <c r="A2171" s="7" t="s">
        <v>14</v>
      </c>
      <c r="B2171" s="7" t="s">
        <v>270</v>
      </c>
      <c r="C2171" s="8">
        <v>28883</v>
      </c>
      <c r="D2171" s="7" t="s">
        <v>322</v>
      </c>
      <c r="E2171" s="7" t="s">
        <v>323</v>
      </c>
      <c r="F2171" s="7" t="s">
        <v>323</v>
      </c>
      <c r="G2171" s="7" t="s">
        <v>43</v>
      </c>
      <c r="H2171" s="7" t="s">
        <v>689</v>
      </c>
      <c r="I2171" s="7" t="s">
        <v>712</v>
      </c>
      <c r="J2171" s="7" t="s">
        <v>712</v>
      </c>
      <c r="K2171" s="8">
        <v>7953722</v>
      </c>
      <c r="L2171" s="8">
        <v>371241</v>
      </c>
      <c r="M2171" s="8">
        <v>19</v>
      </c>
      <c r="N2171" s="8">
        <v>1</v>
      </c>
      <c r="O2171" s="8">
        <v>0.2</v>
      </c>
      <c r="P2171" s="8"/>
    </row>
    <row r="2172" spans="1:16" hidden="1" x14ac:dyDescent="0.25">
      <c r="A2172" s="7" t="s">
        <v>14</v>
      </c>
      <c r="B2172" s="7" t="s">
        <v>270</v>
      </c>
      <c r="C2172" s="8">
        <v>28884</v>
      </c>
      <c r="D2172" s="7" t="s">
        <v>322</v>
      </c>
      <c r="E2172" s="7" t="s">
        <v>323</v>
      </c>
      <c r="F2172" s="7" t="s">
        <v>641</v>
      </c>
      <c r="G2172" s="7" t="s">
        <v>43</v>
      </c>
      <c r="H2172" s="7" t="s">
        <v>689</v>
      </c>
      <c r="I2172" s="7" t="s">
        <v>712</v>
      </c>
      <c r="J2172" s="7" t="s">
        <v>712</v>
      </c>
      <c r="K2172" s="8">
        <v>7952615</v>
      </c>
      <c r="L2172" s="8">
        <v>375180</v>
      </c>
      <c r="M2172" s="8">
        <v>19</v>
      </c>
      <c r="N2172" s="8">
        <v>1</v>
      </c>
      <c r="O2172" s="8">
        <v>0.14000000000000001</v>
      </c>
      <c r="P2172" s="8"/>
    </row>
    <row r="2173" spans="1:16" hidden="1" x14ac:dyDescent="0.25">
      <c r="A2173" s="7" t="s">
        <v>14</v>
      </c>
      <c r="B2173" s="7" t="s">
        <v>270</v>
      </c>
      <c r="C2173" s="8">
        <v>28885</v>
      </c>
      <c r="D2173" s="7" t="s">
        <v>322</v>
      </c>
      <c r="E2173" s="7" t="s">
        <v>323</v>
      </c>
      <c r="F2173" s="7" t="s">
        <v>641</v>
      </c>
      <c r="G2173" s="7" t="s">
        <v>43</v>
      </c>
      <c r="H2173" s="7" t="s">
        <v>689</v>
      </c>
      <c r="I2173" s="7" t="s">
        <v>712</v>
      </c>
      <c r="J2173" s="7" t="s">
        <v>712</v>
      </c>
      <c r="K2173" s="8">
        <v>7952420</v>
      </c>
      <c r="L2173" s="8">
        <v>375180</v>
      </c>
      <c r="M2173" s="8">
        <v>19</v>
      </c>
      <c r="N2173" s="8">
        <v>1</v>
      </c>
      <c r="O2173" s="8">
        <v>0.23</v>
      </c>
      <c r="P2173" s="8"/>
    </row>
    <row r="2174" spans="1:16" hidden="1" x14ac:dyDescent="0.25">
      <c r="A2174" s="7" t="s">
        <v>14</v>
      </c>
      <c r="B2174" s="7" t="s">
        <v>415</v>
      </c>
      <c r="C2174" s="8">
        <v>28886</v>
      </c>
      <c r="D2174" s="7" t="s">
        <v>28</v>
      </c>
      <c r="E2174" s="7" t="s">
        <v>56</v>
      </c>
      <c r="F2174" s="7" t="s">
        <v>162</v>
      </c>
      <c r="G2174" s="7" t="s">
        <v>18</v>
      </c>
      <c r="H2174" s="7" t="s">
        <v>689</v>
      </c>
      <c r="I2174" s="7" t="s">
        <v>712</v>
      </c>
      <c r="J2174" s="7" t="s">
        <v>712</v>
      </c>
      <c r="K2174" s="8">
        <v>6259986</v>
      </c>
      <c r="L2174" s="8">
        <v>332900</v>
      </c>
      <c r="M2174" s="8">
        <v>19</v>
      </c>
      <c r="N2174" s="8">
        <v>1</v>
      </c>
      <c r="O2174" s="8">
        <v>0.3</v>
      </c>
      <c r="P2174" s="8"/>
    </row>
    <row r="2175" spans="1:16" hidden="1" x14ac:dyDescent="0.25">
      <c r="A2175" s="7" t="s">
        <v>37</v>
      </c>
      <c r="B2175" s="7" t="s">
        <v>415</v>
      </c>
      <c r="C2175" s="8">
        <v>28887</v>
      </c>
      <c r="D2175" s="7" t="s">
        <v>28</v>
      </c>
      <c r="E2175" s="7" t="s">
        <v>32</v>
      </c>
      <c r="F2175" s="7" t="s">
        <v>337</v>
      </c>
      <c r="G2175" s="7" t="s">
        <v>18</v>
      </c>
      <c r="H2175" s="7" t="s">
        <v>24</v>
      </c>
      <c r="I2175" s="7" t="s">
        <v>712</v>
      </c>
      <c r="J2175" s="7" t="s">
        <v>712</v>
      </c>
      <c r="K2175" s="8">
        <v>6267280</v>
      </c>
      <c r="L2175" s="8">
        <v>333632</v>
      </c>
      <c r="M2175" s="8">
        <v>19</v>
      </c>
      <c r="N2175" s="8">
        <v>1</v>
      </c>
      <c r="O2175" s="8">
        <v>1</v>
      </c>
      <c r="P2175" s="8"/>
    </row>
    <row r="2176" spans="1:16" hidden="1" x14ac:dyDescent="0.25">
      <c r="A2176" s="7" t="s">
        <v>14</v>
      </c>
      <c r="B2176" s="7" t="s">
        <v>415</v>
      </c>
      <c r="C2176" s="8">
        <v>28888</v>
      </c>
      <c r="D2176" s="7" t="s">
        <v>52</v>
      </c>
      <c r="E2176" s="7" t="s">
        <v>139</v>
      </c>
      <c r="F2176" s="7" t="s">
        <v>139</v>
      </c>
      <c r="G2176" s="7" t="s">
        <v>18</v>
      </c>
      <c r="H2176" s="7" t="s">
        <v>689</v>
      </c>
      <c r="I2176" s="7" t="s">
        <v>712</v>
      </c>
      <c r="J2176" s="7" t="s">
        <v>712</v>
      </c>
      <c r="K2176" s="8">
        <v>6227532</v>
      </c>
      <c r="L2176" s="8">
        <v>345878</v>
      </c>
      <c r="M2176" s="8">
        <v>19</v>
      </c>
      <c r="N2176" s="8">
        <v>1</v>
      </c>
      <c r="O2176" s="8">
        <v>0.22</v>
      </c>
      <c r="P2176" s="8"/>
    </row>
    <row r="2177" spans="1:16" x14ac:dyDescent="0.25">
      <c r="A2177" s="7" t="s">
        <v>14</v>
      </c>
      <c r="B2177" s="7" t="s">
        <v>713</v>
      </c>
      <c r="C2177" s="8">
        <v>28889</v>
      </c>
      <c r="D2177" s="7" t="s">
        <v>16</v>
      </c>
      <c r="E2177" s="7" t="s">
        <v>17</v>
      </c>
      <c r="F2177" s="7" t="s">
        <v>17</v>
      </c>
      <c r="G2177" s="7" t="s">
        <v>18</v>
      </c>
      <c r="H2177" s="7" t="s">
        <v>689</v>
      </c>
      <c r="I2177" s="7" t="s">
        <v>712</v>
      </c>
      <c r="J2177" s="7" t="s">
        <v>712</v>
      </c>
      <c r="K2177" s="8">
        <v>6068360</v>
      </c>
      <c r="L2177" s="8">
        <v>274071</v>
      </c>
      <c r="M2177" s="8">
        <v>19</v>
      </c>
      <c r="N2177" s="8">
        <v>1</v>
      </c>
      <c r="O2177" s="8">
        <v>2.5</v>
      </c>
      <c r="P2177" s="8"/>
    </row>
    <row r="2178" spans="1:16" hidden="1" x14ac:dyDescent="0.25">
      <c r="A2178" s="7" t="s">
        <v>14</v>
      </c>
      <c r="B2178" s="7" t="s">
        <v>181</v>
      </c>
      <c r="C2178" s="8">
        <v>28890</v>
      </c>
      <c r="D2178" s="7" t="s">
        <v>119</v>
      </c>
      <c r="E2178" s="7" t="s">
        <v>199</v>
      </c>
      <c r="F2178" s="7" t="s">
        <v>200</v>
      </c>
      <c r="G2178" s="7" t="s">
        <v>43</v>
      </c>
      <c r="H2178" s="7" t="s">
        <v>689</v>
      </c>
      <c r="I2178" s="7" t="s">
        <v>690</v>
      </c>
      <c r="J2178" s="7" t="s">
        <v>690</v>
      </c>
      <c r="K2178" s="8">
        <v>5682830</v>
      </c>
      <c r="L2178" s="8">
        <v>657989</v>
      </c>
      <c r="M2178" s="8">
        <v>18</v>
      </c>
      <c r="N2178" s="8">
        <v>1</v>
      </c>
      <c r="O2178" s="8">
        <v>0.6</v>
      </c>
      <c r="P2178" s="8"/>
    </row>
    <row r="2179" spans="1:16" hidden="1" x14ac:dyDescent="0.25">
      <c r="A2179" s="7" t="s">
        <v>14</v>
      </c>
      <c r="B2179" s="7" t="s">
        <v>181</v>
      </c>
      <c r="C2179" s="8">
        <v>28891</v>
      </c>
      <c r="D2179" s="7" t="s">
        <v>119</v>
      </c>
      <c r="E2179" s="7" t="s">
        <v>199</v>
      </c>
      <c r="F2179" s="7" t="s">
        <v>236</v>
      </c>
      <c r="G2179" s="7" t="s">
        <v>43</v>
      </c>
      <c r="H2179" s="7" t="s">
        <v>689</v>
      </c>
      <c r="I2179" s="7" t="s">
        <v>690</v>
      </c>
      <c r="J2179" s="7" t="s">
        <v>690</v>
      </c>
      <c r="K2179" s="8">
        <v>5687467</v>
      </c>
      <c r="L2179" s="8">
        <v>668359</v>
      </c>
      <c r="M2179" s="8">
        <v>18</v>
      </c>
      <c r="N2179" s="8">
        <v>1</v>
      </c>
      <c r="O2179" s="8">
        <v>0.8</v>
      </c>
      <c r="P2179" s="8"/>
    </row>
    <row r="2180" spans="1:16" hidden="1" x14ac:dyDescent="0.25">
      <c r="A2180" s="7" t="s">
        <v>14</v>
      </c>
      <c r="B2180" s="7" t="s">
        <v>181</v>
      </c>
      <c r="C2180" s="8">
        <v>28892</v>
      </c>
      <c r="D2180" s="7" t="s">
        <v>119</v>
      </c>
      <c r="E2180" s="7" t="s">
        <v>199</v>
      </c>
      <c r="F2180" s="7" t="s">
        <v>237</v>
      </c>
      <c r="G2180" s="7" t="s">
        <v>43</v>
      </c>
      <c r="H2180" s="7" t="s">
        <v>689</v>
      </c>
      <c r="I2180" s="7" t="s">
        <v>690</v>
      </c>
      <c r="J2180" s="7" t="s">
        <v>690</v>
      </c>
      <c r="K2180" s="8">
        <v>5679750</v>
      </c>
      <c r="L2180" s="8">
        <v>662859</v>
      </c>
      <c r="M2180" s="8">
        <v>18</v>
      </c>
      <c r="N2180" s="8">
        <v>1</v>
      </c>
      <c r="O2180" s="8">
        <v>0.9</v>
      </c>
      <c r="P2180" s="8"/>
    </row>
    <row r="2181" spans="1:16" hidden="1" x14ac:dyDescent="0.25">
      <c r="A2181" s="7" t="s">
        <v>14</v>
      </c>
      <c r="B2181" s="7" t="s">
        <v>415</v>
      </c>
      <c r="C2181" s="8">
        <v>28893</v>
      </c>
      <c r="D2181" s="7" t="s">
        <v>28</v>
      </c>
      <c r="E2181" s="7" t="s">
        <v>29</v>
      </c>
      <c r="F2181" s="7" t="s">
        <v>351</v>
      </c>
      <c r="G2181" s="7" t="s">
        <v>18</v>
      </c>
      <c r="H2181" s="7" t="s">
        <v>689</v>
      </c>
      <c r="I2181" s="7" t="s">
        <v>712</v>
      </c>
      <c r="J2181" s="7" t="s">
        <v>712</v>
      </c>
      <c r="K2181" s="8">
        <v>6245259</v>
      </c>
      <c r="L2181" s="8">
        <v>331113</v>
      </c>
      <c r="M2181" s="8">
        <v>19</v>
      </c>
      <c r="N2181" s="8">
        <v>1</v>
      </c>
      <c r="O2181" s="8">
        <v>0.22</v>
      </c>
      <c r="P2181" s="8"/>
    </row>
    <row r="2182" spans="1:16" x14ac:dyDescent="0.25">
      <c r="A2182" s="7" t="s">
        <v>14</v>
      </c>
      <c r="B2182" s="7" t="s">
        <v>713</v>
      </c>
      <c r="C2182" s="8">
        <v>28894</v>
      </c>
      <c r="D2182" s="7" t="s">
        <v>16</v>
      </c>
      <c r="E2182" s="7" t="s">
        <v>17</v>
      </c>
      <c r="F2182" s="7" t="s">
        <v>17</v>
      </c>
      <c r="G2182" s="7" t="s">
        <v>18</v>
      </c>
      <c r="H2182" s="7" t="s">
        <v>689</v>
      </c>
      <c r="I2182" s="7" t="s">
        <v>712</v>
      </c>
      <c r="J2182" s="7" t="s">
        <v>712</v>
      </c>
      <c r="K2182" s="8">
        <v>6068360</v>
      </c>
      <c r="L2182" s="8">
        <v>274071</v>
      </c>
      <c r="M2182" s="8">
        <v>19</v>
      </c>
      <c r="N2182" s="8">
        <v>1</v>
      </c>
      <c r="O2182" s="8">
        <v>0.6</v>
      </c>
      <c r="P2182" s="8"/>
    </row>
    <row r="2183" spans="1:16" hidden="1" x14ac:dyDescent="0.25">
      <c r="A2183" s="7" t="s">
        <v>14</v>
      </c>
      <c r="B2183" s="7" t="s">
        <v>415</v>
      </c>
      <c r="C2183" s="8">
        <v>28896</v>
      </c>
      <c r="D2183" s="7" t="s">
        <v>28</v>
      </c>
      <c r="E2183" s="7" t="s">
        <v>56</v>
      </c>
      <c r="F2183" s="7" t="s">
        <v>162</v>
      </c>
      <c r="G2183" s="7" t="s">
        <v>18</v>
      </c>
      <c r="H2183" s="7" t="s">
        <v>689</v>
      </c>
      <c r="I2183" s="7" t="s">
        <v>712</v>
      </c>
      <c r="J2183" s="7" t="s">
        <v>712</v>
      </c>
      <c r="K2183" s="8">
        <v>6259019</v>
      </c>
      <c r="L2183" s="8">
        <v>332664</v>
      </c>
      <c r="M2183" s="8">
        <v>19</v>
      </c>
      <c r="N2183" s="8">
        <v>1</v>
      </c>
      <c r="O2183" s="8">
        <v>0.15</v>
      </c>
      <c r="P2183" s="8"/>
    </row>
    <row r="2184" spans="1:16" x14ac:dyDescent="0.25">
      <c r="A2184" s="7" t="s">
        <v>14</v>
      </c>
      <c r="B2184" s="7" t="s">
        <v>713</v>
      </c>
      <c r="C2184" s="8">
        <v>28897</v>
      </c>
      <c r="D2184" s="7" t="s">
        <v>16</v>
      </c>
      <c r="E2184" s="7" t="s">
        <v>17</v>
      </c>
      <c r="F2184" s="7" t="s">
        <v>17</v>
      </c>
      <c r="G2184" s="7" t="s">
        <v>18</v>
      </c>
      <c r="H2184" s="7" t="s">
        <v>689</v>
      </c>
      <c r="I2184" s="7" t="s">
        <v>712</v>
      </c>
      <c r="J2184" s="7" t="s">
        <v>712</v>
      </c>
      <c r="K2184" s="8">
        <v>6068360</v>
      </c>
      <c r="L2184" s="8">
        <v>274071</v>
      </c>
      <c r="M2184" s="8">
        <v>19</v>
      </c>
      <c r="N2184" s="8">
        <v>1</v>
      </c>
      <c r="O2184" s="8">
        <v>0.7</v>
      </c>
      <c r="P2184" s="8"/>
    </row>
    <row r="2185" spans="1:16" hidden="1" x14ac:dyDescent="0.25">
      <c r="A2185" s="7" t="s">
        <v>19</v>
      </c>
      <c r="B2185" s="7" t="s">
        <v>41</v>
      </c>
      <c r="C2185" s="8">
        <v>28898</v>
      </c>
      <c r="D2185" s="7" t="s">
        <v>34</v>
      </c>
      <c r="E2185" s="7" t="s">
        <v>35</v>
      </c>
      <c r="F2185" s="7" t="s">
        <v>64</v>
      </c>
      <c r="G2185" s="7" t="s">
        <v>65</v>
      </c>
      <c r="H2185" s="7" t="s">
        <v>66</v>
      </c>
      <c r="I2185" s="7" t="s">
        <v>712</v>
      </c>
      <c r="J2185" s="7" t="s">
        <v>712</v>
      </c>
      <c r="K2185" s="8">
        <v>5847166</v>
      </c>
      <c r="L2185" s="8">
        <v>715188</v>
      </c>
      <c r="M2185" s="8">
        <v>18</v>
      </c>
      <c r="N2185" s="8">
        <v>8</v>
      </c>
      <c r="O2185" s="8">
        <v>31.8</v>
      </c>
      <c r="P2185" s="8"/>
    </row>
    <row r="2186" spans="1:16" hidden="1" x14ac:dyDescent="0.25">
      <c r="A2186" s="7" t="s">
        <v>19</v>
      </c>
      <c r="B2186" s="7" t="s">
        <v>41</v>
      </c>
      <c r="C2186" s="8">
        <v>28900</v>
      </c>
      <c r="D2186" s="7" t="s">
        <v>34</v>
      </c>
      <c r="E2186" s="7" t="s">
        <v>35</v>
      </c>
      <c r="F2186" s="7" t="s">
        <v>67</v>
      </c>
      <c r="G2186" s="7" t="s">
        <v>65</v>
      </c>
      <c r="H2186" s="7" t="s">
        <v>66</v>
      </c>
      <c r="I2186" s="7" t="s">
        <v>712</v>
      </c>
      <c r="J2186" s="7" t="s">
        <v>712</v>
      </c>
      <c r="K2186" s="8">
        <v>5844524</v>
      </c>
      <c r="L2186" s="8">
        <v>743278</v>
      </c>
      <c r="M2186" s="8">
        <v>18</v>
      </c>
      <c r="N2186" s="8">
        <v>1</v>
      </c>
      <c r="O2186" s="8">
        <v>9</v>
      </c>
      <c r="P2186" s="8"/>
    </row>
    <row r="2187" spans="1:16" hidden="1" x14ac:dyDescent="0.25">
      <c r="A2187" s="7" t="s">
        <v>37</v>
      </c>
      <c r="B2187" s="7" t="s">
        <v>415</v>
      </c>
      <c r="C2187" s="8">
        <v>28902</v>
      </c>
      <c r="D2187" s="7" t="s">
        <v>28</v>
      </c>
      <c r="E2187" s="7" t="s">
        <v>364</v>
      </c>
      <c r="F2187" s="7" t="s">
        <v>550</v>
      </c>
      <c r="G2187" s="7" t="s">
        <v>18</v>
      </c>
      <c r="H2187" s="7" t="s">
        <v>109</v>
      </c>
      <c r="I2187" s="7" t="s">
        <v>712</v>
      </c>
      <c r="J2187" s="7" t="s">
        <v>691</v>
      </c>
      <c r="K2187" s="8">
        <v>6295462</v>
      </c>
      <c r="L2187" s="8">
        <v>336147</v>
      </c>
      <c r="M2187" s="8">
        <v>19</v>
      </c>
      <c r="N2187" s="8">
        <v>1</v>
      </c>
      <c r="O2187" s="8">
        <v>0.12</v>
      </c>
      <c r="P2187" s="8"/>
    </row>
    <row r="2188" spans="1:16" hidden="1" x14ac:dyDescent="0.25">
      <c r="A2188" s="7" t="s">
        <v>37</v>
      </c>
      <c r="B2188" s="7" t="s">
        <v>41</v>
      </c>
      <c r="C2188" s="8">
        <v>28903</v>
      </c>
      <c r="D2188" s="7" t="s">
        <v>34</v>
      </c>
      <c r="E2188" s="7" t="s">
        <v>35</v>
      </c>
      <c r="F2188" s="7" t="s">
        <v>67</v>
      </c>
      <c r="G2188" s="7" t="s">
        <v>65</v>
      </c>
      <c r="H2188" s="7" t="s">
        <v>66</v>
      </c>
      <c r="I2188" s="7" t="s">
        <v>712</v>
      </c>
      <c r="J2188" s="7" t="s">
        <v>712</v>
      </c>
      <c r="K2188" s="8">
        <v>5844843</v>
      </c>
      <c r="L2188" s="8">
        <v>743026</v>
      </c>
      <c r="M2188" s="8">
        <v>18</v>
      </c>
      <c r="N2188" s="8">
        <v>1</v>
      </c>
      <c r="O2188" s="8">
        <v>23</v>
      </c>
      <c r="P2188" s="8"/>
    </row>
    <row r="2189" spans="1:16" hidden="1" x14ac:dyDescent="0.25">
      <c r="A2189" s="7" t="s">
        <v>37</v>
      </c>
      <c r="B2189" s="7" t="s">
        <v>415</v>
      </c>
      <c r="C2189" s="8">
        <v>28905</v>
      </c>
      <c r="D2189" s="7" t="s">
        <v>28</v>
      </c>
      <c r="E2189" s="7" t="s">
        <v>387</v>
      </c>
      <c r="F2189" s="7" t="s">
        <v>435</v>
      </c>
      <c r="G2189" s="7" t="s">
        <v>18</v>
      </c>
      <c r="H2189" s="7" t="s">
        <v>24</v>
      </c>
      <c r="I2189" s="7" t="s">
        <v>712</v>
      </c>
      <c r="J2189" s="7" t="s">
        <v>712</v>
      </c>
      <c r="K2189" s="8">
        <v>6302878</v>
      </c>
      <c r="L2189" s="8">
        <v>326612</v>
      </c>
      <c r="M2189" s="8">
        <v>19</v>
      </c>
      <c r="N2189" s="8">
        <v>1</v>
      </c>
      <c r="O2189" s="8">
        <v>7.0000000000000007E-2</v>
      </c>
      <c r="P2189" s="8"/>
    </row>
    <row r="2190" spans="1:16" hidden="1" x14ac:dyDescent="0.25">
      <c r="A2190" s="7" t="s">
        <v>37</v>
      </c>
      <c r="B2190" s="7" t="s">
        <v>415</v>
      </c>
      <c r="C2190" s="8">
        <v>28906</v>
      </c>
      <c r="D2190" s="7" t="s">
        <v>28</v>
      </c>
      <c r="E2190" s="7" t="s">
        <v>142</v>
      </c>
      <c r="F2190" s="7" t="s">
        <v>463</v>
      </c>
      <c r="G2190" s="7" t="s">
        <v>18</v>
      </c>
      <c r="H2190" s="7" t="s">
        <v>24</v>
      </c>
      <c r="I2190" s="7" t="s">
        <v>712</v>
      </c>
      <c r="J2190" s="7" t="s">
        <v>712</v>
      </c>
      <c r="K2190" s="8">
        <v>6275113</v>
      </c>
      <c r="L2190" s="8">
        <v>336124</v>
      </c>
      <c r="M2190" s="8">
        <v>19</v>
      </c>
      <c r="N2190" s="8">
        <v>1</v>
      </c>
      <c r="O2190" s="8">
        <v>7.0000000000000007E-2</v>
      </c>
      <c r="P2190" s="8"/>
    </row>
    <row r="2191" spans="1:16" hidden="1" x14ac:dyDescent="0.25">
      <c r="A2191" s="7" t="s">
        <v>19</v>
      </c>
      <c r="B2191" s="7" t="s">
        <v>41</v>
      </c>
      <c r="C2191" s="8">
        <v>28907</v>
      </c>
      <c r="D2191" s="7" t="s">
        <v>34</v>
      </c>
      <c r="E2191" s="7" t="s">
        <v>35</v>
      </c>
      <c r="F2191" s="7" t="s">
        <v>68</v>
      </c>
      <c r="G2191" s="7" t="s">
        <v>65</v>
      </c>
      <c r="H2191" s="7" t="s">
        <v>66</v>
      </c>
      <c r="I2191" s="7" t="s">
        <v>712</v>
      </c>
      <c r="J2191" s="7" t="s">
        <v>712</v>
      </c>
      <c r="K2191" s="8">
        <v>5828920</v>
      </c>
      <c r="L2191" s="8">
        <v>737227</v>
      </c>
      <c r="M2191" s="8">
        <v>18</v>
      </c>
      <c r="N2191" s="8">
        <v>3</v>
      </c>
      <c r="O2191" s="8">
        <v>14.2</v>
      </c>
      <c r="P2191" s="8"/>
    </row>
    <row r="2192" spans="1:16" hidden="1" x14ac:dyDescent="0.25">
      <c r="A2192" s="7" t="s">
        <v>19</v>
      </c>
      <c r="B2192" s="7" t="s">
        <v>41</v>
      </c>
      <c r="C2192" s="8">
        <v>28908</v>
      </c>
      <c r="D2192" s="7" t="s">
        <v>34</v>
      </c>
      <c r="E2192" s="7" t="s">
        <v>35</v>
      </c>
      <c r="F2192" s="7" t="s">
        <v>69</v>
      </c>
      <c r="G2192" s="7" t="s">
        <v>65</v>
      </c>
      <c r="H2192" s="7" t="s">
        <v>66</v>
      </c>
      <c r="I2192" s="7" t="s">
        <v>712</v>
      </c>
      <c r="J2192" s="7" t="s">
        <v>712</v>
      </c>
      <c r="K2192" s="8">
        <v>5845837</v>
      </c>
      <c r="L2192" s="8">
        <v>730513</v>
      </c>
      <c r="M2192" s="8">
        <v>18</v>
      </c>
      <c r="N2192" s="8">
        <v>2</v>
      </c>
      <c r="O2192" s="8">
        <v>19</v>
      </c>
      <c r="P2192" s="8"/>
    </row>
    <row r="2193" spans="1:16" hidden="1" x14ac:dyDescent="0.25">
      <c r="A2193" s="7" t="s">
        <v>19</v>
      </c>
      <c r="B2193" s="7" t="s">
        <v>41</v>
      </c>
      <c r="C2193" s="8">
        <v>28909</v>
      </c>
      <c r="D2193" s="7" t="s">
        <v>34</v>
      </c>
      <c r="E2193" s="7" t="s">
        <v>35</v>
      </c>
      <c r="F2193" s="7" t="s">
        <v>69</v>
      </c>
      <c r="G2193" s="7" t="s">
        <v>65</v>
      </c>
      <c r="H2193" s="7" t="s">
        <v>66</v>
      </c>
      <c r="I2193" s="7" t="s">
        <v>712</v>
      </c>
      <c r="J2193" s="7" t="s">
        <v>712</v>
      </c>
      <c r="K2193" s="8">
        <v>5845977</v>
      </c>
      <c r="L2193" s="8">
        <v>730917</v>
      </c>
      <c r="M2193" s="8">
        <v>18</v>
      </c>
      <c r="N2193" s="8">
        <v>4</v>
      </c>
      <c r="O2193" s="8">
        <v>17</v>
      </c>
      <c r="P2193" s="8"/>
    </row>
    <row r="2194" spans="1:16" hidden="1" x14ac:dyDescent="0.25">
      <c r="A2194" s="7" t="s">
        <v>19</v>
      </c>
      <c r="B2194" s="7" t="s">
        <v>41</v>
      </c>
      <c r="C2194" s="8">
        <v>28913</v>
      </c>
      <c r="D2194" s="7" t="s">
        <v>34</v>
      </c>
      <c r="E2194" s="7" t="s">
        <v>35</v>
      </c>
      <c r="F2194" s="7" t="s">
        <v>70</v>
      </c>
      <c r="G2194" s="7" t="s">
        <v>65</v>
      </c>
      <c r="H2194" s="7" t="s">
        <v>66</v>
      </c>
      <c r="I2194" s="7" t="s">
        <v>712</v>
      </c>
      <c r="J2194" s="7" t="s">
        <v>712</v>
      </c>
      <c r="K2194" s="8">
        <v>5853406</v>
      </c>
      <c r="L2194" s="8">
        <v>740840</v>
      </c>
      <c r="M2194" s="8">
        <v>18</v>
      </c>
      <c r="N2194" s="8">
        <v>1</v>
      </c>
      <c r="O2194" s="8">
        <v>7</v>
      </c>
      <c r="P2194" s="8"/>
    </row>
    <row r="2195" spans="1:16" hidden="1" x14ac:dyDescent="0.25">
      <c r="A2195" s="7" t="s">
        <v>19</v>
      </c>
      <c r="B2195" s="7" t="s">
        <v>41</v>
      </c>
      <c r="C2195" s="8">
        <v>28914</v>
      </c>
      <c r="D2195" s="7" t="s">
        <v>34</v>
      </c>
      <c r="E2195" s="7" t="s">
        <v>35</v>
      </c>
      <c r="F2195" s="7" t="s">
        <v>70</v>
      </c>
      <c r="G2195" s="7" t="s">
        <v>65</v>
      </c>
      <c r="H2195" s="7" t="s">
        <v>66</v>
      </c>
      <c r="I2195" s="7" t="s">
        <v>712</v>
      </c>
      <c r="J2195" s="7" t="s">
        <v>712</v>
      </c>
      <c r="K2195" s="8">
        <v>5853438</v>
      </c>
      <c r="L2195" s="8">
        <v>740347</v>
      </c>
      <c r="M2195" s="8">
        <v>18</v>
      </c>
      <c r="N2195" s="8">
        <v>1</v>
      </c>
      <c r="O2195" s="8">
        <v>7</v>
      </c>
      <c r="P2195" s="8"/>
    </row>
    <row r="2196" spans="1:16" hidden="1" x14ac:dyDescent="0.25">
      <c r="A2196" s="7" t="s">
        <v>19</v>
      </c>
      <c r="B2196" s="7" t="s">
        <v>41</v>
      </c>
      <c r="C2196" s="8">
        <v>28915</v>
      </c>
      <c r="D2196" s="7" t="s">
        <v>34</v>
      </c>
      <c r="E2196" s="7" t="s">
        <v>35</v>
      </c>
      <c r="F2196" s="7" t="s">
        <v>70</v>
      </c>
      <c r="G2196" s="7" t="s">
        <v>65</v>
      </c>
      <c r="H2196" s="7" t="s">
        <v>66</v>
      </c>
      <c r="I2196" s="7" t="s">
        <v>712</v>
      </c>
      <c r="J2196" s="7" t="s">
        <v>712</v>
      </c>
      <c r="K2196" s="8">
        <v>5852007</v>
      </c>
      <c r="L2196" s="8">
        <v>740257</v>
      </c>
      <c r="M2196" s="8">
        <v>18</v>
      </c>
      <c r="N2196" s="8">
        <v>1</v>
      </c>
      <c r="O2196" s="8">
        <v>13</v>
      </c>
      <c r="P2196" s="8"/>
    </row>
    <row r="2197" spans="1:16" hidden="1" x14ac:dyDescent="0.25">
      <c r="A2197" s="7" t="s">
        <v>19</v>
      </c>
      <c r="B2197" s="7" t="s">
        <v>41</v>
      </c>
      <c r="C2197" s="8">
        <v>28916</v>
      </c>
      <c r="D2197" s="7" t="s">
        <v>34</v>
      </c>
      <c r="E2197" s="7" t="s">
        <v>35</v>
      </c>
      <c r="F2197" s="7" t="s">
        <v>64</v>
      </c>
      <c r="G2197" s="7" t="s">
        <v>65</v>
      </c>
      <c r="H2197" s="7" t="s">
        <v>66</v>
      </c>
      <c r="I2197" s="7" t="s">
        <v>712</v>
      </c>
      <c r="J2197" s="7" t="s">
        <v>712</v>
      </c>
      <c r="K2197" s="8">
        <v>5850339</v>
      </c>
      <c r="L2197" s="8">
        <v>718138</v>
      </c>
      <c r="M2197" s="8">
        <v>18</v>
      </c>
      <c r="N2197" s="8">
        <v>4</v>
      </c>
      <c r="O2197" s="8">
        <v>17</v>
      </c>
      <c r="P2197" s="8"/>
    </row>
    <row r="2198" spans="1:16" hidden="1" x14ac:dyDescent="0.25">
      <c r="A2198" s="7" t="s">
        <v>19</v>
      </c>
      <c r="B2198" s="7" t="s">
        <v>41</v>
      </c>
      <c r="C2198" s="8">
        <v>28917</v>
      </c>
      <c r="D2198" s="7" t="s">
        <v>34</v>
      </c>
      <c r="E2198" s="7" t="s">
        <v>35</v>
      </c>
      <c r="F2198" s="7" t="s">
        <v>64</v>
      </c>
      <c r="G2198" s="7" t="s">
        <v>65</v>
      </c>
      <c r="H2198" s="7" t="s">
        <v>66</v>
      </c>
      <c r="I2198" s="7" t="s">
        <v>712</v>
      </c>
      <c r="J2198" s="7" t="s">
        <v>712</v>
      </c>
      <c r="K2198" s="8">
        <v>5850389</v>
      </c>
      <c r="L2198" s="8">
        <v>723762</v>
      </c>
      <c r="M2198" s="8">
        <v>18</v>
      </c>
      <c r="N2198" s="8">
        <v>1</v>
      </c>
      <c r="O2198" s="8">
        <v>30</v>
      </c>
      <c r="P2198" s="8"/>
    </row>
    <row r="2199" spans="1:16" hidden="1" x14ac:dyDescent="0.25">
      <c r="A2199" s="7" t="s">
        <v>19</v>
      </c>
      <c r="B2199" s="7" t="s">
        <v>41</v>
      </c>
      <c r="C2199" s="8">
        <v>28918</v>
      </c>
      <c r="D2199" s="7" t="s">
        <v>34</v>
      </c>
      <c r="E2199" s="7" t="s">
        <v>71</v>
      </c>
      <c r="F2199" s="7" t="s">
        <v>71</v>
      </c>
      <c r="G2199" s="7" t="s">
        <v>65</v>
      </c>
      <c r="H2199" s="7" t="s">
        <v>66</v>
      </c>
      <c r="I2199" s="7" t="s">
        <v>712</v>
      </c>
      <c r="J2199" s="7" t="s">
        <v>712</v>
      </c>
      <c r="K2199" s="8">
        <v>5829637</v>
      </c>
      <c r="L2199" s="8">
        <v>751580</v>
      </c>
      <c r="M2199" s="8">
        <v>18</v>
      </c>
      <c r="N2199" s="8">
        <v>1</v>
      </c>
      <c r="O2199" s="8">
        <v>10</v>
      </c>
      <c r="P2199" s="8"/>
    </row>
    <row r="2200" spans="1:16" hidden="1" x14ac:dyDescent="0.25">
      <c r="A2200" s="7" t="s">
        <v>19</v>
      </c>
      <c r="B2200" s="7" t="s">
        <v>41</v>
      </c>
      <c r="C2200" s="8">
        <v>28919</v>
      </c>
      <c r="D2200" s="7" t="s">
        <v>34</v>
      </c>
      <c r="E2200" s="7" t="s">
        <v>71</v>
      </c>
      <c r="F2200" s="7" t="s">
        <v>71</v>
      </c>
      <c r="G2200" s="7" t="s">
        <v>65</v>
      </c>
      <c r="H2200" s="7" t="s">
        <v>66</v>
      </c>
      <c r="I2200" s="7" t="s">
        <v>712</v>
      </c>
      <c r="J2200" s="7" t="s">
        <v>712</v>
      </c>
      <c r="K2200" s="8">
        <v>5829033</v>
      </c>
      <c r="L2200" s="8">
        <v>751442</v>
      </c>
      <c r="M2200" s="8">
        <v>18</v>
      </c>
      <c r="N2200" s="8">
        <v>3</v>
      </c>
      <c r="O2200" s="8">
        <v>15</v>
      </c>
      <c r="P2200" s="8"/>
    </row>
    <row r="2201" spans="1:16" hidden="1" x14ac:dyDescent="0.25">
      <c r="A2201" s="7" t="s">
        <v>14</v>
      </c>
      <c r="B2201" s="7" t="s">
        <v>415</v>
      </c>
      <c r="C2201" s="8">
        <v>28922</v>
      </c>
      <c r="D2201" s="7" t="s">
        <v>28</v>
      </c>
      <c r="E2201" s="7" t="s">
        <v>56</v>
      </c>
      <c r="F2201" s="7" t="s">
        <v>162</v>
      </c>
      <c r="G2201" s="7" t="s">
        <v>18</v>
      </c>
      <c r="H2201" s="7" t="s">
        <v>689</v>
      </c>
      <c r="I2201" s="7" t="s">
        <v>712</v>
      </c>
      <c r="J2201" s="7" t="s">
        <v>712</v>
      </c>
      <c r="K2201" s="8">
        <v>6259408</v>
      </c>
      <c r="L2201" s="8">
        <v>332435</v>
      </c>
      <c r="M2201" s="8">
        <v>19</v>
      </c>
      <c r="N2201" s="8">
        <v>1</v>
      </c>
      <c r="O2201" s="8">
        <v>0.32</v>
      </c>
      <c r="P2201" s="8"/>
    </row>
    <row r="2202" spans="1:16" hidden="1" x14ac:dyDescent="0.25">
      <c r="A2202" s="7" t="s">
        <v>14</v>
      </c>
      <c r="B2202" s="7" t="s">
        <v>415</v>
      </c>
      <c r="C2202" s="8">
        <v>28923</v>
      </c>
      <c r="D2202" s="7" t="s">
        <v>28</v>
      </c>
      <c r="E2202" s="7" t="s">
        <v>56</v>
      </c>
      <c r="F2202" s="7" t="s">
        <v>439</v>
      </c>
      <c r="G2202" s="7" t="s">
        <v>18</v>
      </c>
      <c r="H2202" s="7" t="s">
        <v>689</v>
      </c>
      <c r="I2202" s="7" t="s">
        <v>712</v>
      </c>
      <c r="J2202" s="7" t="s">
        <v>712</v>
      </c>
      <c r="K2202" s="8">
        <v>6261773</v>
      </c>
      <c r="L2202" s="8">
        <v>336135</v>
      </c>
      <c r="M2202" s="8">
        <v>19</v>
      </c>
      <c r="N2202" s="8">
        <v>1</v>
      </c>
      <c r="O2202" s="8">
        <v>0.41</v>
      </c>
      <c r="P2202" s="8"/>
    </row>
    <row r="2203" spans="1:16" hidden="1" x14ac:dyDescent="0.25">
      <c r="A2203" s="7" t="s">
        <v>19</v>
      </c>
      <c r="B2203" s="7" t="s">
        <v>254</v>
      </c>
      <c r="C2203" s="8">
        <v>28924</v>
      </c>
      <c r="D2203" s="7" t="s">
        <v>52</v>
      </c>
      <c r="E2203" s="7" t="s">
        <v>141</v>
      </c>
      <c r="F2203" s="7" t="s">
        <v>277</v>
      </c>
      <c r="G2203" s="7" t="s">
        <v>18</v>
      </c>
      <c r="H2203" s="7" t="s">
        <v>66</v>
      </c>
      <c r="I2203" s="7" t="s">
        <v>712</v>
      </c>
      <c r="J2203" s="7" t="s">
        <v>712</v>
      </c>
      <c r="K2203" s="8">
        <v>6220739</v>
      </c>
      <c r="L2203" s="8">
        <v>328236</v>
      </c>
      <c r="M2203" s="8">
        <v>19</v>
      </c>
      <c r="N2203" s="8">
        <v>1</v>
      </c>
      <c r="O2203" s="8">
        <v>0.46</v>
      </c>
      <c r="P2203" s="8"/>
    </row>
    <row r="2204" spans="1:16" hidden="1" x14ac:dyDescent="0.25">
      <c r="A2204" s="7" t="s">
        <v>19</v>
      </c>
      <c r="B2204" s="7" t="s">
        <v>254</v>
      </c>
      <c r="C2204" s="8">
        <v>28925</v>
      </c>
      <c r="D2204" s="7" t="s">
        <v>52</v>
      </c>
      <c r="E2204" s="7" t="s">
        <v>141</v>
      </c>
      <c r="F2204" s="7" t="s">
        <v>277</v>
      </c>
      <c r="G2204" s="7" t="s">
        <v>18</v>
      </c>
      <c r="H2204" s="7" t="s">
        <v>66</v>
      </c>
      <c r="I2204" s="7" t="s">
        <v>712</v>
      </c>
      <c r="J2204" s="7" t="s">
        <v>712</v>
      </c>
      <c r="K2204" s="8">
        <v>6220739</v>
      </c>
      <c r="L2204" s="8">
        <v>328236</v>
      </c>
      <c r="M2204" s="8">
        <v>19</v>
      </c>
      <c r="N2204" s="8">
        <v>1</v>
      </c>
      <c r="O2204" s="8">
        <v>0.16</v>
      </c>
      <c r="P2204" s="8"/>
    </row>
    <row r="2205" spans="1:16" hidden="1" x14ac:dyDescent="0.25">
      <c r="A2205" s="7" t="s">
        <v>19</v>
      </c>
      <c r="B2205" s="7" t="s">
        <v>254</v>
      </c>
      <c r="C2205" s="8">
        <v>28926</v>
      </c>
      <c r="D2205" s="7" t="s">
        <v>52</v>
      </c>
      <c r="E2205" s="7" t="s">
        <v>141</v>
      </c>
      <c r="F2205" s="7" t="s">
        <v>277</v>
      </c>
      <c r="G2205" s="7" t="s">
        <v>18</v>
      </c>
      <c r="H2205" s="7" t="s">
        <v>66</v>
      </c>
      <c r="I2205" s="7" t="s">
        <v>712</v>
      </c>
      <c r="J2205" s="7" t="s">
        <v>712</v>
      </c>
      <c r="K2205" s="8">
        <v>6220739</v>
      </c>
      <c r="L2205" s="8">
        <v>328236</v>
      </c>
      <c r="M2205" s="8">
        <v>19</v>
      </c>
      <c r="N2205" s="8">
        <v>1</v>
      </c>
      <c r="O2205" s="8">
        <v>0.12</v>
      </c>
      <c r="P2205" s="8"/>
    </row>
    <row r="2206" spans="1:16" hidden="1" x14ac:dyDescent="0.25">
      <c r="A2206" s="7" t="s">
        <v>14</v>
      </c>
      <c r="B2206" s="7" t="s">
        <v>415</v>
      </c>
      <c r="C2206" s="8">
        <v>28927</v>
      </c>
      <c r="D2206" s="7" t="s">
        <v>28</v>
      </c>
      <c r="E2206" s="7" t="s">
        <v>56</v>
      </c>
      <c r="F2206" s="7" t="s">
        <v>378</v>
      </c>
      <c r="G2206" s="7" t="s">
        <v>18</v>
      </c>
      <c r="H2206" s="7" t="s">
        <v>689</v>
      </c>
      <c r="I2206" s="7" t="s">
        <v>712</v>
      </c>
      <c r="J2206" s="7" t="s">
        <v>712</v>
      </c>
      <c r="K2206" s="8">
        <v>6260453</v>
      </c>
      <c r="L2206" s="8">
        <v>331287</v>
      </c>
      <c r="M2206" s="8">
        <v>19</v>
      </c>
      <c r="N2206" s="8">
        <v>1</v>
      </c>
      <c r="O2206" s="8">
        <v>0.16</v>
      </c>
      <c r="P2206" s="8"/>
    </row>
    <row r="2207" spans="1:16" hidden="1" x14ac:dyDescent="0.25">
      <c r="A2207" s="7" t="s">
        <v>19</v>
      </c>
      <c r="B2207" s="7" t="s">
        <v>254</v>
      </c>
      <c r="C2207" s="8">
        <v>28928</v>
      </c>
      <c r="D2207" s="7" t="s">
        <v>52</v>
      </c>
      <c r="E2207" s="7" t="s">
        <v>141</v>
      </c>
      <c r="F2207" s="7" t="s">
        <v>277</v>
      </c>
      <c r="G2207" s="7" t="s">
        <v>18</v>
      </c>
      <c r="H2207" s="7" t="s">
        <v>66</v>
      </c>
      <c r="I2207" s="7" t="s">
        <v>712</v>
      </c>
      <c r="J2207" s="7" t="s">
        <v>712</v>
      </c>
      <c r="K2207" s="8">
        <v>6220739</v>
      </c>
      <c r="L2207" s="8">
        <v>328236</v>
      </c>
      <c r="M2207" s="8">
        <v>19</v>
      </c>
      <c r="N2207" s="8">
        <v>1</v>
      </c>
      <c r="O2207" s="8">
        <v>0.12</v>
      </c>
      <c r="P2207" s="8"/>
    </row>
    <row r="2208" spans="1:16" hidden="1" x14ac:dyDescent="0.25">
      <c r="A2208" s="7" t="s">
        <v>19</v>
      </c>
      <c r="B2208" s="7" t="s">
        <v>254</v>
      </c>
      <c r="C2208" s="8">
        <v>28929</v>
      </c>
      <c r="D2208" s="7" t="s">
        <v>52</v>
      </c>
      <c r="E2208" s="7" t="s">
        <v>141</v>
      </c>
      <c r="F2208" s="7" t="s">
        <v>277</v>
      </c>
      <c r="G2208" s="7" t="s">
        <v>18</v>
      </c>
      <c r="H2208" s="7" t="s">
        <v>66</v>
      </c>
      <c r="I2208" s="7" t="s">
        <v>712</v>
      </c>
      <c r="J2208" s="7" t="s">
        <v>712</v>
      </c>
      <c r="K2208" s="8">
        <v>6220739</v>
      </c>
      <c r="L2208" s="8">
        <v>328236</v>
      </c>
      <c r="M2208" s="8">
        <v>19</v>
      </c>
      <c r="N2208" s="8">
        <v>1</v>
      </c>
      <c r="O2208" s="8">
        <v>0.88</v>
      </c>
      <c r="P2208" s="8"/>
    </row>
    <row r="2209" spans="1:16" hidden="1" x14ac:dyDescent="0.25">
      <c r="A2209" s="7" t="s">
        <v>14</v>
      </c>
      <c r="B2209" s="7" t="s">
        <v>415</v>
      </c>
      <c r="C2209" s="8">
        <v>28930</v>
      </c>
      <c r="D2209" s="7" t="s">
        <v>28</v>
      </c>
      <c r="E2209" s="7" t="s">
        <v>56</v>
      </c>
      <c r="F2209" s="7" t="s">
        <v>378</v>
      </c>
      <c r="G2209" s="7" t="s">
        <v>18</v>
      </c>
      <c r="H2209" s="7" t="s">
        <v>689</v>
      </c>
      <c r="I2209" s="7" t="s">
        <v>712</v>
      </c>
      <c r="J2209" s="7" t="s">
        <v>712</v>
      </c>
      <c r="K2209" s="8">
        <v>6260347</v>
      </c>
      <c r="L2209" s="8">
        <v>331239</v>
      </c>
      <c r="M2209" s="8">
        <v>19</v>
      </c>
      <c r="N2209" s="8">
        <v>1</v>
      </c>
      <c r="O2209" s="8">
        <v>0.43</v>
      </c>
      <c r="P2209" s="8"/>
    </row>
    <row r="2210" spans="1:16" hidden="1" x14ac:dyDescent="0.25">
      <c r="A2210" s="7" t="s">
        <v>19</v>
      </c>
      <c r="B2210" s="7" t="s">
        <v>343</v>
      </c>
      <c r="C2210" s="8">
        <v>28931</v>
      </c>
      <c r="D2210" s="7" t="s">
        <v>28</v>
      </c>
      <c r="E2210" s="7" t="s">
        <v>29</v>
      </c>
      <c r="F2210" s="7" t="s">
        <v>162</v>
      </c>
      <c r="G2210" s="7" t="s">
        <v>65</v>
      </c>
      <c r="H2210" s="7" t="s">
        <v>24</v>
      </c>
      <c r="I2210" s="7" t="s">
        <v>712</v>
      </c>
      <c r="J2210" s="7" t="s">
        <v>712</v>
      </c>
      <c r="K2210" s="8">
        <v>6255542</v>
      </c>
      <c r="L2210" s="8">
        <v>334888</v>
      </c>
      <c r="M2210" s="8">
        <v>19</v>
      </c>
      <c r="N2210" s="8">
        <v>1</v>
      </c>
      <c r="O2210" s="8">
        <v>2</v>
      </c>
      <c r="P2210" s="8"/>
    </row>
    <row r="2211" spans="1:16" hidden="1" x14ac:dyDescent="0.25">
      <c r="A2211" s="7" t="s">
        <v>19</v>
      </c>
      <c r="B2211" s="7" t="s">
        <v>254</v>
      </c>
      <c r="C2211" s="8">
        <v>28932</v>
      </c>
      <c r="D2211" s="7" t="s">
        <v>52</v>
      </c>
      <c r="E2211" s="7" t="s">
        <v>141</v>
      </c>
      <c r="F2211" s="7" t="s">
        <v>277</v>
      </c>
      <c r="G2211" s="7" t="s">
        <v>18</v>
      </c>
      <c r="H2211" s="7" t="s">
        <v>66</v>
      </c>
      <c r="I2211" s="7" t="s">
        <v>712</v>
      </c>
      <c r="J2211" s="7" t="s">
        <v>712</v>
      </c>
      <c r="K2211" s="8">
        <v>6220739</v>
      </c>
      <c r="L2211" s="8">
        <v>328236</v>
      </c>
      <c r="M2211" s="8">
        <v>19</v>
      </c>
      <c r="N2211" s="8">
        <v>1</v>
      </c>
      <c r="O2211" s="8">
        <v>0.12</v>
      </c>
      <c r="P2211" s="8"/>
    </row>
    <row r="2212" spans="1:16" hidden="1" x14ac:dyDescent="0.25">
      <c r="A2212" s="7" t="s">
        <v>14</v>
      </c>
      <c r="B2212" s="7" t="s">
        <v>415</v>
      </c>
      <c r="C2212" s="8">
        <v>28933</v>
      </c>
      <c r="D2212" s="7" t="s">
        <v>28</v>
      </c>
      <c r="E2212" s="7" t="s">
        <v>56</v>
      </c>
      <c r="F2212" s="7" t="s">
        <v>162</v>
      </c>
      <c r="G2212" s="7" t="s">
        <v>18</v>
      </c>
      <c r="H2212" s="7" t="s">
        <v>689</v>
      </c>
      <c r="I2212" s="7" t="s">
        <v>712</v>
      </c>
      <c r="J2212" s="7" t="s">
        <v>712</v>
      </c>
      <c r="K2212" s="8">
        <v>6260239</v>
      </c>
      <c r="L2212" s="8">
        <v>332712</v>
      </c>
      <c r="M2212" s="8">
        <v>19</v>
      </c>
      <c r="N2212" s="8">
        <v>1</v>
      </c>
      <c r="O2212" s="8">
        <v>0.41</v>
      </c>
      <c r="P2212" s="8"/>
    </row>
    <row r="2213" spans="1:16" hidden="1" x14ac:dyDescent="0.25">
      <c r="A2213" s="7" t="s">
        <v>19</v>
      </c>
      <c r="B2213" s="7" t="s">
        <v>254</v>
      </c>
      <c r="C2213" s="8">
        <v>28935</v>
      </c>
      <c r="D2213" s="7" t="s">
        <v>52</v>
      </c>
      <c r="E2213" s="7" t="s">
        <v>141</v>
      </c>
      <c r="F2213" s="7" t="s">
        <v>277</v>
      </c>
      <c r="G2213" s="7" t="s">
        <v>18</v>
      </c>
      <c r="H2213" s="7" t="s">
        <v>66</v>
      </c>
      <c r="I2213" s="7" t="s">
        <v>712</v>
      </c>
      <c r="J2213" s="7" t="s">
        <v>712</v>
      </c>
      <c r="K2213" s="8">
        <v>6220739</v>
      </c>
      <c r="L2213" s="8">
        <v>328236</v>
      </c>
      <c r="M2213" s="8">
        <v>19</v>
      </c>
      <c r="N2213" s="8">
        <v>1</v>
      </c>
      <c r="O2213" s="8">
        <v>0.01</v>
      </c>
      <c r="P2213" s="8"/>
    </row>
    <row r="2214" spans="1:16" hidden="1" x14ac:dyDescent="0.25">
      <c r="A2214" s="7" t="s">
        <v>19</v>
      </c>
      <c r="B2214" s="7" t="s">
        <v>254</v>
      </c>
      <c r="C2214" s="8">
        <v>28937</v>
      </c>
      <c r="D2214" s="7" t="s">
        <v>52</v>
      </c>
      <c r="E2214" s="7" t="s">
        <v>141</v>
      </c>
      <c r="F2214" s="7" t="s">
        <v>277</v>
      </c>
      <c r="G2214" s="7" t="s">
        <v>18</v>
      </c>
      <c r="H2214" s="7" t="s">
        <v>66</v>
      </c>
      <c r="I2214" s="7" t="s">
        <v>712</v>
      </c>
      <c r="J2214" s="7" t="s">
        <v>712</v>
      </c>
      <c r="K2214" s="8">
        <v>6220739</v>
      </c>
      <c r="L2214" s="8">
        <v>328236</v>
      </c>
      <c r="M2214" s="8">
        <v>19</v>
      </c>
      <c r="N2214" s="8">
        <v>1</v>
      </c>
      <c r="O2214" s="8">
        <v>0.12</v>
      </c>
      <c r="P2214" s="8"/>
    </row>
    <row r="2215" spans="1:16" hidden="1" x14ac:dyDescent="0.25">
      <c r="A2215" s="7" t="s">
        <v>14</v>
      </c>
      <c r="B2215" s="7" t="s">
        <v>415</v>
      </c>
      <c r="C2215" s="8">
        <v>28938</v>
      </c>
      <c r="D2215" s="7" t="s">
        <v>28</v>
      </c>
      <c r="E2215" s="7" t="s">
        <v>56</v>
      </c>
      <c r="F2215" s="7" t="s">
        <v>162</v>
      </c>
      <c r="G2215" s="7" t="s">
        <v>18</v>
      </c>
      <c r="H2215" s="7" t="s">
        <v>689</v>
      </c>
      <c r="I2215" s="7" t="s">
        <v>712</v>
      </c>
      <c r="J2215" s="7" t="s">
        <v>712</v>
      </c>
      <c r="K2215" s="8">
        <v>6260048</v>
      </c>
      <c r="L2215" s="8">
        <v>332844</v>
      </c>
      <c r="M2215" s="8">
        <v>19</v>
      </c>
      <c r="N2215" s="8">
        <v>1</v>
      </c>
      <c r="O2215" s="8">
        <v>0.16</v>
      </c>
      <c r="P2215" s="8"/>
    </row>
    <row r="2216" spans="1:16" hidden="1" x14ac:dyDescent="0.25">
      <c r="A2216" s="7" t="s">
        <v>19</v>
      </c>
      <c r="B2216" s="7" t="s">
        <v>254</v>
      </c>
      <c r="C2216" s="8">
        <v>28940</v>
      </c>
      <c r="D2216" s="7" t="s">
        <v>52</v>
      </c>
      <c r="E2216" s="7" t="s">
        <v>141</v>
      </c>
      <c r="F2216" s="7" t="s">
        <v>277</v>
      </c>
      <c r="G2216" s="7" t="s">
        <v>18</v>
      </c>
      <c r="H2216" s="7" t="s">
        <v>66</v>
      </c>
      <c r="I2216" s="7" t="s">
        <v>712</v>
      </c>
      <c r="J2216" s="7" t="s">
        <v>712</v>
      </c>
      <c r="K2216" s="8">
        <v>6221392</v>
      </c>
      <c r="L2216" s="8">
        <v>328842</v>
      </c>
      <c r="M2216" s="8">
        <v>19</v>
      </c>
      <c r="N2216" s="8">
        <v>1</v>
      </c>
      <c r="O2216" s="8">
        <v>0.21</v>
      </c>
      <c r="P2216" s="8"/>
    </row>
    <row r="2217" spans="1:16" hidden="1" x14ac:dyDescent="0.25">
      <c r="A2217" s="7" t="s">
        <v>14</v>
      </c>
      <c r="B2217" s="7" t="s">
        <v>415</v>
      </c>
      <c r="C2217" s="8">
        <v>28941</v>
      </c>
      <c r="D2217" s="7" t="s">
        <v>28</v>
      </c>
      <c r="E2217" s="7" t="s">
        <v>56</v>
      </c>
      <c r="F2217" s="7" t="s">
        <v>162</v>
      </c>
      <c r="G2217" s="7" t="s">
        <v>18</v>
      </c>
      <c r="H2217" s="7" t="s">
        <v>689</v>
      </c>
      <c r="I2217" s="7" t="s">
        <v>712</v>
      </c>
      <c r="J2217" s="7" t="s">
        <v>712</v>
      </c>
      <c r="K2217" s="8">
        <v>6259465</v>
      </c>
      <c r="L2217" s="8">
        <v>332723</v>
      </c>
      <c r="M2217" s="8">
        <v>19</v>
      </c>
      <c r="N2217" s="8">
        <v>1</v>
      </c>
      <c r="O2217" s="8">
        <v>0.16</v>
      </c>
      <c r="P2217" s="8"/>
    </row>
    <row r="2218" spans="1:16" hidden="1" x14ac:dyDescent="0.25">
      <c r="A2218" s="7" t="s">
        <v>19</v>
      </c>
      <c r="B2218" s="7" t="s">
        <v>254</v>
      </c>
      <c r="C2218" s="8">
        <v>28942</v>
      </c>
      <c r="D2218" s="7" t="s">
        <v>52</v>
      </c>
      <c r="E2218" s="7" t="s">
        <v>141</v>
      </c>
      <c r="F2218" s="7" t="s">
        <v>277</v>
      </c>
      <c r="G2218" s="7" t="s">
        <v>18</v>
      </c>
      <c r="H2218" s="7" t="s">
        <v>66</v>
      </c>
      <c r="I2218" s="7" t="s">
        <v>712</v>
      </c>
      <c r="J2218" s="7" t="s">
        <v>712</v>
      </c>
      <c r="K2218" s="8">
        <v>6220454</v>
      </c>
      <c r="L2218" s="8">
        <v>328775</v>
      </c>
      <c r="M2218" s="8">
        <v>19</v>
      </c>
      <c r="N2218" s="8">
        <v>1</v>
      </c>
      <c r="O2218" s="8">
        <v>0.02</v>
      </c>
      <c r="P2218" s="8"/>
    </row>
    <row r="2219" spans="1:16" hidden="1" x14ac:dyDescent="0.25">
      <c r="A2219" s="7" t="s">
        <v>14</v>
      </c>
      <c r="B2219" s="7" t="s">
        <v>181</v>
      </c>
      <c r="C2219" s="8">
        <v>28943</v>
      </c>
      <c r="D2219" s="7" t="s">
        <v>119</v>
      </c>
      <c r="E2219" s="7" t="s">
        <v>197</v>
      </c>
      <c r="F2219" s="7" t="s">
        <v>197</v>
      </c>
      <c r="G2219" s="7" t="s">
        <v>43</v>
      </c>
      <c r="H2219" s="7" t="s">
        <v>689</v>
      </c>
      <c r="I2219" s="7" t="s">
        <v>690</v>
      </c>
      <c r="J2219" s="7" t="s">
        <v>690</v>
      </c>
      <c r="K2219" s="8">
        <v>5684373</v>
      </c>
      <c r="L2219" s="8">
        <v>701882</v>
      </c>
      <c r="M2219" s="8">
        <v>18</v>
      </c>
      <c r="N2219" s="8">
        <v>1</v>
      </c>
      <c r="O2219" s="8">
        <v>25</v>
      </c>
      <c r="P2219" s="8"/>
    </row>
    <row r="2220" spans="1:16" hidden="1" x14ac:dyDescent="0.25">
      <c r="A2220" s="7" t="s">
        <v>19</v>
      </c>
      <c r="B2220" s="7" t="s">
        <v>254</v>
      </c>
      <c r="C2220" s="8">
        <v>28945</v>
      </c>
      <c r="D2220" s="7" t="s">
        <v>52</v>
      </c>
      <c r="E2220" s="7" t="s">
        <v>141</v>
      </c>
      <c r="F2220" s="7" t="s">
        <v>277</v>
      </c>
      <c r="G2220" s="7" t="s">
        <v>18</v>
      </c>
      <c r="H2220" s="7" t="s">
        <v>66</v>
      </c>
      <c r="I2220" s="7" t="s">
        <v>712</v>
      </c>
      <c r="J2220" s="7" t="s">
        <v>712</v>
      </c>
      <c r="K2220" s="8">
        <v>6220454</v>
      </c>
      <c r="L2220" s="8">
        <v>328775</v>
      </c>
      <c r="M2220" s="8">
        <v>19</v>
      </c>
      <c r="N2220" s="8">
        <v>1</v>
      </c>
      <c r="O2220" s="8">
        <v>0.17</v>
      </c>
      <c r="P2220" s="8"/>
    </row>
    <row r="2221" spans="1:16" hidden="1" x14ac:dyDescent="0.25">
      <c r="A2221" s="7" t="s">
        <v>19</v>
      </c>
      <c r="B2221" s="7" t="s">
        <v>254</v>
      </c>
      <c r="C2221" s="8">
        <v>28947</v>
      </c>
      <c r="D2221" s="7" t="s">
        <v>52</v>
      </c>
      <c r="E2221" s="7" t="s">
        <v>141</v>
      </c>
      <c r="F2221" s="7" t="s">
        <v>277</v>
      </c>
      <c r="G2221" s="7" t="s">
        <v>18</v>
      </c>
      <c r="H2221" s="7" t="s">
        <v>66</v>
      </c>
      <c r="I2221" s="7" t="s">
        <v>712</v>
      </c>
      <c r="J2221" s="7" t="s">
        <v>712</v>
      </c>
      <c r="K2221" s="8">
        <v>6220454</v>
      </c>
      <c r="L2221" s="8">
        <v>328775</v>
      </c>
      <c r="M2221" s="8">
        <v>19</v>
      </c>
      <c r="N2221" s="8">
        <v>1</v>
      </c>
      <c r="O2221" s="8">
        <v>0.02</v>
      </c>
      <c r="P2221" s="8"/>
    </row>
    <row r="2222" spans="1:16" hidden="1" x14ac:dyDescent="0.25">
      <c r="A2222" s="7" t="s">
        <v>19</v>
      </c>
      <c r="B2222" s="7" t="s">
        <v>254</v>
      </c>
      <c r="C2222" s="8">
        <v>28948</v>
      </c>
      <c r="D2222" s="7" t="s">
        <v>52</v>
      </c>
      <c r="E2222" s="7" t="s">
        <v>141</v>
      </c>
      <c r="F2222" s="7" t="s">
        <v>277</v>
      </c>
      <c r="G2222" s="7" t="s">
        <v>18</v>
      </c>
      <c r="H2222" s="7" t="s">
        <v>66</v>
      </c>
      <c r="I2222" s="7" t="s">
        <v>712</v>
      </c>
      <c r="J2222" s="7" t="s">
        <v>712</v>
      </c>
      <c r="K2222" s="8">
        <v>6220454</v>
      </c>
      <c r="L2222" s="8">
        <v>328775</v>
      </c>
      <c r="M2222" s="8">
        <v>19</v>
      </c>
      <c r="N2222" s="8">
        <v>1</v>
      </c>
      <c r="O2222" s="8">
        <v>0.01</v>
      </c>
      <c r="P2222" s="8"/>
    </row>
    <row r="2223" spans="1:16" hidden="1" x14ac:dyDescent="0.25">
      <c r="A2223" s="7" t="s">
        <v>19</v>
      </c>
      <c r="B2223" s="7" t="s">
        <v>254</v>
      </c>
      <c r="C2223" s="8">
        <v>28949</v>
      </c>
      <c r="D2223" s="7" t="s">
        <v>52</v>
      </c>
      <c r="E2223" s="7" t="s">
        <v>141</v>
      </c>
      <c r="F2223" s="7" t="s">
        <v>277</v>
      </c>
      <c r="G2223" s="7" t="s">
        <v>18</v>
      </c>
      <c r="H2223" s="7" t="s">
        <v>66</v>
      </c>
      <c r="I2223" s="7" t="s">
        <v>712</v>
      </c>
      <c r="J2223" s="7" t="s">
        <v>712</v>
      </c>
      <c r="K2223" s="8">
        <v>6220454</v>
      </c>
      <c r="L2223" s="8">
        <v>328775</v>
      </c>
      <c r="M2223" s="8">
        <v>19</v>
      </c>
      <c r="N2223" s="8">
        <v>1</v>
      </c>
      <c r="O2223" s="8">
        <v>0.01</v>
      </c>
      <c r="P2223" s="8"/>
    </row>
    <row r="2224" spans="1:16" hidden="1" x14ac:dyDescent="0.25">
      <c r="A2224" s="7" t="s">
        <v>14</v>
      </c>
      <c r="B2224" s="7" t="s">
        <v>415</v>
      </c>
      <c r="C2224" s="8">
        <v>28950</v>
      </c>
      <c r="D2224" s="7" t="s">
        <v>28</v>
      </c>
      <c r="E2224" s="7" t="s">
        <v>56</v>
      </c>
      <c r="F2224" s="7" t="s">
        <v>378</v>
      </c>
      <c r="G2224" s="7" t="s">
        <v>18</v>
      </c>
      <c r="H2224" s="7" t="s">
        <v>689</v>
      </c>
      <c r="I2224" s="7" t="s">
        <v>712</v>
      </c>
      <c r="J2224" s="7" t="s">
        <v>712</v>
      </c>
      <c r="K2224" s="8">
        <v>6260681</v>
      </c>
      <c r="L2224" s="8">
        <v>331743</v>
      </c>
      <c r="M2224" s="8">
        <v>19</v>
      </c>
      <c r="N2224" s="8">
        <v>1</v>
      </c>
      <c r="O2224" s="8">
        <v>0.14000000000000001</v>
      </c>
      <c r="P2224" s="8"/>
    </row>
    <row r="2225" spans="1:16" hidden="1" x14ac:dyDescent="0.25">
      <c r="A2225" s="7" t="s">
        <v>19</v>
      </c>
      <c r="B2225" s="7" t="s">
        <v>254</v>
      </c>
      <c r="C2225" s="8">
        <v>28951</v>
      </c>
      <c r="D2225" s="7" t="s">
        <v>52</v>
      </c>
      <c r="E2225" s="7" t="s">
        <v>141</v>
      </c>
      <c r="F2225" s="7" t="s">
        <v>277</v>
      </c>
      <c r="G2225" s="7" t="s">
        <v>18</v>
      </c>
      <c r="H2225" s="7" t="s">
        <v>66</v>
      </c>
      <c r="I2225" s="7" t="s">
        <v>712</v>
      </c>
      <c r="J2225" s="7" t="s">
        <v>712</v>
      </c>
      <c r="K2225" s="8">
        <v>6220454</v>
      </c>
      <c r="L2225" s="8">
        <v>328775</v>
      </c>
      <c r="M2225" s="8">
        <v>19</v>
      </c>
      <c r="N2225" s="8">
        <v>1</v>
      </c>
      <c r="O2225" s="8">
        <v>0.01</v>
      </c>
      <c r="P2225" s="8"/>
    </row>
    <row r="2226" spans="1:16" hidden="1" x14ac:dyDescent="0.25">
      <c r="A2226" s="7" t="s">
        <v>19</v>
      </c>
      <c r="B2226" s="7" t="s">
        <v>254</v>
      </c>
      <c r="C2226" s="8">
        <v>28952</v>
      </c>
      <c r="D2226" s="7" t="s">
        <v>52</v>
      </c>
      <c r="E2226" s="7" t="s">
        <v>141</v>
      </c>
      <c r="F2226" s="7" t="s">
        <v>277</v>
      </c>
      <c r="G2226" s="7" t="s">
        <v>18</v>
      </c>
      <c r="H2226" s="7" t="s">
        <v>66</v>
      </c>
      <c r="I2226" s="7" t="s">
        <v>712</v>
      </c>
      <c r="J2226" s="7" t="s">
        <v>712</v>
      </c>
      <c r="K2226" s="8">
        <v>6220454</v>
      </c>
      <c r="L2226" s="8">
        <v>328775</v>
      </c>
      <c r="M2226" s="8">
        <v>19</v>
      </c>
      <c r="N2226" s="8">
        <v>1</v>
      </c>
      <c r="O2226" s="8">
        <v>0.01</v>
      </c>
      <c r="P2226" s="8"/>
    </row>
    <row r="2227" spans="1:16" hidden="1" x14ac:dyDescent="0.25">
      <c r="A2227" s="7" t="s">
        <v>19</v>
      </c>
      <c r="B2227" s="7" t="s">
        <v>254</v>
      </c>
      <c r="C2227" s="8">
        <v>28954</v>
      </c>
      <c r="D2227" s="7" t="s">
        <v>52</v>
      </c>
      <c r="E2227" s="7" t="s">
        <v>141</v>
      </c>
      <c r="F2227" s="7" t="s">
        <v>277</v>
      </c>
      <c r="G2227" s="7" t="s">
        <v>18</v>
      </c>
      <c r="H2227" s="7" t="s">
        <v>66</v>
      </c>
      <c r="I2227" s="7" t="s">
        <v>712</v>
      </c>
      <c r="J2227" s="7" t="s">
        <v>712</v>
      </c>
      <c r="K2227" s="8">
        <v>6220454</v>
      </c>
      <c r="L2227" s="8">
        <v>328775</v>
      </c>
      <c r="M2227" s="8">
        <v>19</v>
      </c>
      <c r="N2227" s="8">
        <v>1</v>
      </c>
      <c r="O2227" s="8">
        <v>0.04</v>
      </c>
      <c r="P2227" s="8"/>
    </row>
    <row r="2228" spans="1:16" hidden="1" x14ac:dyDescent="0.25">
      <c r="A2228" s="7" t="s">
        <v>19</v>
      </c>
      <c r="B2228" s="7" t="s">
        <v>254</v>
      </c>
      <c r="C2228" s="8">
        <v>28955</v>
      </c>
      <c r="D2228" s="7" t="s">
        <v>52</v>
      </c>
      <c r="E2228" s="7" t="s">
        <v>141</v>
      </c>
      <c r="F2228" s="7" t="s">
        <v>277</v>
      </c>
      <c r="G2228" s="7" t="s">
        <v>18</v>
      </c>
      <c r="H2228" s="7" t="s">
        <v>66</v>
      </c>
      <c r="I2228" s="7" t="s">
        <v>712</v>
      </c>
      <c r="J2228" s="7" t="s">
        <v>712</v>
      </c>
      <c r="K2228" s="8">
        <v>6220454</v>
      </c>
      <c r="L2228" s="8">
        <v>328775</v>
      </c>
      <c r="M2228" s="8">
        <v>19</v>
      </c>
      <c r="N2228" s="8">
        <v>1</v>
      </c>
      <c r="O2228" s="8">
        <v>0.01</v>
      </c>
      <c r="P2228" s="8"/>
    </row>
    <row r="2229" spans="1:16" hidden="1" x14ac:dyDescent="0.25">
      <c r="A2229" s="7" t="s">
        <v>19</v>
      </c>
      <c r="B2229" s="7" t="s">
        <v>254</v>
      </c>
      <c r="C2229" s="8">
        <v>28956</v>
      </c>
      <c r="D2229" s="7" t="s">
        <v>52</v>
      </c>
      <c r="E2229" s="7" t="s">
        <v>141</v>
      </c>
      <c r="F2229" s="7" t="s">
        <v>277</v>
      </c>
      <c r="G2229" s="7" t="s">
        <v>18</v>
      </c>
      <c r="H2229" s="7" t="s">
        <v>66</v>
      </c>
      <c r="I2229" s="7" t="s">
        <v>712</v>
      </c>
      <c r="J2229" s="7" t="s">
        <v>712</v>
      </c>
      <c r="K2229" s="8">
        <v>6220454</v>
      </c>
      <c r="L2229" s="8">
        <v>328775</v>
      </c>
      <c r="M2229" s="8">
        <v>19</v>
      </c>
      <c r="N2229" s="8">
        <v>1</v>
      </c>
      <c r="O2229" s="8">
        <v>0</v>
      </c>
      <c r="P2229" s="8"/>
    </row>
    <row r="2230" spans="1:16" hidden="1" x14ac:dyDescent="0.25">
      <c r="A2230" s="7" t="s">
        <v>19</v>
      </c>
      <c r="B2230" s="7" t="s">
        <v>254</v>
      </c>
      <c r="C2230" s="8">
        <v>28957</v>
      </c>
      <c r="D2230" s="7" t="s">
        <v>52</v>
      </c>
      <c r="E2230" s="7" t="s">
        <v>141</v>
      </c>
      <c r="F2230" s="7" t="s">
        <v>277</v>
      </c>
      <c r="G2230" s="7" t="s">
        <v>18</v>
      </c>
      <c r="H2230" s="7" t="s">
        <v>66</v>
      </c>
      <c r="I2230" s="7" t="s">
        <v>712</v>
      </c>
      <c r="J2230" s="7" t="s">
        <v>712</v>
      </c>
      <c r="K2230" s="8">
        <v>6220454</v>
      </c>
      <c r="L2230" s="8">
        <v>328775</v>
      </c>
      <c r="M2230" s="8">
        <v>19</v>
      </c>
      <c r="N2230" s="8">
        <v>1</v>
      </c>
      <c r="O2230" s="8">
        <v>0.01</v>
      </c>
      <c r="P2230" s="8"/>
    </row>
    <row r="2231" spans="1:16" hidden="1" x14ac:dyDescent="0.25">
      <c r="A2231" s="7" t="s">
        <v>19</v>
      </c>
      <c r="B2231" s="7" t="s">
        <v>254</v>
      </c>
      <c r="C2231" s="8">
        <v>28958</v>
      </c>
      <c r="D2231" s="7" t="s">
        <v>52</v>
      </c>
      <c r="E2231" s="7" t="s">
        <v>141</v>
      </c>
      <c r="F2231" s="7" t="s">
        <v>277</v>
      </c>
      <c r="G2231" s="7" t="s">
        <v>18</v>
      </c>
      <c r="H2231" s="7" t="s">
        <v>66</v>
      </c>
      <c r="I2231" s="7" t="s">
        <v>712</v>
      </c>
      <c r="J2231" s="7" t="s">
        <v>712</v>
      </c>
      <c r="K2231" s="8">
        <v>6220454</v>
      </c>
      <c r="L2231" s="8">
        <v>328775</v>
      </c>
      <c r="M2231" s="8">
        <v>19</v>
      </c>
      <c r="N2231" s="8">
        <v>1</v>
      </c>
      <c r="O2231" s="8">
        <v>0.02</v>
      </c>
      <c r="P2231" s="8"/>
    </row>
    <row r="2232" spans="1:16" hidden="1" x14ac:dyDescent="0.25">
      <c r="A2232" s="7" t="s">
        <v>19</v>
      </c>
      <c r="B2232" s="7" t="s">
        <v>343</v>
      </c>
      <c r="C2232" s="8">
        <v>28959</v>
      </c>
      <c r="D2232" s="7" t="s">
        <v>28</v>
      </c>
      <c r="E2232" s="7" t="s">
        <v>344</v>
      </c>
      <c r="F2232" s="7" t="s">
        <v>345</v>
      </c>
      <c r="G2232" s="7" t="s">
        <v>65</v>
      </c>
      <c r="H2232" s="7" t="s">
        <v>24</v>
      </c>
      <c r="I2232" s="7" t="s">
        <v>712</v>
      </c>
      <c r="J2232" s="7" t="s">
        <v>712</v>
      </c>
      <c r="K2232" s="8">
        <v>6275877</v>
      </c>
      <c r="L2232" s="8">
        <v>297558</v>
      </c>
      <c r="M2232" s="8">
        <v>19</v>
      </c>
      <c r="N2232" s="8">
        <v>3</v>
      </c>
      <c r="O2232" s="8">
        <v>42</v>
      </c>
      <c r="P2232" s="8"/>
    </row>
    <row r="2233" spans="1:16" hidden="1" x14ac:dyDescent="0.25">
      <c r="A2233" s="7" t="s">
        <v>14</v>
      </c>
      <c r="B2233" s="7" t="s">
        <v>563</v>
      </c>
      <c r="C2233" s="8">
        <v>28960</v>
      </c>
      <c r="D2233" s="7" t="s">
        <v>119</v>
      </c>
      <c r="E2233" s="7" t="s">
        <v>197</v>
      </c>
      <c r="F2233" s="7" t="s">
        <v>565</v>
      </c>
      <c r="G2233" s="7" t="s">
        <v>43</v>
      </c>
      <c r="H2233" s="7" t="s">
        <v>689</v>
      </c>
      <c r="I2233" s="7" t="s">
        <v>690</v>
      </c>
      <c r="J2233" s="7" t="s">
        <v>690</v>
      </c>
      <c r="K2233" s="8">
        <v>5738598</v>
      </c>
      <c r="L2233" s="8">
        <v>729933</v>
      </c>
      <c r="M2233" s="8">
        <v>18</v>
      </c>
      <c r="N2233" s="8">
        <v>1</v>
      </c>
      <c r="O2233" s="8">
        <v>1.5</v>
      </c>
      <c r="P2233" s="8"/>
    </row>
    <row r="2234" spans="1:16" hidden="1" x14ac:dyDescent="0.25">
      <c r="A2234" s="7" t="s">
        <v>14</v>
      </c>
      <c r="B2234" s="7" t="s">
        <v>124</v>
      </c>
      <c r="C2234" s="8">
        <v>28961</v>
      </c>
      <c r="D2234" s="7" t="s">
        <v>52</v>
      </c>
      <c r="E2234" s="7" t="s">
        <v>132</v>
      </c>
      <c r="F2234" s="7" t="s">
        <v>133</v>
      </c>
      <c r="G2234" s="7" t="s">
        <v>18</v>
      </c>
      <c r="H2234" s="7" t="s">
        <v>689</v>
      </c>
      <c r="I2234" s="7" t="s">
        <v>712</v>
      </c>
      <c r="J2234" s="7" t="s">
        <v>712</v>
      </c>
      <c r="K2234" s="8">
        <v>6215880</v>
      </c>
      <c r="L2234" s="8">
        <v>345346</v>
      </c>
      <c r="M2234" s="8">
        <v>19</v>
      </c>
      <c r="N2234" s="8">
        <v>1</v>
      </c>
      <c r="O2234" s="8">
        <v>2.2999999999999998</v>
      </c>
      <c r="P2234" s="8"/>
    </row>
    <row r="2235" spans="1:16" hidden="1" x14ac:dyDescent="0.25">
      <c r="A2235" s="7" t="s">
        <v>19</v>
      </c>
      <c r="B2235" s="7" t="s">
        <v>343</v>
      </c>
      <c r="C2235" s="8">
        <v>28962</v>
      </c>
      <c r="D2235" s="7" t="s">
        <v>28</v>
      </c>
      <c r="E2235" s="7" t="s">
        <v>344</v>
      </c>
      <c r="F2235" s="7" t="s">
        <v>345</v>
      </c>
      <c r="G2235" s="7" t="s">
        <v>65</v>
      </c>
      <c r="H2235" s="7" t="s">
        <v>24</v>
      </c>
      <c r="I2235" s="7" t="s">
        <v>712</v>
      </c>
      <c r="J2235" s="7" t="s">
        <v>712</v>
      </c>
      <c r="K2235" s="8">
        <v>6272708</v>
      </c>
      <c r="L2235" s="8">
        <v>301620</v>
      </c>
      <c r="M2235" s="8">
        <v>19</v>
      </c>
      <c r="N2235" s="8">
        <v>1</v>
      </c>
      <c r="O2235" s="8">
        <v>8</v>
      </c>
      <c r="P2235" s="8"/>
    </row>
    <row r="2236" spans="1:16" hidden="1" x14ac:dyDescent="0.25">
      <c r="A2236" s="7" t="s">
        <v>19</v>
      </c>
      <c r="B2236" s="7" t="s">
        <v>415</v>
      </c>
      <c r="C2236" s="8">
        <v>28963</v>
      </c>
      <c r="D2236" s="7" t="s">
        <v>52</v>
      </c>
      <c r="E2236" s="7" t="s">
        <v>81</v>
      </c>
      <c r="F2236" s="7" t="s">
        <v>81</v>
      </c>
      <c r="G2236" s="7" t="s">
        <v>65</v>
      </c>
      <c r="H2236" s="7" t="s">
        <v>24</v>
      </c>
      <c r="I2236" s="7" t="s">
        <v>712</v>
      </c>
      <c r="J2236" s="7" t="s">
        <v>712</v>
      </c>
      <c r="K2236" s="8">
        <v>6233589</v>
      </c>
      <c r="L2236" s="8">
        <v>344992</v>
      </c>
      <c r="M2236" s="8">
        <v>19</v>
      </c>
      <c r="N2236" s="8">
        <v>1</v>
      </c>
      <c r="O2236" s="8">
        <v>3.5</v>
      </c>
      <c r="P2236" s="8"/>
    </row>
    <row r="2237" spans="1:16" hidden="1" x14ac:dyDescent="0.25">
      <c r="A2237" s="7" t="s">
        <v>19</v>
      </c>
      <c r="B2237" s="7" t="s">
        <v>415</v>
      </c>
      <c r="C2237" s="8">
        <v>28964</v>
      </c>
      <c r="D2237" s="7" t="s">
        <v>52</v>
      </c>
      <c r="E2237" s="7" t="s">
        <v>139</v>
      </c>
      <c r="F2237" s="7" t="s">
        <v>551</v>
      </c>
      <c r="G2237" s="7" t="s">
        <v>65</v>
      </c>
      <c r="H2237" s="7" t="s">
        <v>24</v>
      </c>
      <c r="I2237" s="7" t="s">
        <v>712</v>
      </c>
      <c r="J2237" s="7" t="s">
        <v>712</v>
      </c>
      <c r="K2237" s="8">
        <v>6232018</v>
      </c>
      <c r="L2237" s="8">
        <v>342025</v>
      </c>
      <c r="M2237" s="8">
        <v>19</v>
      </c>
      <c r="N2237" s="8">
        <v>1</v>
      </c>
      <c r="O2237" s="8">
        <v>1.17</v>
      </c>
      <c r="P2237" s="8"/>
    </row>
    <row r="2238" spans="1:16" hidden="1" x14ac:dyDescent="0.25">
      <c r="A2238" s="7" t="s">
        <v>19</v>
      </c>
      <c r="B2238" s="7" t="s">
        <v>343</v>
      </c>
      <c r="C2238" s="8">
        <v>28965</v>
      </c>
      <c r="D2238" s="7" t="s">
        <v>28</v>
      </c>
      <c r="E2238" s="7" t="s">
        <v>364</v>
      </c>
      <c r="F2238" s="7" t="s">
        <v>365</v>
      </c>
      <c r="G2238" s="7" t="s">
        <v>65</v>
      </c>
      <c r="H2238" s="7" t="s">
        <v>24</v>
      </c>
      <c r="I2238" s="7" t="s">
        <v>712</v>
      </c>
      <c r="J2238" s="7" t="s">
        <v>712</v>
      </c>
      <c r="K2238" s="8">
        <v>6280126</v>
      </c>
      <c r="L2238" s="8">
        <v>322005</v>
      </c>
      <c r="M2238" s="8">
        <v>19</v>
      </c>
      <c r="N2238" s="8">
        <v>1</v>
      </c>
      <c r="O2238" s="8">
        <v>12</v>
      </c>
      <c r="P2238" s="8"/>
    </row>
    <row r="2239" spans="1:16" hidden="1" x14ac:dyDescent="0.25">
      <c r="A2239" s="7" t="s">
        <v>19</v>
      </c>
      <c r="B2239" s="7" t="s">
        <v>41</v>
      </c>
      <c r="C2239" s="8">
        <v>28966</v>
      </c>
      <c r="D2239" s="7" t="s">
        <v>16</v>
      </c>
      <c r="E2239" s="7" t="s">
        <v>72</v>
      </c>
      <c r="F2239" s="7" t="s">
        <v>72</v>
      </c>
      <c r="G2239" s="7" t="s">
        <v>65</v>
      </c>
      <c r="H2239" s="7" t="s">
        <v>66</v>
      </c>
      <c r="I2239" s="7" t="s">
        <v>712</v>
      </c>
      <c r="J2239" s="7" t="s">
        <v>712</v>
      </c>
      <c r="K2239" s="8">
        <v>6103180</v>
      </c>
      <c r="L2239" s="8">
        <v>296370</v>
      </c>
      <c r="M2239" s="8">
        <v>19</v>
      </c>
      <c r="N2239" s="8">
        <v>2</v>
      </c>
      <c r="O2239" s="8">
        <v>10.8</v>
      </c>
      <c r="P2239" s="8"/>
    </row>
    <row r="2240" spans="1:16" hidden="1" x14ac:dyDescent="0.25">
      <c r="A2240" s="7" t="s">
        <v>19</v>
      </c>
      <c r="B2240" s="7" t="s">
        <v>415</v>
      </c>
      <c r="C2240" s="8">
        <v>28967</v>
      </c>
      <c r="D2240" s="7" t="s">
        <v>52</v>
      </c>
      <c r="E2240" s="7" t="s">
        <v>53</v>
      </c>
      <c r="F2240" s="7" t="s">
        <v>79</v>
      </c>
      <c r="G2240" s="7" t="s">
        <v>65</v>
      </c>
      <c r="H2240" s="7" t="s">
        <v>24</v>
      </c>
      <c r="I2240" s="7" t="s">
        <v>712</v>
      </c>
      <c r="J2240" s="7" t="s">
        <v>712</v>
      </c>
      <c r="K2240" s="8">
        <v>6231918</v>
      </c>
      <c r="L2240" s="8">
        <v>342199</v>
      </c>
      <c r="M2240" s="8">
        <v>19</v>
      </c>
      <c r="N2240" s="8">
        <v>1</v>
      </c>
      <c r="O2240" s="8">
        <v>3.02</v>
      </c>
      <c r="P2240" s="8"/>
    </row>
    <row r="2241" spans="1:16" hidden="1" x14ac:dyDescent="0.25">
      <c r="A2241" s="7" t="s">
        <v>19</v>
      </c>
      <c r="B2241" s="7" t="s">
        <v>343</v>
      </c>
      <c r="C2241" s="8">
        <v>28968</v>
      </c>
      <c r="D2241" s="7" t="s">
        <v>28</v>
      </c>
      <c r="E2241" s="7" t="s">
        <v>84</v>
      </c>
      <c r="F2241" s="7" t="s">
        <v>84</v>
      </c>
      <c r="G2241" s="7" t="s">
        <v>65</v>
      </c>
      <c r="H2241" s="7" t="s">
        <v>24</v>
      </c>
      <c r="I2241" s="7" t="s">
        <v>712</v>
      </c>
      <c r="J2241" s="7" t="s">
        <v>712</v>
      </c>
      <c r="K2241" s="8">
        <v>6277570</v>
      </c>
      <c r="L2241" s="8">
        <v>319935</v>
      </c>
      <c r="M2241" s="8">
        <v>19</v>
      </c>
      <c r="N2241" s="8">
        <v>1</v>
      </c>
      <c r="O2241" s="8">
        <v>10</v>
      </c>
      <c r="P2241" s="8"/>
    </row>
    <row r="2242" spans="1:16" hidden="1" x14ac:dyDescent="0.25">
      <c r="A2242" s="7" t="s">
        <v>19</v>
      </c>
      <c r="B2242" s="7" t="s">
        <v>415</v>
      </c>
      <c r="C2242" s="8">
        <v>28969</v>
      </c>
      <c r="D2242" s="7" t="s">
        <v>52</v>
      </c>
      <c r="E2242" s="7" t="s">
        <v>81</v>
      </c>
      <c r="F2242" s="7" t="s">
        <v>81</v>
      </c>
      <c r="G2242" s="7" t="s">
        <v>65</v>
      </c>
      <c r="H2242" s="7" t="s">
        <v>24</v>
      </c>
      <c r="I2242" s="7" t="s">
        <v>712</v>
      </c>
      <c r="J2242" s="7" t="s">
        <v>712</v>
      </c>
      <c r="K2242" s="8">
        <v>6233481</v>
      </c>
      <c r="L2242" s="8">
        <v>345117</v>
      </c>
      <c r="M2242" s="8">
        <v>19</v>
      </c>
      <c r="N2242" s="8">
        <v>1</v>
      </c>
      <c r="O2242" s="8">
        <v>2.2000000000000002</v>
      </c>
      <c r="P2242" s="8"/>
    </row>
    <row r="2243" spans="1:16" hidden="1" x14ac:dyDescent="0.25">
      <c r="A2243" s="7" t="s">
        <v>19</v>
      </c>
      <c r="B2243" s="7" t="s">
        <v>41</v>
      </c>
      <c r="C2243" s="8">
        <v>28970</v>
      </c>
      <c r="D2243" s="7" t="s">
        <v>16</v>
      </c>
      <c r="E2243" s="7" t="s">
        <v>72</v>
      </c>
      <c r="F2243" s="7" t="s">
        <v>72</v>
      </c>
      <c r="G2243" s="7" t="s">
        <v>65</v>
      </c>
      <c r="H2243" s="7" t="s">
        <v>66</v>
      </c>
      <c r="I2243" s="7" t="s">
        <v>712</v>
      </c>
      <c r="J2243" s="7" t="s">
        <v>712</v>
      </c>
      <c r="K2243" s="8">
        <v>6102093</v>
      </c>
      <c r="L2243" s="8">
        <v>297348</v>
      </c>
      <c r="M2243" s="8">
        <v>19</v>
      </c>
      <c r="N2243" s="8">
        <v>1</v>
      </c>
      <c r="O2243" s="8">
        <v>8.6</v>
      </c>
      <c r="P2243" s="8"/>
    </row>
    <row r="2244" spans="1:16" hidden="1" x14ac:dyDescent="0.25">
      <c r="A2244" s="7" t="s">
        <v>19</v>
      </c>
      <c r="B2244" s="7" t="s">
        <v>41</v>
      </c>
      <c r="C2244" s="8">
        <v>28971</v>
      </c>
      <c r="D2244" s="7" t="s">
        <v>16</v>
      </c>
      <c r="E2244" s="7" t="s">
        <v>60</v>
      </c>
      <c r="F2244" s="7" t="s">
        <v>73</v>
      </c>
      <c r="G2244" s="7" t="s">
        <v>65</v>
      </c>
      <c r="H2244" s="7" t="s">
        <v>66</v>
      </c>
      <c r="I2244" s="7" t="s">
        <v>712</v>
      </c>
      <c r="J2244" s="7" t="s">
        <v>712</v>
      </c>
      <c r="K2244" s="8">
        <v>6080809</v>
      </c>
      <c r="L2244" s="8">
        <v>268391</v>
      </c>
      <c r="M2244" s="8">
        <v>19</v>
      </c>
      <c r="N2244" s="8">
        <v>1</v>
      </c>
      <c r="O2244" s="8">
        <v>11</v>
      </c>
      <c r="P2244" s="8"/>
    </row>
    <row r="2245" spans="1:16" hidden="1" x14ac:dyDescent="0.25">
      <c r="A2245" s="7" t="s">
        <v>19</v>
      </c>
      <c r="B2245" s="7" t="s">
        <v>343</v>
      </c>
      <c r="C2245" s="8">
        <v>28972</v>
      </c>
      <c r="D2245" s="7" t="s">
        <v>28</v>
      </c>
      <c r="E2245" s="7" t="s">
        <v>84</v>
      </c>
      <c r="F2245" s="7" t="s">
        <v>85</v>
      </c>
      <c r="G2245" s="7" t="s">
        <v>65</v>
      </c>
      <c r="H2245" s="7" t="s">
        <v>24</v>
      </c>
      <c r="I2245" s="7" t="s">
        <v>712</v>
      </c>
      <c r="J2245" s="7" t="s">
        <v>712</v>
      </c>
      <c r="K2245" s="8">
        <v>6278422</v>
      </c>
      <c r="L2245" s="8">
        <v>329252</v>
      </c>
      <c r="M2245" s="8">
        <v>19</v>
      </c>
      <c r="N2245" s="8">
        <v>2</v>
      </c>
      <c r="O2245" s="8">
        <v>13</v>
      </c>
      <c r="P2245" s="8"/>
    </row>
    <row r="2246" spans="1:16" hidden="1" x14ac:dyDescent="0.25">
      <c r="A2246" s="7" t="s">
        <v>19</v>
      </c>
      <c r="B2246" s="7" t="s">
        <v>41</v>
      </c>
      <c r="C2246" s="8">
        <v>28973</v>
      </c>
      <c r="D2246" s="7" t="s">
        <v>16</v>
      </c>
      <c r="E2246" s="7" t="s">
        <v>60</v>
      </c>
      <c r="F2246" s="7" t="s">
        <v>73</v>
      </c>
      <c r="G2246" s="7" t="s">
        <v>65</v>
      </c>
      <c r="H2246" s="7" t="s">
        <v>66</v>
      </c>
      <c r="I2246" s="7" t="s">
        <v>712</v>
      </c>
      <c r="J2246" s="7" t="s">
        <v>712</v>
      </c>
      <c r="K2246" s="8">
        <v>6081280</v>
      </c>
      <c r="L2246" s="8">
        <v>268867</v>
      </c>
      <c r="M2246" s="8">
        <v>19</v>
      </c>
      <c r="N2246" s="8">
        <v>2</v>
      </c>
      <c r="O2246" s="8">
        <v>14.4</v>
      </c>
      <c r="P2246" s="8"/>
    </row>
    <row r="2247" spans="1:16" hidden="1" x14ac:dyDescent="0.25">
      <c r="A2247" s="7" t="s">
        <v>19</v>
      </c>
      <c r="B2247" s="7" t="s">
        <v>41</v>
      </c>
      <c r="C2247" s="8">
        <v>28974</v>
      </c>
      <c r="D2247" s="7" t="s">
        <v>16</v>
      </c>
      <c r="E2247" s="7" t="s">
        <v>17</v>
      </c>
      <c r="F2247" s="7" t="s">
        <v>74</v>
      </c>
      <c r="G2247" s="7" t="s">
        <v>65</v>
      </c>
      <c r="H2247" s="7" t="s">
        <v>66</v>
      </c>
      <c r="I2247" s="7" t="s">
        <v>712</v>
      </c>
      <c r="J2247" s="7" t="s">
        <v>712</v>
      </c>
      <c r="K2247" s="8">
        <v>6054537</v>
      </c>
      <c r="L2247" s="8">
        <v>291908</v>
      </c>
      <c r="M2247" s="8">
        <v>19</v>
      </c>
      <c r="N2247" s="8">
        <v>3</v>
      </c>
      <c r="O2247" s="8">
        <v>16.8</v>
      </c>
      <c r="P2247" s="8"/>
    </row>
    <row r="2248" spans="1:16" hidden="1" x14ac:dyDescent="0.25">
      <c r="A2248" s="7" t="s">
        <v>19</v>
      </c>
      <c r="B2248" s="7" t="s">
        <v>41</v>
      </c>
      <c r="C2248" s="8">
        <v>28975</v>
      </c>
      <c r="D2248" s="7" t="s">
        <v>16</v>
      </c>
      <c r="E2248" s="7" t="s">
        <v>17</v>
      </c>
      <c r="F2248" s="7" t="s">
        <v>75</v>
      </c>
      <c r="G2248" s="7" t="s">
        <v>65</v>
      </c>
      <c r="H2248" s="7" t="s">
        <v>66</v>
      </c>
      <c r="I2248" s="7" t="s">
        <v>712</v>
      </c>
      <c r="J2248" s="7" t="s">
        <v>712</v>
      </c>
      <c r="K2248" s="8">
        <v>6062376</v>
      </c>
      <c r="L2248" s="8">
        <v>274499</v>
      </c>
      <c r="M2248" s="8">
        <v>19</v>
      </c>
      <c r="N2248" s="8">
        <v>2</v>
      </c>
      <c r="O2248" s="8">
        <v>14.1</v>
      </c>
      <c r="P2248" s="8"/>
    </row>
    <row r="2249" spans="1:16" hidden="1" x14ac:dyDescent="0.25">
      <c r="A2249" s="7" t="s">
        <v>19</v>
      </c>
      <c r="B2249" s="7" t="s">
        <v>343</v>
      </c>
      <c r="C2249" s="8">
        <v>28976</v>
      </c>
      <c r="D2249" s="7" t="s">
        <v>28</v>
      </c>
      <c r="E2249" s="7" t="s">
        <v>32</v>
      </c>
      <c r="F2249" s="7" t="s">
        <v>33</v>
      </c>
      <c r="G2249" s="7" t="s">
        <v>65</v>
      </c>
      <c r="H2249" s="7" t="s">
        <v>24</v>
      </c>
      <c r="I2249" s="7" t="s">
        <v>712</v>
      </c>
      <c r="J2249" s="7" t="s">
        <v>712</v>
      </c>
      <c r="K2249" s="8">
        <v>6260253</v>
      </c>
      <c r="L2249" s="8">
        <v>347723</v>
      </c>
      <c r="M2249" s="8">
        <v>19</v>
      </c>
      <c r="N2249" s="8">
        <v>1</v>
      </c>
      <c r="O2249" s="8">
        <v>10</v>
      </c>
      <c r="P2249" s="8"/>
    </row>
    <row r="2250" spans="1:16" hidden="1" x14ac:dyDescent="0.25">
      <c r="A2250" s="7" t="s">
        <v>19</v>
      </c>
      <c r="B2250" s="7" t="s">
        <v>41</v>
      </c>
      <c r="C2250" s="8">
        <v>28977</v>
      </c>
      <c r="D2250" s="7" t="s">
        <v>16</v>
      </c>
      <c r="E2250" s="7" t="s">
        <v>17</v>
      </c>
      <c r="F2250" s="7" t="s">
        <v>58</v>
      </c>
      <c r="G2250" s="7" t="s">
        <v>65</v>
      </c>
      <c r="H2250" s="7" t="s">
        <v>66</v>
      </c>
      <c r="I2250" s="7" t="s">
        <v>712</v>
      </c>
      <c r="J2250" s="7" t="s">
        <v>712</v>
      </c>
      <c r="K2250" s="8">
        <v>6072242</v>
      </c>
      <c r="L2250" s="8">
        <v>285815</v>
      </c>
      <c r="M2250" s="8">
        <v>19</v>
      </c>
      <c r="N2250" s="8">
        <v>2</v>
      </c>
      <c r="O2250" s="8">
        <v>12.2</v>
      </c>
      <c r="P2250" s="8"/>
    </row>
    <row r="2251" spans="1:16" hidden="1" x14ac:dyDescent="0.25">
      <c r="A2251" s="7" t="s">
        <v>19</v>
      </c>
      <c r="B2251" s="7" t="s">
        <v>41</v>
      </c>
      <c r="C2251" s="8">
        <v>28978</v>
      </c>
      <c r="D2251" s="7" t="s">
        <v>16</v>
      </c>
      <c r="E2251" s="7" t="s">
        <v>17</v>
      </c>
      <c r="F2251" s="7" t="s">
        <v>76</v>
      </c>
      <c r="G2251" s="7" t="s">
        <v>65</v>
      </c>
      <c r="H2251" s="7" t="s">
        <v>66</v>
      </c>
      <c r="I2251" s="7" t="s">
        <v>712</v>
      </c>
      <c r="J2251" s="7" t="s">
        <v>712</v>
      </c>
      <c r="K2251" s="8">
        <v>6071263</v>
      </c>
      <c r="L2251" s="8">
        <v>286182</v>
      </c>
      <c r="M2251" s="8">
        <v>19</v>
      </c>
      <c r="N2251" s="8">
        <v>4</v>
      </c>
      <c r="O2251" s="8">
        <v>23</v>
      </c>
      <c r="P2251" s="8"/>
    </row>
    <row r="2252" spans="1:16" hidden="1" x14ac:dyDescent="0.25">
      <c r="A2252" s="7" t="s">
        <v>19</v>
      </c>
      <c r="B2252" s="7" t="s">
        <v>343</v>
      </c>
      <c r="C2252" s="8">
        <v>28979</v>
      </c>
      <c r="D2252" s="7" t="s">
        <v>28</v>
      </c>
      <c r="E2252" s="7" t="s">
        <v>344</v>
      </c>
      <c r="F2252" s="7" t="s">
        <v>345</v>
      </c>
      <c r="G2252" s="7" t="s">
        <v>65</v>
      </c>
      <c r="H2252" s="7" t="s">
        <v>24</v>
      </c>
      <c r="I2252" s="7" t="s">
        <v>712</v>
      </c>
      <c r="J2252" s="7" t="s">
        <v>712</v>
      </c>
      <c r="K2252" s="8">
        <v>6275331</v>
      </c>
      <c r="L2252" s="8">
        <v>299050</v>
      </c>
      <c r="M2252" s="8">
        <v>19</v>
      </c>
      <c r="N2252" s="8">
        <v>2</v>
      </c>
      <c r="O2252" s="8">
        <v>18</v>
      </c>
      <c r="P2252" s="8"/>
    </row>
    <row r="2253" spans="1:16" hidden="1" x14ac:dyDescent="0.25">
      <c r="A2253" s="7" t="s">
        <v>19</v>
      </c>
      <c r="B2253" s="7" t="s">
        <v>343</v>
      </c>
      <c r="C2253" s="8">
        <v>28980</v>
      </c>
      <c r="D2253" s="7" t="s">
        <v>28</v>
      </c>
      <c r="E2253" s="7" t="s">
        <v>56</v>
      </c>
      <c r="F2253" s="7" t="s">
        <v>162</v>
      </c>
      <c r="G2253" s="7" t="s">
        <v>65</v>
      </c>
      <c r="H2253" s="7" t="s">
        <v>24</v>
      </c>
      <c r="I2253" s="7" t="s">
        <v>712</v>
      </c>
      <c r="J2253" s="7" t="s">
        <v>712</v>
      </c>
      <c r="K2253" s="8">
        <v>6260460</v>
      </c>
      <c r="L2253" s="8">
        <v>335408</v>
      </c>
      <c r="M2253" s="8">
        <v>19</v>
      </c>
      <c r="N2253" s="8">
        <v>1</v>
      </c>
      <c r="O2253" s="8">
        <v>6</v>
      </c>
      <c r="P2253" s="8"/>
    </row>
    <row r="2254" spans="1:16" hidden="1" x14ac:dyDescent="0.25">
      <c r="A2254" s="7" t="s">
        <v>19</v>
      </c>
      <c r="B2254" s="7" t="s">
        <v>343</v>
      </c>
      <c r="C2254" s="8">
        <v>28981</v>
      </c>
      <c r="D2254" s="7" t="s">
        <v>28</v>
      </c>
      <c r="E2254" s="7" t="s">
        <v>29</v>
      </c>
      <c r="F2254" s="7" t="s">
        <v>162</v>
      </c>
      <c r="G2254" s="7" t="s">
        <v>65</v>
      </c>
      <c r="H2254" s="7" t="s">
        <v>24</v>
      </c>
      <c r="I2254" s="7" t="s">
        <v>712</v>
      </c>
      <c r="J2254" s="7" t="s">
        <v>712</v>
      </c>
      <c r="K2254" s="8">
        <v>6255167</v>
      </c>
      <c r="L2254" s="8">
        <v>335016</v>
      </c>
      <c r="M2254" s="8">
        <v>19</v>
      </c>
      <c r="N2254" s="8">
        <v>1</v>
      </c>
      <c r="O2254" s="8">
        <v>8</v>
      </c>
      <c r="P2254" s="8"/>
    </row>
    <row r="2255" spans="1:16" hidden="1" x14ac:dyDescent="0.25">
      <c r="A2255" s="7" t="s">
        <v>19</v>
      </c>
      <c r="B2255" s="7" t="s">
        <v>41</v>
      </c>
      <c r="C2255" s="8">
        <v>28982</v>
      </c>
      <c r="D2255" s="7" t="s">
        <v>52</v>
      </c>
      <c r="E2255" s="7" t="s">
        <v>53</v>
      </c>
      <c r="F2255" s="7" t="s">
        <v>53</v>
      </c>
      <c r="G2255" s="7" t="s">
        <v>65</v>
      </c>
      <c r="H2255" s="7" t="s">
        <v>66</v>
      </c>
      <c r="I2255" s="7" t="s">
        <v>712</v>
      </c>
      <c r="J2255" s="7" t="s">
        <v>712</v>
      </c>
      <c r="K2255" s="8">
        <v>6149474</v>
      </c>
      <c r="L2255" s="8">
        <v>319163</v>
      </c>
      <c r="M2255" s="8">
        <v>19</v>
      </c>
      <c r="N2255" s="8">
        <v>2</v>
      </c>
      <c r="O2255" s="8">
        <v>11.8</v>
      </c>
      <c r="P2255" s="8"/>
    </row>
    <row r="2256" spans="1:16" hidden="1" x14ac:dyDescent="0.25">
      <c r="A2256" s="7" t="s">
        <v>19</v>
      </c>
      <c r="B2256" s="7" t="s">
        <v>41</v>
      </c>
      <c r="C2256" s="8">
        <v>28983</v>
      </c>
      <c r="D2256" s="7" t="s">
        <v>52</v>
      </c>
      <c r="E2256" s="7" t="s">
        <v>53</v>
      </c>
      <c r="F2256" s="7" t="s">
        <v>77</v>
      </c>
      <c r="G2256" s="7" t="s">
        <v>65</v>
      </c>
      <c r="H2256" s="7" t="s">
        <v>66</v>
      </c>
      <c r="I2256" s="7" t="s">
        <v>712</v>
      </c>
      <c r="J2256" s="7" t="s">
        <v>712</v>
      </c>
      <c r="K2256" s="8">
        <v>6149768</v>
      </c>
      <c r="L2256" s="8">
        <v>319252</v>
      </c>
      <c r="M2256" s="8">
        <v>19</v>
      </c>
      <c r="N2256" s="8">
        <v>1</v>
      </c>
      <c r="O2256" s="8">
        <v>8.6999999999999993</v>
      </c>
      <c r="P2256" s="8"/>
    </row>
    <row r="2257" spans="1:16" hidden="1" x14ac:dyDescent="0.25">
      <c r="A2257" s="7" t="s">
        <v>19</v>
      </c>
      <c r="B2257" s="7" t="s">
        <v>41</v>
      </c>
      <c r="C2257" s="8">
        <v>28984</v>
      </c>
      <c r="D2257" s="7" t="s">
        <v>52</v>
      </c>
      <c r="E2257" s="7" t="s">
        <v>53</v>
      </c>
      <c r="F2257" s="7" t="s">
        <v>54</v>
      </c>
      <c r="G2257" s="7" t="s">
        <v>65</v>
      </c>
      <c r="H2257" s="7" t="s">
        <v>66</v>
      </c>
      <c r="I2257" s="7" t="s">
        <v>712</v>
      </c>
      <c r="J2257" s="7" t="s">
        <v>712</v>
      </c>
      <c r="K2257" s="8">
        <v>6149855</v>
      </c>
      <c r="L2257" s="8">
        <v>318224</v>
      </c>
      <c r="M2257" s="8">
        <v>19</v>
      </c>
      <c r="N2257" s="8">
        <v>1</v>
      </c>
      <c r="O2257" s="8">
        <v>5</v>
      </c>
      <c r="P2257" s="8"/>
    </row>
    <row r="2258" spans="1:16" hidden="1" x14ac:dyDescent="0.25">
      <c r="A2258" s="7" t="s">
        <v>19</v>
      </c>
      <c r="B2258" s="7" t="s">
        <v>41</v>
      </c>
      <c r="C2258" s="8">
        <v>28985</v>
      </c>
      <c r="D2258" s="7" t="s">
        <v>52</v>
      </c>
      <c r="E2258" s="7" t="s">
        <v>53</v>
      </c>
      <c r="F2258" s="7" t="s">
        <v>78</v>
      </c>
      <c r="G2258" s="7" t="s">
        <v>65</v>
      </c>
      <c r="H2258" s="7" t="s">
        <v>66</v>
      </c>
      <c r="I2258" s="7" t="s">
        <v>712</v>
      </c>
      <c r="J2258" s="7" t="s">
        <v>712</v>
      </c>
      <c r="K2258" s="8">
        <v>6149788</v>
      </c>
      <c r="L2258" s="8">
        <v>318938</v>
      </c>
      <c r="M2258" s="8">
        <v>19</v>
      </c>
      <c r="N2258" s="8">
        <v>1</v>
      </c>
      <c r="O2258" s="8">
        <v>3</v>
      </c>
      <c r="P2258" s="8"/>
    </row>
    <row r="2259" spans="1:16" hidden="1" x14ac:dyDescent="0.25">
      <c r="A2259" s="7" t="s">
        <v>19</v>
      </c>
      <c r="B2259" s="7" t="s">
        <v>41</v>
      </c>
      <c r="C2259" s="8">
        <v>28986</v>
      </c>
      <c r="D2259" s="7" t="s">
        <v>52</v>
      </c>
      <c r="E2259" s="7" t="s">
        <v>53</v>
      </c>
      <c r="F2259" s="7" t="s">
        <v>78</v>
      </c>
      <c r="G2259" s="7" t="s">
        <v>65</v>
      </c>
      <c r="H2259" s="7" t="s">
        <v>66</v>
      </c>
      <c r="I2259" s="7" t="s">
        <v>712</v>
      </c>
      <c r="J2259" s="7" t="s">
        <v>712</v>
      </c>
      <c r="K2259" s="8">
        <v>6149838</v>
      </c>
      <c r="L2259" s="8">
        <v>318986</v>
      </c>
      <c r="M2259" s="8">
        <v>19</v>
      </c>
      <c r="N2259" s="8">
        <v>2</v>
      </c>
      <c r="O2259" s="8">
        <v>3.1</v>
      </c>
      <c r="P2259" s="8"/>
    </row>
    <row r="2260" spans="1:16" hidden="1" x14ac:dyDescent="0.25">
      <c r="A2260" s="7" t="s">
        <v>19</v>
      </c>
      <c r="B2260" s="7" t="s">
        <v>41</v>
      </c>
      <c r="C2260" s="8">
        <v>28987</v>
      </c>
      <c r="D2260" s="7" t="s">
        <v>52</v>
      </c>
      <c r="E2260" s="7" t="s">
        <v>53</v>
      </c>
      <c r="F2260" s="7" t="s">
        <v>53</v>
      </c>
      <c r="G2260" s="7" t="s">
        <v>65</v>
      </c>
      <c r="H2260" s="7" t="s">
        <v>66</v>
      </c>
      <c r="I2260" s="7" t="s">
        <v>712</v>
      </c>
      <c r="J2260" s="7" t="s">
        <v>712</v>
      </c>
      <c r="K2260" s="8">
        <v>6150006</v>
      </c>
      <c r="L2260" s="8">
        <v>319443</v>
      </c>
      <c r="M2260" s="8">
        <v>19</v>
      </c>
      <c r="N2260" s="8">
        <v>1</v>
      </c>
      <c r="O2260" s="8">
        <v>3</v>
      </c>
      <c r="P2260" s="8"/>
    </row>
    <row r="2261" spans="1:16" hidden="1" x14ac:dyDescent="0.25">
      <c r="A2261" s="7" t="s">
        <v>19</v>
      </c>
      <c r="B2261" s="7" t="s">
        <v>343</v>
      </c>
      <c r="C2261" s="8">
        <v>28988</v>
      </c>
      <c r="D2261" s="7" t="s">
        <v>28</v>
      </c>
      <c r="E2261" s="7" t="s">
        <v>29</v>
      </c>
      <c r="F2261" s="7" t="s">
        <v>162</v>
      </c>
      <c r="G2261" s="7" t="s">
        <v>65</v>
      </c>
      <c r="H2261" s="7" t="s">
        <v>24</v>
      </c>
      <c r="I2261" s="7" t="s">
        <v>712</v>
      </c>
      <c r="J2261" s="7" t="s">
        <v>712</v>
      </c>
      <c r="K2261" s="8">
        <v>6256507</v>
      </c>
      <c r="L2261" s="8">
        <v>334859</v>
      </c>
      <c r="M2261" s="8">
        <v>19</v>
      </c>
      <c r="N2261" s="8">
        <v>1</v>
      </c>
      <c r="O2261" s="8">
        <v>4</v>
      </c>
      <c r="P2261" s="8"/>
    </row>
    <row r="2262" spans="1:16" hidden="1" x14ac:dyDescent="0.25">
      <c r="A2262" s="7" t="s">
        <v>19</v>
      </c>
      <c r="B2262" s="7" t="s">
        <v>41</v>
      </c>
      <c r="C2262" s="8">
        <v>28989</v>
      </c>
      <c r="D2262" s="7" t="s">
        <v>52</v>
      </c>
      <c r="E2262" s="7" t="s">
        <v>53</v>
      </c>
      <c r="F2262" s="7" t="s">
        <v>54</v>
      </c>
      <c r="G2262" s="7" t="s">
        <v>65</v>
      </c>
      <c r="H2262" s="7" t="s">
        <v>66</v>
      </c>
      <c r="I2262" s="7" t="s">
        <v>712</v>
      </c>
      <c r="J2262" s="7" t="s">
        <v>712</v>
      </c>
      <c r="K2262" s="8">
        <v>6150920</v>
      </c>
      <c r="L2262" s="8">
        <v>316704</v>
      </c>
      <c r="M2262" s="8">
        <v>19</v>
      </c>
      <c r="N2262" s="8">
        <v>1</v>
      </c>
      <c r="O2262" s="8">
        <v>6</v>
      </c>
      <c r="P2262" s="8"/>
    </row>
    <row r="2263" spans="1:16" hidden="1" x14ac:dyDescent="0.25">
      <c r="A2263" s="7" t="s">
        <v>19</v>
      </c>
      <c r="B2263" s="7" t="s">
        <v>41</v>
      </c>
      <c r="C2263" s="8">
        <v>28990</v>
      </c>
      <c r="D2263" s="7" t="s">
        <v>52</v>
      </c>
      <c r="E2263" s="7" t="s">
        <v>53</v>
      </c>
      <c r="F2263" s="7" t="s">
        <v>79</v>
      </c>
      <c r="G2263" s="7" t="s">
        <v>65</v>
      </c>
      <c r="H2263" s="7" t="s">
        <v>66</v>
      </c>
      <c r="I2263" s="7" t="s">
        <v>712</v>
      </c>
      <c r="J2263" s="7" t="s">
        <v>712</v>
      </c>
      <c r="K2263" s="8">
        <v>6148886</v>
      </c>
      <c r="L2263" s="8">
        <v>316095</v>
      </c>
      <c r="M2263" s="8">
        <v>19</v>
      </c>
      <c r="N2263" s="8">
        <v>1</v>
      </c>
      <c r="O2263" s="8">
        <v>10</v>
      </c>
      <c r="P2263" s="8"/>
    </row>
    <row r="2264" spans="1:16" hidden="1" x14ac:dyDescent="0.25">
      <c r="A2264" s="7" t="s">
        <v>19</v>
      </c>
      <c r="B2264" s="7" t="s">
        <v>41</v>
      </c>
      <c r="C2264" s="8">
        <v>28991</v>
      </c>
      <c r="D2264" s="7" t="s">
        <v>52</v>
      </c>
      <c r="E2264" s="7" t="s">
        <v>53</v>
      </c>
      <c r="F2264" s="7" t="s">
        <v>79</v>
      </c>
      <c r="G2264" s="7" t="s">
        <v>65</v>
      </c>
      <c r="H2264" s="7" t="s">
        <v>66</v>
      </c>
      <c r="I2264" s="7" t="s">
        <v>712</v>
      </c>
      <c r="J2264" s="7" t="s">
        <v>712</v>
      </c>
      <c r="K2264" s="8">
        <v>6149923</v>
      </c>
      <c r="L2264" s="8">
        <v>316524</v>
      </c>
      <c r="M2264" s="8">
        <v>19</v>
      </c>
      <c r="N2264" s="8">
        <v>3</v>
      </c>
      <c r="O2264" s="8">
        <v>14</v>
      </c>
      <c r="P2264" s="8"/>
    </row>
    <row r="2265" spans="1:16" hidden="1" x14ac:dyDescent="0.25">
      <c r="A2265" s="7" t="s">
        <v>19</v>
      </c>
      <c r="B2265" s="7" t="s">
        <v>41</v>
      </c>
      <c r="C2265" s="8">
        <v>28992</v>
      </c>
      <c r="D2265" s="7" t="s">
        <v>52</v>
      </c>
      <c r="E2265" s="7" t="s">
        <v>53</v>
      </c>
      <c r="F2265" s="7" t="s">
        <v>80</v>
      </c>
      <c r="G2265" s="7" t="s">
        <v>65</v>
      </c>
      <c r="H2265" s="7" t="s">
        <v>66</v>
      </c>
      <c r="I2265" s="7" t="s">
        <v>712</v>
      </c>
      <c r="J2265" s="7" t="s">
        <v>712</v>
      </c>
      <c r="K2265" s="8">
        <v>6157291</v>
      </c>
      <c r="L2265" s="8">
        <v>310806</v>
      </c>
      <c r="M2265" s="8">
        <v>19</v>
      </c>
      <c r="N2265" s="8">
        <v>3</v>
      </c>
      <c r="O2265" s="8">
        <v>12</v>
      </c>
      <c r="P2265" s="8"/>
    </row>
    <row r="2266" spans="1:16" hidden="1" x14ac:dyDescent="0.25">
      <c r="A2266" s="7" t="s">
        <v>19</v>
      </c>
      <c r="B2266" s="7" t="s">
        <v>41</v>
      </c>
      <c r="C2266" s="8">
        <v>28993</v>
      </c>
      <c r="D2266" s="7" t="s">
        <v>52</v>
      </c>
      <c r="E2266" s="7" t="s">
        <v>53</v>
      </c>
      <c r="F2266" s="7" t="s">
        <v>81</v>
      </c>
      <c r="G2266" s="7" t="s">
        <v>65</v>
      </c>
      <c r="H2266" s="7" t="s">
        <v>66</v>
      </c>
      <c r="I2266" s="7" t="s">
        <v>712</v>
      </c>
      <c r="J2266" s="7" t="s">
        <v>712</v>
      </c>
      <c r="K2266" s="8">
        <v>6148346</v>
      </c>
      <c r="L2266" s="8">
        <v>320684</v>
      </c>
      <c r="M2266" s="8">
        <v>19</v>
      </c>
      <c r="N2266" s="8">
        <v>1</v>
      </c>
      <c r="O2266" s="8">
        <v>13</v>
      </c>
      <c r="P2266" s="8"/>
    </row>
    <row r="2267" spans="1:16" hidden="1" x14ac:dyDescent="0.25">
      <c r="A2267" s="7" t="s">
        <v>19</v>
      </c>
      <c r="B2267" s="7" t="s">
        <v>41</v>
      </c>
      <c r="C2267" s="8">
        <v>28994</v>
      </c>
      <c r="D2267" s="7" t="s">
        <v>52</v>
      </c>
      <c r="E2267" s="7" t="s">
        <v>53</v>
      </c>
      <c r="F2267" s="7" t="s">
        <v>81</v>
      </c>
      <c r="G2267" s="7" t="s">
        <v>65</v>
      </c>
      <c r="H2267" s="7" t="s">
        <v>66</v>
      </c>
      <c r="I2267" s="7" t="s">
        <v>712</v>
      </c>
      <c r="J2267" s="7" t="s">
        <v>712</v>
      </c>
      <c r="K2267" s="8">
        <v>6148397</v>
      </c>
      <c r="L2267" s="8">
        <v>321070</v>
      </c>
      <c r="M2267" s="8">
        <v>19</v>
      </c>
      <c r="N2267" s="8">
        <v>1</v>
      </c>
      <c r="O2267" s="8">
        <v>7</v>
      </c>
      <c r="P2267" s="8"/>
    </row>
    <row r="2268" spans="1:16" hidden="1" x14ac:dyDescent="0.25">
      <c r="A2268" s="7" t="s">
        <v>19</v>
      </c>
      <c r="B2268" s="7" t="s">
        <v>41</v>
      </c>
      <c r="C2268" s="8">
        <v>28995</v>
      </c>
      <c r="D2268" s="7" t="s">
        <v>52</v>
      </c>
      <c r="E2268" s="7" t="s">
        <v>53</v>
      </c>
      <c r="F2268" s="7" t="s">
        <v>55</v>
      </c>
      <c r="G2268" s="7" t="s">
        <v>65</v>
      </c>
      <c r="H2268" s="7" t="s">
        <v>66</v>
      </c>
      <c r="I2268" s="7" t="s">
        <v>712</v>
      </c>
      <c r="J2268" s="7" t="s">
        <v>712</v>
      </c>
      <c r="K2268" s="8">
        <v>6158273</v>
      </c>
      <c r="L2268" s="8">
        <v>317655</v>
      </c>
      <c r="M2268" s="8">
        <v>19</v>
      </c>
      <c r="N2268" s="8">
        <v>2</v>
      </c>
      <c r="O2268" s="8">
        <v>11</v>
      </c>
      <c r="P2268" s="8"/>
    </row>
    <row r="2269" spans="1:16" hidden="1" x14ac:dyDescent="0.25">
      <c r="A2269" s="7" t="s">
        <v>19</v>
      </c>
      <c r="B2269" s="7" t="s">
        <v>41</v>
      </c>
      <c r="C2269" s="8">
        <v>28996</v>
      </c>
      <c r="D2269" s="7" t="s">
        <v>52</v>
      </c>
      <c r="E2269" s="7" t="s">
        <v>82</v>
      </c>
      <c r="F2269" s="7" t="s">
        <v>83</v>
      </c>
      <c r="G2269" s="7" t="s">
        <v>65</v>
      </c>
      <c r="H2269" s="7" t="s">
        <v>66</v>
      </c>
      <c r="I2269" s="7" t="s">
        <v>712</v>
      </c>
      <c r="J2269" s="7" t="s">
        <v>712</v>
      </c>
      <c r="K2269" s="8">
        <v>6169321</v>
      </c>
      <c r="L2269" s="8">
        <v>284526</v>
      </c>
      <c r="M2269" s="8">
        <v>19</v>
      </c>
      <c r="N2269" s="8">
        <v>1</v>
      </c>
      <c r="O2269" s="8">
        <v>7</v>
      </c>
      <c r="P2269" s="8"/>
    </row>
    <row r="2270" spans="1:16" hidden="1" x14ac:dyDescent="0.25">
      <c r="A2270" s="7" t="s">
        <v>19</v>
      </c>
      <c r="B2270" s="7" t="s">
        <v>41</v>
      </c>
      <c r="C2270" s="8">
        <v>28997</v>
      </c>
      <c r="D2270" s="7" t="s">
        <v>52</v>
      </c>
      <c r="E2270" s="7" t="s">
        <v>82</v>
      </c>
      <c r="F2270" s="7" t="s">
        <v>83</v>
      </c>
      <c r="G2270" s="7" t="s">
        <v>65</v>
      </c>
      <c r="H2270" s="7" t="s">
        <v>66</v>
      </c>
      <c r="I2270" s="7" t="s">
        <v>712</v>
      </c>
      <c r="J2270" s="7" t="s">
        <v>712</v>
      </c>
      <c r="K2270" s="8">
        <v>6169282</v>
      </c>
      <c r="L2270" s="8">
        <v>284367</v>
      </c>
      <c r="M2270" s="8">
        <v>19</v>
      </c>
      <c r="N2270" s="8">
        <v>1</v>
      </c>
      <c r="O2270" s="8">
        <v>7</v>
      </c>
      <c r="P2270" s="8"/>
    </row>
    <row r="2271" spans="1:16" hidden="1" x14ac:dyDescent="0.25">
      <c r="A2271" s="7" t="s">
        <v>19</v>
      </c>
      <c r="B2271" s="7" t="s">
        <v>41</v>
      </c>
      <c r="C2271" s="8">
        <v>28998</v>
      </c>
      <c r="D2271" s="7" t="s">
        <v>52</v>
      </c>
      <c r="E2271" s="7" t="s">
        <v>82</v>
      </c>
      <c r="F2271" s="7" t="s">
        <v>83</v>
      </c>
      <c r="G2271" s="7" t="s">
        <v>65</v>
      </c>
      <c r="H2271" s="7" t="s">
        <v>66</v>
      </c>
      <c r="I2271" s="7" t="s">
        <v>712</v>
      </c>
      <c r="J2271" s="7" t="s">
        <v>712</v>
      </c>
      <c r="K2271" s="8">
        <v>6169613</v>
      </c>
      <c r="L2271" s="8">
        <v>284520</v>
      </c>
      <c r="M2271" s="8">
        <v>19</v>
      </c>
      <c r="N2271" s="8">
        <v>1</v>
      </c>
      <c r="O2271" s="8">
        <v>1</v>
      </c>
      <c r="P2271" s="8"/>
    </row>
    <row r="2272" spans="1:16" hidden="1" x14ac:dyDescent="0.25">
      <c r="A2272" s="7" t="s">
        <v>19</v>
      </c>
      <c r="B2272" s="7" t="s">
        <v>41</v>
      </c>
      <c r="C2272" s="8">
        <v>28999</v>
      </c>
      <c r="D2272" s="7" t="s">
        <v>52</v>
      </c>
      <c r="E2272" s="7" t="s">
        <v>53</v>
      </c>
      <c r="F2272" s="7" t="s">
        <v>81</v>
      </c>
      <c r="G2272" s="7" t="s">
        <v>65</v>
      </c>
      <c r="H2272" s="7" t="s">
        <v>66</v>
      </c>
      <c r="I2272" s="7" t="s">
        <v>712</v>
      </c>
      <c r="J2272" s="7" t="s">
        <v>712</v>
      </c>
      <c r="K2272" s="8">
        <v>6148977</v>
      </c>
      <c r="L2272" s="8">
        <v>320798</v>
      </c>
      <c r="M2272" s="8">
        <v>19</v>
      </c>
      <c r="N2272" s="8">
        <v>1</v>
      </c>
      <c r="O2272" s="8">
        <v>7</v>
      </c>
      <c r="P2272" s="8"/>
    </row>
    <row r="2273" spans="1:16" hidden="1" x14ac:dyDescent="0.25">
      <c r="A2273" s="7" t="s">
        <v>19</v>
      </c>
      <c r="B2273" s="7" t="s">
        <v>41</v>
      </c>
      <c r="C2273" s="8">
        <v>29000</v>
      </c>
      <c r="D2273" s="7" t="s">
        <v>52</v>
      </c>
      <c r="E2273" s="7" t="s">
        <v>53</v>
      </c>
      <c r="F2273" s="7" t="s">
        <v>81</v>
      </c>
      <c r="G2273" s="7" t="s">
        <v>65</v>
      </c>
      <c r="H2273" s="7" t="s">
        <v>66</v>
      </c>
      <c r="I2273" s="7" t="s">
        <v>712</v>
      </c>
      <c r="J2273" s="7" t="s">
        <v>712</v>
      </c>
      <c r="K2273" s="8">
        <v>6148819</v>
      </c>
      <c r="L2273" s="8">
        <v>320741</v>
      </c>
      <c r="M2273" s="8">
        <v>19</v>
      </c>
      <c r="N2273" s="8">
        <v>1</v>
      </c>
      <c r="O2273" s="8">
        <v>7</v>
      </c>
      <c r="P2273" s="8"/>
    </row>
    <row r="2274" spans="1:16" hidden="1" x14ac:dyDescent="0.25">
      <c r="A2274" s="7" t="s">
        <v>19</v>
      </c>
      <c r="B2274" s="7" t="s">
        <v>41</v>
      </c>
      <c r="C2274" s="8">
        <v>29001</v>
      </c>
      <c r="D2274" s="7" t="s">
        <v>52</v>
      </c>
      <c r="E2274" s="7" t="s">
        <v>53</v>
      </c>
      <c r="F2274" s="7" t="s">
        <v>81</v>
      </c>
      <c r="G2274" s="7" t="s">
        <v>65</v>
      </c>
      <c r="H2274" s="7" t="s">
        <v>66</v>
      </c>
      <c r="I2274" s="7" t="s">
        <v>712</v>
      </c>
      <c r="J2274" s="7" t="s">
        <v>712</v>
      </c>
      <c r="K2274" s="8">
        <v>6148636</v>
      </c>
      <c r="L2274" s="8">
        <v>320670</v>
      </c>
      <c r="M2274" s="8">
        <v>19</v>
      </c>
      <c r="N2274" s="8">
        <v>1</v>
      </c>
      <c r="O2274" s="8">
        <v>7</v>
      </c>
      <c r="P2274" s="8"/>
    </row>
    <row r="2275" spans="1:16" hidden="1" x14ac:dyDescent="0.25">
      <c r="A2275" s="7" t="s">
        <v>19</v>
      </c>
      <c r="B2275" s="7" t="s">
        <v>41</v>
      </c>
      <c r="C2275" s="8">
        <v>29003</v>
      </c>
      <c r="D2275" s="7" t="s">
        <v>28</v>
      </c>
      <c r="E2275" s="7" t="s">
        <v>84</v>
      </c>
      <c r="F2275" s="7" t="s">
        <v>85</v>
      </c>
      <c r="G2275" s="7" t="s">
        <v>65</v>
      </c>
      <c r="H2275" s="7" t="s">
        <v>66</v>
      </c>
      <c r="I2275" s="7" t="s">
        <v>712</v>
      </c>
      <c r="J2275" s="7" t="s">
        <v>712</v>
      </c>
      <c r="K2275" s="8">
        <v>6278788</v>
      </c>
      <c r="L2275" s="8">
        <v>328815</v>
      </c>
      <c r="M2275" s="8">
        <v>19</v>
      </c>
      <c r="N2275" s="8">
        <v>1</v>
      </c>
      <c r="O2275" s="8">
        <v>7</v>
      </c>
      <c r="P2275" s="8"/>
    </row>
    <row r="2276" spans="1:16" hidden="1" x14ac:dyDescent="0.25">
      <c r="A2276" s="7" t="s">
        <v>19</v>
      </c>
      <c r="B2276" s="7" t="s">
        <v>41</v>
      </c>
      <c r="C2276" s="8">
        <v>29004</v>
      </c>
      <c r="D2276" s="7" t="s">
        <v>28</v>
      </c>
      <c r="E2276" s="7" t="s">
        <v>84</v>
      </c>
      <c r="F2276" s="7" t="s">
        <v>85</v>
      </c>
      <c r="G2276" s="7" t="s">
        <v>65</v>
      </c>
      <c r="H2276" s="7" t="s">
        <v>66</v>
      </c>
      <c r="I2276" s="7" t="s">
        <v>712</v>
      </c>
      <c r="J2276" s="7" t="s">
        <v>712</v>
      </c>
      <c r="K2276" s="8">
        <v>6278686</v>
      </c>
      <c r="L2276" s="8">
        <v>328724</v>
      </c>
      <c r="M2276" s="8">
        <v>19</v>
      </c>
      <c r="N2276" s="8">
        <v>1</v>
      </c>
      <c r="O2276" s="8">
        <v>7</v>
      </c>
      <c r="P2276" s="8"/>
    </row>
    <row r="2277" spans="1:16" hidden="1" x14ac:dyDescent="0.25">
      <c r="A2277" s="7" t="s">
        <v>19</v>
      </c>
      <c r="B2277" s="7" t="s">
        <v>41</v>
      </c>
      <c r="C2277" s="8">
        <v>29005</v>
      </c>
      <c r="D2277" s="7" t="s">
        <v>28</v>
      </c>
      <c r="E2277" s="7" t="s">
        <v>84</v>
      </c>
      <c r="F2277" s="7" t="s">
        <v>85</v>
      </c>
      <c r="G2277" s="7" t="s">
        <v>65</v>
      </c>
      <c r="H2277" s="7" t="s">
        <v>66</v>
      </c>
      <c r="I2277" s="7" t="s">
        <v>712</v>
      </c>
      <c r="J2277" s="7" t="s">
        <v>712</v>
      </c>
      <c r="K2277" s="8">
        <v>6278600</v>
      </c>
      <c r="L2277" s="8">
        <v>328702</v>
      </c>
      <c r="M2277" s="8">
        <v>19</v>
      </c>
      <c r="N2277" s="8">
        <v>1</v>
      </c>
      <c r="O2277" s="8">
        <v>7</v>
      </c>
      <c r="P2277" s="8"/>
    </row>
    <row r="2278" spans="1:16" hidden="1" x14ac:dyDescent="0.25">
      <c r="A2278" s="7" t="s">
        <v>19</v>
      </c>
      <c r="B2278" s="7" t="s">
        <v>41</v>
      </c>
      <c r="C2278" s="8">
        <v>29006</v>
      </c>
      <c r="D2278" s="7" t="s">
        <v>28</v>
      </c>
      <c r="E2278" s="7" t="s">
        <v>84</v>
      </c>
      <c r="F2278" s="7" t="s">
        <v>85</v>
      </c>
      <c r="G2278" s="7" t="s">
        <v>65</v>
      </c>
      <c r="H2278" s="7" t="s">
        <v>66</v>
      </c>
      <c r="I2278" s="7" t="s">
        <v>712</v>
      </c>
      <c r="J2278" s="7" t="s">
        <v>712</v>
      </c>
      <c r="K2278" s="8">
        <v>6278535</v>
      </c>
      <c r="L2278" s="8">
        <v>328690</v>
      </c>
      <c r="M2278" s="8">
        <v>19</v>
      </c>
      <c r="N2278" s="8">
        <v>1</v>
      </c>
      <c r="O2278" s="8">
        <v>7</v>
      </c>
      <c r="P2278" s="8"/>
    </row>
    <row r="2279" spans="1:16" hidden="1" x14ac:dyDescent="0.25">
      <c r="A2279" s="7" t="s">
        <v>19</v>
      </c>
      <c r="B2279" s="7" t="s">
        <v>254</v>
      </c>
      <c r="C2279" s="8">
        <v>29009</v>
      </c>
      <c r="D2279" s="7" t="s">
        <v>52</v>
      </c>
      <c r="E2279" s="7" t="s">
        <v>141</v>
      </c>
      <c r="F2279" s="7" t="s">
        <v>272</v>
      </c>
      <c r="G2279" s="7" t="s">
        <v>18</v>
      </c>
      <c r="H2279" s="7" t="s">
        <v>66</v>
      </c>
      <c r="I2279" s="7" t="s">
        <v>712</v>
      </c>
      <c r="J2279" s="7" t="s">
        <v>712</v>
      </c>
      <c r="K2279" s="8">
        <v>6220527</v>
      </c>
      <c r="L2279" s="8">
        <v>337307</v>
      </c>
      <c r="M2279" s="8">
        <v>19</v>
      </c>
      <c r="N2279" s="8">
        <v>1</v>
      </c>
      <c r="O2279" s="8">
        <v>0.02</v>
      </c>
      <c r="P2279" s="8"/>
    </row>
    <row r="2280" spans="1:16" hidden="1" x14ac:dyDescent="0.25">
      <c r="A2280" s="7" t="s">
        <v>14</v>
      </c>
      <c r="B2280" s="7" t="s">
        <v>563</v>
      </c>
      <c r="C2280" s="8">
        <v>29010</v>
      </c>
      <c r="D2280" s="7" t="s">
        <v>119</v>
      </c>
      <c r="E2280" s="7" t="s">
        <v>575</v>
      </c>
      <c r="F2280" s="7" t="s">
        <v>575</v>
      </c>
      <c r="G2280" s="7" t="s">
        <v>43</v>
      </c>
      <c r="H2280" s="7" t="s">
        <v>689</v>
      </c>
      <c r="I2280" s="7" t="s">
        <v>690</v>
      </c>
      <c r="J2280" s="7" t="s">
        <v>690</v>
      </c>
      <c r="K2280" s="8">
        <v>5743047</v>
      </c>
      <c r="L2280" s="8">
        <v>682290</v>
      </c>
      <c r="M2280" s="8">
        <v>18</v>
      </c>
      <c r="N2280" s="8">
        <v>1</v>
      </c>
      <c r="O2280" s="8">
        <v>0.3</v>
      </c>
      <c r="P2280" s="8"/>
    </row>
    <row r="2281" spans="1:16" hidden="1" x14ac:dyDescent="0.25">
      <c r="A2281" s="7" t="s">
        <v>14</v>
      </c>
      <c r="B2281" s="7" t="s">
        <v>563</v>
      </c>
      <c r="C2281" s="8">
        <v>29011</v>
      </c>
      <c r="D2281" s="7" t="s">
        <v>119</v>
      </c>
      <c r="E2281" s="7" t="s">
        <v>570</v>
      </c>
      <c r="F2281" s="7" t="s">
        <v>570</v>
      </c>
      <c r="G2281" s="7" t="s">
        <v>43</v>
      </c>
      <c r="H2281" s="7" t="s">
        <v>689</v>
      </c>
      <c r="I2281" s="7" t="s">
        <v>690</v>
      </c>
      <c r="J2281" s="7" t="s">
        <v>690</v>
      </c>
      <c r="K2281" s="8">
        <v>5754158</v>
      </c>
      <c r="L2281" s="8">
        <v>710014</v>
      </c>
      <c r="M2281" s="8">
        <v>18</v>
      </c>
      <c r="N2281" s="8">
        <v>1</v>
      </c>
      <c r="O2281" s="8">
        <v>1.5</v>
      </c>
      <c r="P2281" s="8"/>
    </row>
    <row r="2282" spans="1:16" hidden="1" x14ac:dyDescent="0.25">
      <c r="A2282" s="7" t="s">
        <v>14</v>
      </c>
      <c r="B2282" s="7" t="s">
        <v>563</v>
      </c>
      <c r="C2282" s="8">
        <v>29012</v>
      </c>
      <c r="D2282" s="7" t="s">
        <v>119</v>
      </c>
      <c r="E2282" s="7" t="s">
        <v>225</v>
      </c>
      <c r="F2282" s="7" t="s">
        <v>225</v>
      </c>
      <c r="G2282" s="7" t="s">
        <v>43</v>
      </c>
      <c r="H2282" s="7" t="s">
        <v>689</v>
      </c>
      <c r="I2282" s="7" t="s">
        <v>690</v>
      </c>
      <c r="J2282" s="7" t="s">
        <v>690</v>
      </c>
      <c r="K2282" s="8">
        <v>5765500</v>
      </c>
      <c r="L2282" s="8">
        <v>719126</v>
      </c>
      <c r="M2282" s="8">
        <v>18</v>
      </c>
      <c r="N2282" s="8">
        <v>1</v>
      </c>
      <c r="O2282" s="8">
        <v>0.3</v>
      </c>
      <c r="P2282" s="8"/>
    </row>
    <row r="2283" spans="1:16" hidden="1" x14ac:dyDescent="0.25">
      <c r="A2283" s="7" t="s">
        <v>14</v>
      </c>
      <c r="B2283" s="7" t="s">
        <v>563</v>
      </c>
      <c r="C2283" s="8">
        <v>29013</v>
      </c>
      <c r="D2283" s="7" t="s">
        <v>119</v>
      </c>
      <c r="E2283" s="7" t="s">
        <v>175</v>
      </c>
      <c r="F2283" s="7" t="s">
        <v>564</v>
      </c>
      <c r="G2283" s="7" t="s">
        <v>43</v>
      </c>
      <c r="H2283" s="7" t="s">
        <v>689</v>
      </c>
      <c r="I2283" s="7" t="s">
        <v>690</v>
      </c>
      <c r="J2283" s="7" t="s">
        <v>690</v>
      </c>
      <c r="K2283" s="8">
        <v>5716887</v>
      </c>
      <c r="L2283" s="8">
        <v>725883</v>
      </c>
      <c r="M2283" s="8">
        <v>18</v>
      </c>
      <c r="N2283" s="8">
        <v>1</v>
      </c>
      <c r="O2283" s="8">
        <v>1</v>
      </c>
      <c r="P2283" s="8"/>
    </row>
    <row r="2284" spans="1:16" hidden="1" x14ac:dyDescent="0.25">
      <c r="A2284" s="7" t="s">
        <v>19</v>
      </c>
      <c r="B2284" s="7" t="s">
        <v>270</v>
      </c>
      <c r="C2284" s="8">
        <v>29014</v>
      </c>
      <c r="D2284" s="7" t="s">
        <v>16</v>
      </c>
      <c r="E2284" s="7" t="s">
        <v>50</v>
      </c>
      <c r="F2284" s="7" t="s">
        <v>161</v>
      </c>
      <c r="G2284" s="7" t="s">
        <v>18</v>
      </c>
      <c r="H2284" s="7" t="s">
        <v>48</v>
      </c>
      <c r="I2284" s="7" t="s">
        <v>712</v>
      </c>
      <c r="J2284" s="7" t="s">
        <v>712</v>
      </c>
      <c r="K2284" s="8">
        <v>6072841</v>
      </c>
      <c r="L2284" s="8">
        <v>269835</v>
      </c>
      <c r="M2284" s="8">
        <v>19</v>
      </c>
      <c r="N2284" s="8">
        <v>9</v>
      </c>
      <c r="O2284" s="8">
        <v>53</v>
      </c>
      <c r="P2284" s="8"/>
    </row>
    <row r="2285" spans="1:16" hidden="1" x14ac:dyDescent="0.25">
      <c r="A2285" s="7" t="s">
        <v>19</v>
      </c>
      <c r="B2285" s="7" t="s">
        <v>270</v>
      </c>
      <c r="C2285" s="8">
        <v>29015</v>
      </c>
      <c r="D2285" s="7" t="s">
        <v>16</v>
      </c>
      <c r="E2285" s="7" t="s">
        <v>50</v>
      </c>
      <c r="F2285" s="7" t="s">
        <v>161</v>
      </c>
      <c r="G2285" s="7" t="s">
        <v>18</v>
      </c>
      <c r="H2285" s="7" t="s">
        <v>48</v>
      </c>
      <c r="I2285" s="7" t="s">
        <v>712</v>
      </c>
      <c r="J2285" s="7" t="s">
        <v>712</v>
      </c>
      <c r="K2285" s="8">
        <v>6072824</v>
      </c>
      <c r="L2285" s="8">
        <v>270589</v>
      </c>
      <c r="M2285" s="8">
        <v>19</v>
      </c>
      <c r="N2285" s="8">
        <v>3</v>
      </c>
      <c r="O2285" s="8">
        <v>5.5</v>
      </c>
      <c r="P2285" s="8"/>
    </row>
    <row r="2286" spans="1:16" hidden="1" x14ac:dyDescent="0.25">
      <c r="A2286" s="7" t="s">
        <v>19</v>
      </c>
      <c r="B2286" s="7" t="s">
        <v>343</v>
      </c>
      <c r="C2286" s="8">
        <v>29016</v>
      </c>
      <c r="D2286" s="7" t="s">
        <v>52</v>
      </c>
      <c r="E2286" s="7" t="s">
        <v>139</v>
      </c>
      <c r="F2286" s="7" t="s">
        <v>139</v>
      </c>
      <c r="G2286" s="7" t="s">
        <v>65</v>
      </c>
      <c r="H2286" s="7" t="s">
        <v>24</v>
      </c>
      <c r="I2286" s="7" t="s">
        <v>712</v>
      </c>
      <c r="J2286" s="7" t="s">
        <v>712</v>
      </c>
      <c r="K2286" s="8">
        <v>6226657</v>
      </c>
      <c r="L2286" s="8">
        <v>342751</v>
      </c>
      <c r="M2286" s="8">
        <v>19</v>
      </c>
      <c r="N2286" s="8">
        <v>3</v>
      </c>
      <c r="O2286" s="8">
        <v>15.5</v>
      </c>
      <c r="P2286" s="8"/>
    </row>
    <row r="2287" spans="1:16" hidden="1" x14ac:dyDescent="0.25">
      <c r="A2287" s="7" t="s">
        <v>14</v>
      </c>
      <c r="B2287" s="7" t="s">
        <v>415</v>
      </c>
      <c r="C2287" s="8">
        <v>29018</v>
      </c>
      <c r="D2287" s="7" t="s">
        <v>28</v>
      </c>
      <c r="E2287" s="7" t="s">
        <v>56</v>
      </c>
      <c r="F2287" s="7" t="s">
        <v>378</v>
      </c>
      <c r="G2287" s="7" t="s">
        <v>65</v>
      </c>
      <c r="H2287" s="7" t="s">
        <v>689</v>
      </c>
      <c r="I2287" s="7" t="s">
        <v>712</v>
      </c>
      <c r="J2287" s="7" t="s">
        <v>712</v>
      </c>
      <c r="K2287" s="8">
        <v>6260214</v>
      </c>
      <c r="L2287" s="8">
        <v>331524</v>
      </c>
      <c r="M2287" s="8">
        <v>19</v>
      </c>
      <c r="N2287" s="8">
        <v>1</v>
      </c>
      <c r="O2287" s="8">
        <v>1.1000000000000001</v>
      </c>
      <c r="P2287" s="8"/>
    </row>
    <row r="2288" spans="1:16" hidden="1" x14ac:dyDescent="0.25">
      <c r="A2288" s="7" t="s">
        <v>14</v>
      </c>
      <c r="B2288" s="7" t="s">
        <v>415</v>
      </c>
      <c r="C2288" s="8">
        <v>29020</v>
      </c>
      <c r="D2288" s="7" t="s">
        <v>28</v>
      </c>
      <c r="E2288" s="7" t="s">
        <v>56</v>
      </c>
      <c r="F2288" s="7" t="s">
        <v>378</v>
      </c>
      <c r="G2288" s="7" t="s">
        <v>65</v>
      </c>
      <c r="H2288" s="7" t="s">
        <v>689</v>
      </c>
      <c r="I2288" s="7" t="s">
        <v>712</v>
      </c>
      <c r="J2288" s="7" t="s">
        <v>712</v>
      </c>
      <c r="K2288" s="8">
        <v>6260426</v>
      </c>
      <c r="L2288" s="8">
        <v>331653</v>
      </c>
      <c r="M2288" s="8">
        <v>19</v>
      </c>
      <c r="N2288" s="8">
        <v>1</v>
      </c>
      <c r="O2288" s="8">
        <v>0.06</v>
      </c>
      <c r="P2288" s="8"/>
    </row>
    <row r="2289" spans="1:16" hidden="1" x14ac:dyDescent="0.25">
      <c r="A2289" s="7" t="s">
        <v>19</v>
      </c>
      <c r="B2289" s="7" t="s">
        <v>270</v>
      </c>
      <c r="C2289" s="8">
        <v>29030</v>
      </c>
      <c r="D2289" s="7" t="s">
        <v>52</v>
      </c>
      <c r="E2289" s="7" t="s">
        <v>273</v>
      </c>
      <c r="F2289" s="7" t="s">
        <v>437</v>
      </c>
      <c r="G2289" s="7" t="s">
        <v>65</v>
      </c>
      <c r="H2289" s="7" t="s">
        <v>24</v>
      </c>
      <c r="I2289" s="7" t="s">
        <v>712</v>
      </c>
      <c r="J2289" s="7" t="s">
        <v>712</v>
      </c>
      <c r="K2289" s="8">
        <v>6166804</v>
      </c>
      <c r="L2289" s="8">
        <v>288789</v>
      </c>
      <c r="M2289" s="8">
        <v>19</v>
      </c>
      <c r="N2289" s="8">
        <v>2</v>
      </c>
      <c r="O2289" s="8">
        <v>5</v>
      </c>
      <c r="P2289" s="8"/>
    </row>
    <row r="2290" spans="1:16" hidden="1" x14ac:dyDescent="0.25">
      <c r="A2290" s="7" t="s">
        <v>19</v>
      </c>
      <c r="B2290" s="7" t="s">
        <v>270</v>
      </c>
      <c r="C2290" s="8">
        <v>29031</v>
      </c>
      <c r="D2290" s="7" t="s">
        <v>52</v>
      </c>
      <c r="E2290" s="7" t="s">
        <v>273</v>
      </c>
      <c r="F2290" s="7" t="s">
        <v>437</v>
      </c>
      <c r="G2290" s="7" t="s">
        <v>65</v>
      </c>
      <c r="H2290" s="7" t="s">
        <v>24</v>
      </c>
      <c r="I2290" s="7" t="s">
        <v>712</v>
      </c>
      <c r="J2290" s="7" t="s">
        <v>712</v>
      </c>
      <c r="K2290" s="8">
        <v>6165464</v>
      </c>
      <c r="L2290" s="8">
        <v>289734</v>
      </c>
      <c r="M2290" s="8">
        <v>19</v>
      </c>
      <c r="N2290" s="8">
        <v>2</v>
      </c>
      <c r="O2290" s="8">
        <v>15</v>
      </c>
      <c r="P2290" s="8"/>
    </row>
    <row r="2291" spans="1:16" hidden="1" x14ac:dyDescent="0.25">
      <c r="A2291" s="7" t="s">
        <v>37</v>
      </c>
      <c r="B2291" s="7" t="s">
        <v>343</v>
      </c>
      <c r="C2291" s="8">
        <v>29033</v>
      </c>
      <c r="D2291" s="7" t="s">
        <v>52</v>
      </c>
      <c r="E2291" s="7" t="s">
        <v>82</v>
      </c>
      <c r="F2291" s="7" t="s">
        <v>82</v>
      </c>
      <c r="G2291" s="7" t="s">
        <v>65</v>
      </c>
      <c r="H2291" s="7" t="s">
        <v>66</v>
      </c>
      <c r="I2291" s="7" t="s">
        <v>712</v>
      </c>
      <c r="J2291" s="7" t="s">
        <v>712</v>
      </c>
      <c r="K2291" s="8">
        <v>6161917</v>
      </c>
      <c r="L2291" s="8">
        <v>282089</v>
      </c>
      <c r="M2291" s="8">
        <v>19</v>
      </c>
      <c r="N2291" s="8">
        <v>1</v>
      </c>
      <c r="O2291" s="8">
        <v>28.5</v>
      </c>
      <c r="P2291" s="8"/>
    </row>
    <row r="2292" spans="1:16" hidden="1" x14ac:dyDescent="0.25">
      <c r="A2292" s="7" t="s">
        <v>19</v>
      </c>
      <c r="B2292" s="7" t="s">
        <v>343</v>
      </c>
      <c r="C2292" s="8">
        <v>29034</v>
      </c>
      <c r="D2292" s="7" t="s">
        <v>52</v>
      </c>
      <c r="E2292" s="7" t="s">
        <v>82</v>
      </c>
      <c r="F2292" s="7" t="s">
        <v>82</v>
      </c>
      <c r="G2292" s="7" t="s">
        <v>65</v>
      </c>
      <c r="H2292" s="7" t="s">
        <v>24</v>
      </c>
      <c r="I2292" s="7" t="s">
        <v>712</v>
      </c>
      <c r="J2292" s="7" t="s">
        <v>712</v>
      </c>
      <c r="K2292" s="8">
        <v>6162693</v>
      </c>
      <c r="L2292" s="8">
        <v>280518</v>
      </c>
      <c r="M2292" s="8">
        <v>19</v>
      </c>
      <c r="N2292" s="8">
        <v>1</v>
      </c>
      <c r="O2292" s="8">
        <v>25</v>
      </c>
      <c r="P2292" s="8"/>
    </row>
    <row r="2293" spans="1:16" hidden="1" x14ac:dyDescent="0.25">
      <c r="A2293" s="7" t="s">
        <v>19</v>
      </c>
      <c r="B2293" s="7" t="s">
        <v>408</v>
      </c>
      <c r="C2293" s="8">
        <v>29036</v>
      </c>
      <c r="D2293" s="7" t="s">
        <v>28</v>
      </c>
      <c r="E2293" s="7" t="s">
        <v>413</v>
      </c>
      <c r="F2293" s="7" t="s">
        <v>413</v>
      </c>
      <c r="G2293" s="7" t="s">
        <v>18</v>
      </c>
      <c r="H2293" s="7" t="s">
        <v>48</v>
      </c>
      <c r="I2293" s="7" t="s">
        <v>712</v>
      </c>
      <c r="J2293" s="7" t="s">
        <v>712</v>
      </c>
      <c r="K2293" s="8">
        <v>6281243</v>
      </c>
      <c r="L2293" s="8">
        <v>351434</v>
      </c>
      <c r="M2293" s="8">
        <v>19</v>
      </c>
      <c r="N2293" s="8">
        <v>1</v>
      </c>
      <c r="O2293" s="8">
        <v>2</v>
      </c>
      <c r="P2293" s="8"/>
    </row>
    <row r="2294" spans="1:16" hidden="1" x14ac:dyDescent="0.25">
      <c r="A2294" s="7" t="s">
        <v>19</v>
      </c>
      <c r="B2294" s="7" t="s">
        <v>343</v>
      </c>
      <c r="C2294" s="8">
        <v>29038</v>
      </c>
      <c r="D2294" s="7" t="s">
        <v>52</v>
      </c>
      <c r="E2294" s="7" t="s">
        <v>159</v>
      </c>
      <c r="F2294" s="7" t="s">
        <v>159</v>
      </c>
      <c r="G2294" s="7" t="s">
        <v>65</v>
      </c>
      <c r="H2294" s="7" t="s">
        <v>24</v>
      </c>
      <c r="I2294" s="7" t="s">
        <v>712</v>
      </c>
      <c r="J2294" s="7" t="s">
        <v>712</v>
      </c>
      <c r="K2294" s="8">
        <v>6235214</v>
      </c>
      <c r="L2294" s="8">
        <v>340812</v>
      </c>
      <c r="M2294" s="8">
        <v>19</v>
      </c>
      <c r="N2294" s="8">
        <v>2</v>
      </c>
      <c r="O2294" s="8">
        <v>10</v>
      </c>
      <c r="P2294" s="8"/>
    </row>
    <row r="2295" spans="1:16" hidden="1" x14ac:dyDescent="0.25">
      <c r="A2295" s="7" t="s">
        <v>19</v>
      </c>
      <c r="B2295" s="7" t="s">
        <v>343</v>
      </c>
      <c r="C2295" s="8">
        <v>29040</v>
      </c>
      <c r="D2295" s="7" t="s">
        <v>52</v>
      </c>
      <c r="E2295" s="7" t="s">
        <v>53</v>
      </c>
      <c r="F2295" s="7" t="s">
        <v>53</v>
      </c>
      <c r="G2295" s="7" t="s">
        <v>65</v>
      </c>
      <c r="H2295" s="7" t="s">
        <v>24</v>
      </c>
      <c r="I2295" s="7" t="s">
        <v>712</v>
      </c>
      <c r="J2295" s="7" t="s">
        <v>712</v>
      </c>
      <c r="K2295" s="8">
        <v>6154222</v>
      </c>
      <c r="L2295" s="8">
        <v>311518</v>
      </c>
      <c r="M2295" s="8">
        <v>19</v>
      </c>
      <c r="N2295" s="8">
        <v>2</v>
      </c>
      <c r="O2295" s="8">
        <v>28</v>
      </c>
      <c r="P2295" s="8"/>
    </row>
    <row r="2296" spans="1:16" hidden="1" x14ac:dyDescent="0.25">
      <c r="A2296" s="7" t="s">
        <v>19</v>
      </c>
      <c r="B2296" s="7" t="s">
        <v>343</v>
      </c>
      <c r="C2296" s="8">
        <v>29041</v>
      </c>
      <c r="D2296" s="7" t="s">
        <v>52</v>
      </c>
      <c r="E2296" s="7" t="s">
        <v>151</v>
      </c>
      <c r="F2296" s="7" t="s">
        <v>151</v>
      </c>
      <c r="G2296" s="7" t="s">
        <v>65</v>
      </c>
      <c r="H2296" s="7" t="s">
        <v>24</v>
      </c>
      <c r="I2296" s="7" t="s">
        <v>712</v>
      </c>
      <c r="J2296" s="7" t="s">
        <v>712</v>
      </c>
      <c r="K2296" s="8">
        <v>6196485</v>
      </c>
      <c r="L2296" s="8">
        <v>326340</v>
      </c>
      <c r="M2296" s="8">
        <v>19</v>
      </c>
      <c r="N2296" s="8">
        <v>1</v>
      </c>
      <c r="O2296" s="8">
        <v>16</v>
      </c>
      <c r="P2296" s="8"/>
    </row>
    <row r="2297" spans="1:16" hidden="1" x14ac:dyDescent="0.25">
      <c r="A2297" s="7" t="s">
        <v>19</v>
      </c>
      <c r="B2297" s="7" t="s">
        <v>408</v>
      </c>
      <c r="C2297" s="8">
        <v>29043</v>
      </c>
      <c r="D2297" s="7" t="s">
        <v>28</v>
      </c>
      <c r="E2297" s="7" t="s">
        <v>344</v>
      </c>
      <c r="F2297" s="7" t="s">
        <v>414</v>
      </c>
      <c r="G2297" s="7" t="s">
        <v>18</v>
      </c>
      <c r="H2297" s="7" t="s">
        <v>48</v>
      </c>
      <c r="I2297" s="7" t="s">
        <v>712</v>
      </c>
      <c r="J2297" s="7" t="s">
        <v>712</v>
      </c>
      <c r="K2297" s="8">
        <v>6271996</v>
      </c>
      <c r="L2297" s="8">
        <v>293092</v>
      </c>
      <c r="M2297" s="8">
        <v>19</v>
      </c>
      <c r="N2297" s="8">
        <v>1</v>
      </c>
      <c r="O2297" s="8">
        <v>2</v>
      </c>
      <c r="P2297" s="8"/>
    </row>
    <row r="2298" spans="1:16" hidden="1" x14ac:dyDescent="0.25">
      <c r="A2298" s="7" t="s">
        <v>19</v>
      </c>
      <c r="B2298" s="7" t="s">
        <v>343</v>
      </c>
      <c r="C2298" s="8">
        <v>29044</v>
      </c>
      <c r="D2298" s="7" t="s">
        <v>52</v>
      </c>
      <c r="E2298" s="7" t="s">
        <v>139</v>
      </c>
      <c r="F2298" s="7" t="s">
        <v>139</v>
      </c>
      <c r="G2298" s="7" t="s">
        <v>65</v>
      </c>
      <c r="H2298" s="7" t="s">
        <v>24</v>
      </c>
      <c r="I2298" s="7" t="s">
        <v>712</v>
      </c>
      <c r="J2298" s="7" t="s">
        <v>712</v>
      </c>
      <c r="K2298" s="8">
        <v>6227611</v>
      </c>
      <c r="L2298" s="8">
        <v>343487</v>
      </c>
      <c r="M2298" s="8">
        <v>19</v>
      </c>
      <c r="N2298" s="8">
        <v>4</v>
      </c>
      <c r="O2298" s="8">
        <v>8</v>
      </c>
      <c r="P2298" s="8"/>
    </row>
    <row r="2299" spans="1:16" hidden="1" x14ac:dyDescent="0.25">
      <c r="A2299" s="7" t="s">
        <v>19</v>
      </c>
      <c r="B2299" s="7" t="s">
        <v>343</v>
      </c>
      <c r="C2299" s="8">
        <v>29046</v>
      </c>
      <c r="D2299" s="7" t="s">
        <v>52</v>
      </c>
      <c r="E2299" s="7" t="s">
        <v>53</v>
      </c>
      <c r="F2299" s="7" t="s">
        <v>53</v>
      </c>
      <c r="G2299" s="7" t="s">
        <v>65</v>
      </c>
      <c r="H2299" s="7" t="s">
        <v>24</v>
      </c>
      <c r="I2299" s="7" t="s">
        <v>712</v>
      </c>
      <c r="J2299" s="7" t="s">
        <v>712</v>
      </c>
      <c r="K2299" s="8">
        <v>6154580</v>
      </c>
      <c r="L2299" s="8">
        <v>310983</v>
      </c>
      <c r="M2299" s="8">
        <v>19</v>
      </c>
      <c r="N2299" s="8">
        <v>1</v>
      </c>
      <c r="O2299" s="8">
        <v>4</v>
      </c>
      <c r="P2299" s="8"/>
    </row>
    <row r="2300" spans="1:16" hidden="1" x14ac:dyDescent="0.25">
      <c r="A2300" s="7" t="s">
        <v>19</v>
      </c>
      <c r="B2300" s="7" t="s">
        <v>343</v>
      </c>
      <c r="C2300" s="8">
        <v>29051</v>
      </c>
      <c r="D2300" s="7" t="s">
        <v>52</v>
      </c>
      <c r="E2300" s="7" t="s">
        <v>53</v>
      </c>
      <c r="F2300" s="7" t="s">
        <v>53</v>
      </c>
      <c r="G2300" s="7" t="s">
        <v>65</v>
      </c>
      <c r="H2300" s="7" t="s">
        <v>24</v>
      </c>
      <c r="I2300" s="7" t="s">
        <v>712</v>
      </c>
      <c r="J2300" s="7" t="s">
        <v>712</v>
      </c>
      <c r="K2300" s="8">
        <v>6153925</v>
      </c>
      <c r="L2300" s="8">
        <v>310863</v>
      </c>
      <c r="M2300" s="8">
        <v>19</v>
      </c>
      <c r="N2300" s="8">
        <v>2</v>
      </c>
      <c r="O2300" s="8">
        <v>9.1999999999999993</v>
      </c>
      <c r="P2300" s="8"/>
    </row>
    <row r="2301" spans="1:16" hidden="1" x14ac:dyDescent="0.25">
      <c r="A2301" s="7" t="s">
        <v>19</v>
      </c>
      <c r="B2301" s="7" t="s">
        <v>415</v>
      </c>
      <c r="C2301" s="8">
        <v>29053</v>
      </c>
      <c r="D2301" s="7" t="s">
        <v>52</v>
      </c>
      <c r="E2301" s="7" t="s">
        <v>84</v>
      </c>
      <c r="F2301" s="7" t="s">
        <v>84</v>
      </c>
      <c r="G2301" s="7" t="s">
        <v>65</v>
      </c>
      <c r="H2301" s="7" t="s">
        <v>24</v>
      </c>
      <c r="I2301" s="7" t="s">
        <v>712</v>
      </c>
      <c r="J2301" s="7" t="s">
        <v>712</v>
      </c>
      <c r="K2301" s="8">
        <v>6165008</v>
      </c>
      <c r="L2301" s="8">
        <v>289219</v>
      </c>
      <c r="M2301" s="8">
        <v>19</v>
      </c>
      <c r="N2301" s="8">
        <v>2</v>
      </c>
      <c r="O2301" s="8">
        <v>6.2</v>
      </c>
      <c r="P2301" s="8"/>
    </row>
    <row r="2302" spans="1:16" hidden="1" x14ac:dyDescent="0.25">
      <c r="A2302" s="7" t="s">
        <v>19</v>
      </c>
      <c r="B2302" s="7" t="s">
        <v>415</v>
      </c>
      <c r="C2302" s="8">
        <v>29054</v>
      </c>
      <c r="D2302" s="7" t="s">
        <v>52</v>
      </c>
      <c r="E2302" s="7" t="s">
        <v>82</v>
      </c>
      <c r="F2302" s="7" t="s">
        <v>82</v>
      </c>
      <c r="G2302" s="7" t="s">
        <v>65</v>
      </c>
      <c r="H2302" s="7" t="s">
        <v>24</v>
      </c>
      <c r="I2302" s="7" t="s">
        <v>712</v>
      </c>
      <c r="J2302" s="7" t="s">
        <v>712</v>
      </c>
      <c r="K2302" s="8">
        <v>6165971</v>
      </c>
      <c r="L2302" s="8">
        <v>290231</v>
      </c>
      <c r="M2302" s="8">
        <v>19</v>
      </c>
      <c r="N2302" s="8">
        <v>2</v>
      </c>
      <c r="O2302" s="8">
        <v>6.96</v>
      </c>
      <c r="P2302" s="8"/>
    </row>
    <row r="2303" spans="1:16" hidden="1" x14ac:dyDescent="0.25">
      <c r="A2303" s="7" t="s">
        <v>19</v>
      </c>
      <c r="B2303" s="7" t="s">
        <v>343</v>
      </c>
      <c r="C2303" s="8">
        <v>29056</v>
      </c>
      <c r="D2303" s="7" t="s">
        <v>52</v>
      </c>
      <c r="E2303" s="7" t="s">
        <v>82</v>
      </c>
      <c r="F2303" s="7" t="s">
        <v>82</v>
      </c>
      <c r="G2303" s="7" t="s">
        <v>65</v>
      </c>
      <c r="H2303" s="7" t="s">
        <v>24</v>
      </c>
      <c r="I2303" s="7" t="s">
        <v>712</v>
      </c>
      <c r="J2303" s="7" t="s">
        <v>712</v>
      </c>
      <c r="K2303" s="8">
        <v>6162490</v>
      </c>
      <c r="L2303" s="8">
        <v>280306</v>
      </c>
      <c r="M2303" s="8">
        <v>19</v>
      </c>
      <c r="N2303" s="8">
        <v>1</v>
      </c>
      <c r="O2303" s="8">
        <v>12</v>
      </c>
      <c r="P2303" s="8"/>
    </row>
    <row r="2304" spans="1:16" hidden="1" x14ac:dyDescent="0.25">
      <c r="A2304" s="7" t="s">
        <v>19</v>
      </c>
      <c r="B2304" s="7" t="s">
        <v>415</v>
      </c>
      <c r="C2304" s="8">
        <v>29057</v>
      </c>
      <c r="D2304" s="7" t="s">
        <v>52</v>
      </c>
      <c r="E2304" s="7" t="s">
        <v>273</v>
      </c>
      <c r="F2304" s="7" t="s">
        <v>273</v>
      </c>
      <c r="G2304" s="7" t="s">
        <v>65</v>
      </c>
      <c r="H2304" s="7" t="s">
        <v>24</v>
      </c>
      <c r="I2304" s="7" t="s">
        <v>712</v>
      </c>
      <c r="J2304" s="7" t="s">
        <v>712</v>
      </c>
      <c r="K2304" s="8">
        <v>6165008</v>
      </c>
      <c r="L2304" s="8">
        <v>289219</v>
      </c>
      <c r="M2304" s="8">
        <v>19</v>
      </c>
      <c r="N2304" s="8">
        <v>1</v>
      </c>
      <c r="O2304" s="8">
        <v>6.18</v>
      </c>
      <c r="P2304" s="8"/>
    </row>
    <row r="2305" spans="1:16" hidden="1" x14ac:dyDescent="0.25">
      <c r="A2305" s="7" t="s">
        <v>19</v>
      </c>
      <c r="B2305" s="7" t="s">
        <v>415</v>
      </c>
      <c r="C2305" s="8">
        <v>29058</v>
      </c>
      <c r="D2305" s="7" t="s">
        <v>52</v>
      </c>
      <c r="E2305" s="7" t="s">
        <v>82</v>
      </c>
      <c r="F2305" s="7" t="s">
        <v>82</v>
      </c>
      <c r="G2305" s="7" t="s">
        <v>65</v>
      </c>
      <c r="H2305" s="7" t="s">
        <v>24</v>
      </c>
      <c r="I2305" s="7" t="s">
        <v>712</v>
      </c>
      <c r="J2305" s="7" t="s">
        <v>712</v>
      </c>
      <c r="K2305" s="8">
        <v>6166062</v>
      </c>
      <c r="L2305" s="8">
        <v>290417</v>
      </c>
      <c r="M2305" s="8">
        <v>19</v>
      </c>
      <c r="N2305" s="8">
        <v>1</v>
      </c>
      <c r="O2305" s="8">
        <v>3.17</v>
      </c>
      <c r="P2305" s="8"/>
    </row>
    <row r="2306" spans="1:16" hidden="1" x14ac:dyDescent="0.25">
      <c r="A2306" s="7" t="s">
        <v>19</v>
      </c>
      <c r="B2306" s="7" t="s">
        <v>343</v>
      </c>
      <c r="C2306" s="8">
        <v>29060</v>
      </c>
      <c r="D2306" s="7" t="s">
        <v>52</v>
      </c>
      <c r="E2306" s="7" t="s">
        <v>139</v>
      </c>
      <c r="F2306" s="7" t="s">
        <v>139</v>
      </c>
      <c r="G2306" s="7" t="s">
        <v>65</v>
      </c>
      <c r="H2306" s="7" t="s">
        <v>24</v>
      </c>
      <c r="I2306" s="7" t="s">
        <v>712</v>
      </c>
      <c r="J2306" s="7" t="s">
        <v>712</v>
      </c>
      <c r="K2306" s="8">
        <v>6229880</v>
      </c>
      <c r="L2306" s="8">
        <v>336952</v>
      </c>
      <c r="M2306" s="8">
        <v>19</v>
      </c>
      <c r="N2306" s="8">
        <v>1</v>
      </c>
      <c r="O2306" s="8">
        <v>4</v>
      </c>
      <c r="P2306" s="8"/>
    </row>
    <row r="2307" spans="1:16" hidden="1" x14ac:dyDescent="0.25">
      <c r="A2307" s="7" t="s">
        <v>14</v>
      </c>
      <c r="B2307" s="7" t="s">
        <v>270</v>
      </c>
      <c r="C2307" s="8">
        <v>29061</v>
      </c>
      <c r="D2307" s="7" t="s">
        <v>52</v>
      </c>
      <c r="E2307" s="7" t="s">
        <v>139</v>
      </c>
      <c r="F2307" s="7" t="s">
        <v>139</v>
      </c>
      <c r="G2307" s="7" t="s">
        <v>18</v>
      </c>
      <c r="H2307" s="7" t="s">
        <v>689</v>
      </c>
      <c r="I2307" s="7" t="s">
        <v>712</v>
      </c>
      <c r="J2307" s="7" t="s">
        <v>712</v>
      </c>
      <c r="K2307" s="8">
        <v>6224582</v>
      </c>
      <c r="L2307" s="8">
        <v>338257</v>
      </c>
      <c r="M2307" s="8">
        <v>19</v>
      </c>
      <c r="N2307" s="8">
        <v>1</v>
      </c>
      <c r="O2307" s="8">
        <v>2.66</v>
      </c>
      <c r="P2307" s="8"/>
    </row>
    <row r="2308" spans="1:16" hidden="1" x14ac:dyDescent="0.25">
      <c r="A2308" s="7" t="s">
        <v>19</v>
      </c>
      <c r="B2308" s="7" t="s">
        <v>343</v>
      </c>
      <c r="C2308" s="8">
        <v>29062</v>
      </c>
      <c r="D2308" s="7" t="s">
        <v>52</v>
      </c>
      <c r="E2308" s="7" t="s">
        <v>139</v>
      </c>
      <c r="F2308" s="7" t="s">
        <v>139</v>
      </c>
      <c r="G2308" s="7" t="s">
        <v>65</v>
      </c>
      <c r="H2308" s="7" t="s">
        <v>24</v>
      </c>
      <c r="I2308" s="7" t="s">
        <v>712</v>
      </c>
      <c r="J2308" s="7" t="s">
        <v>712</v>
      </c>
      <c r="K2308" s="8">
        <v>6231023</v>
      </c>
      <c r="L2308" s="8">
        <v>337985</v>
      </c>
      <c r="M2308" s="8">
        <v>19</v>
      </c>
      <c r="N2308" s="8">
        <v>1</v>
      </c>
      <c r="O2308" s="8">
        <v>4</v>
      </c>
      <c r="P2308" s="8"/>
    </row>
    <row r="2309" spans="1:16" hidden="1" x14ac:dyDescent="0.25">
      <c r="A2309" s="7" t="s">
        <v>19</v>
      </c>
      <c r="B2309" s="7" t="s">
        <v>343</v>
      </c>
      <c r="C2309" s="8">
        <v>29063</v>
      </c>
      <c r="D2309" s="7" t="s">
        <v>52</v>
      </c>
      <c r="E2309" s="7" t="s">
        <v>139</v>
      </c>
      <c r="F2309" s="7" t="s">
        <v>139</v>
      </c>
      <c r="G2309" s="7" t="s">
        <v>65</v>
      </c>
      <c r="H2309" s="7" t="s">
        <v>24</v>
      </c>
      <c r="I2309" s="7" t="s">
        <v>712</v>
      </c>
      <c r="J2309" s="7" t="s">
        <v>712</v>
      </c>
      <c r="K2309" s="8">
        <v>6229771</v>
      </c>
      <c r="L2309" s="8">
        <v>338841</v>
      </c>
      <c r="M2309" s="8">
        <v>19</v>
      </c>
      <c r="N2309" s="8">
        <v>1</v>
      </c>
      <c r="O2309" s="8">
        <v>12</v>
      </c>
      <c r="P2309" s="8"/>
    </row>
    <row r="2310" spans="1:16" hidden="1" x14ac:dyDescent="0.25">
      <c r="A2310" s="7" t="s">
        <v>14</v>
      </c>
      <c r="B2310" s="7" t="s">
        <v>415</v>
      </c>
      <c r="C2310" s="8">
        <v>29064</v>
      </c>
      <c r="D2310" s="7" t="s">
        <v>322</v>
      </c>
      <c r="E2310" s="7" t="s">
        <v>323</v>
      </c>
      <c r="F2310" s="7" t="s">
        <v>422</v>
      </c>
      <c r="G2310" s="7" t="s">
        <v>18</v>
      </c>
      <c r="H2310" s="7" t="s">
        <v>689</v>
      </c>
      <c r="I2310" s="7" t="s">
        <v>712</v>
      </c>
      <c r="J2310" s="7" t="s">
        <v>712</v>
      </c>
      <c r="K2310" s="8">
        <v>7952827</v>
      </c>
      <c r="L2310" s="8">
        <v>371223</v>
      </c>
      <c r="M2310" s="8">
        <v>19</v>
      </c>
      <c r="N2310" s="8">
        <v>1</v>
      </c>
      <c r="O2310" s="8">
        <v>0.33</v>
      </c>
      <c r="P2310" s="8"/>
    </row>
    <row r="2311" spans="1:16" hidden="1" x14ac:dyDescent="0.25">
      <c r="A2311" s="7" t="s">
        <v>14</v>
      </c>
      <c r="B2311" s="7" t="s">
        <v>415</v>
      </c>
      <c r="C2311" s="8">
        <v>29065</v>
      </c>
      <c r="D2311" s="7" t="s">
        <v>322</v>
      </c>
      <c r="E2311" s="7" t="s">
        <v>323</v>
      </c>
      <c r="F2311" s="7" t="s">
        <v>422</v>
      </c>
      <c r="G2311" s="7" t="s">
        <v>18</v>
      </c>
      <c r="H2311" s="7" t="s">
        <v>689</v>
      </c>
      <c r="I2311" s="7" t="s">
        <v>712</v>
      </c>
      <c r="J2311" s="7" t="s">
        <v>712</v>
      </c>
      <c r="K2311" s="8">
        <v>7949920</v>
      </c>
      <c r="L2311" s="8">
        <v>378214</v>
      </c>
      <c r="M2311" s="8">
        <v>19</v>
      </c>
      <c r="N2311" s="8">
        <v>1</v>
      </c>
      <c r="O2311" s="8">
        <v>0.19</v>
      </c>
      <c r="P2311" s="8"/>
    </row>
    <row r="2312" spans="1:16" hidden="1" x14ac:dyDescent="0.25">
      <c r="A2312" s="7" t="s">
        <v>14</v>
      </c>
      <c r="B2312" s="7" t="s">
        <v>415</v>
      </c>
      <c r="C2312" s="8">
        <v>29066</v>
      </c>
      <c r="D2312" s="7" t="s">
        <v>322</v>
      </c>
      <c r="E2312" s="7" t="s">
        <v>323</v>
      </c>
      <c r="F2312" s="7" t="s">
        <v>422</v>
      </c>
      <c r="G2312" s="7" t="s">
        <v>18</v>
      </c>
      <c r="H2312" s="7" t="s">
        <v>689</v>
      </c>
      <c r="I2312" s="7" t="s">
        <v>712</v>
      </c>
      <c r="J2312" s="7" t="s">
        <v>712</v>
      </c>
      <c r="K2312" s="8">
        <v>7949747</v>
      </c>
      <c r="L2312" s="8">
        <v>378188</v>
      </c>
      <c r="M2312" s="8">
        <v>19</v>
      </c>
      <c r="N2312" s="8">
        <v>1</v>
      </c>
      <c r="O2312" s="8">
        <v>0.18</v>
      </c>
      <c r="P2312" s="8"/>
    </row>
    <row r="2313" spans="1:16" hidden="1" x14ac:dyDescent="0.25">
      <c r="A2313" s="7" t="s">
        <v>14</v>
      </c>
      <c r="B2313" s="7" t="s">
        <v>415</v>
      </c>
      <c r="C2313" s="8">
        <v>29067</v>
      </c>
      <c r="D2313" s="7" t="s">
        <v>322</v>
      </c>
      <c r="E2313" s="7" t="s">
        <v>323</v>
      </c>
      <c r="F2313" s="7" t="s">
        <v>422</v>
      </c>
      <c r="G2313" s="7" t="s">
        <v>18</v>
      </c>
      <c r="H2313" s="7" t="s">
        <v>689</v>
      </c>
      <c r="I2313" s="7" t="s">
        <v>712</v>
      </c>
      <c r="J2313" s="7" t="s">
        <v>712</v>
      </c>
      <c r="K2313" s="8">
        <v>7950211</v>
      </c>
      <c r="L2313" s="8">
        <v>378740</v>
      </c>
      <c r="M2313" s="8">
        <v>19</v>
      </c>
      <c r="N2313" s="8">
        <v>1</v>
      </c>
      <c r="O2313" s="8">
        <v>0.04</v>
      </c>
      <c r="P2313" s="8"/>
    </row>
    <row r="2314" spans="1:16" hidden="1" x14ac:dyDescent="0.25">
      <c r="A2314" s="7" t="s">
        <v>19</v>
      </c>
      <c r="B2314" s="7" t="s">
        <v>254</v>
      </c>
      <c r="C2314" s="8">
        <v>29068</v>
      </c>
      <c r="D2314" s="7" t="s">
        <v>52</v>
      </c>
      <c r="E2314" s="7" t="s">
        <v>141</v>
      </c>
      <c r="F2314" s="7" t="s">
        <v>277</v>
      </c>
      <c r="G2314" s="7" t="s">
        <v>18</v>
      </c>
      <c r="H2314" s="7" t="s">
        <v>66</v>
      </c>
      <c r="I2314" s="7" t="s">
        <v>712</v>
      </c>
      <c r="J2314" s="7" t="s">
        <v>712</v>
      </c>
      <c r="K2314" s="8">
        <v>6220739</v>
      </c>
      <c r="L2314" s="8">
        <v>328236</v>
      </c>
      <c r="M2314" s="8">
        <v>19</v>
      </c>
      <c r="N2314" s="8">
        <v>1</v>
      </c>
      <c r="O2314" s="8">
        <v>0.09</v>
      </c>
      <c r="P2314" s="8"/>
    </row>
    <row r="2315" spans="1:16" hidden="1" x14ac:dyDescent="0.25">
      <c r="A2315" s="7" t="s">
        <v>19</v>
      </c>
      <c r="B2315" s="7" t="s">
        <v>254</v>
      </c>
      <c r="C2315" s="8">
        <v>29069</v>
      </c>
      <c r="D2315" s="7" t="s">
        <v>52</v>
      </c>
      <c r="E2315" s="7" t="s">
        <v>141</v>
      </c>
      <c r="F2315" s="7" t="s">
        <v>277</v>
      </c>
      <c r="G2315" s="7" t="s">
        <v>18</v>
      </c>
      <c r="H2315" s="7" t="s">
        <v>66</v>
      </c>
      <c r="I2315" s="7" t="s">
        <v>712</v>
      </c>
      <c r="J2315" s="7" t="s">
        <v>712</v>
      </c>
      <c r="K2315" s="8">
        <v>6220454</v>
      </c>
      <c r="L2315" s="8">
        <v>328775</v>
      </c>
      <c r="M2315" s="8">
        <v>19</v>
      </c>
      <c r="N2315" s="8">
        <v>1</v>
      </c>
      <c r="O2315" s="8">
        <v>0.02</v>
      </c>
      <c r="P2315" s="8"/>
    </row>
    <row r="2316" spans="1:16" hidden="1" x14ac:dyDescent="0.25">
      <c r="A2316" s="7" t="s">
        <v>14</v>
      </c>
      <c r="B2316" s="7" t="s">
        <v>124</v>
      </c>
      <c r="C2316" s="8">
        <v>29070</v>
      </c>
      <c r="D2316" s="7" t="s">
        <v>28</v>
      </c>
      <c r="E2316" s="7" t="s">
        <v>166</v>
      </c>
      <c r="F2316" s="7" t="s">
        <v>167</v>
      </c>
      <c r="G2316" s="7" t="s">
        <v>18</v>
      </c>
      <c r="H2316" s="7" t="s">
        <v>689</v>
      </c>
      <c r="I2316" s="7" t="s">
        <v>712</v>
      </c>
      <c r="J2316" s="7" t="s">
        <v>712</v>
      </c>
      <c r="K2316" s="8">
        <v>6268767</v>
      </c>
      <c r="L2316" s="8">
        <v>319779</v>
      </c>
      <c r="M2316" s="8">
        <v>19</v>
      </c>
      <c r="N2316" s="8">
        <v>1</v>
      </c>
      <c r="O2316" s="8">
        <v>2.2999999999999998</v>
      </c>
      <c r="P2316" s="8"/>
    </row>
    <row r="2317" spans="1:16" hidden="1" x14ac:dyDescent="0.25">
      <c r="A2317" s="7" t="s">
        <v>14</v>
      </c>
      <c r="B2317" s="7" t="s">
        <v>124</v>
      </c>
      <c r="C2317" s="8">
        <v>29071</v>
      </c>
      <c r="D2317" s="7" t="s">
        <v>28</v>
      </c>
      <c r="E2317" s="7" t="s">
        <v>32</v>
      </c>
      <c r="F2317" s="7" t="s">
        <v>148</v>
      </c>
      <c r="G2317" s="7" t="s">
        <v>18</v>
      </c>
      <c r="H2317" s="7" t="s">
        <v>689</v>
      </c>
      <c r="I2317" s="7" t="s">
        <v>712</v>
      </c>
      <c r="J2317" s="7" t="s">
        <v>712</v>
      </c>
      <c r="K2317" s="8">
        <v>6285127</v>
      </c>
      <c r="L2317" s="8">
        <v>336942</v>
      </c>
      <c r="M2317" s="8">
        <v>19</v>
      </c>
      <c r="N2317" s="8">
        <v>1</v>
      </c>
      <c r="O2317" s="8">
        <v>2.5</v>
      </c>
      <c r="P2317" s="8"/>
    </row>
    <row r="2318" spans="1:16" hidden="1" x14ac:dyDescent="0.25">
      <c r="A2318" s="7" t="s">
        <v>14</v>
      </c>
      <c r="B2318" s="7" t="s">
        <v>270</v>
      </c>
      <c r="C2318" s="8">
        <v>29072</v>
      </c>
      <c r="D2318" s="7" t="s">
        <v>322</v>
      </c>
      <c r="E2318" s="7" t="s">
        <v>323</v>
      </c>
      <c r="F2318" s="7" t="s">
        <v>422</v>
      </c>
      <c r="G2318" s="7" t="s">
        <v>18</v>
      </c>
      <c r="H2318" s="7" t="s">
        <v>689</v>
      </c>
      <c r="I2318" s="7" t="s">
        <v>712</v>
      </c>
      <c r="J2318" s="7" t="s">
        <v>712</v>
      </c>
      <c r="K2318" s="8">
        <v>7945930</v>
      </c>
      <c r="L2318" s="8">
        <v>388056</v>
      </c>
      <c r="M2318" s="8">
        <v>19</v>
      </c>
      <c r="N2318" s="8">
        <v>1</v>
      </c>
      <c r="O2318" s="8">
        <v>0.81</v>
      </c>
      <c r="P2318" s="8"/>
    </row>
    <row r="2319" spans="1:16" hidden="1" x14ac:dyDescent="0.25">
      <c r="A2319" s="7" t="s">
        <v>37</v>
      </c>
      <c r="B2319" s="7" t="s">
        <v>343</v>
      </c>
      <c r="C2319" s="8">
        <v>29074</v>
      </c>
      <c r="D2319" s="7" t="s">
        <v>16</v>
      </c>
      <c r="E2319" s="7" t="s">
        <v>155</v>
      </c>
      <c r="F2319" s="7" t="s">
        <v>156</v>
      </c>
      <c r="G2319" s="7" t="s">
        <v>65</v>
      </c>
      <c r="H2319" s="7" t="s">
        <v>66</v>
      </c>
      <c r="I2319" s="7" t="s">
        <v>712</v>
      </c>
      <c r="J2319" s="7" t="s">
        <v>712</v>
      </c>
      <c r="K2319" s="8">
        <v>6114862</v>
      </c>
      <c r="L2319" s="8">
        <v>307294</v>
      </c>
      <c r="M2319" s="8">
        <v>19</v>
      </c>
      <c r="N2319" s="8">
        <v>1</v>
      </c>
      <c r="O2319" s="8">
        <v>12.3</v>
      </c>
      <c r="P2319" s="8"/>
    </row>
    <row r="2320" spans="1:16" hidden="1" x14ac:dyDescent="0.25">
      <c r="A2320" s="7" t="s">
        <v>14</v>
      </c>
      <c r="B2320" s="7" t="s">
        <v>270</v>
      </c>
      <c r="C2320" s="8">
        <v>29075</v>
      </c>
      <c r="D2320" s="7" t="s">
        <v>322</v>
      </c>
      <c r="E2320" s="7" t="s">
        <v>323</v>
      </c>
      <c r="F2320" s="7" t="s">
        <v>422</v>
      </c>
      <c r="G2320" s="7" t="s">
        <v>18</v>
      </c>
      <c r="H2320" s="7" t="s">
        <v>689</v>
      </c>
      <c r="I2320" s="7" t="s">
        <v>712</v>
      </c>
      <c r="J2320" s="7" t="s">
        <v>712</v>
      </c>
      <c r="K2320" s="8">
        <v>7953396</v>
      </c>
      <c r="L2320" s="8">
        <v>371993</v>
      </c>
      <c r="M2320" s="8">
        <v>19</v>
      </c>
      <c r="N2320" s="8">
        <v>1</v>
      </c>
      <c r="O2320" s="8">
        <v>0.42</v>
      </c>
      <c r="P2320" s="8"/>
    </row>
    <row r="2321" spans="1:16" hidden="1" x14ac:dyDescent="0.25">
      <c r="A2321" s="7" t="s">
        <v>37</v>
      </c>
      <c r="B2321" s="7" t="s">
        <v>343</v>
      </c>
      <c r="C2321" s="8">
        <v>29076</v>
      </c>
      <c r="D2321" s="7" t="s">
        <v>16</v>
      </c>
      <c r="E2321" s="7" t="s">
        <v>155</v>
      </c>
      <c r="F2321" s="7" t="s">
        <v>156</v>
      </c>
      <c r="G2321" s="7" t="s">
        <v>65</v>
      </c>
      <c r="H2321" s="7" t="s">
        <v>66</v>
      </c>
      <c r="I2321" s="7" t="s">
        <v>712</v>
      </c>
      <c r="J2321" s="7" t="s">
        <v>712</v>
      </c>
      <c r="K2321" s="8">
        <v>6114862</v>
      </c>
      <c r="L2321" s="8">
        <v>307295</v>
      </c>
      <c r="M2321" s="8">
        <v>19</v>
      </c>
      <c r="N2321" s="8">
        <v>1</v>
      </c>
      <c r="O2321" s="8">
        <v>12.3</v>
      </c>
      <c r="P2321" s="8"/>
    </row>
    <row r="2322" spans="1:16" hidden="1" x14ac:dyDescent="0.25">
      <c r="A2322" s="7" t="s">
        <v>37</v>
      </c>
      <c r="B2322" s="7" t="s">
        <v>343</v>
      </c>
      <c r="C2322" s="8">
        <v>29078</v>
      </c>
      <c r="D2322" s="7" t="s">
        <v>16</v>
      </c>
      <c r="E2322" s="7" t="s">
        <v>46</v>
      </c>
      <c r="F2322" s="7" t="s">
        <v>46</v>
      </c>
      <c r="G2322" s="7" t="s">
        <v>65</v>
      </c>
      <c r="H2322" s="7" t="s">
        <v>66</v>
      </c>
      <c r="I2322" s="7" t="s">
        <v>712</v>
      </c>
      <c r="J2322" s="7" t="s">
        <v>712</v>
      </c>
      <c r="K2322" s="8">
        <v>6113902</v>
      </c>
      <c r="L2322" s="8">
        <v>292119</v>
      </c>
      <c r="M2322" s="8">
        <v>19</v>
      </c>
      <c r="N2322" s="8">
        <v>1</v>
      </c>
      <c r="O2322" s="8">
        <v>15</v>
      </c>
      <c r="P2322" s="8"/>
    </row>
    <row r="2323" spans="1:16" hidden="1" x14ac:dyDescent="0.25">
      <c r="A2323" s="7" t="s">
        <v>14</v>
      </c>
      <c r="B2323" s="7" t="s">
        <v>270</v>
      </c>
      <c r="C2323" s="8">
        <v>29079</v>
      </c>
      <c r="D2323" s="7" t="s">
        <v>322</v>
      </c>
      <c r="E2323" s="7" t="s">
        <v>323</v>
      </c>
      <c r="F2323" s="7" t="s">
        <v>422</v>
      </c>
      <c r="G2323" s="7" t="s">
        <v>18</v>
      </c>
      <c r="H2323" s="7" t="s">
        <v>689</v>
      </c>
      <c r="I2323" s="7" t="s">
        <v>712</v>
      </c>
      <c r="J2323" s="7" t="s">
        <v>712</v>
      </c>
      <c r="K2323" s="8">
        <v>7953396</v>
      </c>
      <c r="L2323" s="8">
        <v>371993</v>
      </c>
      <c r="M2323" s="8">
        <v>19</v>
      </c>
      <c r="N2323" s="8">
        <v>1</v>
      </c>
      <c r="O2323" s="8">
        <v>0.38</v>
      </c>
      <c r="P2323" s="8"/>
    </row>
    <row r="2324" spans="1:16" hidden="1" x14ac:dyDescent="0.25">
      <c r="A2324" s="7" t="s">
        <v>14</v>
      </c>
      <c r="B2324" s="7" t="s">
        <v>250</v>
      </c>
      <c r="C2324" s="8">
        <v>29081</v>
      </c>
      <c r="D2324" s="7" t="s">
        <v>21</v>
      </c>
      <c r="E2324" s="7" t="s">
        <v>251</v>
      </c>
      <c r="F2324" s="7" t="s">
        <v>252</v>
      </c>
      <c r="G2324" s="7" t="s">
        <v>18</v>
      </c>
      <c r="H2324" s="7" t="s">
        <v>689</v>
      </c>
      <c r="I2324" s="7" t="s">
        <v>690</v>
      </c>
      <c r="J2324" s="7" t="s">
        <v>690</v>
      </c>
      <c r="K2324" s="8">
        <v>6369746</v>
      </c>
      <c r="L2324" s="8">
        <v>348126</v>
      </c>
      <c r="M2324" s="8">
        <v>19</v>
      </c>
      <c r="N2324" s="8">
        <v>1</v>
      </c>
      <c r="O2324" s="8">
        <v>0.5</v>
      </c>
      <c r="P2324" s="8"/>
    </row>
    <row r="2325" spans="1:16" hidden="1" x14ac:dyDescent="0.25">
      <c r="A2325" s="7" t="s">
        <v>19</v>
      </c>
      <c r="B2325" s="7" t="s">
        <v>343</v>
      </c>
      <c r="C2325" s="8">
        <v>29083</v>
      </c>
      <c r="D2325" s="7" t="s">
        <v>52</v>
      </c>
      <c r="E2325" s="7" t="s">
        <v>82</v>
      </c>
      <c r="F2325" s="7" t="s">
        <v>82</v>
      </c>
      <c r="G2325" s="7" t="s">
        <v>65</v>
      </c>
      <c r="H2325" s="7" t="s">
        <v>24</v>
      </c>
      <c r="I2325" s="7" t="s">
        <v>712</v>
      </c>
      <c r="J2325" s="7" t="s">
        <v>712</v>
      </c>
      <c r="K2325" s="8">
        <v>6165454</v>
      </c>
      <c r="L2325" s="8">
        <v>291103</v>
      </c>
      <c r="M2325" s="8">
        <v>19</v>
      </c>
      <c r="N2325" s="8">
        <v>1</v>
      </c>
      <c r="O2325" s="8">
        <v>18</v>
      </c>
      <c r="P2325" s="8"/>
    </row>
    <row r="2326" spans="1:16" hidden="1" x14ac:dyDescent="0.25">
      <c r="A2326" s="7" t="s">
        <v>14</v>
      </c>
      <c r="B2326" s="7" t="s">
        <v>270</v>
      </c>
      <c r="C2326" s="8">
        <v>29084</v>
      </c>
      <c r="D2326" s="7" t="s">
        <v>322</v>
      </c>
      <c r="E2326" s="7" t="s">
        <v>323</v>
      </c>
      <c r="F2326" s="7" t="s">
        <v>422</v>
      </c>
      <c r="G2326" s="7" t="s">
        <v>18</v>
      </c>
      <c r="H2326" s="7" t="s">
        <v>689</v>
      </c>
      <c r="I2326" s="7" t="s">
        <v>712</v>
      </c>
      <c r="J2326" s="7" t="s">
        <v>712</v>
      </c>
      <c r="K2326" s="8">
        <v>7953396</v>
      </c>
      <c r="L2326" s="8">
        <v>371993</v>
      </c>
      <c r="M2326" s="8">
        <v>19</v>
      </c>
      <c r="N2326" s="8">
        <v>1</v>
      </c>
      <c r="O2326" s="8">
        <v>0.39</v>
      </c>
      <c r="P2326" s="8"/>
    </row>
    <row r="2327" spans="1:16" hidden="1" x14ac:dyDescent="0.25">
      <c r="A2327" s="7" t="s">
        <v>14</v>
      </c>
      <c r="B2327" s="7" t="s">
        <v>270</v>
      </c>
      <c r="C2327" s="8">
        <v>29085</v>
      </c>
      <c r="D2327" s="7" t="s">
        <v>322</v>
      </c>
      <c r="E2327" s="7" t="s">
        <v>323</v>
      </c>
      <c r="F2327" s="7" t="s">
        <v>422</v>
      </c>
      <c r="G2327" s="7" t="s">
        <v>18</v>
      </c>
      <c r="H2327" s="7" t="s">
        <v>689</v>
      </c>
      <c r="I2327" s="7" t="s">
        <v>712</v>
      </c>
      <c r="J2327" s="7" t="s">
        <v>712</v>
      </c>
      <c r="K2327" s="8">
        <v>7953396</v>
      </c>
      <c r="L2327" s="8">
        <v>371993</v>
      </c>
      <c r="M2327" s="8">
        <v>19</v>
      </c>
      <c r="N2327" s="8">
        <v>1</v>
      </c>
      <c r="O2327" s="8">
        <v>0.38</v>
      </c>
      <c r="P2327" s="8"/>
    </row>
    <row r="2328" spans="1:16" hidden="1" x14ac:dyDescent="0.25">
      <c r="A2328" s="7" t="s">
        <v>14</v>
      </c>
      <c r="B2328" s="7" t="s">
        <v>270</v>
      </c>
      <c r="C2328" s="8">
        <v>29086</v>
      </c>
      <c r="D2328" s="7" t="s">
        <v>322</v>
      </c>
      <c r="E2328" s="7" t="s">
        <v>323</v>
      </c>
      <c r="F2328" s="7" t="s">
        <v>422</v>
      </c>
      <c r="G2328" s="7" t="s">
        <v>18</v>
      </c>
      <c r="H2328" s="7" t="s">
        <v>689</v>
      </c>
      <c r="I2328" s="7" t="s">
        <v>712</v>
      </c>
      <c r="J2328" s="7" t="s">
        <v>712</v>
      </c>
      <c r="K2328" s="8">
        <v>7953396</v>
      </c>
      <c r="L2328" s="8">
        <v>371993</v>
      </c>
      <c r="M2328" s="8">
        <v>19</v>
      </c>
      <c r="N2328" s="8">
        <v>1</v>
      </c>
      <c r="O2328" s="8">
        <v>0.22</v>
      </c>
      <c r="P2328" s="8"/>
    </row>
    <row r="2329" spans="1:16" hidden="1" x14ac:dyDescent="0.25">
      <c r="A2329" s="7" t="s">
        <v>14</v>
      </c>
      <c r="B2329" s="7" t="s">
        <v>270</v>
      </c>
      <c r="C2329" s="8">
        <v>29087</v>
      </c>
      <c r="D2329" s="7" t="s">
        <v>322</v>
      </c>
      <c r="E2329" s="7" t="s">
        <v>323</v>
      </c>
      <c r="F2329" s="7" t="s">
        <v>422</v>
      </c>
      <c r="G2329" s="7" t="s">
        <v>18</v>
      </c>
      <c r="H2329" s="7" t="s">
        <v>689</v>
      </c>
      <c r="I2329" s="7" t="s">
        <v>712</v>
      </c>
      <c r="J2329" s="7" t="s">
        <v>712</v>
      </c>
      <c r="K2329" s="8">
        <v>7945348</v>
      </c>
      <c r="L2329" s="8">
        <v>389903</v>
      </c>
      <c r="M2329" s="8">
        <v>19</v>
      </c>
      <c r="N2329" s="8">
        <v>1</v>
      </c>
      <c r="O2329" s="8">
        <v>0.28000000000000003</v>
      </c>
      <c r="P2329" s="8"/>
    </row>
    <row r="2330" spans="1:16" hidden="1" x14ac:dyDescent="0.25">
      <c r="A2330" s="7" t="s">
        <v>19</v>
      </c>
      <c r="B2330" s="7" t="s">
        <v>343</v>
      </c>
      <c r="C2330" s="8">
        <v>29088</v>
      </c>
      <c r="D2330" s="7" t="s">
        <v>52</v>
      </c>
      <c r="E2330" s="7" t="s">
        <v>82</v>
      </c>
      <c r="F2330" s="7" t="s">
        <v>82</v>
      </c>
      <c r="G2330" s="7" t="s">
        <v>65</v>
      </c>
      <c r="H2330" s="7" t="s">
        <v>24</v>
      </c>
      <c r="I2330" s="7" t="s">
        <v>712</v>
      </c>
      <c r="J2330" s="7" t="s">
        <v>712</v>
      </c>
      <c r="K2330" s="8">
        <v>6166468</v>
      </c>
      <c r="L2330" s="8">
        <v>290666</v>
      </c>
      <c r="M2330" s="8">
        <v>19</v>
      </c>
      <c r="N2330" s="8">
        <v>1</v>
      </c>
      <c r="O2330" s="8">
        <v>8</v>
      </c>
      <c r="P2330" s="8"/>
    </row>
    <row r="2331" spans="1:16" hidden="1" x14ac:dyDescent="0.25">
      <c r="A2331" s="7" t="s">
        <v>14</v>
      </c>
      <c r="B2331" s="7" t="s">
        <v>270</v>
      </c>
      <c r="C2331" s="8">
        <v>29089</v>
      </c>
      <c r="D2331" s="7" t="s">
        <v>322</v>
      </c>
      <c r="E2331" s="7" t="s">
        <v>323</v>
      </c>
      <c r="F2331" s="7" t="s">
        <v>422</v>
      </c>
      <c r="G2331" s="7" t="s">
        <v>18</v>
      </c>
      <c r="H2331" s="7" t="s">
        <v>689</v>
      </c>
      <c r="I2331" s="7" t="s">
        <v>712</v>
      </c>
      <c r="J2331" s="7" t="s">
        <v>712</v>
      </c>
      <c r="K2331" s="8">
        <v>7945348</v>
      </c>
      <c r="L2331" s="8">
        <v>389903</v>
      </c>
      <c r="M2331" s="8">
        <v>19</v>
      </c>
      <c r="N2331" s="8">
        <v>1</v>
      </c>
      <c r="O2331" s="8">
        <v>0.16</v>
      </c>
      <c r="P2331" s="8"/>
    </row>
    <row r="2332" spans="1:16" hidden="1" x14ac:dyDescent="0.25">
      <c r="A2332" s="7" t="s">
        <v>19</v>
      </c>
      <c r="B2332" s="7" t="s">
        <v>343</v>
      </c>
      <c r="C2332" s="8">
        <v>29090</v>
      </c>
      <c r="D2332" s="7" t="s">
        <v>52</v>
      </c>
      <c r="E2332" s="7" t="s">
        <v>286</v>
      </c>
      <c r="F2332" s="7" t="s">
        <v>399</v>
      </c>
      <c r="G2332" s="7" t="s">
        <v>65</v>
      </c>
      <c r="H2332" s="7" t="s">
        <v>24</v>
      </c>
      <c r="I2332" s="7" t="s">
        <v>712</v>
      </c>
      <c r="J2332" s="7" t="s">
        <v>712</v>
      </c>
      <c r="K2332" s="8">
        <v>6162700</v>
      </c>
      <c r="L2332" s="8">
        <v>305692</v>
      </c>
      <c r="M2332" s="8">
        <v>19</v>
      </c>
      <c r="N2332" s="8">
        <v>3</v>
      </c>
      <c r="O2332" s="8">
        <v>21.5</v>
      </c>
      <c r="P2332" s="8"/>
    </row>
    <row r="2333" spans="1:16" hidden="1" x14ac:dyDescent="0.25">
      <c r="A2333" s="7" t="s">
        <v>14</v>
      </c>
      <c r="B2333" s="7" t="s">
        <v>270</v>
      </c>
      <c r="C2333" s="8">
        <v>29091</v>
      </c>
      <c r="D2333" s="7" t="s">
        <v>322</v>
      </c>
      <c r="E2333" s="7" t="s">
        <v>323</v>
      </c>
      <c r="F2333" s="7" t="s">
        <v>422</v>
      </c>
      <c r="G2333" s="7" t="s">
        <v>18</v>
      </c>
      <c r="H2333" s="7" t="s">
        <v>689</v>
      </c>
      <c r="I2333" s="7" t="s">
        <v>712</v>
      </c>
      <c r="J2333" s="7" t="s">
        <v>712</v>
      </c>
      <c r="K2333" s="8">
        <v>7945348</v>
      </c>
      <c r="L2333" s="8">
        <v>389903</v>
      </c>
      <c r="M2333" s="8">
        <v>19</v>
      </c>
      <c r="N2333" s="8">
        <v>1</v>
      </c>
      <c r="O2333" s="8">
        <v>0.55000000000000004</v>
      </c>
      <c r="P2333" s="8"/>
    </row>
    <row r="2334" spans="1:16" hidden="1" x14ac:dyDescent="0.25">
      <c r="A2334" s="7" t="s">
        <v>14</v>
      </c>
      <c r="B2334" s="7" t="s">
        <v>270</v>
      </c>
      <c r="C2334" s="8">
        <v>29092</v>
      </c>
      <c r="D2334" s="7" t="s">
        <v>322</v>
      </c>
      <c r="E2334" s="7" t="s">
        <v>323</v>
      </c>
      <c r="F2334" s="7" t="s">
        <v>422</v>
      </c>
      <c r="G2334" s="7" t="s">
        <v>18</v>
      </c>
      <c r="H2334" s="7" t="s">
        <v>689</v>
      </c>
      <c r="I2334" s="7" t="s">
        <v>712</v>
      </c>
      <c r="J2334" s="7" t="s">
        <v>712</v>
      </c>
      <c r="K2334" s="8">
        <v>7953396</v>
      </c>
      <c r="L2334" s="8">
        <v>371993</v>
      </c>
      <c r="M2334" s="8">
        <v>19</v>
      </c>
      <c r="N2334" s="8">
        <v>1</v>
      </c>
      <c r="O2334" s="8">
        <v>0.06</v>
      </c>
      <c r="P2334" s="8"/>
    </row>
    <row r="2335" spans="1:16" hidden="1" x14ac:dyDescent="0.25">
      <c r="A2335" s="7" t="s">
        <v>14</v>
      </c>
      <c r="B2335" s="7" t="s">
        <v>270</v>
      </c>
      <c r="C2335" s="8">
        <v>29093</v>
      </c>
      <c r="D2335" s="7" t="s">
        <v>322</v>
      </c>
      <c r="E2335" s="7" t="s">
        <v>323</v>
      </c>
      <c r="F2335" s="7" t="s">
        <v>422</v>
      </c>
      <c r="G2335" s="7" t="s">
        <v>18</v>
      </c>
      <c r="H2335" s="7" t="s">
        <v>689</v>
      </c>
      <c r="I2335" s="7" t="s">
        <v>712</v>
      </c>
      <c r="J2335" s="7" t="s">
        <v>712</v>
      </c>
      <c r="K2335" s="8">
        <v>7945348</v>
      </c>
      <c r="L2335" s="8">
        <v>389903</v>
      </c>
      <c r="M2335" s="8">
        <v>19</v>
      </c>
      <c r="N2335" s="8">
        <v>1</v>
      </c>
      <c r="O2335" s="8">
        <v>0.57999999999999996</v>
      </c>
      <c r="P2335" s="8"/>
    </row>
    <row r="2336" spans="1:16" hidden="1" x14ac:dyDescent="0.25">
      <c r="A2336" s="7" t="s">
        <v>19</v>
      </c>
      <c r="B2336" s="7" t="s">
        <v>343</v>
      </c>
      <c r="C2336" s="8">
        <v>29094</v>
      </c>
      <c r="D2336" s="7" t="s">
        <v>52</v>
      </c>
      <c r="E2336" s="7" t="s">
        <v>286</v>
      </c>
      <c r="F2336" s="7" t="s">
        <v>399</v>
      </c>
      <c r="G2336" s="7" t="s">
        <v>65</v>
      </c>
      <c r="H2336" s="7" t="s">
        <v>24</v>
      </c>
      <c r="I2336" s="7" t="s">
        <v>712</v>
      </c>
      <c r="J2336" s="7" t="s">
        <v>712</v>
      </c>
      <c r="K2336" s="8">
        <v>6162433</v>
      </c>
      <c r="L2336" s="8">
        <v>305772</v>
      </c>
      <c r="M2336" s="8">
        <v>19</v>
      </c>
      <c r="N2336" s="8">
        <v>1</v>
      </c>
      <c r="O2336" s="8">
        <v>6</v>
      </c>
      <c r="P2336" s="8"/>
    </row>
    <row r="2337" spans="1:16" hidden="1" x14ac:dyDescent="0.25">
      <c r="A2337" s="7" t="s">
        <v>14</v>
      </c>
      <c r="B2337" s="7" t="s">
        <v>405</v>
      </c>
      <c r="C2337" s="8">
        <v>29095</v>
      </c>
      <c r="D2337" s="7" t="s">
        <v>119</v>
      </c>
      <c r="E2337" s="7" t="s">
        <v>406</v>
      </c>
      <c r="F2337" s="7" t="s">
        <v>407</v>
      </c>
      <c r="G2337" s="7" t="s">
        <v>43</v>
      </c>
      <c r="H2337" s="7" t="s">
        <v>689</v>
      </c>
      <c r="I2337" s="7" t="s">
        <v>690</v>
      </c>
      <c r="J2337" s="7" t="s">
        <v>690</v>
      </c>
      <c r="K2337" s="8">
        <v>5656295</v>
      </c>
      <c r="L2337" s="8">
        <v>717097</v>
      </c>
      <c r="M2337" s="8">
        <v>18</v>
      </c>
      <c r="N2337" s="8">
        <v>1</v>
      </c>
      <c r="O2337" s="8">
        <v>1</v>
      </c>
      <c r="P2337" s="8"/>
    </row>
    <row r="2338" spans="1:16" hidden="1" x14ac:dyDescent="0.25">
      <c r="A2338" s="7" t="s">
        <v>19</v>
      </c>
      <c r="B2338" s="7" t="s">
        <v>41</v>
      </c>
      <c r="C2338" s="8">
        <v>29096</v>
      </c>
      <c r="D2338" s="7" t="s">
        <v>16</v>
      </c>
      <c r="E2338" s="7" t="s">
        <v>46</v>
      </c>
      <c r="F2338" s="7" t="s">
        <v>86</v>
      </c>
      <c r="G2338" s="7" t="s">
        <v>65</v>
      </c>
      <c r="H2338" s="7" t="s">
        <v>66</v>
      </c>
      <c r="I2338" s="7" t="s">
        <v>712</v>
      </c>
      <c r="J2338" s="7" t="s">
        <v>712</v>
      </c>
      <c r="K2338" s="8">
        <v>6103539</v>
      </c>
      <c r="L2338" s="8">
        <v>298814</v>
      </c>
      <c r="M2338" s="8">
        <v>19</v>
      </c>
      <c r="N2338" s="8">
        <v>6</v>
      </c>
      <c r="O2338" s="8">
        <v>25.5</v>
      </c>
      <c r="P2338" s="8"/>
    </row>
    <row r="2339" spans="1:16" hidden="1" x14ac:dyDescent="0.25">
      <c r="A2339" s="7" t="s">
        <v>19</v>
      </c>
      <c r="B2339" s="7" t="s">
        <v>41</v>
      </c>
      <c r="C2339" s="8">
        <v>29097</v>
      </c>
      <c r="D2339" s="7" t="s">
        <v>16</v>
      </c>
      <c r="E2339" s="7" t="s">
        <v>17</v>
      </c>
      <c r="F2339" s="7" t="s">
        <v>62</v>
      </c>
      <c r="G2339" s="7" t="s">
        <v>65</v>
      </c>
      <c r="H2339" s="7" t="s">
        <v>66</v>
      </c>
      <c r="I2339" s="7" t="s">
        <v>712</v>
      </c>
      <c r="J2339" s="7" t="s">
        <v>712</v>
      </c>
      <c r="K2339" s="8">
        <v>6063227</v>
      </c>
      <c r="L2339" s="8">
        <v>273960</v>
      </c>
      <c r="M2339" s="8">
        <v>19</v>
      </c>
      <c r="N2339" s="8">
        <v>3</v>
      </c>
      <c r="O2339" s="8">
        <v>31.4</v>
      </c>
      <c r="P2339" s="8"/>
    </row>
    <row r="2340" spans="1:16" hidden="1" x14ac:dyDescent="0.25">
      <c r="A2340" s="7" t="s">
        <v>19</v>
      </c>
      <c r="B2340" s="7" t="s">
        <v>41</v>
      </c>
      <c r="C2340" s="8">
        <v>29098</v>
      </c>
      <c r="D2340" s="7" t="s">
        <v>52</v>
      </c>
      <c r="E2340" s="7" t="s">
        <v>53</v>
      </c>
      <c r="F2340" s="7" t="s">
        <v>54</v>
      </c>
      <c r="G2340" s="7" t="s">
        <v>65</v>
      </c>
      <c r="H2340" s="7" t="s">
        <v>66</v>
      </c>
      <c r="I2340" s="7" t="s">
        <v>712</v>
      </c>
      <c r="J2340" s="7" t="s">
        <v>712</v>
      </c>
      <c r="K2340" s="8">
        <v>6151600</v>
      </c>
      <c r="L2340" s="8">
        <v>317421</v>
      </c>
      <c r="M2340" s="8">
        <v>19</v>
      </c>
      <c r="N2340" s="8">
        <v>1</v>
      </c>
      <c r="O2340" s="8">
        <v>6.5</v>
      </c>
      <c r="P2340" s="8"/>
    </row>
    <row r="2341" spans="1:16" hidden="1" x14ac:dyDescent="0.25">
      <c r="A2341" s="7" t="s">
        <v>19</v>
      </c>
      <c r="B2341" s="7" t="s">
        <v>41</v>
      </c>
      <c r="C2341" s="8">
        <v>29099</v>
      </c>
      <c r="D2341" s="7" t="s">
        <v>52</v>
      </c>
      <c r="E2341" s="7" t="s">
        <v>53</v>
      </c>
      <c r="F2341" s="7" t="s">
        <v>54</v>
      </c>
      <c r="G2341" s="7" t="s">
        <v>65</v>
      </c>
      <c r="H2341" s="7" t="s">
        <v>66</v>
      </c>
      <c r="I2341" s="7" t="s">
        <v>712</v>
      </c>
      <c r="J2341" s="7" t="s">
        <v>712</v>
      </c>
      <c r="K2341" s="8">
        <v>6151944</v>
      </c>
      <c r="L2341" s="8">
        <v>316806</v>
      </c>
      <c r="M2341" s="8">
        <v>19</v>
      </c>
      <c r="N2341" s="8">
        <v>1</v>
      </c>
      <c r="O2341" s="8">
        <v>2.2000000000000002</v>
      </c>
      <c r="P2341" s="8"/>
    </row>
    <row r="2342" spans="1:16" hidden="1" x14ac:dyDescent="0.25">
      <c r="A2342" s="7" t="s">
        <v>19</v>
      </c>
      <c r="B2342" s="7" t="s">
        <v>41</v>
      </c>
      <c r="C2342" s="8">
        <v>29100</v>
      </c>
      <c r="D2342" s="7" t="s">
        <v>52</v>
      </c>
      <c r="E2342" s="7" t="s">
        <v>53</v>
      </c>
      <c r="F2342" s="7" t="s">
        <v>87</v>
      </c>
      <c r="G2342" s="7" t="s">
        <v>65</v>
      </c>
      <c r="H2342" s="7" t="s">
        <v>66</v>
      </c>
      <c r="I2342" s="7" t="s">
        <v>712</v>
      </c>
      <c r="J2342" s="7" t="s">
        <v>712</v>
      </c>
      <c r="K2342" s="8">
        <v>6149686</v>
      </c>
      <c r="L2342" s="8">
        <v>319521</v>
      </c>
      <c r="M2342" s="8">
        <v>19</v>
      </c>
      <c r="N2342" s="8">
        <v>1</v>
      </c>
      <c r="O2342" s="8">
        <v>15.9</v>
      </c>
      <c r="P2342" s="8"/>
    </row>
    <row r="2343" spans="1:16" hidden="1" x14ac:dyDescent="0.25">
      <c r="A2343" s="7" t="s">
        <v>19</v>
      </c>
      <c r="B2343" s="7" t="s">
        <v>41</v>
      </c>
      <c r="C2343" s="8">
        <v>29101</v>
      </c>
      <c r="D2343" s="7" t="s">
        <v>52</v>
      </c>
      <c r="E2343" s="7" t="s">
        <v>53</v>
      </c>
      <c r="F2343" s="7" t="s">
        <v>87</v>
      </c>
      <c r="G2343" s="7" t="s">
        <v>65</v>
      </c>
      <c r="H2343" s="7" t="s">
        <v>66</v>
      </c>
      <c r="I2343" s="7" t="s">
        <v>712</v>
      </c>
      <c r="J2343" s="7" t="s">
        <v>712</v>
      </c>
      <c r="K2343" s="8">
        <v>6148673</v>
      </c>
      <c r="L2343" s="8">
        <v>319542</v>
      </c>
      <c r="M2343" s="8">
        <v>19</v>
      </c>
      <c r="N2343" s="8">
        <v>2</v>
      </c>
      <c r="O2343" s="8">
        <v>12.5</v>
      </c>
      <c r="P2343" s="8"/>
    </row>
    <row r="2344" spans="1:16" hidden="1" x14ac:dyDescent="0.25">
      <c r="A2344" s="7" t="s">
        <v>19</v>
      </c>
      <c r="B2344" s="7" t="s">
        <v>41</v>
      </c>
      <c r="C2344" s="8">
        <v>29102</v>
      </c>
      <c r="D2344" s="7" t="s">
        <v>52</v>
      </c>
      <c r="E2344" s="7" t="s">
        <v>53</v>
      </c>
      <c r="F2344" s="7" t="s">
        <v>63</v>
      </c>
      <c r="G2344" s="7" t="s">
        <v>65</v>
      </c>
      <c r="H2344" s="7" t="s">
        <v>66</v>
      </c>
      <c r="I2344" s="7" t="s">
        <v>712</v>
      </c>
      <c r="J2344" s="7" t="s">
        <v>712</v>
      </c>
      <c r="K2344" s="8">
        <v>6146313</v>
      </c>
      <c r="L2344" s="8">
        <v>318303</v>
      </c>
      <c r="M2344" s="8">
        <v>19</v>
      </c>
      <c r="N2344" s="8">
        <v>1</v>
      </c>
      <c r="O2344" s="8">
        <v>24.3</v>
      </c>
      <c r="P2344" s="8"/>
    </row>
    <row r="2345" spans="1:16" hidden="1" x14ac:dyDescent="0.25">
      <c r="A2345" s="7" t="s">
        <v>19</v>
      </c>
      <c r="B2345" s="7" t="s">
        <v>41</v>
      </c>
      <c r="C2345" s="8">
        <v>29103</v>
      </c>
      <c r="D2345" s="7" t="s">
        <v>52</v>
      </c>
      <c r="E2345" s="7" t="s">
        <v>53</v>
      </c>
      <c r="F2345" s="7" t="s">
        <v>88</v>
      </c>
      <c r="G2345" s="7" t="s">
        <v>65</v>
      </c>
      <c r="H2345" s="7" t="s">
        <v>66</v>
      </c>
      <c r="I2345" s="7" t="s">
        <v>712</v>
      </c>
      <c r="J2345" s="7" t="s">
        <v>712</v>
      </c>
      <c r="K2345" s="8">
        <v>6148861</v>
      </c>
      <c r="L2345" s="8">
        <v>313732</v>
      </c>
      <c r="M2345" s="8">
        <v>19</v>
      </c>
      <c r="N2345" s="8">
        <v>4</v>
      </c>
      <c r="O2345" s="8">
        <v>23</v>
      </c>
      <c r="P2345" s="8"/>
    </row>
    <row r="2346" spans="1:16" hidden="1" x14ac:dyDescent="0.25">
      <c r="A2346" s="7" t="s">
        <v>19</v>
      </c>
      <c r="B2346" s="7" t="s">
        <v>41</v>
      </c>
      <c r="C2346" s="8">
        <v>29104</v>
      </c>
      <c r="D2346" s="7" t="s">
        <v>52</v>
      </c>
      <c r="E2346" s="7" t="s">
        <v>53</v>
      </c>
      <c r="F2346" s="7" t="s">
        <v>55</v>
      </c>
      <c r="G2346" s="7" t="s">
        <v>65</v>
      </c>
      <c r="H2346" s="7" t="s">
        <v>66</v>
      </c>
      <c r="I2346" s="7" t="s">
        <v>712</v>
      </c>
      <c r="J2346" s="7" t="s">
        <v>712</v>
      </c>
      <c r="K2346" s="8">
        <v>6158961</v>
      </c>
      <c r="L2346" s="8">
        <v>317592</v>
      </c>
      <c r="M2346" s="8">
        <v>19</v>
      </c>
      <c r="N2346" s="8">
        <v>1</v>
      </c>
      <c r="O2346" s="8">
        <v>7</v>
      </c>
      <c r="P2346" s="8"/>
    </row>
    <row r="2347" spans="1:16" hidden="1" x14ac:dyDescent="0.25">
      <c r="A2347" s="7" t="s">
        <v>19</v>
      </c>
      <c r="B2347" s="7" t="s">
        <v>41</v>
      </c>
      <c r="C2347" s="8">
        <v>29105</v>
      </c>
      <c r="D2347" s="7" t="s">
        <v>52</v>
      </c>
      <c r="E2347" s="7" t="s">
        <v>53</v>
      </c>
      <c r="F2347" s="7" t="s">
        <v>53</v>
      </c>
      <c r="G2347" s="7" t="s">
        <v>65</v>
      </c>
      <c r="H2347" s="7" t="s">
        <v>66</v>
      </c>
      <c r="I2347" s="7" t="s">
        <v>712</v>
      </c>
      <c r="J2347" s="7" t="s">
        <v>712</v>
      </c>
      <c r="K2347" s="8">
        <v>6148069</v>
      </c>
      <c r="L2347" s="8">
        <v>314785</v>
      </c>
      <c r="M2347" s="8">
        <v>19</v>
      </c>
      <c r="N2347" s="8">
        <v>2</v>
      </c>
      <c r="O2347" s="8">
        <v>18</v>
      </c>
      <c r="P2347" s="8"/>
    </row>
    <row r="2348" spans="1:16" hidden="1" x14ac:dyDescent="0.25">
      <c r="A2348" s="7" t="s">
        <v>14</v>
      </c>
      <c r="B2348" s="7" t="s">
        <v>405</v>
      </c>
      <c r="C2348" s="8">
        <v>29107</v>
      </c>
      <c r="D2348" s="7" t="s">
        <v>119</v>
      </c>
      <c r="E2348" s="7" t="s">
        <v>406</v>
      </c>
      <c r="F2348" s="7" t="s">
        <v>407</v>
      </c>
      <c r="G2348" s="7" t="s">
        <v>43</v>
      </c>
      <c r="H2348" s="7" t="s">
        <v>689</v>
      </c>
      <c r="I2348" s="7" t="s">
        <v>690</v>
      </c>
      <c r="J2348" s="7" t="s">
        <v>690</v>
      </c>
      <c r="K2348" s="8">
        <v>5659725</v>
      </c>
      <c r="L2348" s="8">
        <v>718856</v>
      </c>
      <c r="M2348" s="8">
        <v>18</v>
      </c>
      <c r="N2348" s="8">
        <v>1</v>
      </c>
      <c r="O2348" s="8">
        <v>0.2</v>
      </c>
      <c r="P2348" s="8"/>
    </row>
    <row r="2349" spans="1:16" hidden="1" x14ac:dyDescent="0.25">
      <c r="A2349" s="7" t="s">
        <v>14</v>
      </c>
      <c r="B2349" s="7" t="s">
        <v>405</v>
      </c>
      <c r="C2349" s="8">
        <v>29108</v>
      </c>
      <c r="D2349" s="7" t="s">
        <v>119</v>
      </c>
      <c r="E2349" s="7" t="s">
        <v>406</v>
      </c>
      <c r="F2349" s="7" t="s">
        <v>407</v>
      </c>
      <c r="G2349" s="7" t="s">
        <v>43</v>
      </c>
      <c r="H2349" s="7" t="s">
        <v>689</v>
      </c>
      <c r="I2349" s="7" t="s">
        <v>690</v>
      </c>
      <c r="J2349" s="7" t="s">
        <v>690</v>
      </c>
      <c r="K2349" s="8">
        <v>5658932</v>
      </c>
      <c r="L2349" s="8">
        <v>719333</v>
      </c>
      <c r="M2349" s="8">
        <v>18</v>
      </c>
      <c r="N2349" s="8">
        <v>1</v>
      </c>
      <c r="O2349" s="8">
        <v>1</v>
      </c>
      <c r="P2349" s="8"/>
    </row>
    <row r="2350" spans="1:16" hidden="1" x14ac:dyDescent="0.25">
      <c r="A2350" s="7" t="s">
        <v>19</v>
      </c>
      <c r="B2350" s="7" t="s">
        <v>41</v>
      </c>
      <c r="C2350" s="8">
        <v>29109</v>
      </c>
      <c r="D2350" s="7" t="s">
        <v>52</v>
      </c>
      <c r="E2350" s="7" t="s">
        <v>53</v>
      </c>
      <c r="F2350" s="7" t="s">
        <v>89</v>
      </c>
      <c r="G2350" s="7" t="s">
        <v>65</v>
      </c>
      <c r="H2350" s="7" t="s">
        <v>66</v>
      </c>
      <c r="I2350" s="7" t="s">
        <v>712</v>
      </c>
      <c r="J2350" s="7" t="s">
        <v>712</v>
      </c>
      <c r="K2350" s="8">
        <v>6159757</v>
      </c>
      <c r="L2350" s="8">
        <v>318204</v>
      </c>
      <c r="M2350" s="8">
        <v>19</v>
      </c>
      <c r="N2350" s="8">
        <v>1</v>
      </c>
      <c r="O2350" s="8">
        <v>18</v>
      </c>
      <c r="P2350" s="8"/>
    </row>
    <row r="2351" spans="1:16" hidden="1" x14ac:dyDescent="0.25">
      <c r="A2351" s="7" t="s">
        <v>19</v>
      </c>
      <c r="B2351" s="7" t="s">
        <v>41</v>
      </c>
      <c r="C2351" s="8">
        <v>29110</v>
      </c>
      <c r="D2351" s="7" t="s">
        <v>52</v>
      </c>
      <c r="E2351" s="7" t="s">
        <v>53</v>
      </c>
      <c r="F2351" s="7" t="s">
        <v>79</v>
      </c>
      <c r="G2351" s="7" t="s">
        <v>65</v>
      </c>
      <c r="H2351" s="7" t="s">
        <v>66</v>
      </c>
      <c r="I2351" s="7" t="s">
        <v>712</v>
      </c>
      <c r="J2351" s="7" t="s">
        <v>712</v>
      </c>
      <c r="K2351" s="8">
        <v>6148248</v>
      </c>
      <c r="L2351" s="8">
        <v>316063</v>
      </c>
      <c r="M2351" s="8">
        <v>19</v>
      </c>
      <c r="N2351" s="8">
        <v>1</v>
      </c>
      <c r="O2351" s="8">
        <v>15</v>
      </c>
      <c r="P2351" s="8"/>
    </row>
    <row r="2352" spans="1:16" hidden="1" x14ac:dyDescent="0.25">
      <c r="A2352" s="7" t="s">
        <v>19</v>
      </c>
      <c r="B2352" s="7" t="s">
        <v>41</v>
      </c>
      <c r="C2352" s="8">
        <v>29111</v>
      </c>
      <c r="D2352" s="7" t="s">
        <v>52</v>
      </c>
      <c r="E2352" s="7" t="s">
        <v>53</v>
      </c>
      <c r="F2352" s="7" t="s">
        <v>79</v>
      </c>
      <c r="G2352" s="7" t="s">
        <v>65</v>
      </c>
      <c r="H2352" s="7" t="s">
        <v>66</v>
      </c>
      <c r="I2352" s="7" t="s">
        <v>712</v>
      </c>
      <c r="J2352" s="7" t="s">
        <v>712</v>
      </c>
      <c r="K2352" s="8">
        <v>6148952</v>
      </c>
      <c r="L2352" s="8">
        <v>316340</v>
      </c>
      <c r="M2352" s="8">
        <v>19</v>
      </c>
      <c r="N2352" s="8">
        <v>1</v>
      </c>
      <c r="O2352" s="8">
        <v>3</v>
      </c>
      <c r="P2352" s="8"/>
    </row>
    <row r="2353" spans="1:16" hidden="1" x14ac:dyDescent="0.25">
      <c r="A2353" s="7" t="s">
        <v>19</v>
      </c>
      <c r="B2353" s="7" t="s">
        <v>41</v>
      </c>
      <c r="C2353" s="8">
        <v>29112</v>
      </c>
      <c r="D2353" s="7" t="s">
        <v>52</v>
      </c>
      <c r="E2353" s="7" t="s">
        <v>53</v>
      </c>
      <c r="F2353" s="7" t="s">
        <v>79</v>
      </c>
      <c r="G2353" s="7" t="s">
        <v>65</v>
      </c>
      <c r="H2353" s="7" t="s">
        <v>66</v>
      </c>
      <c r="I2353" s="7" t="s">
        <v>712</v>
      </c>
      <c r="J2353" s="7" t="s">
        <v>712</v>
      </c>
      <c r="K2353" s="8">
        <v>6149190</v>
      </c>
      <c r="L2353" s="8">
        <v>316406</v>
      </c>
      <c r="M2353" s="8">
        <v>19</v>
      </c>
      <c r="N2353" s="8">
        <v>1</v>
      </c>
      <c r="O2353" s="8">
        <v>5.5</v>
      </c>
      <c r="P2353" s="8"/>
    </row>
    <row r="2354" spans="1:16" hidden="1" x14ac:dyDescent="0.25">
      <c r="A2354" s="7" t="s">
        <v>19</v>
      </c>
      <c r="B2354" s="7" t="s">
        <v>41</v>
      </c>
      <c r="C2354" s="8">
        <v>29113</v>
      </c>
      <c r="D2354" s="7" t="s">
        <v>52</v>
      </c>
      <c r="E2354" s="7" t="s">
        <v>53</v>
      </c>
      <c r="F2354" s="7" t="s">
        <v>79</v>
      </c>
      <c r="G2354" s="7" t="s">
        <v>65</v>
      </c>
      <c r="H2354" s="7" t="s">
        <v>66</v>
      </c>
      <c r="I2354" s="7" t="s">
        <v>712</v>
      </c>
      <c r="J2354" s="7" t="s">
        <v>712</v>
      </c>
      <c r="K2354" s="8">
        <v>6149231</v>
      </c>
      <c r="L2354" s="8">
        <v>317446</v>
      </c>
      <c r="M2354" s="8">
        <v>19</v>
      </c>
      <c r="N2354" s="8">
        <v>2</v>
      </c>
      <c r="O2354" s="8">
        <v>14.8</v>
      </c>
      <c r="P2354" s="8"/>
    </row>
    <row r="2355" spans="1:16" hidden="1" x14ac:dyDescent="0.25">
      <c r="A2355" s="7" t="s">
        <v>19</v>
      </c>
      <c r="B2355" s="7" t="s">
        <v>41</v>
      </c>
      <c r="C2355" s="8">
        <v>29114</v>
      </c>
      <c r="D2355" s="7" t="s">
        <v>52</v>
      </c>
      <c r="E2355" s="7" t="s">
        <v>53</v>
      </c>
      <c r="F2355" s="7" t="s">
        <v>79</v>
      </c>
      <c r="G2355" s="7" t="s">
        <v>65</v>
      </c>
      <c r="H2355" s="7" t="s">
        <v>66</v>
      </c>
      <c r="I2355" s="7" t="s">
        <v>712</v>
      </c>
      <c r="J2355" s="7" t="s">
        <v>712</v>
      </c>
      <c r="K2355" s="8">
        <v>6149881</v>
      </c>
      <c r="L2355" s="8">
        <v>316305</v>
      </c>
      <c r="M2355" s="8">
        <v>19</v>
      </c>
      <c r="N2355" s="8">
        <v>1</v>
      </c>
      <c r="O2355" s="8">
        <v>3</v>
      </c>
      <c r="P2355" s="8"/>
    </row>
    <row r="2356" spans="1:16" hidden="1" x14ac:dyDescent="0.25">
      <c r="A2356" s="7" t="s">
        <v>19</v>
      </c>
      <c r="B2356" s="7" t="s">
        <v>41</v>
      </c>
      <c r="C2356" s="8">
        <v>29115</v>
      </c>
      <c r="D2356" s="7" t="s">
        <v>52</v>
      </c>
      <c r="E2356" s="7" t="s">
        <v>53</v>
      </c>
      <c r="F2356" s="7" t="s">
        <v>79</v>
      </c>
      <c r="G2356" s="7" t="s">
        <v>65</v>
      </c>
      <c r="H2356" s="7" t="s">
        <v>66</v>
      </c>
      <c r="I2356" s="7" t="s">
        <v>712</v>
      </c>
      <c r="J2356" s="7" t="s">
        <v>712</v>
      </c>
      <c r="K2356" s="8">
        <v>6148366</v>
      </c>
      <c r="L2356" s="8">
        <v>315868</v>
      </c>
      <c r="M2356" s="8">
        <v>19</v>
      </c>
      <c r="N2356" s="8">
        <v>1</v>
      </c>
      <c r="O2356" s="8">
        <v>10.199999999999999</v>
      </c>
      <c r="P2356" s="8"/>
    </row>
    <row r="2357" spans="1:16" hidden="1" x14ac:dyDescent="0.25">
      <c r="A2357" s="7" t="s">
        <v>37</v>
      </c>
      <c r="B2357" s="7" t="s">
        <v>270</v>
      </c>
      <c r="C2357" s="8">
        <v>29116</v>
      </c>
      <c r="D2357" s="7" t="s">
        <v>16</v>
      </c>
      <c r="E2357" s="7" t="s">
        <v>17</v>
      </c>
      <c r="F2357" s="7" t="s">
        <v>58</v>
      </c>
      <c r="G2357" s="7" t="s">
        <v>18</v>
      </c>
      <c r="H2357" s="7" t="s">
        <v>24</v>
      </c>
      <c r="I2357" s="7" t="s">
        <v>712</v>
      </c>
      <c r="J2357" s="7" t="s">
        <v>712</v>
      </c>
      <c r="K2357" s="8">
        <v>6073102</v>
      </c>
      <c r="L2357" s="8">
        <v>289055</v>
      </c>
      <c r="M2357" s="8">
        <v>19</v>
      </c>
      <c r="N2357" s="8">
        <v>1</v>
      </c>
      <c r="O2357" s="8">
        <v>0.5</v>
      </c>
      <c r="P2357" s="8"/>
    </row>
    <row r="2358" spans="1:16" hidden="1" x14ac:dyDescent="0.25">
      <c r="A2358" s="7" t="s">
        <v>37</v>
      </c>
      <c r="B2358" s="7" t="s">
        <v>270</v>
      </c>
      <c r="C2358" s="8">
        <v>29117</v>
      </c>
      <c r="D2358" s="7" t="s">
        <v>16</v>
      </c>
      <c r="E2358" s="7" t="s">
        <v>17</v>
      </c>
      <c r="F2358" s="7" t="s">
        <v>642</v>
      </c>
      <c r="G2358" s="7" t="s">
        <v>18</v>
      </c>
      <c r="H2358" s="7" t="s">
        <v>24</v>
      </c>
      <c r="I2358" s="7" t="s">
        <v>712</v>
      </c>
      <c r="J2358" s="7" t="s">
        <v>712</v>
      </c>
      <c r="K2358" s="8">
        <v>6061445</v>
      </c>
      <c r="L2358" s="8">
        <v>284810</v>
      </c>
      <c r="M2358" s="8">
        <v>19</v>
      </c>
      <c r="N2358" s="8">
        <v>1</v>
      </c>
      <c r="O2358" s="8">
        <v>0.5</v>
      </c>
      <c r="P2358" s="8"/>
    </row>
    <row r="2359" spans="1:16" hidden="1" x14ac:dyDescent="0.25">
      <c r="A2359" s="7" t="s">
        <v>14</v>
      </c>
      <c r="B2359" s="7" t="s">
        <v>270</v>
      </c>
      <c r="C2359" s="8">
        <v>29118</v>
      </c>
      <c r="D2359" s="7" t="s">
        <v>52</v>
      </c>
      <c r="E2359" s="7" t="s">
        <v>141</v>
      </c>
      <c r="F2359" s="7" t="s">
        <v>299</v>
      </c>
      <c r="G2359" s="7" t="s">
        <v>43</v>
      </c>
      <c r="H2359" s="7" t="s">
        <v>689</v>
      </c>
      <c r="I2359" s="7" t="s">
        <v>712</v>
      </c>
      <c r="J2359" s="7" t="s">
        <v>712</v>
      </c>
      <c r="K2359" s="8">
        <v>6224785</v>
      </c>
      <c r="L2359" s="8">
        <v>334089</v>
      </c>
      <c r="M2359" s="8">
        <v>19</v>
      </c>
      <c r="N2359" s="8">
        <v>1</v>
      </c>
      <c r="O2359" s="8">
        <v>0.43</v>
      </c>
      <c r="P2359" s="8"/>
    </row>
    <row r="2360" spans="1:16" hidden="1" x14ac:dyDescent="0.25">
      <c r="A2360" s="7" t="s">
        <v>19</v>
      </c>
      <c r="B2360" s="7" t="s">
        <v>270</v>
      </c>
      <c r="C2360" s="8">
        <v>29119</v>
      </c>
      <c r="D2360" s="7" t="s">
        <v>16</v>
      </c>
      <c r="E2360" s="7" t="s">
        <v>17</v>
      </c>
      <c r="F2360" s="7" t="s">
        <v>643</v>
      </c>
      <c r="G2360" s="7" t="s">
        <v>18</v>
      </c>
      <c r="H2360" s="7" t="s">
        <v>24</v>
      </c>
      <c r="I2360" s="7" t="s">
        <v>712</v>
      </c>
      <c r="J2360" s="7" t="s">
        <v>712</v>
      </c>
      <c r="K2360" s="8">
        <v>6060619</v>
      </c>
      <c r="L2360" s="8">
        <v>267847</v>
      </c>
      <c r="M2360" s="8">
        <v>19</v>
      </c>
      <c r="N2360" s="8">
        <v>1</v>
      </c>
      <c r="O2360" s="8">
        <v>0.5</v>
      </c>
      <c r="P2360" s="8"/>
    </row>
    <row r="2361" spans="1:16" hidden="1" x14ac:dyDescent="0.25">
      <c r="A2361" s="7" t="s">
        <v>37</v>
      </c>
      <c r="B2361" s="7" t="s">
        <v>270</v>
      </c>
      <c r="C2361" s="8">
        <v>29120</v>
      </c>
      <c r="D2361" s="7" t="s">
        <v>16</v>
      </c>
      <c r="E2361" s="7" t="s">
        <v>17</v>
      </c>
      <c r="F2361" s="7" t="s">
        <v>643</v>
      </c>
      <c r="G2361" s="7" t="s">
        <v>18</v>
      </c>
      <c r="H2361" s="7" t="s">
        <v>24</v>
      </c>
      <c r="I2361" s="7" t="s">
        <v>712</v>
      </c>
      <c r="J2361" s="7" t="s">
        <v>712</v>
      </c>
      <c r="K2361" s="8">
        <v>6061467</v>
      </c>
      <c r="L2361" s="8">
        <v>267728</v>
      </c>
      <c r="M2361" s="8">
        <v>19</v>
      </c>
      <c r="N2361" s="8">
        <v>1</v>
      </c>
      <c r="O2361" s="8">
        <v>0.5</v>
      </c>
      <c r="P2361" s="8"/>
    </row>
    <row r="2362" spans="1:16" hidden="1" x14ac:dyDescent="0.25">
      <c r="A2362" s="7" t="s">
        <v>14</v>
      </c>
      <c r="B2362" s="7" t="s">
        <v>250</v>
      </c>
      <c r="C2362" s="8">
        <v>29121</v>
      </c>
      <c r="D2362" s="7" t="s">
        <v>21</v>
      </c>
      <c r="E2362" s="7" t="s">
        <v>251</v>
      </c>
      <c r="F2362" s="7" t="s">
        <v>252</v>
      </c>
      <c r="G2362" s="7" t="s">
        <v>18</v>
      </c>
      <c r="H2362" s="7" t="s">
        <v>689</v>
      </c>
      <c r="I2362" s="7" t="s">
        <v>690</v>
      </c>
      <c r="J2362" s="7" t="s">
        <v>690</v>
      </c>
      <c r="K2362" s="8">
        <v>6370003</v>
      </c>
      <c r="L2362" s="8">
        <v>347988</v>
      </c>
      <c r="M2362" s="8">
        <v>19</v>
      </c>
      <c r="N2362" s="8">
        <v>1</v>
      </c>
      <c r="O2362" s="8">
        <v>6</v>
      </c>
      <c r="P2362" s="8"/>
    </row>
    <row r="2363" spans="1:16" hidden="1" x14ac:dyDescent="0.25">
      <c r="A2363" s="7" t="s">
        <v>14</v>
      </c>
      <c r="B2363" s="7" t="s">
        <v>250</v>
      </c>
      <c r="C2363" s="8">
        <v>29122</v>
      </c>
      <c r="D2363" s="7" t="s">
        <v>21</v>
      </c>
      <c r="E2363" s="7" t="s">
        <v>251</v>
      </c>
      <c r="F2363" s="7" t="s">
        <v>252</v>
      </c>
      <c r="G2363" s="7" t="s">
        <v>65</v>
      </c>
      <c r="H2363" s="7" t="s">
        <v>689</v>
      </c>
      <c r="I2363" s="7" t="s">
        <v>690</v>
      </c>
      <c r="J2363" s="7" t="s">
        <v>690</v>
      </c>
      <c r="K2363" s="8">
        <v>6370257</v>
      </c>
      <c r="L2363" s="8">
        <v>347920</v>
      </c>
      <c r="M2363" s="8">
        <v>19</v>
      </c>
      <c r="N2363" s="8">
        <v>1</v>
      </c>
      <c r="O2363" s="8">
        <v>0.7</v>
      </c>
      <c r="P2363" s="8"/>
    </row>
    <row r="2364" spans="1:16" hidden="1" x14ac:dyDescent="0.25">
      <c r="A2364" s="7" t="s">
        <v>37</v>
      </c>
      <c r="B2364" s="7" t="s">
        <v>270</v>
      </c>
      <c r="C2364" s="8">
        <v>29123</v>
      </c>
      <c r="D2364" s="7" t="s">
        <v>16</v>
      </c>
      <c r="E2364" s="7" t="s">
        <v>17</v>
      </c>
      <c r="F2364" s="7" t="s">
        <v>293</v>
      </c>
      <c r="G2364" s="7" t="s">
        <v>18</v>
      </c>
      <c r="H2364" s="7" t="s">
        <v>24</v>
      </c>
      <c r="I2364" s="7" t="s">
        <v>712</v>
      </c>
      <c r="J2364" s="7" t="s">
        <v>712</v>
      </c>
      <c r="K2364" s="8">
        <v>6074002</v>
      </c>
      <c r="L2364" s="8">
        <v>277815</v>
      </c>
      <c r="M2364" s="8">
        <v>19</v>
      </c>
      <c r="N2364" s="8">
        <v>1</v>
      </c>
      <c r="O2364" s="8">
        <v>0.5</v>
      </c>
      <c r="P2364" s="8"/>
    </row>
    <row r="2365" spans="1:16" hidden="1" x14ac:dyDescent="0.25">
      <c r="A2365" s="7" t="s">
        <v>14</v>
      </c>
      <c r="B2365" s="7" t="s">
        <v>250</v>
      </c>
      <c r="C2365" s="8">
        <v>29124</v>
      </c>
      <c r="D2365" s="7" t="s">
        <v>21</v>
      </c>
      <c r="E2365" s="7" t="s">
        <v>253</v>
      </c>
      <c r="F2365" s="7" t="s">
        <v>104</v>
      </c>
      <c r="G2365" s="7" t="s">
        <v>18</v>
      </c>
      <c r="H2365" s="7" t="s">
        <v>689</v>
      </c>
      <c r="I2365" s="7" t="s">
        <v>690</v>
      </c>
      <c r="J2365" s="7" t="s">
        <v>690</v>
      </c>
      <c r="K2365" s="8">
        <v>6366175</v>
      </c>
      <c r="L2365" s="8">
        <v>356015</v>
      </c>
      <c r="M2365" s="8">
        <v>19</v>
      </c>
      <c r="N2365" s="8">
        <v>1</v>
      </c>
      <c r="O2365" s="8">
        <v>4.2</v>
      </c>
      <c r="P2365" s="8"/>
    </row>
    <row r="2366" spans="1:16" hidden="1" x14ac:dyDescent="0.25">
      <c r="A2366" s="7" t="s">
        <v>19</v>
      </c>
      <c r="B2366" s="7" t="s">
        <v>651</v>
      </c>
      <c r="C2366" s="8">
        <v>29125</v>
      </c>
      <c r="D2366" s="7" t="s">
        <v>16</v>
      </c>
      <c r="E2366" s="7" t="s">
        <v>17</v>
      </c>
      <c r="F2366" s="7" t="s">
        <v>431</v>
      </c>
      <c r="G2366" s="7" t="s">
        <v>65</v>
      </c>
      <c r="H2366" s="7" t="s">
        <v>66</v>
      </c>
      <c r="I2366" s="7" t="s">
        <v>712</v>
      </c>
      <c r="J2366" s="7" t="s">
        <v>712</v>
      </c>
      <c r="K2366" s="8">
        <v>6063866</v>
      </c>
      <c r="L2366" s="8">
        <v>276905</v>
      </c>
      <c r="M2366" s="8">
        <v>19</v>
      </c>
      <c r="N2366" s="8">
        <v>1</v>
      </c>
      <c r="O2366" s="8">
        <v>7</v>
      </c>
      <c r="P2366" s="8"/>
    </row>
    <row r="2367" spans="1:16" hidden="1" x14ac:dyDescent="0.25">
      <c r="A2367" s="7" t="s">
        <v>19</v>
      </c>
      <c r="B2367" s="7" t="s">
        <v>651</v>
      </c>
      <c r="C2367" s="8">
        <v>29126</v>
      </c>
      <c r="D2367" s="7" t="s">
        <v>16</v>
      </c>
      <c r="E2367" s="7" t="s">
        <v>17</v>
      </c>
      <c r="F2367" s="7" t="s">
        <v>431</v>
      </c>
      <c r="G2367" s="7" t="s">
        <v>65</v>
      </c>
      <c r="H2367" s="7" t="s">
        <v>66</v>
      </c>
      <c r="I2367" s="7" t="s">
        <v>712</v>
      </c>
      <c r="J2367" s="7" t="s">
        <v>712</v>
      </c>
      <c r="K2367" s="8">
        <v>6064252</v>
      </c>
      <c r="L2367" s="8">
        <v>277058</v>
      </c>
      <c r="M2367" s="8">
        <v>19</v>
      </c>
      <c r="N2367" s="8">
        <v>1</v>
      </c>
      <c r="O2367" s="8">
        <v>7</v>
      </c>
      <c r="P2367" s="8"/>
    </row>
    <row r="2368" spans="1:16" hidden="1" x14ac:dyDescent="0.25">
      <c r="A2368" s="7" t="s">
        <v>19</v>
      </c>
      <c r="B2368" s="7" t="s">
        <v>651</v>
      </c>
      <c r="C2368" s="8">
        <v>29127</v>
      </c>
      <c r="D2368" s="7" t="s">
        <v>16</v>
      </c>
      <c r="E2368" s="7" t="s">
        <v>168</v>
      </c>
      <c r="F2368" s="7" t="s">
        <v>545</v>
      </c>
      <c r="G2368" s="7" t="s">
        <v>65</v>
      </c>
      <c r="H2368" s="7" t="s">
        <v>66</v>
      </c>
      <c r="I2368" s="7" t="s">
        <v>712</v>
      </c>
      <c r="J2368" s="7" t="s">
        <v>712</v>
      </c>
      <c r="K2368" s="8">
        <v>6003331</v>
      </c>
      <c r="L2368" s="8">
        <v>275163</v>
      </c>
      <c r="M2368" s="8">
        <v>19</v>
      </c>
      <c r="N2368" s="8">
        <v>4</v>
      </c>
      <c r="O2368" s="8">
        <v>55</v>
      </c>
      <c r="P2368" s="8"/>
    </row>
    <row r="2369" spans="1:16" hidden="1" x14ac:dyDescent="0.25">
      <c r="A2369" s="7" t="s">
        <v>19</v>
      </c>
      <c r="B2369" s="7" t="s">
        <v>651</v>
      </c>
      <c r="C2369" s="8">
        <v>29128</v>
      </c>
      <c r="D2369" s="7" t="s">
        <v>16</v>
      </c>
      <c r="E2369" s="7" t="s">
        <v>17</v>
      </c>
      <c r="F2369" s="7" t="s">
        <v>658</v>
      </c>
      <c r="G2369" s="7" t="s">
        <v>65</v>
      </c>
      <c r="H2369" s="7" t="s">
        <v>66</v>
      </c>
      <c r="I2369" s="7" t="s">
        <v>712</v>
      </c>
      <c r="J2369" s="7" t="s">
        <v>712</v>
      </c>
      <c r="K2369" s="8">
        <v>6061924</v>
      </c>
      <c r="L2369" s="8">
        <v>278708</v>
      </c>
      <c r="M2369" s="8">
        <v>19</v>
      </c>
      <c r="N2369" s="8">
        <v>2</v>
      </c>
      <c r="O2369" s="8">
        <v>16</v>
      </c>
      <c r="P2369" s="8"/>
    </row>
    <row r="2370" spans="1:16" hidden="1" x14ac:dyDescent="0.25">
      <c r="A2370" s="7" t="s">
        <v>19</v>
      </c>
      <c r="B2370" s="7" t="s">
        <v>651</v>
      </c>
      <c r="C2370" s="8">
        <v>29129</v>
      </c>
      <c r="D2370" s="7" t="s">
        <v>16</v>
      </c>
      <c r="E2370" s="7" t="s">
        <v>17</v>
      </c>
      <c r="F2370" s="7" t="s">
        <v>657</v>
      </c>
      <c r="G2370" s="7" t="s">
        <v>65</v>
      </c>
      <c r="H2370" s="7" t="s">
        <v>66</v>
      </c>
      <c r="I2370" s="7" t="s">
        <v>712</v>
      </c>
      <c r="J2370" s="7" t="s">
        <v>712</v>
      </c>
      <c r="K2370" s="8">
        <v>6061366</v>
      </c>
      <c r="L2370" s="8">
        <v>278215</v>
      </c>
      <c r="M2370" s="8">
        <v>19</v>
      </c>
      <c r="N2370" s="8">
        <v>3</v>
      </c>
      <c r="O2370" s="8">
        <v>30</v>
      </c>
      <c r="P2370" s="8"/>
    </row>
    <row r="2371" spans="1:16" hidden="1" x14ac:dyDescent="0.25">
      <c r="A2371" s="7" t="s">
        <v>19</v>
      </c>
      <c r="B2371" s="7" t="s">
        <v>651</v>
      </c>
      <c r="C2371" s="8">
        <v>29130</v>
      </c>
      <c r="D2371" s="7" t="s">
        <v>16</v>
      </c>
      <c r="E2371" s="7" t="s">
        <v>17</v>
      </c>
      <c r="F2371" s="7" t="s">
        <v>657</v>
      </c>
      <c r="G2371" s="7" t="s">
        <v>65</v>
      </c>
      <c r="H2371" s="7" t="s">
        <v>66</v>
      </c>
      <c r="I2371" s="7" t="s">
        <v>712</v>
      </c>
      <c r="J2371" s="7" t="s">
        <v>712</v>
      </c>
      <c r="K2371" s="8">
        <v>6061039</v>
      </c>
      <c r="L2371" s="8">
        <v>277432</v>
      </c>
      <c r="M2371" s="8">
        <v>19</v>
      </c>
      <c r="N2371" s="8">
        <v>1</v>
      </c>
      <c r="O2371" s="8">
        <v>6.5</v>
      </c>
      <c r="P2371" s="8"/>
    </row>
    <row r="2372" spans="1:16" hidden="1" x14ac:dyDescent="0.25">
      <c r="A2372" s="7" t="s">
        <v>19</v>
      </c>
      <c r="B2372" s="7" t="s">
        <v>651</v>
      </c>
      <c r="C2372" s="8">
        <v>29131</v>
      </c>
      <c r="D2372" s="7" t="s">
        <v>16</v>
      </c>
      <c r="E2372" s="7" t="s">
        <v>17</v>
      </c>
      <c r="F2372" s="7" t="s">
        <v>400</v>
      </c>
      <c r="G2372" s="7" t="s">
        <v>65</v>
      </c>
      <c r="H2372" s="7" t="s">
        <v>66</v>
      </c>
      <c r="I2372" s="7" t="s">
        <v>712</v>
      </c>
      <c r="J2372" s="7" t="s">
        <v>712</v>
      </c>
      <c r="K2372" s="8">
        <v>6068279</v>
      </c>
      <c r="L2372" s="8">
        <v>272221</v>
      </c>
      <c r="M2372" s="8">
        <v>19</v>
      </c>
      <c r="N2372" s="8">
        <v>1</v>
      </c>
      <c r="O2372" s="8">
        <v>8</v>
      </c>
      <c r="P2372" s="8"/>
    </row>
    <row r="2373" spans="1:16" hidden="1" x14ac:dyDescent="0.25">
      <c r="A2373" s="7" t="s">
        <v>14</v>
      </c>
      <c r="B2373" s="7" t="s">
        <v>415</v>
      </c>
      <c r="C2373" s="8">
        <v>29132</v>
      </c>
      <c r="D2373" s="7" t="s">
        <v>28</v>
      </c>
      <c r="E2373" s="7" t="s">
        <v>56</v>
      </c>
      <c r="F2373" s="7" t="s">
        <v>378</v>
      </c>
      <c r="G2373" s="7" t="s">
        <v>18</v>
      </c>
      <c r="H2373" s="7" t="s">
        <v>689</v>
      </c>
      <c r="I2373" s="7" t="s">
        <v>712</v>
      </c>
      <c r="J2373" s="7" t="s">
        <v>712</v>
      </c>
      <c r="K2373" s="8">
        <v>6259516</v>
      </c>
      <c r="L2373" s="8">
        <v>330990</v>
      </c>
      <c r="M2373" s="8">
        <v>19</v>
      </c>
      <c r="N2373" s="8">
        <v>1</v>
      </c>
      <c r="O2373" s="8">
        <v>0.9</v>
      </c>
      <c r="P2373" s="8"/>
    </row>
    <row r="2374" spans="1:16" hidden="1" x14ac:dyDescent="0.25">
      <c r="A2374" s="7" t="s">
        <v>14</v>
      </c>
      <c r="B2374" s="7" t="s">
        <v>415</v>
      </c>
      <c r="C2374" s="8">
        <v>29133</v>
      </c>
      <c r="D2374" s="7" t="s">
        <v>28</v>
      </c>
      <c r="E2374" s="7" t="s">
        <v>56</v>
      </c>
      <c r="F2374" s="7" t="s">
        <v>162</v>
      </c>
      <c r="G2374" s="7" t="s">
        <v>18</v>
      </c>
      <c r="H2374" s="7" t="s">
        <v>689</v>
      </c>
      <c r="I2374" s="7" t="s">
        <v>712</v>
      </c>
      <c r="J2374" s="7" t="s">
        <v>712</v>
      </c>
      <c r="K2374" s="8">
        <v>6260780</v>
      </c>
      <c r="L2374" s="8">
        <v>333082</v>
      </c>
      <c r="M2374" s="8">
        <v>19</v>
      </c>
      <c r="N2374" s="8">
        <v>1</v>
      </c>
      <c r="O2374" s="8">
        <v>0.9</v>
      </c>
      <c r="P2374" s="8"/>
    </row>
    <row r="2375" spans="1:16" hidden="1" x14ac:dyDescent="0.25">
      <c r="A2375" s="7" t="s">
        <v>14</v>
      </c>
      <c r="B2375" s="7" t="s">
        <v>415</v>
      </c>
      <c r="C2375" s="8">
        <v>29134</v>
      </c>
      <c r="D2375" s="7" t="s">
        <v>28</v>
      </c>
      <c r="E2375" s="7" t="s">
        <v>56</v>
      </c>
      <c r="F2375" s="7" t="s">
        <v>162</v>
      </c>
      <c r="G2375" s="7" t="s">
        <v>18</v>
      </c>
      <c r="H2375" s="7" t="s">
        <v>689</v>
      </c>
      <c r="I2375" s="7" t="s">
        <v>712</v>
      </c>
      <c r="J2375" s="7" t="s">
        <v>712</v>
      </c>
      <c r="K2375" s="8">
        <v>6260697</v>
      </c>
      <c r="L2375" s="8">
        <v>333162</v>
      </c>
      <c r="M2375" s="8">
        <v>19</v>
      </c>
      <c r="N2375" s="8">
        <v>1</v>
      </c>
      <c r="O2375" s="8">
        <v>0.9</v>
      </c>
      <c r="P2375" s="8"/>
    </row>
    <row r="2376" spans="1:16" hidden="1" x14ac:dyDescent="0.25">
      <c r="A2376" s="7" t="s">
        <v>14</v>
      </c>
      <c r="B2376" s="7" t="s">
        <v>415</v>
      </c>
      <c r="C2376" s="8">
        <v>29135</v>
      </c>
      <c r="D2376" s="7" t="s">
        <v>28</v>
      </c>
      <c r="E2376" s="7" t="s">
        <v>56</v>
      </c>
      <c r="F2376" s="7" t="s">
        <v>162</v>
      </c>
      <c r="G2376" s="7" t="s">
        <v>18</v>
      </c>
      <c r="H2376" s="7" t="s">
        <v>689</v>
      </c>
      <c r="I2376" s="7" t="s">
        <v>712</v>
      </c>
      <c r="J2376" s="7" t="s">
        <v>712</v>
      </c>
      <c r="K2376" s="8">
        <v>6260622</v>
      </c>
      <c r="L2376" s="8">
        <v>333117</v>
      </c>
      <c r="M2376" s="8">
        <v>19</v>
      </c>
      <c r="N2376" s="8">
        <v>1</v>
      </c>
      <c r="O2376" s="8">
        <v>0.8</v>
      </c>
      <c r="P2376" s="8"/>
    </row>
    <row r="2377" spans="1:16" hidden="1" x14ac:dyDescent="0.25">
      <c r="A2377" s="7" t="s">
        <v>19</v>
      </c>
      <c r="B2377" s="7" t="s">
        <v>41</v>
      </c>
      <c r="C2377" s="8">
        <v>29136</v>
      </c>
      <c r="D2377" s="7" t="s">
        <v>52</v>
      </c>
      <c r="E2377" s="7" t="s">
        <v>53</v>
      </c>
      <c r="F2377" s="7" t="s">
        <v>90</v>
      </c>
      <c r="G2377" s="7" t="s">
        <v>65</v>
      </c>
      <c r="H2377" s="7" t="s">
        <v>66</v>
      </c>
      <c r="I2377" s="7" t="s">
        <v>712</v>
      </c>
      <c r="J2377" s="7" t="s">
        <v>712</v>
      </c>
      <c r="K2377" s="8">
        <v>6158873</v>
      </c>
      <c r="L2377" s="8">
        <v>316889</v>
      </c>
      <c r="M2377" s="8">
        <v>19</v>
      </c>
      <c r="N2377" s="8">
        <v>1</v>
      </c>
      <c r="O2377" s="8">
        <v>5</v>
      </c>
      <c r="P2377" s="8"/>
    </row>
    <row r="2378" spans="1:16" hidden="1" x14ac:dyDescent="0.25">
      <c r="A2378" s="7" t="s">
        <v>19</v>
      </c>
      <c r="B2378" s="7" t="s">
        <v>41</v>
      </c>
      <c r="C2378" s="8">
        <v>29137</v>
      </c>
      <c r="D2378" s="7" t="s">
        <v>52</v>
      </c>
      <c r="E2378" s="7" t="s">
        <v>53</v>
      </c>
      <c r="F2378" s="7" t="s">
        <v>55</v>
      </c>
      <c r="G2378" s="7" t="s">
        <v>65</v>
      </c>
      <c r="H2378" s="7" t="s">
        <v>66</v>
      </c>
      <c r="I2378" s="7" t="s">
        <v>712</v>
      </c>
      <c r="J2378" s="7" t="s">
        <v>712</v>
      </c>
      <c r="K2378" s="8">
        <v>6159492</v>
      </c>
      <c r="L2378" s="8">
        <v>316112</v>
      </c>
      <c r="M2378" s="8">
        <v>19</v>
      </c>
      <c r="N2378" s="8">
        <v>1</v>
      </c>
      <c r="O2378" s="8">
        <v>9</v>
      </c>
      <c r="P2378" s="8"/>
    </row>
    <row r="2379" spans="1:16" hidden="1" x14ac:dyDescent="0.25">
      <c r="A2379" s="7" t="s">
        <v>14</v>
      </c>
      <c r="B2379" s="7" t="s">
        <v>343</v>
      </c>
      <c r="C2379" s="8">
        <v>29138</v>
      </c>
      <c r="D2379" s="7" t="s">
        <v>28</v>
      </c>
      <c r="E2379" s="7" t="s">
        <v>56</v>
      </c>
      <c r="F2379" s="7" t="s">
        <v>162</v>
      </c>
      <c r="G2379" s="7" t="s">
        <v>65</v>
      </c>
      <c r="H2379" s="7" t="s">
        <v>689</v>
      </c>
      <c r="I2379" s="7" t="s">
        <v>712</v>
      </c>
      <c r="J2379" s="7" t="s">
        <v>712</v>
      </c>
      <c r="K2379" s="8">
        <v>6258776</v>
      </c>
      <c r="L2379" s="8">
        <v>335936</v>
      </c>
      <c r="M2379" s="8">
        <v>19</v>
      </c>
      <c r="N2379" s="8">
        <v>1</v>
      </c>
      <c r="O2379" s="8">
        <v>0.2</v>
      </c>
      <c r="P2379" s="8"/>
    </row>
    <row r="2380" spans="1:16" hidden="1" x14ac:dyDescent="0.25">
      <c r="A2380" s="7" t="s">
        <v>14</v>
      </c>
      <c r="B2380" s="7" t="s">
        <v>415</v>
      </c>
      <c r="C2380" s="8">
        <v>29139</v>
      </c>
      <c r="D2380" s="7" t="s">
        <v>28</v>
      </c>
      <c r="E2380" s="7" t="s">
        <v>56</v>
      </c>
      <c r="F2380" s="7" t="s">
        <v>162</v>
      </c>
      <c r="G2380" s="7" t="s">
        <v>18</v>
      </c>
      <c r="H2380" s="7" t="s">
        <v>689</v>
      </c>
      <c r="I2380" s="7" t="s">
        <v>712</v>
      </c>
      <c r="J2380" s="7" t="s">
        <v>712</v>
      </c>
      <c r="K2380" s="8">
        <v>6260107</v>
      </c>
      <c r="L2380" s="8">
        <v>332935</v>
      </c>
      <c r="M2380" s="8">
        <v>19</v>
      </c>
      <c r="N2380" s="8">
        <v>1</v>
      </c>
      <c r="O2380" s="8">
        <v>0.4</v>
      </c>
      <c r="P2380" s="8"/>
    </row>
    <row r="2381" spans="1:16" hidden="1" x14ac:dyDescent="0.25">
      <c r="A2381" s="7" t="s">
        <v>37</v>
      </c>
      <c r="B2381" s="7" t="s">
        <v>270</v>
      </c>
      <c r="C2381" s="8">
        <v>29141</v>
      </c>
      <c r="D2381" s="7" t="s">
        <v>28</v>
      </c>
      <c r="E2381" s="7" t="s">
        <v>364</v>
      </c>
      <c r="F2381" s="7" t="s">
        <v>639</v>
      </c>
      <c r="G2381" s="7" t="s">
        <v>18</v>
      </c>
      <c r="H2381" s="7" t="s">
        <v>24</v>
      </c>
      <c r="I2381" s="7" t="s">
        <v>712</v>
      </c>
      <c r="J2381" s="7" t="s">
        <v>712</v>
      </c>
      <c r="K2381" s="8">
        <v>6288181</v>
      </c>
      <c r="L2381" s="8">
        <v>338706</v>
      </c>
      <c r="M2381" s="8">
        <v>19</v>
      </c>
      <c r="N2381" s="8">
        <v>1</v>
      </c>
      <c r="O2381" s="8">
        <v>0.8</v>
      </c>
      <c r="P2381" s="8"/>
    </row>
    <row r="2382" spans="1:16" hidden="1" x14ac:dyDescent="0.25">
      <c r="A2382" s="7" t="s">
        <v>14</v>
      </c>
      <c r="B2382" s="7" t="s">
        <v>415</v>
      </c>
      <c r="C2382" s="8">
        <v>29145</v>
      </c>
      <c r="D2382" s="7" t="s">
        <v>21</v>
      </c>
      <c r="E2382" s="7" t="s">
        <v>500</v>
      </c>
      <c r="F2382" s="7" t="s">
        <v>249</v>
      </c>
      <c r="G2382" s="7" t="s">
        <v>18</v>
      </c>
      <c r="H2382" s="7" t="s">
        <v>689</v>
      </c>
      <c r="I2382" s="7" t="s">
        <v>712</v>
      </c>
      <c r="J2382" s="7" t="s">
        <v>712</v>
      </c>
      <c r="K2382" s="8">
        <v>6362579</v>
      </c>
      <c r="L2382" s="8">
        <v>350966</v>
      </c>
      <c r="M2382" s="8">
        <v>19</v>
      </c>
      <c r="N2382" s="8">
        <v>1</v>
      </c>
      <c r="O2382" s="8">
        <v>0.91</v>
      </c>
      <c r="P2382" s="8"/>
    </row>
    <row r="2383" spans="1:16" hidden="1" x14ac:dyDescent="0.25">
      <c r="A2383" s="7" t="s">
        <v>19</v>
      </c>
      <c r="B2383" s="7" t="s">
        <v>254</v>
      </c>
      <c r="C2383" s="8">
        <v>29147</v>
      </c>
      <c r="D2383" s="7" t="s">
        <v>52</v>
      </c>
      <c r="E2383" s="7" t="s">
        <v>141</v>
      </c>
      <c r="F2383" s="7" t="s">
        <v>277</v>
      </c>
      <c r="G2383" s="7" t="s">
        <v>65</v>
      </c>
      <c r="H2383" s="7" t="s">
        <v>66</v>
      </c>
      <c r="I2383" s="7" t="s">
        <v>712</v>
      </c>
      <c r="J2383" s="7" t="s">
        <v>712</v>
      </c>
      <c r="K2383" s="8">
        <v>6221068</v>
      </c>
      <c r="L2383" s="8">
        <v>328255</v>
      </c>
      <c r="M2383" s="8">
        <v>19</v>
      </c>
      <c r="N2383" s="8">
        <v>1</v>
      </c>
      <c r="O2383" s="8">
        <v>0.03</v>
      </c>
      <c r="P2383" s="8"/>
    </row>
    <row r="2384" spans="1:16" x14ac:dyDescent="0.25">
      <c r="A2384" s="7" t="s">
        <v>14</v>
      </c>
      <c r="B2384" s="7" t="s">
        <v>713</v>
      </c>
      <c r="C2384" s="8">
        <v>29148</v>
      </c>
      <c r="D2384" s="7" t="s">
        <v>52</v>
      </c>
      <c r="E2384" s="7" t="s">
        <v>139</v>
      </c>
      <c r="F2384" s="7" t="s">
        <v>139</v>
      </c>
      <c r="G2384" s="7" t="s">
        <v>18</v>
      </c>
      <c r="H2384" s="7" t="s">
        <v>689</v>
      </c>
      <c r="I2384" s="7" t="s">
        <v>712</v>
      </c>
      <c r="J2384" s="7" t="s">
        <v>712</v>
      </c>
      <c r="K2384" s="8">
        <v>6227722</v>
      </c>
      <c r="L2384" s="8">
        <v>338563</v>
      </c>
      <c r="M2384" s="8">
        <v>19</v>
      </c>
      <c r="N2384" s="8">
        <v>1</v>
      </c>
      <c r="O2384" s="8">
        <v>4.2</v>
      </c>
      <c r="P2384" s="8"/>
    </row>
    <row r="2385" spans="1:16" hidden="1" x14ac:dyDescent="0.25">
      <c r="A2385" s="7" t="s">
        <v>19</v>
      </c>
      <c r="B2385" s="7" t="s">
        <v>254</v>
      </c>
      <c r="C2385" s="8">
        <v>29149</v>
      </c>
      <c r="D2385" s="7" t="s">
        <v>52</v>
      </c>
      <c r="E2385" s="7" t="s">
        <v>141</v>
      </c>
      <c r="F2385" s="7" t="s">
        <v>277</v>
      </c>
      <c r="G2385" s="7" t="s">
        <v>65</v>
      </c>
      <c r="H2385" s="7" t="s">
        <v>66</v>
      </c>
      <c r="I2385" s="7" t="s">
        <v>712</v>
      </c>
      <c r="J2385" s="7" t="s">
        <v>712</v>
      </c>
      <c r="K2385" s="8">
        <v>6221068</v>
      </c>
      <c r="L2385" s="8">
        <v>328255</v>
      </c>
      <c r="M2385" s="8">
        <v>19</v>
      </c>
      <c r="N2385" s="8">
        <v>1</v>
      </c>
      <c r="O2385" s="8">
        <v>0.03</v>
      </c>
      <c r="P2385" s="8"/>
    </row>
    <row r="2386" spans="1:16" hidden="1" x14ac:dyDescent="0.25">
      <c r="A2386" s="7" t="s">
        <v>19</v>
      </c>
      <c r="B2386" s="7" t="s">
        <v>254</v>
      </c>
      <c r="C2386" s="8">
        <v>29150</v>
      </c>
      <c r="D2386" s="7" t="s">
        <v>52</v>
      </c>
      <c r="E2386" s="7" t="s">
        <v>141</v>
      </c>
      <c r="F2386" s="7" t="s">
        <v>277</v>
      </c>
      <c r="G2386" s="7" t="s">
        <v>65</v>
      </c>
      <c r="H2386" s="7" t="s">
        <v>66</v>
      </c>
      <c r="I2386" s="7" t="s">
        <v>712</v>
      </c>
      <c r="J2386" s="7" t="s">
        <v>712</v>
      </c>
      <c r="K2386" s="8">
        <v>6221068</v>
      </c>
      <c r="L2386" s="8">
        <v>328255</v>
      </c>
      <c r="M2386" s="8">
        <v>19</v>
      </c>
      <c r="N2386" s="8">
        <v>1</v>
      </c>
      <c r="O2386" s="8">
        <v>0.03</v>
      </c>
      <c r="P2386" s="8"/>
    </row>
    <row r="2387" spans="1:16" hidden="1" x14ac:dyDescent="0.25">
      <c r="A2387" s="7" t="s">
        <v>19</v>
      </c>
      <c r="B2387" s="7" t="s">
        <v>254</v>
      </c>
      <c r="C2387" s="8">
        <v>29151</v>
      </c>
      <c r="D2387" s="7" t="s">
        <v>52</v>
      </c>
      <c r="E2387" s="7" t="s">
        <v>141</v>
      </c>
      <c r="F2387" s="7" t="s">
        <v>277</v>
      </c>
      <c r="G2387" s="7" t="s">
        <v>65</v>
      </c>
      <c r="H2387" s="7" t="s">
        <v>66</v>
      </c>
      <c r="I2387" s="7" t="s">
        <v>712</v>
      </c>
      <c r="J2387" s="7" t="s">
        <v>712</v>
      </c>
      <c r="K2387" s="8">
        <v>6221068</v>
      </c>
      <c r="L2387" s="8">
        <v>328255</v>
      </c>
      <c r="M2387" s="8">
        <v>19</v>
      </c>
      <c r="N2387" s="8">
        <v>1</v>
      </c>
      <c r="O2387" s="8">
        <v>0.03</v>
      </c>
      <c r="P2387" s="8"/>
    </row>
    <row r="2388" spans="1:16" hidden="1" x14ac:dyDescent="0.25">
      <c r="A2388" s="7" t="s">
        <v>19</v>
      </c>
      <c r="B2388" s="7" t="s">
        <v>651</v>
      </c>
      <c r="C2388" s="8">
        <v>29153</v>
      </c>
      <c r="D2388" s="7" t="s">
        <v>16</v>
      </c>
      <c r="E2388" s="7" t="s">
        <v>60</v>
      </c>
      <c r="F2388" s="7" t="s">
        <v>61</v>
      </c>
      <c r="G2388" s="7" t="s">
        <v>65</v>
      </c>
      <c r="H2388" s="7" t="s">
        <v>66</v>
      </c>
      <c r="I2388" s="7" t="s">
        <v>712</v>
      </c>
      <c r="J2388" s="7" t="s">
        <v>712</v>
      </c>
      <c r="K2388" s="8">
        <v>6077740</v>
      </c>
      <c r="L2388" s="8">
        <v>280603</v>
      </c>
      <c r="M2388" s="8">
        <v>19</v>
      </c>
      <c r="N2388" s="8">
        <v>2</v>
      </c>
      <c r="O2388" s="8">
        <v>92</v>
      </c>
      <c r="P2388" s="8"/>
    </row>
    <row r="2389" spans="1:16" hidden="1" x14ac:dyDescent="0.25">
      <c r="A2389" s="7" t="s">
        <v>19</v>
      </c>
      <c r="B2389" s="7" t="s">
        <v>651</v>
      </c>
      <c r="C2389" s="8">
        <v>29154</v>
      </c>
      <c r="D2389" s="7" t="s">
        <v>16</v>
      </c>
      <c r="E2389" s="7" t="s">
        <v>17</v>
      </c>
      <c r="F2389" s="7" t="s">
        <v>431</v>
      </c>
      <c r="G2389" s="7" t="s">
        <v>65</v>
      </c>
      <c r="H2389" s="7" t="s">
        <v>66</v>
      </c>
      <c r="I2389" s="7" t="s">
        <v>712</v>
      </c>
      <c r="J2389" s="7" t="s">
        <v>712</v>
      </c>
      <c r="K2389" s="8">
        <v>6063998</v>
      </c>
      <c r="L2389" s="8">
        <v>275395</v>
      </c>
      <c r="M2389" s="8">
        <v>19</v>
      </c>
      <c r="N2389" s="8">
        <v>1</v>
      </c>
      <c r="O2389" s="8">
        <v>6.43</v>
      </c>
      <c r="P2389" s="8"/>
    </row>
    <row r="2390" spans="1:16" hidden="1" x14ac:dyDescent="0.25">
      <c r="A2390" s="7" t="s">
        <v>19</v>
      </c>
      <c r="B2390" s="7" t="s">
        <v>651</v>
      </c>
      <c r="C2390" s="8">
        <v>29155</v>
      </c>
      <c r="D2390" s="7" t="s">
        <v>16</v>
      </c>
      <c r="E2390" s="7" t="s">
        <v>17</v>
      </c>
      <c r="F2390" s="7" t="s">
        <v>431</v>
      </c>
      <c r="G2390" s="7" t="s">
        <v>65</v>
      </c>
      <c r="H2390" s="7" t="s">
        <v>66</v>
      </c>
      <c r="I2390" s="7" t="s">
        <v>712</v>
      </c>
      <c r="J2390" s="7" t="s">
        <v>712</v>
      </c>
      <c r="K2390" s="8">
        <v>6064426</v>
      </c>
      <c r="L2390" s="8">
        <v>275899</v>
      </c>
      <c r="M2390" s="8">
        <v>19</v>
      </c>
      <c r="N2390" s="8">
        <v>1</v>
      </c>
      <c r="O2390" s="8">
        <v>4.5</v>
      </c>
      <c r="P2390" s="8"/>
    </row>
    <row r="2391" spans="1:16" hidden="1" x14ac:dyDescent="0.25">
      <c r="A2391" s="7" t="s">
        <v>19</v>
      </c>
      <c r="B2391" s="7" t="s">
        <v>651</v>
      </c>
      <c r="C2391" s="8">
        <v>29156</v>
      </c>
      <c r="D2391" s="7" t="s">
        <v>16</v>
      </c>
      <c r="E2391" s="7" t="s">
        <v>17</v>
      </c>
      <c r="F2391" s="7" t="s">
        <v>431</v>
      </c>
      <c r="G2391" s="7" t="s">
        <v>65</v>
      </c>
      <c r="H2391" s="7" t="s">
        <v>66</v>
      </c>
      <c r="I2391" s="7" t="s">
        <v>712</v>
      </c>
      <c r="J2391" s="7" t="s">
        <v>712</v>
      </c>
      <c r="K2391" s="8">
        <v>6063642</v>
      </c>
      <c r="L2391" s="8">
        <v>275936</v>
      </c>
      <c r="M2391" s="8">
        <v>19</v>
      </c>
      <c r="N2391" s="8">
        <v>1</v>
      </c>
      <c r="O2391" s="8">
        <v>9.7200000000000006</v>
      </c>
      <c r="P2391" s="8"/>
    </row>
    <row r="2392" spans="1:16" x14ac:dyDescent="0.25">
      <c r="A2392" s="7" t="s">
        <v>14</v>
      </c>
      <c r="B2392" s="7" t="s">
        <v>713</v>
      </c>
      <c r="C2392" s="8">
        <v>29158</v>
      </c>
      <c r="D2392" s="7" t="s">
        <v>52</v>
      </c>
      <c r="E2392" s="7" t="s">
        <v>139</v>
      </c>
      <c r="F2392" s="7" t="s">
        <v>139</v>
      </c>
      <c r="G2392" s="7" t="s">
        <v>18</v>
      </c>
      <c r="H2392" s="7" t="s">
        <v>689</v>
      </c>
      <c r="I2392" s="7" t="s">
        <v>712</v>
      </c>
      <c r="J2392" s="7" t="s">
        <v>712</v>
      </c>
      <c r="K2392" s="8">
        <v>6228295</v>
      </c>
      <c r="L2392" s="8">
        <v>338859</v>
      </c>
      <c r="M2392" s="8">
        <v>19</v>
      </c>
      <c r="N2392" s="8">
        <v>1</v>
      </c>
      <c r="O2392" s="8">
        <v>1.28</v>
      </c>
      <c r="P2392" s="8"/>
    </row>
    <row r="2393" spans="1:16" hidden="1" x14ac:dyDescent="0.25">
      <c r="A2393" s="7" t="s">
        <v>37</v>
      </c>
      <c r="B2393" s="7" t="s">
        <v>270</v>
      </c>
      <c r="C2393" s="8">
        <v>29160</v>
      </c>
      <c r="D2393" s="7" t="s">
        <v>28</v>
      </c>
      <c r="E2393" s="7" t="s">
        <v>146</v>
      </c>
      <c r="F2393" s="7" t="s">
        <v>644</v>
      </c>
      <c r="G2393" s="7" t="s">
        <v>18</v>
      </c>
      <c r="H2393" s="7" t="s">
        <v>24</v>
      </c>
      <c r="I2393" s="7" t="s">
        <v>712</v>
      </c>
      <c r="J2393" s="7" t="s">
        <v>712</v>
      </c>
      <c r="K2393" s="8">
        <v>6273173</v>
      </c>
      <c r="L2393" s="8">
        <v>330033</v>
      </c>
      <c r="M2393" s="8">
        <v>19</v>
      </c>
      <c r="N2393" s="8">
        <v>1</v>
      </c>
      <c r="O2393" s="8">
        <v>0.8</v>
      </c>
      <c r="P2393" s="8"/>
    </row>
    <row r="2394" spans="1:16" hidden="1" x14ac:dyDescent="0.25">
      <c r="A2394" s="7" t="s">
        <v>19</v>
      </c>
      <c r="B2394" s="7" t="s">
        <v>270</v>
      </c>
      <c r="C2394" s="8">
        <v>29163</v>
      </c>
      <c r="D2394" s="7" t="s">
        <v>16</v>
      </c>
      <c r="E2394" s="7" t="s">
        <v>50</v>
      </c>
      <c r="F2394" s="7" t="s">
        <v>104</v>
      </c>
      <c r="G2394" s="7" t="s">
        <v>18</v>
      </c>
      <c r="H2394" s="7" t="s">
        <v>24</v>
      </c>
      <c r="I2394" s="7" t="s">
        <v>712</v>
      </c>
      <c r="J2394" s="7" t="s">
        <v>712</v>
      </c>
      <c r="K2394" s="8">
        <v>6074880</v>
      </c>
      <c r="L2394" s="8">
        <v>262206</v>
      </c>
      <c r="M2394" s="8">
        <v>19</v>
      </c>
      <c r="N2394" s="8">
        <v>1</v>
      </c>
      <c r="O2394" s="8">
        <v>0.5</v>
      </c>
      <c r="P2394" s="8"/>
    </row>
    <row r="2395" spans="1:16" hidden="1" x14ac:dyDescent="0.25">
      <c r="A2395" s="7" t="s">
        <v>37</v>
      </c>
      <c r="B2395" s="7" t="s">
        <v>270</v>
      </c>
      <c r="C2395" s="8">
        <v>29164</v>
      </c>
      <c r="D2395" s="7" t="s">
        <v>28</v>
      </c>
      <c r="E2395" s="7" t="s">
        <v>146</v>
      </c>
      <c r="F2395" s="7" t="s">
        <v>362</v>
      </c>
      <c r="G2395" s="7" t="s">
        <v>18</v>
      </c>
      <c r="H2395" s="7" t="s">
        <v>24</v>
      </c>
      <c r="I2395" s="7" t="s">
        <v>712</v>
      </c>
      <c r="J2395" s="7" t="s">
        <v>712</v>
      </c>
      <c r="K2395" s="8">
        <v>6274691</v>
      </c>
      <c r="L2395" s="8">
        <v>330812</v>
      </c>
      <c r="M2395" s="8">
        <v>19</v>
      </c>
      <c r="N2395" s="8">
        <v>1</v>
      </c>
      <c r="O2395" s="8">
        <v>2</v>
      </c>
      <c r="P2395" s="8"/>
    </row>
    <row r="2396" spans="1:16" hidden="1" x14ac:dyDescent="0.25">
      <c r="A2396" s="7" t="s">
        <v>37</v>
      </c>
      <c r="B2396" s="7" t="s">
        <v>270</v>
      </c>
      <c r="C2396" s="8">
        <v>29167</v>
      </c>
      <c r="D2396" s="7" t="s">
        <v>28</v>
      </c>
      <c r="E2396" s="7" t="s">
        <v>146</v>
      </c>
      <c r="F2396" s="7" t="s">
        <v>146</v>
      </c>
      <c r="G2396" s="7" t="s">
        <v>18</v>
      </c>
      <c r="H2396" s="7" t="s">
        <v>24</v>
      </c>
      <c r="I2396" s="7" t="s">
        <v>712</v>
      </c>
      <c r="J2396" s="7" t="s">
        <v>712</v>
      </c>
      <c r="K2396" s="8">
        <v>6275589</v>
      </c>
      <c r="L2396" s="8">
        <v>325374</v>
      </c>
      <c r="M2396" s="8">
        <v>19</v>
      </c>
      <c r="N2396" s="8">
        <v>1</v>
      </c>
      <c r="O2396" s="8">
        <v>0.8</v>
      </c>
      <c r="P2396" s="8"/>
    </row>
    <row r="2397" spans="1:16" hidden="1" x14ac:dyDescent="0.25">
      <c r="A2397" s="7" t="s">
        <v>37</v>
      </c>
      <c r="B2397" s="7" t="s">
        <v>270</v>
      </c>
      <c r="C2397" s="8">
        <v>29168</v>
      </c>
      <c r="D2397" s="7" t="s">
        <v>28</v>
      </c>
      <c r="E2397" s="7" t="s">
        <v>364</v>
      </c>
      <c r="F2397" s="7" t="s">
        <v>639</v>
      </c>
      <c r="G2397" s="7" t="s">
        <v>18</v>
      </c>
      <c r="H2397" s="7" t="s">
        <v>24</v>
      </c>
      <c r="I2397" s="7" t="s">
        <v>712</v>
      </c>
      <c r="J2397" s="7" t="s">
        <v>712</v>
      </c>
      <c r="K2397" s="8">
        <v>6287247</v>
      </c>
      <c r="L2397" s="8">
        <v>338512</v>
      </c>
      <c r="M2397" s="8">
        <v>19</v>
      </c>
      <c r="N2397" s="8">
        <v>1</v>
      </c>
      <c r="O2397" s="8">
        <v>2</v>
      </c>
      <c r="P2397" s="8"/>
    </row>
    <row r="2398" spans="1:16" hidden="1" x14ac:dyDescent="0.25">
      <c r="A2398" s="7" t="s">
        <v>37</v>
      </c>
      <c r="B2398" s="7" t="s">
        <v>270</v>
      </c>
      <c r="C2398" s="8">
        <v>29169</v>
      </c>
      <c r="D2398" s="7" t="s">
        <v>28</v>
      </c>
      <c r="E2398" s="7" t="s">
        <v>364</v>
      </c>
      <c r="F2398" s="7" t="s">
        <v>639</v>
      </c>
      <c r="G2398" s="7" t="s">
        <v>18</v>
      </c>
      <c r="H2398" s="7" t="s">
        <v>24</v>
      </c>
      <c r="I2398" s="7" t="s">
        <v>712</v>
      </c>
      <c r="J2398" s="7" t="s">
        <v>712</v>
      </c>
      <c r="K2398" s="8">
        <v>6288809</v>
      </c>
      <c r="L2398" s="8">
        <v>337846</v>
      </c>
      <c r="M2398" s="8">
        <v>19</v>
      </c>
      <c r="N2398" s="8">
        <v>1</v>
      </c>
      <c r="O2398" s="8">
        <v>2</v>
      </c>
      <c r="P2398" s="8"/>
    </row>
    <row r="2399" spans="1:16" hidden="1" x14ac:dyDescent="0.25">
      <c r="A2399" s="7" t="s">
        <v>19</v>
      </c>
      <c r="B2399" s="7" t="s">
        <v>651</v>
      </c>
      <c r="C2399" s="8">
        <v>29178</v>
      </c>
      <c r="D2399" s="7" t="s">
        <v>52</v>
      </c>
      <c r="E2399" s="7" t="s">
        <v>139</v>
      </c>
      <c r="F2399" s="7" t="s">
        <v>652</v>
      </c>
      <c r="G2399" s="7" t="s">
        <v>65</v>
      </c>
      <c r="H2399" s="7" t="s">
        <v>66</v>
      </c>
      <c r="I2399" s="7" t="s">
        <v>712</v>
      </c>
      <c r="J2399" s="7" t="s">
        <v>712</v>
      </c>
      <c r="K2399" s="8">
        <v>6227187</v>
      </c>
      <c r="L2399" s="8">
        <v>338182</v>
      </c>
      <c r="M2399" s="8">
        <v>19</v>
      </c>
      <c r="N2399" s="8">
        <v>1</v>
      </c>
      <c r="O2399" s="8">
        <v>4.05</v>
      </c>
      <c r="P2399" s="8"/>
    </row>
    <row r="2400" spans="1:16" hidden="1" x14ac:dyDescent="0.25">
      <c r="A2400" s="7" t="s">
        <v>19</v>
      </c>
      <c r="B2400" s="7" t="s">
        <v>651</v>
      </c>
      <c r="C2400" s="8">
        <v>29180</v>
      </c>
      <c r="D2400" s="7" t="s">
        <v>52</v>
      </c>
      <c r="E2400" s="7" t="s">
        <v>141</v>
      </c>
      <c r="F2400" s="7" t="s">
        <v>655</v>
      </c>
      <c r="G2400" s="7" t="s">
        <v>65</v>
      </c>
      <c r="H2400" s="7" t="s">
        <v>66</v>
      </c>
      <c r="I2400" s="7" t="s">
        <v>712</v>
      </c>
      <c r="J2400" s="7" t="s">
        <v>712</v>
      </c>
      <c r="K2400" s="8">
        <v>6221956</v>
      </c>
      <c r="L2400" s="8">
        <v>340231</v>
      </c>
      <c r="M2400" s="8">
        <v>19</v>
      </c>
      <c r="N2400" s="8">
        <v>1</v>
      </c>
      <c r="O2400" s="8">
        <v>3</v>
      </c>
      <c r="P2400" s="8"/>
    </row>
    <row r="2401" spans="1:16" hidden="1" x14ac:dyDescent="0.25">
      <c r="A2401" s="7" t="s">
        <v>19</v>
      </c>
      <c r="B2401" s="7" t="s">
        <v>651</v>
      </c>
      <c r="C2401" s="8">
        <v>29181</v>
      </c>
      <c r="D2401" s="7" t="s">
        <v>52</v>
      </c>
      <c r="E2401" s="7" t="s">
        <v>132</v>
      </c>
      <c r="F2401" s="7" t="s">
        <v>659</v>
      </c>
      <c r="G2401" s="7" t="s">
        <v>65</v>
      </c>
      <c r="H2401" s="7" t="s">
        <v>66</v>
      </c>
      <c r="I2401" s="7" t="s">
        <v>712</v>
      </c>
      <c r="J2401" s="7" t="s">
        <v>712</v>
      </c>
      <c r="K2401" s="8">
        <v>6213691</v>
      </c>
      <c r="L2401" s="8">
        <v>342983</v>
      </c>
      <c r="M2401" s="8">
        <v>19</v>
      </c>
      <c r="N2401" s="8">
        <v>1</v>
      </c>
      <c r="O2401" s="8">
        <v>5</v>
      </c>
      <c r="P2401" s="8"/>
    </row>
    <row r="2402" spans="1:16" hidden="1" x14ac:dyDescent="0.25">
      <c r="A2402" s="7" t="s">
        <v>19</v>
      </c>
      <c r="B2402" s="7" t="s">
        <v>651</v>
      </c>
      <c r="C2402" s="8">
        <v>29182</v>
      </c>
      <c r="D2402" s="7" t="s">
        <v>52</v>
      </c>
      <c r="E2402" s="7" t="s">
        <v>141</v>
      </c>
      <c r="F2402" s="7" t="s">
        <v>165</v>
      </c>
      <c r="G2402" s="7" t="s">
        <v>65</v>
      </c>
      <c r="H2402" s="7" t="s">
        <v>66</v>
      </c>
      <c r="I2402" s="7" t="s">
        <v>712</v>
      </c>
      <c r="J2402" s="7" t="s">
        <v>712</v>
      </c>
      <c r="K2402" s="8">
        <v>6220314</v>
      </c>
      <c r="L2402" s="8">
        <v>331866</v>
      </c>
      <c r="M2402" s="8">
        <v>19</v>
      </c>
      <c r="N2402" s="8">
        <v>1</v>
      </c>
      <c r="O2402" s="8">
        <v>3</v>
      </c>
      <c r="P2402" s="8"/>
    </row>
    <row r="2403" spans="1:16" hidden="1" x14ac:dyDescent="0.25">
      <c r="A2403" s="7" t="s">
        <v>19</v>
      </c>
      <c r="B2403" s="7" t="s">
        <v>254</v>
      </c>
      <c r="C2403" s="8">
        <v>29183</v>
      </c>
      <c r="D2403" s="7" t="s">
        <v>52</v>
      </c>
      <c r="E2403" s="7" t="s">
        <v>141</v>
      </c>
      <c r="F2403" s="7" t="s">
        <v>277</v>
      </c>
      <c r="G2403" s="7" t="s">
        <v>65</v>
      </c>
      <c r="H2403" s="7" t="s">
        <v>66</v>
      </c>
      <c r="I2403" s="7" t="s">
        <v>712</v>
      </c>
      <c r="J2403" s="7" t="s">
        <v>712</v>
      </c>
      <c r="K2403" s="8">
        <v>6220607</v>
      </c>
      <c r="L2403" s="8">
        <v>328222</v>
      </c>
      <c r="M2403" s="8">
        <v>19</v>
      </c>
      <c r="N2403" s="8">
        <v>1</v>
      </c>
      <c r="O2403" s="8">
        <v>3.11</v>
      </c>
      <c r="P2403" s="8"/>
    </row>
    <row r="2404" spans="1:16" hidden="1" x14ac:dyDescent="0.25">
      <c r="A2404" s="7" t="s">
        <v>19</v>
      </c>
      <c r="B2404" s="7" t="s">
        <v>254</v>
      </c>
      <c r="C2404" s="8">
        <v>29184</v>
      </c>
      <c r="D2404" s="7" t="s">
        <v>52</v>
      </c>
      <c r="E2404" s="7" t="s">
        <v>141</v>
      </c>
      <c r="F2404" s="7" t="s">
        <v>277</v>
      </c>
      <c r="G2404" s="7" t="s">
        <v>65</v>
      </c>
      <c r="H2404" s="7" t="s">
        <v>66</v>
      </c>
      <c r="I2404" s="7" t="s">
        <v>712</v>
      </c>
      <c r="J2404" s="7" t="s">
        <v>712</v>
      </c>
      <c r="K2404" s="8">
        <v>6221059</v>
      </c>
      <c r="L2404" s="8">
        <v>328261</v>
      </c>
      <c r="M2404" s="8">
        <v>19</v>
      </c>
      <c r="N2404" s="8">
        <v>1</v>
      </c>
      <c r="O2404" s="8">
        <v>0.03</v>
      </c>
      <c r="P2404" s="8"/>
    </row>
    <row r="2405" spans="1:16" hidden="1" x14ac:dyDescent="0.25">
      <c r="A2405" s="7" t="s">
        <v>19</v>
      </c>
      <c r="B2405" s="7" t="s">
        <v>254</v>
      </c>
      <c r="C2405" s="8">
        <v>29186</v>
      </c>
      <c r="D2405" s="7" t="s">
        <v>52</v>
      </c>
      <c r="E2405" s="7" t="s">
        <v>141</v>
      </c>
      <c r="F2405" s="7" t="s">
        <v>277</v>
      </c>
      <c r="G2405" s="7" t="s">
        <v>65</v>
      </c>
      <c r="H2405" s="7" t="s">
        <v>66</v>
      </c>
      <c r="I2405" s="7" t="s">
        <v>712</v>
      </c>
      <c r="J2405" s="7" t="s">
        <v>712</v>
      </c>
      <c r="K2405" s="8">
        <v>6221059</v>
      </c>
      <c r="L2405" s="8">
        <v>328261</v>
      </c>
      <c r="M2405" s="8">
        <v>19</v>
      </c>
      <c r="N2405" s="8">
        <v>1</v>
      </c>
      <c r="O2405" s="8">
        <v>0.03</v>
      </c>
      <c r="P2405" s="8"/>
    </row>
    <row r="2406" spans="1:16" hidden="1" x14ac:dyDescent="0.25">
      <c r="A2406" s="7" t="s">
        <v>19</v>
      </c>
      <c r="B2406" s="7" t="s">
        <v>254</v>
      </c>
      <c r="C2406" s="8">
        <v>29187</v>
      </c>
      <c r="D2406" s="7" t="s">
        <v>52</v>
      </c>
      <c r="E2406" s="7" t="s">
        <v>141</v>
      </c>
      <c r="F2406" s="7" t="s">
        <v>277</v>
      </c>
      <c r="G2406" s="7" t="s">
        <v>65</v>
      </c>
      <c r="H2406" s="7" t="s">
        <v>66</v>
      </c>
      <c r="I2406" s="7" t="s">
        <v>712</v>
      </c>
      <c r="J2406" s="7" t="s">
        <v>712</v>
      </c>
      <c r="K2406" s="8">
        <v>6220699</v>
      </c>
      <c r="L2406" s="8">
        <v>328765</v>
      </c>
      <c r="M2406" s="8">
        <v>19</v>
      </c>
      <c r="N2406" s="8">
        <v>1</v>
      </c>
      <c r="O2406" s="8">
        <v>4.78</v>
      </c>
      <c r="P2406" s="8"/>
    </row>
    <row r="2407" spans="1:16" hidden="1" x14ac:dyDescent="0.25">
      <c r="A2407" s="7" t="s">
        <v>19</v>
      </c>
      <c r="B2407" s="7" t="s">
        <v>651</v>
      </c>
      <c r="C2407" s="8">
        <v>29188</v>
      </c>
      <c r="D2407" s="7" t="s">
        <v>34</v>
      </c>
      <c r="E2407" s="7" t="s">
        <v>35</v>
      </c>
      <c r="F2407" s="7" t="s">
        <v>35</v>
      </c>
      <c r="G2407" s="7" t="s">
        <v>65</v>
      </c>
      <c r="H2407" s="7" t="s">
        <v>66</v>
      </c>
      <c r="I2407" s="7" t="s">
        <v>712</v>
      </c>
      <c r="J2407" s="7" t="s">
        <v>712</v>
      </c>
      <c r="K2407" s="8">
        <v>5873448</v>
      </c>
      <c r="L2407" s="8">
        <v>733078</v>
      </c>
      <c r="M2407" s="8">
        <v>18</v>
      </c>
      <c r="N2407" s="8">
        <v>1</v>
      </c>
      <c r="O2407" s="8">
        <v>18</v>
      </c>
      <c r="P2407" s="8"/>
    </row>
    <row r="2408" spans="1:16" hidden="1" x14ac:dyDescent="0.25">
      <c r="A2408" s="7" t="s">
        <v>19</v>
      </c>
      <c r="B2408" s="7" t="s">
        <v>651</v>
      </c>
      <c r="C2408" s="8">
        <v>29189</v>
      </c>
      <c r="D2408" s="7" t="s">
        <v>34</v>
      </c>
      <c r="E2408" s="7" t="s">
        <v>95</v>
      </c>
      <c r="F2408" s="7" t="s">
        <v>95</v>
      </c>
      <c r="G2408" s="7" t="s">
        <v>65</v>
      </c>
      <c r="H2408" s="7" t="s">
        <v>66</v>
      </c>
      <c r="I2408" s="7" t="s">
        <v>712</v>
      </c>
      <c r="J2408" s="7" t="s">
        <v>712</v>
      </c>
      <c r="K2408" s="8">
        <v>5919985</v>
      </c>
      <c r="L2408" s="8">
        <v>755310</v>
      </c>
      <c r="M2408" s="8">
        <v>18</v>
      </c>
      <c r="N2408" s="8">
        <v>1</v>
      </c>
      <c r="O2408" s="8">
        <v>35</v>
      </c>
      <c r="P2408" s="8"/>
    </row>
    <row r="2409" spans="1:16" hidden="1" x14ac:dyDescent="0.25">
      <c r="A2409" s="7" t="s">
        <v>19</v>
      </c>
      <c r="B2409" s="7" t="s">
        <v>254</v>
      </c>
      <c r="C2409" s="8">
        <v>29190</v>
      </c>
      <c r="D2409" s="7" t="s">
        <v>52</v>
      </c>
      <c r="E2409" s="7" t="s">
        <v>141</v>
      </c>
      <c r="F2409" s="7" t="s">
        <v>277</v>
      </c>
      <c r="G2409" s="7" t="s">
        <v>65</v>
      </c>
      <c r="H2409" s="7" t="s">
        <v>66</v>
      </c>
      <c r="I2409" s="7" t="s">
        <v>712</v>
      </c>
      <c r="J2409" s="7" t="s">
        <v>712</v>
      </c>
      <c r="K2409" s="8">
        <v>6221065</v>
      </c>
      <c r="L2409" s="8">
        <v>329397</v>
      </c>
      <c r="M2409" s="8">
        <v>19</v>
      </c>
      <c r="N2409" s="8">
        <v>1</v>
      </c>
      <c r="O2409" s="8">
        <v>3.69</v>
      </c>
      <c r="P2409" s="8"/>
    </row>
    <row r="2410" spans="1:16" hidden="1" x14ac:dyDescent="0.25">
      <c r="A2410" s="7" t="s">
        <v>19</v>
      </c>
      <c r="B2410" s="7" t="s">
        <v>254</v>
      </c>
      <c r="C2410" s="8">
        <v>29191</v>
      </c>
      <c r="D2410" s="7" t="s">
        <v>52</v>
      </c>
      <c r="E2410" s="7" t="s">
        <v>141</v>
      </c>
      <c r="F2410" s="7" t="s">
        <v>277</v>
      </c>
      <c r="G2410" s="7" t="s">
        <v>65</v>
      </c>
      <c r="H2410" s="7" t="s">
        <v>66</v>
      </c>
      <c r="I2410" s="7" t="s">
        <v>712</v>
      </c>
      <c r="J2410" s="7" t="s">
        <v>712</v>
      </c>
      <c r="K2410" s="8">
        <v>6221065</v>
      </c>
      <c r="L2410" s="8">
        <v>329397</v>
      </c>
      <c r="M2410" s="8">
        <v>19</v>
      </c>
      <c r="N2410" s="8">
        <v>1</v>
      </c>
      <c r="O2410" s="8">
        <v>1.53</v>
      </c>
      <c r="P2410" s="8"/>
    </row>
    <row r="2411" spans="1:16" hidden="1" x14ac:dyDescent="0.25">
      <c r="A2411" s="7" t="s">
        <v>19</v>
      </c>
      <c r="B2411" s="7" t="s">
        <v>651</v>
      </c>
      <c r="C2411" s="8">
        <v>29192</v>
      </c>
      <c r="D2411" s="7" t="s">
        <v>52</v>
      </c>
      <c r="E2411" s="7" t="s">
        <v>132</v>
      </c>
      <c r="F2411" s="7" t="s">
        <v>659</v>
      </c>
      <c r="G2411" s="7" t="s">
        <v>65</v>
      </c>
      <c r="H2411" s="7" t="s">
        <v>66</v>
      </c>
      <c r="I2411" s="7" t="s">
        <v>712</v>
      </c>
      <c r="J2411" s="7" t="s">
        <v>712</v>
      </c>
      <c r="K2411" s="8">
        <v>6213691</v>
      </c>
      <c r="L2411" s="8">
        <v>342983</v>
      </c>
      <c r="M2411" s="8">
        <v>19</v>
      </c>
      <c r="N2411" s="8">
        <v>1</v>
      </c>
      <c r="O2411" s="8">
        <v>7</v>
      </c>
      <c r="P2411" s="8"/>
    </row>
    <row r="2412" spans="1:16" hidden="1" x14ac:dyDescent="0.25">
      <c r="A2412" s="7" t="s">
        <v>19</v>
      </c>
      <c r="B2412" s="7" t="s">
        <v>415</v>
      </c>
      <c r="C2412" s="8">
        <v>29195</v>
      </c>
      <c r="D2412" s="7" t="s">
        <v>52</v>
      </c>
      <c r="E2412" s="7" t="s">
        <v>139</v>
      </c>
      <c r="F2412" s="7" t="s">
        <v>140</v>
      </c>
      <c r="G2412" s="7" t="s">
        <v>65</v>
      </c>
      <c r="H2412" s="7" t="s">
        <v>24</v>
      </c>
      <c r="I2412" s="7" t="s">
        <v>712</v>
      </c>
      <c r="J2412" s="7" t="s">
        <v>712</v>
      </c>
      <c r="K2412" s="8">
        <v>6224015</v>
      </c>
      <c r="L2412" s="8">
        <v>342653</v>
      </c>
      <c r="M2412" s="8">
        <v>19</v>
      </c>
      <c r="N2412" s="8">
        <v>1</v>
      </c>
      <c r="O2412" s="8">
        <v>3</v>
      </c>
      <c r="P2412" s="8"/>
    </row>
    <row r="2413" spans="1:16" hidden="1" x14ac:dyDescent="0.25">
      <c r="A2413" s="7" t="s">
        <v>19</v>
      </c>
      <c r="B2413" s="7" t="s">
        <v>415</v>
      </c>
      <c r="C2413" s="8">
        <v>29196</v>
      </c>
      <c r="D2413" s="7" t="s">
        <v>52</v>
      </c>
      <c r="E2413" s="7" t="s">
        <v>139</v>
      </c>
      <c r="F2413" s="7" t="s">
        <v>140</v>
      </c>
      <c r="G2413" s="7" t="s">
        <v>65</v>
      </c>
      <c r="H2413" s="7" t="s">
        <v>24</v>
      </c>
      <c r="I2413" s="7" t="s">
        <v>712</v>
      </c>
      <c r="J2413" s="7" t="s">
        <v>712</v>
      </c>
      <c r="K2413" s="8">
        <v>6224015</v>
      </c>
      <c r="L2413" s="8">
        <v>342653</v>
      </c>
      <c r="M2413" s="8">
        <v>19</v>
      </c>
      <c r="N2413" s="8">
        <v>2</v>
      </c>
      <c r="O2413" s="8">
        <v>2.76</v>
      </c>
      <c r="P2413" s="8"/>
    </row>
    <row r="2414" spans="1:16" hidden="1" x14ac:dyDescent="0.25">
      <c r="A2414" s="7" t="s">
        <v>19</v>
      </c>
      <c r="B2414" s="7" t="s">
        <v>415</v>
      </c>
      <c r="C2414" s="8">
        <v>29197</v>
      </c>
      <c r="D2414" s="7" t="s">
        <v>52</v>
      </c>
      <c r="E2414" s="7" t="s">
        <v>141</v>
      </c>
      <c r="F2414" s="7" t="s">
        <v>552</v>
      </c>
      <c r="G2414" s="7" t="s">
        <v>65</v>
      </c>
      <c r="H2414" s="7" t="s">
        <v>24</v>
      </c>
      <c r="I2414" s="7" t="s">
        <v>712</v>
      </c>
      <c r="J2414" s="7" t="s">
        <v>712</v>
      </c>
      <c r="K2414" s="8">
        <v>6217128</v>
      </c>
      <c r="L2414" s="8">
        <v>331488</v>
      </c>
      <c r="M2414" s="8">
        <v>19</v>
      </c>
      <c r="N2414" s="8">
        <v>1</v>
      </c>
      <c r="O2414" s="8">
        <v>1</v>
      </c>
      <c r="P2414" s="8"/>
    </row>
    <row r="2415" spans="1:16" hidden="1" x14ac:dyDescent="0.25">
      <c r="A2415" s="7" t="s">
        <v>19</v>
      </c>
      <c r="B2415" s="7" t="s">
        <v>415</v>
      </c>
      <c r="C2415" s="8">
        <v>29200</v>
      </c>
      <c r="D2415" s="7" t="s">
        <v>52</v>
      </c>
      <c r="E2415" s="7" t="s">
        <v>139</v>
      </c>
      <c r="F2415" s="7" t="s">
        <v>139</v>
      </c>
      <c r="G2415" s="7" t="s">
        <v>65</v>
      </c>
      <c r="H2415" s="7" t="s">
        <v>24</v>
      </c>
      <c r="I2415" s="7" t="s">
        <v>712</v>
      </c>
      <c r="J2415" s="7" t="s">
        <v>712</v>
      </c>
      <c r="K2415" s="8">
        <v>6227806</v>
      </c>
      <c r="L2415" s="8">
        <v>341137</v>
      </c>
      <c r="M2415" s="8">
        <v>19</v>
      </c>
      <c r="N2415" s="8">
        <v>2</v>
      </c>
      <c r="O2415" s="8">
        <v>3.95</v>
      </c>
      <c r="P2415" s="8"/>
    </row>
    <row r="2416" spans="1:16" hidden="1" x14ac:dyDescent="0.25">
      <c r="A2416" s="7" t="s">
        <v>19</v>
      </c>
      <c r="B2416" s="7" t="s">
        <v>415</v>
      </c>
      <c r="C2416" s="8">
        <v>29201</v>
      </c>
      <c r="D2416" s="7" t="s">
        <v>52</v>
      </c>
      <c r="E2416" s="7" t="s">
        <v>141</v>
      </c>
      <c r="F2416" s="7" t="s">
        <v>552</v>
      </c>
      <c r="G2416" s="7" t="s">
        <v>65</v>
      </c>
      <c r="H2416" s="7" t="s">
        <v>24</v>
      </c>
      <c r="I2416" s="7" t="s">
        <v>712</v>
      </c>
      <c r="J2416" s="7" t="s">
        <v>712</v>
      </c>
      <c r="K2416" s="8">
        <v>6217335</v>
      </c>
      <c r="L2416" s="8">
        <v>331589</v>
      </c>
      <c r="M2416" s="8">
        <v>19</v>
      </c>
      <c r="N2416" s="8">
        <v>1</v>
      </c>
      <c r="O2416" s="8">
        <v>6.02</v>
      </c>
      <c r="P2416" s="8"/>
    </row>
    <row r="2417" spans="1:16" hidden="1" x14ac:dyDescent="0.25">
      <c r="A2417" s="7" t="s">
        <v>19</v>
      </c>
      <c r="B2417" s="7" t="s">
        <v>415</v>
      </c>
      <c r="C2417" s="8">
        <v>29202</v>
      </c>
      <c r="D2417" s="7" t="s">
        <v>52</v>
      </c>
      <c r="E2417" s="7" t="s">
        <v>141</v>
      </c>
      <c r="F2417" s="7" t="s">
        <v>552</v>
      </c>
      <c r="G2417" s="7" t="s">
        <v>65</v>
      </c>
      <c r="H2417" s="7" t="s">
        <v>24</v>
      </c>
      <c r="I2417" s="7" t="s">
        <v>712</v>
      </c>
      <c r="J2417" s="7" t="s">
        <v>712</v>
      </c>
      <c r="K2417" s="8">
        <v>6217335</v>
      </c>
      <c r="L2417" s="8">
        <v>331589</v>
      </c>
      <c r="M2417" s="8">
        <v>19</v>
      </c>
      <c r="N2417" s="8">
        <v>2</v>
      </c>
      <c r="O2417" s="8">
        <v>4.57</v>
      </c>
      <c r="P2417" s="8"/>
    </row>
    <row r="2418" spans="1:16" hidden="1" x14ac:dyDescent="0.25">
      <c r="A2418" s="7" t="s">
        <v>19</v>
      </c>
      <c r="B2418" s="7" t="s">
        <v>270</v>
      </c>
      <c r="C2418" s="8">
        <v>29203</v>
      </c>
      <c r="D2418" s="7" t="s">
        <v>16</v>
      </c>
      <c r="E2418" s="7" t="s">
        <v>125</v>
      </c>
      <c r="F2418" s="7" t="s">
        <v>125</v>
      </c>
      <c r="G2418" s="7" t="s">
        <v>18</v>
      </c>
      <c r="H2418" s="7" t="s">
        <v>48</v>
      </c>
      <c r="I2418" s="7" t="s">
        <v>712</v>
      </c>
      <c r="J2418" s="7" t="s">
        <v>712</v>
      </c>
      <c r="K2418" s="8">
        <v>6063207</v>
      </c>
      <c r="L2418" s="8">
        <v>257131</v>
      </c>
      <c r="M2418" s="8">
        <v>19</v>
      </c>
      <c r="N2418" s="8">
        <v>1</v>
      </c>
      <c r="O2418" s="8">
        <v>2.4</v>
      </c>
      <c r="P2418" s="8"/>
    </row>
    <row r="2419" spans="1:16" hidden="1" x14ac:dyDescent="0.25">
      <c r="A2419" s="7" t="s">
        <v>14</v>
      </c>
      <c r="B2419" s="7" t="s">
        <v>415</v>
      </c>
      <c r="C2419" s="8">
        <v>29204</v>
      </c>
      <c r="D2419" s="7" t="s">
        <v>28</v>
      </c>
      <c r="E2419" s="7" t="s">
        <v>56</v>
      </c>
      <c r="F2419" s="7" t="s">
        <v>162</v>
      </c>
      <c r="G2419" s="7" t="s">
        <v>18</v>
      </c>
      <c r="H2419" s="7" t="s">
        <v>689</v>
      </c>
      <c r="I2419" s="7" t="s">
        <v>712</v>
      </c>
      <c r="J2419" s="7" t="s">
        <v>712</v>
      </c>
      <c r="K2419" s="8">
        <v>6259004</v>
      </c>
      <c r="L2419" s="8">
        <v>332174</v>
      </c>
      <c r="M2419" s="8">
        <v>19</v>
      </c>
      <c r="N2419" s="8">
        <v>1</v>
      </c>
      <c r="O2419" s="8">
        <v>0.08</v>
      </c>
      <c r="P2419" s="8"/>
    </row>
    <row r="2420" spans="1:16" hidden="1" x14ac:dyDescent="0.25">
      <c r="A2420" s="7" t="s">
        <v>14</v>
      </c>
      <c r="B2420" s="7" t="s">
        <v>415</v>
      </c>
      <c r="C2420" s="8">
        <v>29205</v>
      </c>
      <c r="D2420" s="7" t="s">
        <v>28</v>
      </c>
      <c r="E2420" s="7" t="s">
        <v>56</v>
      </c>
      <c r="F2420" s="7" t="s">
        <v>162</v>
      </c>
      <c r="G2420" s="7" t="s">
        <v>18</v>
      </c>
      <c r="H2420" s="7" t="s">
        <v>689</v>
      </c>
      <c r="I2420" s="7" t="s">
        <v>712</v>
      </c>
      <c r="J2420" s="7" t="s">
        <v>712</v>
      </c>
      <c r="K2420" s="8">
        <v>6258970</v>
      </c>
      <c r="L2420" s="8">
        <v>332285</v>
      </c>
      <c r="M2420" s="8">
        <v>19</v>
      </c>
      <c r="N2420" s="8">
        <v>1</v>
      </c>
      <c r="O2420" s="8">
        <v>0.08</v>
      </c>
      <c r="P2420" s="8"/>
    </row>
    <row r="2421" spans="1:16" hidden="1" x14ac:dyDescent="0.25">
      <c r="A2421" s="7" t="s">
        <v>19</v>
      </c>
      <c r="B2421" s="7" t="s">
        <v>651</v>
      </c>
      <c r="C2421" s="8">
        <v>29209</v>
      </c>
      <c r="D2421" s="7" t="s">
        <v>16</v>
      </c>
      <c r="E2421" s="7" t="s">
        <v>17</v>
      </c>
      <c r="F2421" s="7" t="s">
        <v>431</v>
      </c>
      <c r="G2421" s="7" t="s">
        <v>65</v>
      </c>
      <c r="H2421" s="7" t="s">
        <v>66</v>
      </c>
      <c r="I2421" s="7" t="s">
        <v>712</v>
      </c>
      <c r="J2421" s="7" t="s">
        <v>712</v>
      </c>
      <c r="K2421" s="8">
        <v>6064939</v>
      </c>
      <c r="L2421" s="8">
        <v>276537</v>
      </c>
      <c r="M2421" s="8">
        <v>19</v>
      </c>
      <c r="N2421" s="8">
        <v>1</v>
      </c>
      <c r="O2421" s="8">
        <v>7</v>
      </c>
      <c r="P2421" s="8"/>
    </row>
    <row r="2422" spans="1:16" hidden="1" x14ac:dyDescent="0.25">
      <c r="A2422" s="7" t="s">
        <v>19</v>
      </c>
      <c r="B2422" s="7" t="s">
        <v>651</v>
      </c>
      <c r="C2422" s="8">
        <v>29211</v>
      </c>
      <c r="D2422" s="7" t="s">
        <v>16</v>
      </c>
      <c r="E2422" s="7" t="s">
        <v>17</v>
      </c>
      <c r="F2422" s="7" t="s">
        <v>658</v>
      </c>
      <c r="G2422" s="7" t="s">
        <v>65</v>
      </c>
      <c r="H2422" s="7" t="s">
        <v>66</v>
      </c>
      <c r="I2422" s="7" t="s">
        <v>712</v>
      </c>
      <c r="J2422" s="7" t="s">
        <v>712</v>
      </c>
      <c r="K2422" s="8">
        <v>6062491</v>
      </c>
      <c r="L2422" s="8">
        <v>277826</v>
      </c>
      <c r="M2422" s="8">
        <v>19</v>
      </c>
      <c r="N2422" s="8">
        <v>3</v>
      </c>
      <c r="O2422" s="8">
        <v>8</v>
      </c>
      <c r="P2422" s="8"/>
    </row>
    <row r="2423" spans="1:16" hidden="1" x14ac:dyDescent="0.25">
      <c r="A2423" s="7" t="s">
        <v>19</v>
      </c>
      <c r="B2423" s="7" t="s">
        <v>651</v>
      </c>
      <c r="C2423" s="8">
        <v>29212</v>
      </c>
      <c r="D2423" s="7" t="s">
        <v>16</v>
      </c>
      <c r="E2423" s="7" t="s">
        <v>17</v>
      </c>
      <c r="F2423" s="7" t="s">
        <v>658</v>
      </c>
      <c r="G2423" s="7" t="s">
        <v>65</v>
      </c>
      <c r="H2423" s="7" t="s">
        <v>66</v>
      </c>
      <c r="I2423" s="7" t="s">
        <v>712</v>
      </c>
      <c r="J2423" s="7" t="s">
        <v>712</v>
      </c>
      <c r="K2423" s="8">
        <v>6062826</v>
      </c>
      <c r="L2423" s="8">
        <v>278498</v>
      </c>
      <c r="M2423" s="8">
        <v>19</v>
      </c>
      <c r="N2423" s="8">
        <v>1</v>
      </c>
      <c r="O2423" s="8">
        <v>10.68</v>
      </c>
      <c r="P2423" s="8"/>
    </row>
    <row r="2424" spans="1:16" hidden="1" x14ac:dyDescent="0.25">
      <c r="A2424" s="7" t="s">
        <v>37</v>
      </c>
      <c r="B2424" s="7" t="s">
        <v>343</v>
      </c>
      <c r="C2424" s="8">
        <v>29213</v>
      </c>
      <c r="D2424" s="7" t="s">
        <v>16</v>
      </c>
      <c r="E2424" s="7" t="s">
        <v>17</v>
      </c>
      <c r="F2424" s="7" t="s">
        <v>17</v>
      </c>
      <c r="G2424" s="7" t="s">
        <v>65</v>
      </c>
      <c r="H2424" s="7" t="s">
        <v>66</v>
      </c>
      <c r="I2424" s="7" t="s">
        <v>712</v>
      </c>
      <c r="J2424" s="7" t="s">
        <v>712</v>
      </c>
      <c r="K2424" s="8">
        <v>6069844</v>
      </c>
      <c r="L2424" s="8">
        <v>274148</v>
      </c>
      <c r="M2424" s="8">
        <v>19</v>
      </c>
      <c r="N2424" s="8">
        <v>1</v>
      </c>
      <c r="O2424" s="8">
        <v>5</v>
      </c>
      <c r="P2424" s="8"/>
    </row>
    <row r="2425" spans="1:16" hidden="1" x14ac:dyDescent="0.25">
      <c r="A2425" s="7" t="s">
        <v>37</v>
      </c>
      <c r="B2425" s="7" t="s">
        <v>343</v>
      </c>
      <c r="C2425" s="8">
        <v>29214</v>
      </c>
      <c r="D2425" s="7" t="s">
        <v>16</v>
      </c>
      <c r="E2425" s="7" t="s">
        <v>50</v>
      </c>
      <c r="F2425" s="7" t="s">
        <v>396</v>
      </c>
      <c r="G2425" s="7" t="s">
        <v>65</v>
      </c>
      <c r="H2425" s="7" t="s">
        <v>66</v>
      </c>
      <c r="I2425" s="7" t="s">
        <v>712</v>
      </c>
      <c r="J2425" s="7" t="s">
        <v>712</v>
      </c>
      <c r="K2425" s="8">
        <v>6073422</v>
      </c>
      <c r="L2425" s="8">
        <v>267012</v>
      </c>
      <c r="M2425" s="8">
        <v>19</v>
      </c>
      <c r="N2425" s="8">
        <v>1</v>
      </c>
      <c r="O2425" s="8">
        <v>8</v>
      </c>
      <c r="P2425" s="8"/>
    </row>
    <row r="2426" spans="1:16" hidden="1" x14ac:dyDescent="0.25">
      <c r="A2426" s="7" t="s">
        <v>37</v>
      </c>
      <c r="B2426" s="7" t="s">
        <v>343</v>
      </c>
      <c r="C2426" s="8">
        <v>29215</v>
      </c>
      <c r="D2426" s="7" t="s">
        <v>16</v>
      </c>
      <c r="E2426" s="7" t="s">
        <v>367</v>
      </c>
      <c r="F2426" s="7" t="s">
        <v>368</v>
      </c>
      <c r="G2426" s="7" t="s">
        <v>65</v>
      </c>
      <c r="H2426" s="7" t="s">
        <v>66</v>
      </c>
      <c r="I2426" s="7" t="s">
        <v>712</v>
      </c>
      <c r="J2426" s="7" t="s">
        <v>712</v>
      </c>
      <c r="K2426" s="8">
        <v>6056335</v>
      </c>
      <c r="L2426" s="8">
        <v>243917</v>
      </c>
      <c r="M2426" s="8">
        <v>19</v>
      </c>
      <c r="N2426" s="8">
        <v>1</v>
      </c>
      <c r="O2426" s="8">
        <v>25</v>
      </c>
      <c r="P2426" s="8"/>
    </row>
    <row r="2427" spans="1:16" hidden="1" x14ac:dyDescent="0.25">
      <c r="A2427" s="7" t="s">
        <v>19</v>
      </c>
      <c r="B2427" s="7" t="s">
        <v>415</v>
      </c>
      <c r="C2427" s="8">
        <v>29223</v>
      </c>
      <c r="D2427" s="7" t="s">
        <v>52</v>
      </c>
      <c r="E2427" s="7" t="s">
        <v>53</v>
      </c>
      <c r="F2427" s="7" t="s">
        <v>53</v>
      </c>
      <c r="G2427" s="7" t="s">
        <v>65</v>
      </c>
      <c r="H2427" s="7" t="s">
        <v>24</v>
      </c>
      <c r="I2427" s="7" t="s">
        <v>712</v>
      </c>
      <c r="J2427" s="7" t="s">
        <v>712</v>
      </c>
      <c r="K2427" s="8">
        <v>6152784</v>
      </c>
      <c r="L2427" s="8">
        <v>313864</v>
      </c>
      <c r="M2427" s="8">
        <v>19</v>
      </c>
      <c r="N2427" s="8">
        <v>1</v>
      </c>
      <c r="O2427" s="8">
        <v>3.5</v>
      </c>
      <c r="P2427" s="8"/>
    </row>
    <row r="2428" spans="1:16" hidden="1" x14ac:dyDescent="0.25">
      <c r="A2428" s="7" t="s">
        <v>37</v>
      </c>
      <c r="B2428" s="7" t="s">
        <v>343</v>
      </c>
      <c r="C2428" s="8">
        <v>29224</v>
      </c>
      <c r="D2428" s="7" t="s">
        <v>16</v>
      </c>
      <c r="E2428" s="7" t="s">
        <v>17</v>
      </c>
      <c r="F2428" s="7" t="s">
        <v>17</v>
      </c>
      <c r="G2428" s="7" t="s">
        <v>65</v>
      </c>
      <c r="H2428" s="7" t="s">
        <v>66</v>
      </c>
      <c r="I2428" s="7" t="s">
        <v>712</v>
      </c>
      <c r="J2428" s="7" t="s">
        <v>712</v>
      </c>
      <c r="K2428" s="8">
        <v>6068743</v>
      </c>
      <c r="L2428" s="8">
        <v>277144</v>
      </c>
      <c r="M2428" s="8">
        <v>19</v>
      </c>
      <c r="N2428" s="8">
        <v>1</v>
      </c>
      <c r="O2428" s="8">
        <v>18.600000000000001</v>
      </c>
      <c r="P2428" s="8"/>
    </row>
    <row r="2429" spans="1:16" hidden="1" x14ac:dyDescent="0.25">
      <c r="A2429" s="7" t="s">
        <v>19</v>
      </c>
      <c r="B2429" s="7" t="s">
        <v>415</v>
      </c>
      <c r="C2429" s="8">
        <v>29226</v>
      </c>
      <c r="D2429" s="7" t="s">
        <v>16</v>
      </c>
      <c r="E2429" s="7" t="s">
        <v>264</v>
      </c>
      <c r="F2429" s="7" t="s">
        <v>46</v>
      </c>
      <c r="G2429" s="7" t="s">
        <v>65</v>
      </c>
      <c r="H2429" s="7" t="s">
        <v>24</v>
      </c>
      <c r="I2429" s="7" t="s">
        <v>712</v>
      </c>
      <c r="J2429" s="7" t="s">
        <v>712</v>
      </c>
      <c r="K2429" s="8">
        <v>6119800</v>
      </c>
      <c r="L2429" s="8">
        <v>291679</v>
      </c>
      <c r="M2429" s="8">
        <v>19</v>
      </c>
      <c r="N2429" s="8">
        <v>1</v>
      </c>
      <c r="O2429" s="8">
        <v>3.1</v>
      </c>
      <c r="P2429" s="8"/>
    </row>
    <row r="2430" spans="1:16" hidden="1" x14ac:dyDescent="0.25">
      <c r="A2430" s="7" t="s">
        <v>19</v>
      </c>
      <c r="B2430" s="7" t="s">
        <v>415</v>
      </c>
      <c r="C2430" s="8">
        <v>29227</v>
      </c>
      <c r="D2430" s="7" t="s">
        <v>52</v>
      </c>
      <c r="E2430" s="7" t="s">
        <v>53</v>
      </c>
      <c r="F2430" s="7" t="s">
        <v>53</v>
      </c>
      <c r="G2430" s="7" t="s">
        <v>65</v>
      </c>
      <c r="H2430" s="7" t="s">
        <v>24</v>
      </c>
      <c r="I2430" s="7" t="s">
        <v>712</v>
      </c>
      <c r="J2430" s="7" t="s">
        <v>712</v>
      </c>
      <c r="K2430" s="8">
        <v>6152784</v>
      </c>
      <c r="L2430" s="8">
        <v>313864</v>
      </c>
      <c r="M2430" s="8">
        <v>19</v>
      </c>
      <c r="N2430" s="8">
        <v>1</v>
      </c>
      <c r="O2430" s="8">
        <v>4.5</v>
      </c>
      <c r="P2430" s="8"/>
    </row>
    <row r="2431" spans="1:16" hidden="1" x14ac:dyDescent="0.25">
      <c r="A2431" s="7" t="s">
        <v>14</v>
      </c>
      <c r="B2431" s="7" t="s">
        <v>415</v>
      </c>
      <c r="C2431" s="8">
        <v>29229</v>
      </c>
      <c r="D2431" s="7" t="s">
        <v>21</v>
      </c>
      <c r="E2431" s="7" t="s">
        <v>500</v>
      </c>
      <c r="F2431" s="7" t="s">
        <v>249</v>
      </c>
      <c r="G2431" s="7" t="s">
        <v>18</v>
      </c>
      <c r="H2431" s="7" t="s">
        <v>689</v>
      </c>
      <c r="I2431" s="7" t="s">
        <v>712</v>
      </c>
      <c r="J2431" s="7" t="s">
        <v>712</v>
      </c>
      <c r="K2431" s="8">
        <v>6362625</v>
      </c>
      <c r="L2431" s="8">
        <v>350902</v>
      </c>
      <c r="M2431" s="8">
        <v>19</v>
      </c>
      <c r="N2431" s="8">
        <v>1</v>
      </c>
      <c r="O2431" s="8">
        <v>0.92</v>
      </c>
      <c r="P2431" s="8"/>
    </row>
    <row r="2432" spans="1:16" hidden="1" x14ac:dyDescent="0.25">
      <c r="A2432" s="7" t="s">
        <v>37</v>
      </c>
      <c r="B2432" s="7" t="s">
        <v>343</v>
      </c>
      <c r="C2432" s="8">
        <v>29231</v>
      </c>
      <c r="D2432" s="7" t="s">
        <v>16</v>
      </c>
      <c r="E2432" s="7" t="s">
        <v>17</v>
      </c>
      <c r="F2432" s="7" t="s">
        <v>17</v>
      </c>
      <c r="G2432" s="7" t="s">
        <v>65</v>
      </c>
      <c r="H2432" s="7" t="s">
        <v>66</v>
      </c>
      <c r="I2432" s="7" t="s">
        <v>712</v>
      </c>
      <c r="J2432" s="7" t="s">
        <v>712</v>
      </c>
      <c r="K2432" s="8">
        <v>6068743</v>
      </c>
      <c r="L2432" s="8">
        <v>277144</v>
      </c>
      <c r="M2432" s="8">
        <v>19</v>
      </c>
      <c r="N2432" s="8">
        <v>1</v>
      </c>
      <c r="O2432" s="8">
        <v>12</v>
      </c>
      <c r="P2432" s="8"/>
    </row>
    <row r="2433" spans="1:16" hidden="1" x14ac:dyDescent="0.25">
      <c r="A2433" s="7" t="s">
        <v>14</v>
      </c>
      <c r="B2433" s="7" t="s">
        <v>415</v>
      </c>
      <c r="C2433" s="8">
        <v>29235</v>
      </c>
      <c r="D2433" s="7" t="s">
        <v>28</v>
      </c>
      <c r="E2433" s="7" t="s">
        <v>56</v>
      </c>
      <c r="F2433" s="7" t="s">
        <v>162</v>
      </c>
      <c r="G2433" s="7" t="s">
        <v>18</v>
      </c>
      <c r="H2433" s="7" t="s">
        <v>689</v>
      </c>
      <c r="I2433" s="7" t="s">
        <v>712</v>
      </c>
      <c r="J2433" s="7" t="s">
        <v>712</v>
      </c>
      <c r="K2433" s="8">
        <v>6260525</v>
      </c>
      <c r="L2433" s="8">
        <v>333190</v>
      </c>
      <c r="M2433" s="8">
        <v>19</v>
      </c>
      <c r="N2433" s="8">
        <v>1</v>
      </c>
      <c r="O2433" s="8">
        <v>1.19</v>
      </c>
      <c r="P2433" s="8"/>
    </row>
    <row r="2434" spans="1:16" hidden="1" x14ac:dyDescent="0.25">
      <c r="A2434" s="7" t="s">
        <v>14</v>
      </c>
      <c r="B2434" s="7" t="s">
        <v>415</v>
      </c>
      <c r="C2434" s="8">
        <v>29237</v>
      </c>
      <c r="D2434" s="7" t="s">
        <v>28</v>
      </c>
      <c r="E2434" s="7" t="s">
        <v>56</v>
      </c>
      <c r="F2434" s="7" t="s">
        <v>162</v>
      </c>
      <c r="G2434" s="7" t="s">
        <v>18</v>
      </c>
      <c r="H2434" s="7" t="s">
        <v>689</v>
      </c>
      <c r="I2434" s="7" t="s">
        <v>712</v>
      </c>
      <c r="J2434" s="7" t="s">
        <v>712</v>
      </c>
      <c r="K2434" s="8">
        <v>6260690</v>
      </c>
      <c r="L2434" s="8">
        <v>333056</v>
      </c>
      <c r="M2434" s="8">
        <v>19</v>
      </c>
      <c r="N2434" s="8">
        <v>1</v>
      </c>
      <c r="O2434" s="8">
        <v>0.4</v>
      </c>
      <c r="P2434" s="8"/>
    </row>
    <row r="2435" spans="1:16" hidden="1" x14ac:dyDescent="0.25">
      <c r="A2435" s="7" t="s">
        <v>37</v>
      </c>
      <c r="B2435" s="7" t="s">
        <v>343</v>
      </c>
      <c r="C2435" s="8">
        <v>29238</v>
      </c>
      <c r="D2435" s="7" t="s">
        <v>16</v>
      </c>
      <c r="E2435" s="7" t="s">
        <v>50</v>
      </c>
      <c r="F2435" s="7" t="s">
        <v>347</v>
      </c>
      <c r="G2435" s="7" t="s">
        <v>65</v>
      </c>
      <c r="H2435" s="7" t="s">
        <v>66</v>
      </c>
      <c r="I2435" s="7" t="s">
        <v>712</v>
      </c>
      <c r="J2435" s="7" t="s">
        <v>712</v>
      </c>
      <c r="K2435" s="8">
        <v>6083662</v>
      </c>
      <c r="L2435" s="8">
        <v>265939</v>
      </c>
      <c r="M2435" s="8">
        <v>19</v>
      </c>
      <c r="N2435" s="8">
        <v>1</v>
      </c>
      <c r="O2435" s="8">
        <v>11</v>
      </c>
      <c r="P2435" s="8"/>
    </row>
    <row r="2436" spans="1:16" hidden="1" x14ac:dyDescent="0.25">
      <c r="A2436" s="7" t="s">
        <v>19</v>
      </c>
      <c r="B2436" s="7" t="s">
        <v>41</v>
      </c>
      <c r="C2436" s="8">
        <v>29239</v>
      </c>
      <c r="D2436" s="7" t="s">
        <v>16</v>
      </c>
      <c r="E2436" s="7" t="s">
        <v>17</v>
      </c>
      <c r="F2436" s="7" t="s">
        <v>55</v>
      </c>
      <c r="G2436" s="7" t="s">
        <v>65</v>
      </c>
      <c r="H2436" s="7" t="s">
        <v>66</v>
      </c>
      <c r="I2436" s="7" t="s">
        <v>712</v>
      </c>
      <c r="J2436" s="7" t="s">
        <v>712</v>
      </c>
      <c r="K2436" s="8">
        <v>6062127</v>
      </c>
      <c r="L2436" s="8">
        <v>278766</v>
      </c>
      <c r="M2436" s="8">
        <v>19</v>
      </c>
      <c r="N2436" s="8">
        <v>5</v>
      </c>
      <c r="O2436" s="8">
        <v>27.7</v>
      </c>
      <c r="P2436" s="8"/>
    </row>
    <row r="2437" spans="1:16" hidden="1" x14ac:dyDescent="0.25">
      <c r="A2437" s="7" t="s">
        <v>14</v>
      </c>
      <c r="B2437" s="7" t="s">
        <v>415</v>
      </c>
      <c r="C2437" s="8">
        <v>29242</v>
      </c>
      <c r="D2437" s="7" t="s">
        <v>21</v>
      </c>
      <c r="E2437" s="7" t="s">
        <v>253</v>
      </c>
      <c r="F2437" s="7" t="s">
        <v>253</v>
      </c>
      <c r="G2437" s="7" t="s">
        <v>18</v>
      </c>
      <c r="H2437" s="7" t="s">
        <v>689</v>
      </c>
      <c r="I2437" s="7" t="s">
        <v>712</v>
      </c>
      <c r="J2437" s="7" t="s">
        <v>712</v>
      </c>
      <c r="K2437" s="8">
        <v>6367183</v>
      </c>
      <c r="L2437" s="8">
        <v>355064</v>
      </c>
      <c r="M2437" s="8">
        <v>19</v>
      </c>
      <c r="N2437" s="8">
        <v>1</v>
      </c>
      <c r="O2437" s="8">
        <v>0.31</v>
      </c>
      <c r="P2437" s="8"/>
    </row>
    <row r="2438" spans="1:16" hidden="1" x14ac:dyDescent="0.25">
      <c r="A2438" s="7" t="s">
        <v>14</v>
      </c>
      <c r="B2438" s="7" t="s">
        <v>415</v>
      </c>
      <c r="C2438" s="8">
        <v>29243</v>
      </c>
      <c r="D2438" s="7" t="s">
        <v>21</v>
      </c>
      <c r="E2438" s="7" t="s">
        <v>500</v>
      </c>
      <c r="F2438" s="7" t="s">
        <v>503</v>
      </c>
      <c r="G2438" s="7" t="s">
        <v>18</v>
      </c>
      <c r="H2438" s="7" t="s">
        <v>689</v>
      </c>
      <c r="I2438" s="7" t="s">
        <v>712</v>
      </c>
      <c r="J2438" s="7" t="s">
        <v>712</v>
      </c>
      <c r="K2438" s="8">
        <v>6366426</v>
      </c>
      <c r="L2438" s="8">
        <v>353715</v>
      </c>
      <c r="M2438" s="8">
        <v>19</v>
      </c>
      <c r="N2438" s="8">
        <v>1</v>
      </c>
      <c r="O2438" s="8">
        <v>0.43</v>
      </c>
      <c r="P2438" s="8"/>
    </row>
    <row r="2439" spans="1:16" hidden="1" x14ac:dyDescent="0.25">
      <c r="A2439" s="7" t="s">
        <v>19</v>
      </c>
      <c r="B2439" s="7" t="s">
        <v>41</v>
      </c>
      <c r="C2439" s="8">
        <v>29244</v>
      </c>
      <c r="D2439" s="7" t="s">
        <v>16</v>
      </c>
      <c r="E2439" s="7" t="s">
        <v>17</v>
      </c>
      <c r="F2439" s="7" t="s">
        <v>55</v>
      </c>
      <c r="G2439" s="7" t="s">
        <v>65</v>
      </c>
      <c r="H2439" s="7" t="s">
        <v>66</v>
      </c>
      <c r="I2439" s="7" t="s">
        <v>712</v>
      </c>
      <c r="J2439" s="7" t="s">
        <v>712</v>
      </c>
      <c r="K2439" s="8">
        <v>6062749</v>
      </c>
      <c r="L2439" s="8">
        <v>278910</v>
      </c>
      <c r="M2439" s="8">
        <v>19</v>
      </c>
      <c r="N2439" s="8">
        <v>1</v>
      </c>
      <c r="O2439" s="8">
        <v>6</v>
      </c>
      <c r="P2439" s="8"/>
    </row>
    <row r="2440" spans="1:16" hidden="1" x14ac:dyDescent="0.25">
      <c r="A2440" s="7" t="s">
        <v>19</v>
      </c>
      <c r="B2440" s="7" t="s">
        <v>651</v>
      </c>
      <c r="C2440" s="8">
        <v>29245</v>
      </c>
      <c r="D2440" s="7" t="s">
        <v>16</v>
      </c>
      <c r="E2440" s="7" t="s">
        <v>168</v>
      </c>
      <c r="F2440" s="7" t="s">
        <v>545</v>
      </c>
      <c r="G2440" s="7" t="s">
        <v>65</v>
      </c>
      <c r="H2440" s="7" t="s">
        <v>66</v>
      </c>
      <c r="I2440" s="7" t="s">
        <v>712</v>
      </c>
      <c r="J2440" s="7" t="s">
        <v>712</v>
      </c>
      <c r="K2440" s="8">
        <v>6002962</v>
      </c>
      <c r="L2440" s="8">
        <v>274953</v>
      </c>
      <c r="M2440" s="8">
        <v>19</v>
      </c>
      <c r="N2440" s="8">
        <v>4</v>
      </c>
      <c r="O2440" s="8">
        <v>30</v>
      </c>
      <c r="P2440" s="8"/>
    </row>
    <row r="2441" spans="1:16" hidden="1" x14ac:dyDescent="0.25">
      <c r="A2441" s="7" t="s">
        <v>19</v>
      </c>
      <c r="B2441" s="7" t="s">
        <v>651</v>
      </c>
      <c r="C2441" s="8">
        <v>29246</v>
      </c>
      <c r="D2441" s="7" t="s">
        <v>16</v>
      </c>
      <c r="E2441" s="7" t="s">
        <v>168</v>
      </c>
      <c r="F2441" s="7" t="s">
        <v>545</v>
      </c>
      <c r="G2441" s="7" t="s">
        <v>65</v>
      </c>
      <c r="H2441" s="7" t="s">
        <v>66</v>
      </c>
      <c r="I2441" s="7" t="s">
        <v>712</v>
      </c>
      <c r="J2441" s="7" t="s">
        <v>712</v>
      </c>
      <c r="K2441" s="8">
        <v>6002912</v>
      </c>
      <c r="L2441" s="8">
        <v>274248</v>
      </c>
      <c r="M2441" s="8">
        <v>19</v>
      </c>
      <c r="N2441" s="8">
        <v>1</v>
      </c>
      <c r="O2441" s="8">
        <v>13</v>
      </c>
      <c r="P2441" s="8"/>
    </row>
    <row r="2442" spans="1:16" hidden="1" x14ac:dyDescent="0.25">
      <c r="A2442" s="7" t="s">
        <v>37</v>
      </c>
      <c r="B2442" s="7" t="s">
        <v>343</v>
      </c>
      <c r="C2442" s="8">
        <v>29251</v>
      </c>
      <c r="D2442" s="7" t="s">
        <v>16</v>
      </c>
      <c r="E2442" s="7" t="s">
        <v>50</v>
      </c>
      <c r="F2442" s="7" t="s">
        <v>347</v>
      </c>
      <c r="G2442" s="7" t="s">
        <v>65</v>
      </c>
      <c r="H2442" s="7" t="s">
        <v>66</v>
      </c>
      <c r="I2442" s="7" t="s">
        <v>712</v>
      </c>
      <c r="J2442" s="7" t="s">
        <v>712</v>
      </c>
      <c r="K2442" s="8">
        <v>6083663</v>
      </c>
      <c r="L2442" s="8">
        <v>265939</v>
      </c>
      <c r="M2442" s="8">
        <v>19</v>
      </c>
      <c r="N2442" s="8">
        <v>1</v>
      </c>
      <c r="O2442" s="8">
        <v>8</v>
      </c>
      <c r="P2442" s="8"/>
    </row>
    <row r="2443" spans="1:16" hidden="1" x14ac:dyDescent="0.25">
      <c r="A2443" s="7" t="s">
        <v>19</v>
      </c>
      <c r="B2443" s="7" t="s">
        <v>254</v>
      </c>
      <c r="C2443" s="8">
        <v>29252</v>
      </c>
      <c r="D2443" s="7" t="s">
        <v>52</v>
      </c>
      <c r="E2443" s="7" t="s">
        <v>141</v>
      </c>
      <c r="F2443" s="7" t="s">
        <v>277</v>
      </c>
      <c r="G2443" s="7" t="s">
        <v>65</v>
      </c>
      <c r="H2443" s="7" t="s">
        <v>66</v>
      </c>
      <c r="I2443" s="7" t="s">
        <v>712</v>
      </c>
      <c r="J2443" s="7" t="s">
        <v>712</v>
      </c>
      <c r="K2443" s="8">
        <v>6220968</v>
      </c>
      <c r="L2443" s="8">
        <v>329458</v>
      </c>
      <c r="M2443" s="8">
        <v>19</v>
      </c>
      <c r="N2443" s="8">
        <v>1</v>
      </c>
      <c r="O2443" s="8">
        <v>1.3</v>
      </c>
      <c r="P2443" s="8"/>
    </row>
    <row r="2444" spans="1:16" hidden="1" x14ac:dyDescent="0.25">
      <c r="A2444" s="7" t="s">
        <v>14</v>
      </c>
      <c r="B2444" s="7" t="s">
        <v>558</v>
      </c>
      <c r="C2444" s="8">
        <v>29253</v>
      </c>
      <c r="D2444" s="7" t="s">
        <v>52</v>
      </c>
      <c r="E2444" s="7" t="s">
        <v>296</v>
      </c>
      <c r="F2444" s="7" t="s">
        <v>559</v>
      </c>
      <c r="G2444" s="7" t="s">
        <v>18</v>
      </c>
      <c r="H2444" s="7" t="s">
        <v>689</v>
      </c>
      <c r="I2444" s="7" t="s">
        <v>690</v>
      </c>
      <c r="J2444" s="7" t="s">
        <v>690</v>
      </c>
      <c r="K2444" s="8">
        <v>6183648</v>
      </c>
      <c r="L2444" s="8">
        <v>324299</v>
      </c>
      <c r="M2444" s="8">
        <v>19</v>
      </c>
      <c r="N2444" s="8">
        <v>1</v>
      </c>
      <c r="O2444" s="8">
        <v>0.83</v>
      </c>
      <c r="P2444" s="8"/>
    </row>
    <row r="2445" spans="1:16" hidden="1" x14ac:dyDescent="0.25">
      <c r="A2445" s="7" t="s">
        <v>37</v>
      </c>
      <c r="B2445" s="7" t="s">
        <v>343</v>
      </c>
      <c r="C2445" s="8">
        <v>29254</v>
      </c>
      <c r="D2445" s="7" t="s">
        <v>16</v>
      </c>
      <c r="E2445" s="7" t="s">
        <v>17</v>
      </c>
      <c r="F2445" s="7" t="s">
        <v>121</v>
      </c>
      <c r="G2445" s="7" t="s">
        <v>65</v>
      </c>
      <c r="H2445" s="7" t="s">
        <v>66</v>
      </c>
      <c r="I2445" s="7" t="s">
        <v>712</v>
      </c>
      <c r="J2445" s="7" t="s">
        <v>712</v>
      </c>
      <c r="K2445" s="8">
        <v>6060198</v>
      </c>
      <c r="L2445" s="8">
        <v>273895</v>
      </c>
      <c r="M2445" s="8">
        <v>19</v>
      </c>
      <c r="N2445" s="8">
        <v>1</v>
      </c>
      <c r="O2445" s="8">
        <v>6</v>
      </c>
      <c r="P2445" s="8"/>
    </row>
    <row r="2446" spans="1:16" hidden="1" x14ac:dyDescent="0.25">
      <c r="A2446" s="7" t="s">
        <v>37</v>
      </c>
      <c r="B2446" s="7" t="s">
        <v>343</v>
      </c>
      <c r="C2446" s="8">
        <v>29255</v>
      </c>
      <c r="D2446" s="7" t="s">
        <v>16</v>
      </c>
      <c r="E2446" s="7" t="s">
        <v>17</v>
      </c>
      <c r="F2446" s="7" t="s">
        <v>17</v>
      </c>
      <c r="G2446" s="7" t="s">
        <v>65</v>
      </c>
      <c r="H2446" s="7" t="s">
        <v>66</v>
      </c>
      <c r="I2446" s="7" t="s">
        <v>712</v>
      </c>
      <c r="J2446" s="7" t="s">
        <v>712</v>
      </c>
      <c r="K2446" s="8">
        <v>6061171</v>
      </c>
      <c r="L2446" s="8">
        <v>276654</v>
      </c>
      <c r="M2446" s="8">
        <v>19</v>
      </c>
      <c r="N2446" s="8">
        <v>1</v>
      </c>
      <c r="O2446" s="8">
        <v>15.1</v>
      </c>
      <c r="P2446" s="8"/>
    </row>
    <row r="2447" spans="1:16" hidden="1" x14ac:dyDescent="0.25">
      <c r="A2447" s="7" t="s">
        <v>37</v>
      </c>
      <c r="B2447" s="7" t="s">
        <v>343</v>
      </c>
      <c r="C2447" s="8">
        <v>29256</v>
      </c>
      <c r="D2447" s="7" t="s">
        <v>16</v>
      </c>
      <c r="E2447" s="7" t="s">
        <v>17</v>
      </c>
      <c r="F2447" s="7" t="s">
        <v>403</v>
      </c>
      <c r="G2447" s="7" t="s">
        <v>65</v>
      </c>
      <c r="H2447" s="7" t="s">
        <v>66</v>
      </c>
      <c r="I2447" s="7" t="s">
        <v>712</v>
      </c>
      <c r="J2447" s="7" t="s">
        <v>712</v>
      </c>
      <c r="K2447" s="8">
        <v>6064800</v>
      </c>
      <c r="L2447" s="8">
        <v>276014</v>
      </c>
      <c r="M2447" s="8">
        <v>19</v>
      </c>
      <c r="N2447" s="8">
        <v>1</v>
      </c>
      <c r="O2447" s="8">
        <v>6</v>
      </c>
      <c r="P2447" s="8"/>
    </row>
    <row r="2448" spans="1:16" hidden="1" x14ac:dyDescent="0.25">
      <c r="A2448" s="7" t="s">
        <v>19</v>
      </c>
      <c r="B2448" s="7" t="s">
        <v>254</v>
      </c>
      <c r="C2448" s="8">
        <v>29257</v>
      </c>
      <c r="D2448" s="7" t="s">
        <v>52</v>
      </c>
      <c r="E2448" s="7" t="s">
        <v>141</v>
      </c>
      <c r="F2448" s="7" t="s">
        <v>277</v>
      </c>
      <c r="G2448" s="7" t="s">
        <v>65</v>
      </c>
      <c r="H2448" s="7" t="s">
        <v>66</v>
      </c>
      <c r="I2448" s="7" t="s">
        <v>712</v>
      </c>
      <c r="J2448" s="7" t="s">
        <v>712</v>
      </c>
      <c r="K2448" s="8">
        <v>6221092</v>
      </c>
      <c r="L2448" s="8">
        <v>328959</v>
      </c>
      <c r="M2448" s="8">
        <v>19</v>
      </c>
      <c r="N2448" s="8">
        <v>1</v>
      </c>
      <c r="O2448" s="8">
        <v>5</v>
      </c>
      <c r="P2448" s="8"/>
    </row>
    <row r="2449" spans="1:16" hidden="1" x14ac:dyDescent="0.25">
      <c r="A2449" s="7" t="s">
        <v>14</v>
      </c>
      <c r="B2449" s="7" t="s">
        <v>558</v>
      </c>
      <c r="C2449" s="8">
        <v>29258</v>
      </c>
      <c r="D2449" s="7" t="s">
        <v>52</v>
      </c>
      <c r="E2449" s="7" t="s">
        <v>151</v>
      </c>
      <c r="F2449" s="7" t="s">
        <v>560</v>
      </c>
      <c r="G2449" s="7" t="s">
        <v>18</v>
      </c>
      <c r="H2449" s="7" t="s">
        <v>689</v>
      </c>
      <c r="I2449" s="7" t="s">
        <v>690</v>
      </c>
      <c r="J2449" s="7" t="s">
        <v>690</v>
      </c>
      <c r="K2449" s="8">
        <v>6196173</v>
      </c>
      <c r="L2449" s="8">
        <v>329925</v>
      </c>
      <c r="M2449" s="8">
        <v>19</v>
      </c>
      <c r="N2449" s="8">
        <v>1</v>
      </c>
      <c r="O2449" s="8">
        <v>0.83</v>
      </c>
      <c r="P2449" s="8"/>
    </row>
    <row r="2450" spans="1:16" hidden="1" x14ac:dyDescent="0.25">
      <c r="A2450" s="7" t="s">
        <v>19</v>
      </c>
      <c r="B2450" s="7" t="s">
        <v>254</v>
      </c>
      <c r="C2450" s="8">
        <v>29259</v>
      </c>
      <c r="D2450" s="7" t="s">
        <v>52</v>
      </c>
      <c r="E2450" s="7" t="s">
        <v>141</v>
      </c>
      <c r="F2450" s="7" t="s">
        <v>277</v>
      </c>
      <c r="G2450" s="7" t="s">
        <v>65</v>
      </c>
      <c r="H2450" s="7" t="s">
        <v>66</v>
      </c>
      <c r="I2450" s="7" t="s">
        <v>712</v>
      </c>
      <c r="J2450" s="7" t="s">
        <v>712</v>
      </c>
      <c r="K2450" s="8">
        <v>6221092</v>
      </c>
      <c r="L2450" s="8">
        <v>328959</v>
      </c>
      <c r="M2450" s="8">
        <v>19</v>
      </c>
      <c r="N2450" s="8">
        <v>1</v>
      </c>
      <c r="O2450" s="8">
        <v>5.5</v>
      </c>
      <c r="P2450" s="8"/>
    </row>
    <row r="2451" spans="1:16" hidden="1" x14ac:dyDescent="0.25">
      <c r="A2451" s="7" t="s">
        <v>37</v>
      </c>
      <c r="B2451" s="7" t="s">
        <v>343</v>
      </c>
      <c r="C2451" s="8">
        <v>29260</v>
      </c>
      <c r="D2451" s="7" t="s">
        <v>16</v>
      </c>
      <c r="E2451" s="7" t="s">
        <v>17</v>
      </c>
      <c r="F2451" s="7" t="s">
        <v>403</v>
      </c>
      <c r="G2451" s="7" t="s">
        <v>65</v>
      </c>
      <c r="H2451" s="7" t="s">
        <v>66</v>
      </c>
      <c r="I2451" s="7" t="s">
        <v>712</v>
      </c>
      <c r="J2451" s="7" t="s">
        <v>712</v>
      </c>
      <c r="K2451" s="8">
        <v>6064800</v>
      </c>
      <c r="L2451" s="8">
        <v>276014</v>
      </c>
      <c r="M2451" s="8">
        <v>19</v>
      </c>
      <c r="N2451" s="8">
        <v>1</v>
      </c>
      <c r="O2451" s="8">
        <v>11</v>
      </c>
      <c r="P2451" s="8"/>
    </row>
    <row r="2452" spans="1:16" hidden="1" x14ac:dyDescent="0.25">
      <c r="A2452" s="7" t="s">
        <v>19</v>
      </c>
      <c r="B2452" s="7" t="s">
        <v>254</v>
      </c>
      <c r="C2452" s="8">
        <v>29261</v>
      </c>
      <c r="D2452" s="7" t="s">
        <v>21</v>
      </c>
      <c r="E2452" s="7" t="s">
        <v>342</v>
      </c>
      <c r="F2452" s="7" t="s">
        <v>342</v>
      </c>
      <c r="G2452" s="7" t="s">
        <v>65</v>
      </c>
      <c r="H2452" s="7" t="s">
        <v>66</v>
      </c>
      <c r="I2452" s="7" t="s">
        <v>712</v>
      </c>
      <c r="J2452" s="7" t="s">
        <v>712</v>
      </c>
      <c r="K2452" s="8">
        <v>6361723</v>
      </c>
      <c r="L2452" s="8">
        <v>292278</v>
      </c>
      <c r="M2452" s="8">
        <v>19</v>
      </c>
      <c r="N2452" s="8">
        <v>1</v>
      </c>
      <c r="O2452" s="8">
        <v>5.9</v>
      </c>
      <c r="P2452" s="8"/>
    </row>
    <row r="2453" spans="1:16" hidden="1" x14ac:dyDescent="0.25">
      <c r="A2453" s="7" t="s">
        <v>19</v>
      </c>
      <c r="B2453" s="7" t="s">
        <v>254</v>
      </c>
      <c r="C2453" s="8">
        <v>29262</v>
      </c>
      <c r="D2453" s="7" t="s">
        <v>21</v>
      </c>
      <c r="E2453" s="7" t="s">
        <v>342</v>
      </c>
      <c r="F2453" s="7" t="s">
        <v>342</v>
      </c>
      <c r="G2453" s="7" t="s">
        <v>65</v>
      </c>
      <c r="H2453" s="7" t="s">
        <v>66</v>
      </c>
      <c r="I2453" s="7" t="s">
        <v>712</v>
      </c>
      <c r="J2453" s="7" t="s">
        <v>712</v>
      </c>
      <c r="K2453" s="8">
        <v>6361723</v>
      </c>
      <c r="L2453" s="8">
        <v>292278</v>
      </c>
      <c r="M2453" s="8">
        <v>19</v>
      </c>
      <c r="N2453" s="8">
        <v>1</v>
      </c>
      <c r="O2453" s="8">
        <v>0.06</v>
      </c>
      <c r="P2453" s="8"/>
    </row>
    <row r="2454" spans="1:16" hidden="1" x14ac:dyDescent="0.25">
      <c r="A2454" s="7" t="s">
        <v>19</v>
      </c>
      <c r="B2454" s="7" t="s">
        <v>651</v>
      </c>
      <c r="C2454" s="8">
        <v>29263</v>
      </c>
      <c r="D2454" s="7" t="s">
        <v>52</v>
      </c>
      <c r="E2454" s="7" t="s">
        <v>141</v>
      </c>
      <c r="F2454" s="7" t="s">
        <v>165</v>
      </c>
      <c r="G2454" s="7" t="s">
        <v>65</v>
      </c>
      <c r="H2454" s="7" t="s">
        <v>66</v>
      </c>
      <c r="I2454" s="7" t="s">
        <v>712</v>
      </c>
      <c r="J2454" s="7" t="s">
        <v>712</v>
      </c>
      <c r="K2454" s="8">
        <v>6220903</v>
      </c>
      <c r="L2454" s="8">
        <v>331810</v>
      </c>
      <c r="M2454" s="8">
        <v>19</v>
      </c>
      <c r="N2454" s="8">
        <v>1</v>
      </c>
      <c r="O2454" s="8">
        <v>7</v>
      </c>
      <c r="P2454" s="8"/>
    </row>
    <row r="2455" spans="1:16" hidden="1" x14ac:dyDescent="0.25">
      <c r="A2455" s="7" t="s">
        <v>19</v>
      </c>
      <c r="B2455" s="7" t="s">
        <v>651</v>
      </c>
      <c r="C2455" s="8">
        <v>29264</v>
      </c>
      <c r="D2455" s="7" t="s">
        <v>52</v>
      </c>
      <c r="E2455" s="7" t="s">
        <v>81</v>
      </c>
      <c r="F2455" s="7" t="s">
        <v>390</v>
      </c>
      <c r="G2455" s="7" t="s">
        <v>65</v>
      </c>
      <c r="H2455" s="7" t="s">
        <v>66</v>
      </c>
      <c r="I2455" s="7" t="s">
        <v>712</v>
      </c>
      <c r="J2455" s="7" t="s">
        <v>712</v>
      </c>
      <c r="K2455" s="8">
        <v>6221766</v>
      </c>
      <c r="L2455" s="8">
        <v>345284</v>
      </c>
      <c r="M2455" s="8">
        <v>19</v>
      </c>
      <c r="N2455" s="8">
        <v>1</v>
      </c>
      <c r="O2455" s="8">
        <v>6</v>
      </c>
      <c r="P2455" s="8"/>
    </row>
    <row r="2456" spans="1:16" hidden="1" x14ac:dyDescent="0.25">
      <c r="A2456" s="7" t="s">
        <v>19</v>
      </c>
      <c r="B2456" s="7" t="s">
        <v>651</v>
      </c>
      <c r="C2456" s="8">
        <v>29265</v>
      </c>
      <c r="D2456" s="7" t="s">
        <v>52</v>
      </c>
      <c r="E2456" s="7" t="s">
        <v>141</v>
      </c>
      <c r="F2456" s="7" t="s">
        <v>656</v>
      </c>
      <c r="G2456" s="7" t="s">
        <v>65</v>
      </c>
      <c r="H2456" s="7" t="s">
        <v>66</v>
      </c>
      <c r="I2456" s="7" t="s">
        <v>712</v>
      </c>
      <c r="J2456" s="7" t="s">
        <v>712</v>
      </c>
      <c r="K2456" s="8">
        <v>6220514</v>
      </c>
      <c r="L2456" s="8">
        <v>338755</v>
      </c>
      <c r="M2456" s="8">
        <v>19</v>
      </c>
      <c r="N2456" s="8">
        <v>2</v>
      </c>
      <c r="O2456" s="8">
        <v>10</v>
      </c>
      <c r="P2456" s="8"/>
    </row>
    <row r="2457" spans="1:16" hidden="1" x14ac:dyDescent="0.25">
      <c r="A2457" s="7" t="s">
        <v>19</v>
      </c>
      <c r="B2457" s="7" t="s">
        <v>651</v>
      </c>
      <c r="C2457" s="8">
        <v>29267</v>
      </c>
      <c r="D2457" s="7" t="s">
        <v>52</v>
      </c>
      <c r="E2457" s="7" t="s">
        <v>81</v>
      </c>
      <c r="F2457" s="7" t="s">
        <v>293</v>
      </c>
      <c r="G2457" s="7" t="s">
        <v>65</v>
      </c>
      <c r="H2457" s="7" t="s">
        <v>66</v>
      </c>
      <c r="I2457" s="7" t="s">
        <v>712</v>
      </c>
      <c r="J2457" s="7" t="s">
        <v>712</v>
      </c>
      <c r="K2457" s="8">
        <v>6220515</v>
      </c>
      <c r="L2457" s="8">
        <v>347894</v>
      </c>
      <c r="M2457" s="8">
        <v>19</v>
      </c>
      <c r="N2457" s="8">
        <v>1</v>
      </c>
      <c r="O2457" s="8">
        <v>6.5</v>
      </c>
      <c r="P2457" s="8"/>
    </row>
    <row r="2458" spans="1:16" hidden="1" x14ac:dyDescent="0.25">
      <c r="A2458" s="7" t="s">
        <v>19</v>
      </c>
      <c r="B2458" s="7" t="s">
        <v>270</v>
      </c>
      <c r="C2458" s="8">
        <v>29268</v>
      </c>
      <c r="D2458" s="7" t="s">
        <v>52</v>
      </c>
      <c r="E2458" s="7" t="s">
        <v>139</v>
      </c>
      <c r="F2458" s="7" t="s">
        <v>139</v>
      </c>
      <c r="G2458" s="7" t="s">
        <v>65</v>
      </c>
      <c r="H2458" s="7" t="s">
        <v>24</v>
      </c>
      <c r="I2458" s="7" t="s">
        <v>712</v>
      </c>
      <c r="J2458" s="7" t="s">
        <v>712</v>
      </c>
      <c r="K2458" s="8">
        <v>6224415</v>
      </c>
      <c r="L2458" s="8">
        <v>338520</v>
      </c>
      <c r="M2458" s="8">
        <v>19</v>
      </c>
      <c r="N2458" s="8">
        <v>1</v>
      </c>
      <c r="O2458" s="8">
        <v>2.5</v>
      </c>
      <c r="P2458" s="8"/>
    </row>
    <row r="2459" spans="1:16" hidden="1" x14ac:dyDescent="0.25">
      <c r="A2459" s="7" t="s">
        <v>19</v>
      </c>
      <c r="B2459" s="7" t="s">
        <v>651</v>
      </c>
      <c r="C2459" s="8">
        <v>29269</v>
      </c>
      <c r="D2459" s="7" t="s">
        <v>52</v>
      </c>
      <c r="E2459" s="7" t="s">
        <v>139</v>
      </c>
      <c r="F2459" s="7" t="s">
        <v>652</v>
      </c>
      <c r="G2459" s="7" t="s">
        <v>65</v>
      </c>
      <c r="H2459" s="7" t="s">
        <v>66</v>
      </c>
      <c r="I2459" s="7" t="s">
        <v>712</v>
      </c>
      <c r="J2459" s="7" t="s">
        <v>712</v>
      </c>
      <c r="K2459" s="8">
        <v>6226859</v>
      </c>
      <c r="L2459" s="8">
        <v>335608</v>
      </c>
      <c r="M2459" s="8">
        <v>19</v>
      </c>
      <c r="N2459" s="8">
        <v>2</v>
      </c>
      <c r="O2459" s="8">
        <v>10</v>
      </c>
      <c r="P2459" s="8"/>
    </row>
    <row r="2460" spans="1:16" hidden="1" x14ac:dyDescent="0.25">
      <c r="A2460" s="7" t="s">
        <v>19</v>
      </c>
      <c r="B2460" s="7" t="s">
        <v>270</v>
      </c>
      <c r="C2460" s="8">
        <v>29270</v>
      </c>
      <c r="D2460" s="7" t="s">
        <v>52</v>
      </c>
      <c r="E2460" s="7" t="s">
        <v>53</v>
      </c>
      <c r="F2460" s="7" t="s">
        <v>87</v>
      </c>
      <c r="G2460" s="7" t="s">
        <v>65</v>
      </c>
      <c r="H2460" s="7" t="s">
        <v>24</v>
      </c>
      <c r="I2460" s="7" t="s">
        <v>712</v>
      </c>
      <c r="J2460" s="7" t="s">
        <v>712</v>
      </c>
      <c r="K2460" s="8">
        <v>6150351</v>
      </c>
      <c r="L2460" s="8">
        <v>330078</v>
      </c>
      <c r="M2460" s="8">
        <v>19</v>
      </c>
      <c r="N2460" s="8">
        <v>2</v>
      </c>
      <c r="O2460" s="8">
        <v>9</v>
      </c>
      <c r="P2460" s="8"/>
    </row>
    <row r="2461" spans="1:16" hidden="1" x14ac:dyDescent="0.25">
      <c r="A2461" s="7" t="s">
        <v>19</v>
      </c>
      <c r="B2461" s="7" t="s">
        <v>651</v>
      </c>
      <c r="C2461" s="8">
        <v>29271</v>
      </c>
      <c r="D2461" s="7" t="s">
        <v>52</v>
      </c>
      <c r="E2461" s="7" t="s">
        <v>139</v>
      </c>
      <c r="F2461" s="7" t="s">
        <v>652</v>
      </c>
      <c r="G2461" s="7" t="s">
        <v>65</v>
      </c>
      <c r="H2461" s="7" t="s">
        <v>66</v>
      </c>
      <c r="I2461" s="7" t="s">
        <v>712</v>
      </c>
      <c r="J2461" s="7" t="s">
        <v>712</v>
      </c>
      <c r="K2461" s="8">
        <v>6226590</v>
      </c>
      <c r="L2461" s="8">
        <v>336451</v>
      </c>
      <c r="M2461" s="8">
        <v>19</v>
      </c>
      <c r="N2461" s="8">
        <v>3</v>
      </c>
      <c r="O2461" s="8">
        <v>2.5</v>
      </c>
      <c r="P2461" s="8"/>
    </row>
    <row r="2462" spans="1:16" hidden="1" x14ac:dyDescent="0.25">
      <c r="A2462" s="7" t="s">
        <v>19</v>
      </c>
      <c r="B2462" s="7" t="s">
        <v>651</v>
      </c>
      <c r="C2462" s="8">
        <v>29272</v>
      </c>
      <c r="D2462" s="7" t="s">
        <v>34</v>
      </c>
      <c r="E2462" s="7" t="s">
        <v>35</v>
      </c>
      <c r="F2462" s="7" t="s">
        <v>36</v>
      </c>
      <c r="G2462" s="7" t="s">
        <v>65</v>
      </c>
      <c r="H2462" s="7" t="s">
        <v>66</v>
      </c>
      <c r="I2462" s="7" t="s">
        <v>712</v>
      </c>
      <c r="J2462" s="7" t="s">
        <v>712</v>
      </c>
      <c r="K2462" s="8">
        <v>5851382</v>
      </c>
      <c r="L2462" s="8">
        <v>719851</v>
      </c>
      <c r="M2462" s="8">
        <v>18</v>
      </c>
      <c r="N2462" s="8">
        <v>2</v>
      </c>
      <c r="O2462" s="8">
        <v>30</v>
      </c>
      <c r="P2462" s="8"/>
    </row>
    <row r="2463" spans="1:16" hidden="1" x14ac:dyDescent="0.25">
      <c r="A2463" s="7" t="s">
        <v>19</v>
      </c>
      <c r="B2463" s="7" t="s">
        <v>651</v>
      </c>
      <c r="C2463" s="8">
        <v>29273</v>
      </c>
      <c r="D2463" s="7" t="s">
        <v>119</v>
      </c>
      <c r="E2463" s="7" t="s">
        <v>123</v>
      </c>
      <c r="F2463" s="7" t="s">
        <v>123</v>
      </c>
      <c r="G2463" s="7" t="s">
        <v>65</v>
      </c>
      <c r="H2463" s="7" t="s">
        <v>66</v>
      </c>
      <c r="I2463" s="7" t="s">
        <v>712</v>
      </c>
      <c r="J2463" s="7" t="s">
        <v>712</v>
      </c>
      <c r="K2463" s="8">
        <v>5826143</v>
      </c>
      <c r="L2463" s="8">
        <v>714534</v>
      </c>
      <c r="M2463" s="8">
        <v>18</v>
      </c>
      <c r="N2463" s="8">
        <v>1</v>
      </c>
      <c r="O2463" s="8">
        <v>20</v>
      </c>
      <c r="P2463" s="8"/>
    </row>
    <row r="2464" spans="1:16" hidden="1" x14ac:dyDescent="0.25">
      <c r="A2464" s="7" t="s">
        <v>19</v>
      </c>
      <c r="B2464" s="7" t="s">
        <v>270</v>
      </c>
      <c r="C2464" s="8">
        <v>29274</v>
      </c>
      <c r="D2464" s="7" t="s">
        <v>52</v>
      </c>
      <c r="E2464" s="7" t="s">
        <v>139</v>
      </c>
      <c r="F2464" s="7" t="s">
        <v>270</v>
      </c>
      <c r="G2464" s="7" t="s">
        <v>65</v>
      </c>
      <c r="H2464" s="7" t="s">
        <v>24</v>
      </c>
      <c r="I2464" s="7" t="s">
        <v>712</v>
      </c>
      <c r="J2464" s="7" t="s">
        <v>712</v>
      </c>
      <c r="K2464" s="8">
        <v>6223804</v>
      </c>
      <c r="L2464" s="8">
        <v>336534</v>
      </c>
      <c r="M2464" s="8">
        <v>19</v>
      </c>
      <c r="N2464" s="8">
        <v>1</v>
      </c>
      <c r="O2464" s="8">
        <v>2.1</v>
      </c>
      <c r="P2464" s="8"/>
    </row>
    <row r="2465" spans="1:16" hidden="1" x14ac:dyDescent="0.25">
      <c r="A2465" s="7" t="s">
        <v>14</v>
      </c>
      <c r="B2465" s="7" t="s">
        <v>415</v>
      </c>
      <c r="C2465" s="8">
        <v>29275</v>
      </c>
      <c r="D2465" s="7" t="s">
        <v>28</v>
      </c>
      <c r="E2465" s="7" t="s">
        <v>56</v>
      </c>
      <c r="F2465" s="7" t="s">
        <v>378</v>
      </c>
      <c r="G2465" s="7" t="s">
        <v>18</v>
      </c>
      <c r="H2465" s="7" t="s">
        <v>689</v>
      </c>
      <c r="I2465" s="7" t="s">
        <v>712</v>
      </c>
      <c r="J2465" s="7" t="s">
        <v>712</v>
      </c>
      <c r="K2465" s="8">
        <v>6259593</v>
      </c>
      <c r="L2465" s="8">
        <v>331127</v>
      </c>
      <c r="M2465" s="8">
        <v>19</v>
      </c>
      <c r="N2465" s="8">
        <v>1</v>
      </c>
      <c r="O2465" s="8">
        <v>0.22</v>
      </c>
      <c r="P2465" s="8"/>
    </row>
    <row r="2466" spans="1:16" hidden="1" x14ac:dyDescent="0.25">
      <c r="A2466" s="7" t="s">
        <v>14</v>
      </c>
      <c r="B2466" s="7" t="s">
        <v>415</v>
      </c>
      <c r="C2466" s="8">
        <v>29276</v>
      </c>
      <c r="D2466" s="7" t="s">
        <v>28</v>
      </c>
      <c r="E2466" s="7" t="s">
        <v>56</v>
      </c>
      <c r="F2466" s="7" t="s">
        <v>162</v>
      </c>
      <c r="G2466" s="7" t="s">
        <v>18</v>
      </c>
      <c r="H2466" s="7" t="s">
        <v>689</v>
      </c>
      <c r="I2466" s="7" t="s">
        <v>712</v>
      </c>
      <c r="J2466" s="7" t="s">
        <v>712</v>
      </c>
      <c r="K2466" s="8">
        <v>6260398</v>
      </c>
      <c r="L2466" s="8">
        <v>332770</v>
      </c>
      <c r="M2466" s="8">
        <v>19</v>
      </c>
      <c r="N2466" s="8">
        <v>1</v>
      </c>
      <c r="O2466" s="8">
        <v>0</v>
      </c>
      <c r="P2466" s="8"/>
    </row>
    <row r="2467" spans="1:16" hidden="1" x14ac:dyDescent="0.25">
      <c r="A2467" s="7" t="s">
        <v>19</v>
      </c>
      <c r="B2467" s="7" t="s">
        <v>651</v>
      </c>
      <c r="C2467" s="8">
        <v>29280</v>
      </c>
      <c r="D2467" s="7" t="s">
        <v>52</v>
      </c>
      <c r="E2467" s="7" t="s">
        <v>139</v>
      </c>
      <c r="F2467" s="7" t="s">
        <v>652</v>
      </c>
      <c r="G2467" s="7" t="s">
        <v>65</v>
      </c>
      <c r="H2467" s="7" t="s">
        <v>66</v>
      </c>
      <c r="I2467" s="7" t="s">
        <v>712</v>
      </c>
      <c r="J2467" s="7" t="s">
        <v>712</v>
      </c>
      <c r="K2467" s="8">
        <v>6226706</v>
      </c>
      <c r="L2467" s="8">
        <v>336483</v>
      </c>
      <c r="M2467" s="8">
        <v>19</v>
      </c>
      <c r="N2467" s="8">
        <v>1</v>
      </c>
      <c r="O2467" s="8">
        <v>4</v>
      </c>
      <c r="P2467" s="8"/>
    </row>
    <row r="2468" spans="1:16" hidden="1" x14ac:dyDescent="0.25">
      <c r="A2468" s="7" t="s">
        <v>19</v>
      </c>
      <c r="B2468" s="7" t="s">
        <v>270</v>
      </c>
      <c r="C2468" s="8">
        <v>29281</v>
      </c>
      <c r="D2468" s="7" t="s">
        <v>52</v>
      </c>
      <c r="E2468" s="7" t="s">
        <v>53</v>
      </c>
      <c r="F2468" s="7" t="s">
        <v>634</v>
      </c>
      <c r="G2468" s="7" t="s">
        <v>65</v>
      </c>
      <c r="H2468" s="7" t="s">
        <v>24</v>
      </c>
      <c r="I2468" s="7" t="s">
        <v>712</v>
      </c>
      <c r="J2468" s="7" t="s">
        <v>712</v>
      </c>
      <c r="K2468" s="8">
        <v>6152751</v>
      </c>
      <c r="L2468" s="8">
        <v>322332</v>
      </c>
      <c r="M2468" s="8">
        <v>19</v>
      </c>
      <c r="N2468" s="8">
        <v>1</v>
      </c>
      <c r="O2468" s="8">
        <v>6</v>
      </c>
      <c r="P2468" s="8"/>
    </row>
    <row r="2469" spans="1:16" hidden="1" x14ac:dyDescent="0.25">
      <c r="A2469" s="7" t="s">
        <v>14</v>
      </c>
      <c r="B2469" s="7" t="s">
        <v>343</v>
      </c>
      <c r="C2469" s="8">
        <v>29282</v>
      </c>
      <c r="D2469" s="7" t="s">
        <v>52</v>
      </c>
      <c r="E2469" s="7" t="s">
        <v>139</v>
      </c>
      <c r="F2469" s="7" t="s">
        <v>234</v>
      </c>
      <c r="G2469" s="7" t="s">
        <v>65</v>
      </c>
      <c r="H2469" s="7" t="s">
        <v>689</v>
      </c>
      <c r="I2469" s="7" t="s">
        <v>712</v>
      </c>
      <c r="J2469" s="7" t="s">
        <v>712</v>
      </c>
      <c r="K2469" s="8">
        <v>6229004</v>
      </c>
      <c r="L2469" s="8">
        <v>337100</v>
      </c>
      <c r="M2469" s="8">
        <v>19</v>
      </c>
      <c r="N2469" s="8">
        <v>1</v>
      </c>
      <c r="O2469" s="8">
        <v>4.5</v>
      </c>
      <c r="P2469" s="8"/>
    </row>
    <row r="2470" spans="1:16" hidden="1" x14ac:dyDescent="0.25">
      <c r="A2470" s="7" t="s">
        <v>19</v>
      </c>
      <c r="B2470" s="7" t="s">
        <v>270</v>
      </c>
      <c r="C2470" s="8">
        <v>29283</v>
      </c>
      <c r="D2470" s="7" t="s">
        <v>52</v>
      </c>
      <c r="E2470" s="7" t="s">
        <v>552</v>
      </c>
      <c r="F2470" s="7" t="s">
        <v>615</v>
      </c>
      <c r="G2470" s="7" t="s">
        <v>65</v>
      </c>
      <c r="H2470" s="7" t="s">
        <v>24</v>
      </c>
      <c r="I2470" s="7" t="s">
        <v>712</v>
      </c>
      <c r="J2470" s="7" t="s">
        <v>712</v>
      </c>
      <c r="K2470" s="8">
        <v>6217930</v>
      </c>
      <c r="L2470" s="8">
        <v>329435</v>
      </c>
      <c r="M2470" s="8">
        <v>19</v>
      </c>
      <c r="N2470" s="8">
        <v>1</v>
      </c>
      <c r="O2470" s="8">
        <v>7</v>
      </c>
      <c r="P2470" s="8"/>
    </row>
    <row r="2471" spans="1:16" hidden="1" x14ac:dyDescent="0.25">
      <c r="A2471" s="7" t="s">
        <v>19</v>
      </c>
      <c r="B2471" s="7" t="s">
        <v>254</v>
      </c>
      <c r="C2471" s="8">
        <v>29284</v>
      </c>
      <c r="D2471" s="7" t="s">
        <v>21</v>
      </c>
      <c r="E2471" s="7" t="s">
        <v>342</v>
      </c>
      <c r="F2471" s="7" t="s">
        <v>342</v>
      </c>
      <c r="G2471" s="7" t="s">
        <v>65</v>
      </c>
      <c r="H2471" s="7" t="s">
        <v>66</v>
      </c>
      <c r="I2471" s="7" t="s">
        <v>712</v>
      </c>
      <c r="J2471" s="7" t="s">
        <v>712</v>
      </c>
      <c r="K2471" s="8">
        <v>6362058</v>
      </c>
      <c r="L2471" s="8">
        <v>292942</v>
      </c>
      <c r="M2471" s="8">
        <v>19</v>
      </c>
      <c r="N2471" s="8">
        <v>1</v>
      </c>
      <c r="O2471" s="8">
        <v>3</v>
      </c>
      <c r="P2471" s="8"/>
    </row>
    <row r="2472" spans="1:16" hidden="1" x14ac:dyDescent="0.25">
      <c r="A2472" s="7" t="s">
        <v>14</v>
      </c>
      <c r="B2472" s="7" t="s">
        <v>415</v>
      </c>
      <c r="C2472" s="8">
        <v>29285</v>
      </c>
      <c r="D2472" s="7" t="s">
        <v>28</v>
      </c>
      <c r="E2472" s="7" t="s">
        <v>56</v>
      </c>
      <c r="F2472" s="7" t="s">
        <v>378</v>
      </c>
      <c r="G2472" s="7" t="s">
        <v>65</v>
      </c>
      <c r="H2472" s="7" t="s">
        <v>689</v>
      </c>
      <c r="I2472" s="7" t="s">
        <v>712</v>
      </c>
      <c r="J2472" s="7" t="s">
        <v>712</v>
      </c>
      <c r="K2472" s="8">
        <v>6260409</v>
      </c>
      <c r="L2472" s="8">
        <v>331684</v>
      </c>
      <c r="M2472" s="8">
        <v>19</v>
      </c>
      <c r="N2472" s="8">
        <v>1</v>
      </c>
      <c r="O2472" s="8">
        <v>0.2</v>
      </c>
      <c r="P2472" s="8"/>
    </row>
    <row r="2473" spans="1:16" hidden="1" x14ac:dyDescent="0.25">
      <c r="A2473" s="7" t="s">
        <v>19</v>
      </c>
      <c r="B2473" s="7" t="s">
        <v>270</v>
      </c>
      <c r="C2473" s="8">
        <v>29287</v>
      </c>
      <c r="D2473" s="7" t="s">
        <v>52</v>
      </c>
      <c r="E2473" s="7" t="s">
        <v>53</v>
      </c>
      <c r="F2473" s="7" t="s">
        <v>614</v>
      </c>
      <c r="G2473" s="7" t="s">
        <v>65</v>
      </c>
      <c r="H2473" s="7" t="s">
        <v>24</v>
      </c>
      <c r="I2473" s="7" t="s">
        <v>712</v>
      </c>
      <c r="J2473" s="7" t="s">
        <v>712</v>
      </c>
      <c r="K2473" s="8">
        <v>6148873</v>
      </c>
      <c r="L2473" s="8">
        <v>312399</v>
      </c>
      <c r="M2473" s="8">
        <v>19</v>
      </c>
      <c r="N2473" s="8">
        <v>2</v>
      </c>
      <c r="O2473" s="8">
        <v>9</v>
      </c>
      <c r="P2473" s="8"/>
    </row>
    <row r="2474" spans="1:16" hidden="1" x14ac:dyDescent="0.25">
      <c r="A2474" s="7" t="s">
        <v>19</v>
      </c>
      <c r="B2474" s="7" t="s">
        <v>254</v>
      </c>
      <c r="C2474" s="8">
        <v>29289</v>
      </c>
      <c r="D2474" s="7" t="s">
        <v>21</v>
      </c>
      <c r="E2474" s="7" t="s">
        <v>342</v>
      </c>
      <c r="F2474" s="7" t="s">
        <v>342</v>
      </c>
      <c r="G2474" s="7" t="s">
        <v>65</v>
      </c>
      <c r="H2474" s="7" t="s">
        <v>66</v>
      </c>
      <c r="I2474" s="7" t="s">
        <v>712</v>
      </c>
      <c r="J2474" s="7" t="s">
        <v>712</v>
      </c>
      <c r="K2474" s="8">
        <v>6362058</v>
      </c>
      <c r="L2474" s="8">
        <v>292942</v>
      </c>
      <c r="M2474" s="8">
        <v>19</v>
      </c>
      <c r="N2474" s="8">
        <v>1</v>
      </c>
      <c r="O2474" s="8">
        <v>0.7</v>
      </c>
      <c r="P2474" s="8"/>
    </row>
    <row r="2475" spans="1:16" hidden="1" x14ac:dyDescent="0.25">
      <c r="A2475" s="7" t="s">
        <v>14</v>
      </c>
      <c r="B2475" s="7" t="s">
        <v>343</v>
      </c>
      <c r="C2475" s="8">
        <v>29290</v>
      </c>
      <c r="D2475" s="7" t="s">
        <v>16</v>
      </c>
      <c r="E2475" s="7" t="s">
        <v>17</v>
      </c>
      <c r="F2475" s="7" t="s">
        <v>17</v>
      </c>
      <c r="G2475" s="7" t="s">
        <v>65</v>
      </c>
      <c r="H2475" s="7" t="s">
        <v>689</v>
      </c>
      <c r="I2475" s="7" t="s">
        <v>712</v>
      </c>
      <c r="J2475" s="7" t="s">
        <v>712</v>
      </c>
      <c r="K2475" s="8">
        <v>6060903</v>
      </c>
      <c r="L2475" s="8">
        <v>277044</v>
      </c>
      <c r="M2475" s="8">
        <v>19</v>
      </c>
      <c r="N2475" s="8">
        <v>1</v>
      </c>
      <c r="O2475" s="8">
        <v>0.1</v>
      </c>
      <c r="P2475" s="8"/>
    </row>
    <row r="2476" spans="1:16" hidden="1" x14ac:dyDescent="0.25">
      <c r="A2476" s="7" t="s">
        <v>14</v>
      </c>
      <c r="B2476" s="7" t="s">
        <v>343</v>
      </c>
      <c r="C2476" s="8">
        <v>29291</v>
      </c>
      <c r="D2476" s="7" t="s">
        <v>52</v>
      </c>
      <c r="E2476" s="7" t="s">
        <v>139</v>
      </c>
      <c r="F2476" s="7" t="s">
        <v>404</v>
      </c>
      <c r="G2476" s="7" t="s">
        <v>65</v>
      </c>
      <c r="H2476" s="7" t="s">
        <v>689</v>
      </c>
      <c r="I2476" s="7" t="s">
        <v>712</v>
      </c>
      <c r="J2476" s="7" t="s">
        <v>712</v>
      </c>
      <c r="K2476" s="8">
        <v>6225648</v>
      </c>
      <c r="L2476" s="8">
        <v>342555</v>
      </c>
      <c r="M2476" s="8">
        <v>19</v>
      </c>
      <c r="N2476" s="8">
        <v>1</v>
      </c>
      <c r="O2476" s="8">
        <v>0.1</v>
      </c>
      <c r="P2476" s="8"/>
    </row>
    <row r="2477" spans="1:16" hidden="1" x14ac:dyDescent="0.25">
      <c r="A2477" s="7" t="s">
        <v>14</v>
      </c>
      <c r="B2477" s="7" t="s">
        <v>343</v>
      </c>
      <c r="C2477" s="8">
        <v>29292</v>
      </c>
      <c r="D2477" s="7" t="s">
        <v>52</v>
      </c>
      <c r="E2477" s="7" t="s">
        <v>139</v>
      </c>
      <c r="F2477" s="7" t="s">
        <v>234</v>
      </c>
      <c r="G2477" s="7" t="s">
        <v>18</v>
      </c>
      <c r="H2477" s="7" t="s">
        <v>689</v>
      </c>
      <c r="I2477" s="7" t="s">
        <v>712</v>
      </c>
      <c r="J2477" s="7" t="s">
        <v>712</v>
      </c>
      <c r="K2477" s="8">
        <v>6229214</v>
      </c>
      <c r="L2477" s="8">
        <v>337100</v>
      </c>
      <c r="M2477" s="8">
        <v>19</v>
      </c>
      <c r="N2477" s="8">
        <v>1</v>
      </c>
      <c r="O2477" s="8">
        <v>2</v>
      </c>
      <c r="P2477" s="8"/>
    </row>
    <row r="2478" spans="1:16" hidden="1" x14ac:dyDescent="0.25">
      <c r="A2478" s="7" t="s">
        <v>14</v>
      </c>
      <c r="B2478" s="7" t="s">
        <v>343</v>
      </c>
      <c r="C2478" s="8">
        <v>29293</v>
      </c>
      <c r="D2478" s="7" t="s">
        <v>52</v>
      </c>
      <c r="E2478" s="7" t="s">
        <v>82</v>
      </c>
      <c r="F2478" s="7" t="s">
        <v>82</v>
      </c>
      <c r="G2478" s="7" t="s">
        <v>65</v>
      </c>
      <c r="H2478" s="7" t="s">
        <v>689</v>
      </c>
      <c r="I2478" s="7" t="s">
        <v>712</v>
      </c>
      <c r="J2478" s="7" t="s">
        <v>712</v>
      </c>
      <c r="K2478" s="8">
        <v>6162693</v>
      </c>
      <c r="L2478" s="8">
        <v>280518</v>
      </c>
      <c r="M2478" s="8">
        <v>19</v>
      </c>
      <c r="N2478" s="8">
        <v>1</v>
      </c>
      <c r="O2478" s="8">
        <v>0.1</v>
      </c>
      <c r="P2478" s="8"/>
    </row>
    <row r="2479" spans="1:16" hidden="1" x14ac:dyDescent="0.25">
      <c r="A2479" s="7" t="s">
        <v>19</v>
      </c>
      <c r="B2479" s="7" t="s">
        <v>254</v>
      </c>
      <c r="C2479" s="8">
        <v>29307</v>
      </c>
      <c r="D2479" s="7" t="s">
        <v>52</v>
      </c>
      <c r="E2479" s="7" t="s">
        <v>141</v>
      </c>
      <c r="F2479" s="7" t="s">
        <v>165</v>
      </c>
      <c r="G2479" s="7" t="s">
        <v>65</v>
      </c>
      <c r="H2479" s="7" t="s">
        <v>66</v>
      </c>
      <c r="I2479" s="7" t="s">
        <v>712</v>
      </c>
      <c r="J2479" s="7" t="s">
        <v>712</v>
      </c>
      <c r="K2479" s="8">
        <v>6219688</v>
      </c>
      <c r="L2479" s="8">
        <v>335684</v>
      </c>
      <c r="M2479" s="8">
        <v>19</v>
      </c>
      <c r="N2479" s="8">
        <v>1</v>
      </c>
      <c r="O2479" s="8">
        <v>7.26</v>
      </c>
      <c r="P2479" s="8"/>
    </row>
    <row r="2480" spans="1:16" hidden="1" x14ac:dyDescent="0.25">
      <c r="A2480" s="7" t="s">
        <v>19</v>
      </c>
      <c r="B2480" s="7" t="s">
        <v>254</v>
      </c>
      <c r="C2480" s="8">
        <v>29308</v>
      </c>
      <c r="D2480" s="7" t="s">
        <v>52</v>
      </c>
      <c r="E2480" s="7" t="s">
        <v>141</v>
      </c>
      <c r="F2480" s="7" t="s">
        <v>165</v>
      </c>
      <c r="G2480" s="7" t="s">
        <v>65</v>
      </c>
      <c r="H2480" s="7" t="s">
        <v>66</v>
      </c>
      <c r="I2480" s="7" t="s">
        <v>712</v>
      </c>
      <c r="J2480" s="7" t="s">
        <v>712</v>
      </c>
      <c r="K2480" s="8">
        <v>6219688</v>
      </c>
      <c r="L2480" s="8">
        <v>335684</v>
      </c>
      <c r="M2480" s="8">
        <v>19</v>
      </c>
      <c r="N2480" s="8">
        <v>1</v>
      </c>
      <c r="O2480" s="8">
        <v>0.01</v>
      </c>
      <c r="P2480" s="8"/>
    </row>
    <row r="2481" spans="1:16" hidden="1" x14ac:dyDescent="0.25">
      <c r="A2481" s="7" t="s">
        <v>19</v>
      </c>
      <c r="B2481" s="7" t="s">
        <v>254</v>
      </c>
      <c r="C2481" s="8">
        <v>29309</v>
      </c>
      <c r="D2481" s="7" t="s">
        <v>52</v>
      </c>
      <c r="E2481" s="7" t="s">
        <v>141</v>
      </c>
      <c r="F2481" s="7" t="s">
        <v>141</v>
      </c>
      <c r="G2481" s="7" t="s">
        <v>65</v>
      </c>
      <c r="H2481" s="7" t="s">
        <v>66</v>
      </c>
      <c r="I2481" s="7" t="s">
        <v>712</v>
      </c>
      <c r="J2481" s="7" t="s">
        <v>712</v>
      </c>
      <c r="K2481" s="8">
        <v>6218408</v>
      </c>
      <c r="L2481" s="8">
        <v>336311</v>
      </c>
      <c r="M2481" s="8">
        <v>19</v>
      </c>
      <c r="N2481" s="8">
        <v>1</v>
      </c>
      <c r="O2481" s="8">
        <v>0.1</v>
      </c>
      <c r="P2481" s="8"/>
    </row>
    <row r="2482" spans="1:16" hidden="1" x14ac:dyDescent="0.25">
      <c r="A2482" s="7" t="s">
        <v>19</v>
      </c>
      <c r="B2482" s="7" t="s">
        <v>254</v>
      </c>
      <c r="C2482" s="8">
        <v>29310</v>
      </c>
      <c r="D2482" s="7" t="s">
        <v>52</v>
      </c>
      <c r="E2482" s="7" t="s">
        <v>141</v>
      </c>
      <c r="F2482" s="7" t="s">
        <v>141</v>
      </c>
      <c r="G2482" s="7" t="s">
        <v>65</v>
      </c>
      <c r="H2482" s="7" t="s">
        <v>66</v>
      </c>
      <c r="I2482" s="7" t="s">
        <v>712</v>
      </c>
      <c r="J2482" s="7" t="s">
        <v>712</v>
      </c>
      <c r="K2482" s="8">
        <v>6218483</v>
      </c>
      <c r="L2482" s="8">
        <v>336227</v>
      </c>
      <c r="M2482" s="8">
        <v>19</v>
      </c>
      <c r="N2482" s="8">
        <v>1</v>
      </c>
      <c r="O2482" s="8">
        <v>0.9</v>
      </c>
      <c r="P2482" s="8"/>
    </row>
    <row r="2483" spans="1:16" hidden="1" x14ac:dyDescent="0.25">
      <c r="A2483" s="7" t="s">
        <v>19</v>
      </c>
      <c r="B2483" s="7" t="s">
        <v>270</v>
      </c>
      <c r="C2483" s="8">
        <v>29311</v>
      </c>
      <c r="D2483" s="7" t="s">
        <v>52</v>
      </c>
      <c r="E2483" s="7" t="s">
        <v>141</v>
      </c>
      <c r="F2483" s="7" t="s">
        <v>270</v>
      </c>
      <c r="G2483" s="7" t="s">
        <v>65</v>
      </c>
      <c r="H2483" s="7" t="s">
        <v>24</v>
      </c>
      <c r="I2483" s="7" t="s">
        <v>712</v>
      </c>
      <c r="J2483" s="7" t="s">
        <v>712</v>
      </c>
      <c r="K2483" s="8">
        <v>6224146</v>
      </c>
      <c r="L2483" s="8">
        <v>337259</v>
      </c>
      <c r="M2483" s="8">
        <v>19</v>
      </c>
      <c r="N2483" s="8">
        <v>1</v>
      </c>
      <c r="O2483" s="8">
        <v>1</v>
      </c>
      <c r="P2483" s="8"/>
    </row>
    <row r="2484" spans="1:16" hidden="1" x14ac:dyDescent="0.25">
      <c r="A2484" s="7" t="s">
        <v>19</v>
      </c>
      <c r="B2484" s="7" t="s">
        <v>270</v>
      </c>
      <c r="C2484" s="8">
        <v>29312</v>
      </c>
      <c r="D2484" s="7" t="s">
        <v>16</v>
      </c>
      <c r="E2484" s="7" t="s">
        <v>595</v>
      </c>
      <c r="F2484" s="7" t="s">
        <v>453</v>
      </c>
      <c r="G2484" s="7" t="s">
        <v>65</v>
      </c>
      <c r="H2484" s="7" t="s">
        <v>24</v>
      </c>
      <c r="I2484" s="7" t="s">
        <v>712</v>
      </c>
      <c r="J2484" s="7" t="s">
        <v>712</v>
      </c>
      <c r="K2484" s="8">
        <v>6120118</v>
      </c>
      <c r="L2484" s="8">
        <v>250710</v>
      </c>
      <c r="M2484" s="8">
        <v>19</v>
      </c>
      <c r="N2484" s="8">
        <v>1</v>
      </c>
      <c r="O2484" s="8">
        <v>29</v>
      </c>
      <c r="P2484" s="8"/>
    </row>
    <row r="2485" spans="1:16" hidden="1" x14ac:dyDescent="0.25">
      <c r="A2485" s="7" t="s">
        <v>19</v>
      </c>
      <c r="B2485" s="7" t="s">
        <v>270</v>
      </c>
      <c r="C2485" s="8">
        <v>29313</v>
      </c>
      <c r="D2485" s="7" t="s">
        <v>52</v>
      </c>
      <c r="E2485" s="7" t="s">
        <v>82</v>
      </c>
      <c r="F2485" s="7" t="s">
        <v>437</v>
      </c>
      <c r="G2485" s="7" t="s">
        <v>65</v>
      </c>
      <c r="H2485" s="7" t="s">
        <v>24</v>
      </c>
      <c r="I2485" s="7" t="s">
        <v>712</v>
      </c>
      <c r="J2485" s="7" t="s">
        <v>712</v>
      </c>
      <c r="K2485" s="8">
        <v>6167012</v>
      </c>
      <c r="L2485" s="8">
        <v>289271</v>
      </c>
      <c r="M2485" s="8">
        <v>19</v>
      </c>
      <c r="N2485" s="8">
        <v>3</v>
      </c>
      <c r="O2485" s="8">
        <v>30</v>
      </c>
      <c r="P2485" s="8"/>
    </row>
    <row r="2486" spans="1:16" hidden="1" x14ac:dyDescent="0.25">
      <c r="A2486" s="7" t="s">
        <v>19</v>
      </c>
      <c r="B2486" s="7" t="s">
        <v>270</v>
      </c>
      <c r="C2486" s="8">
        <v>29314</v>
      </c>
      <c r="D2486" s="7" t="s">
        <v>16</v>
      </c>
      <c r="E2486" s="7" t="s">
        <v>17</v>
      </c>
      <c r="F2486" s="7" t="s">
        <v>645</v>
      </c>
      <c r="G2486" s="7" t="s">
        <v>18</v>
      </c>
      <c r="H2486" s="7" t="s">
        <v>48</v>
      </c>
      <c r="I2486" s="7" t="s">
        <v>712</v>
      </c>
      <c r="J2486" s="7" t="s">
        <v>691</v>
      </c>
      <c r="K2486" s="8">
        <v>6072771</v>
      </c>
      <c r="L2486" s="8">
        <v>289511</v>
      </c>
      <c r="M2486" s="8">
        <v>19</v>
      </c>
      <c r="N2486" s="8">
        <v>1</v>
      </c>
      <c r="O2486" s="8">
        <v>2.7</v>
      </c>
      <c r="P2486" s="8"/>
    </row>
    <row r="2487" spans="1:16" hidden="1" x14ac:dyDescent="0.25">
      <c r="A2487" s="7" t="s">
        <v>19</v>
      </c>
      <c r="B2487" s="7" t="s">
        <v>270</v>
      </c>
      <c r="C2487" s="8">
        <v>29315</v>
      </c>
      <c r="D2487" s="7" t="s">
        <v>16</v>
      </c>
      <c r="E2487" s="7" t="s">
        <v>137</v>
      </c>
      <c r="F2487" s="7" t="s">
        <v>467</v>
      </c>
      <c r="G2487" s="7" t="s">
        <v>65</v>
      </c>
      <c r="H2487" s="7" t="s">
        <v>24</v>
      </c>
      <c r="I2487" s="7" t="s">
        <v>712</v>
      </c>
      <c r="J2487" s="7" t="s">
        <v>712</v>
      </c>
      <c r="K2487" s="8">
        <v>6076608</v>
      </c>
      <c r="L2487" s="8">
        <v>244326</v>
      </c>
      <c r="M2487" s="8">
        <v>19</v>
      </c>
      <c r="N2487" s="8">
        <v>1</v>
      </c>
      <c r="O2487" s="8">
        <v>5</v>
      </c>
      <c r="P2487" s="8"/>
    </row>
    <row r="2488" spans="1:16" hidden="1" x14ac:dyDescent="0.25">
      <c r="A2488" s="7" t="s">
        <v>19</v>
      </c>
      <c r="B2488" s="7" t="s">
        <v>270</v>
      </c>
      <c r="C2488" s="8">
        <v>29316</v>
      </c>
      <c r="D2488" s="7" t="s">
        <v>52</v>
      </c>
      <c r="E2488" s="7" t="s">
        <v>141</v>
      </c>
      <c r="F2488" s="7" t="s">
        <v>270</v>
      </c>
      <c r="G2488" s="7" t="s">
        <v>65</v>
      </c>
      <c r="H2488" s="7" t="s">
        <v>24</v>
      </c>
      <c r="I2488" s="7" t="s">
        <v>712</v>
      </c>
      <c r="J2488" s="7" t="s">
        <v>712</v>
      </c>
      <c r="K2488" s="8">
        <v>6224146</v>
      </c>
      <c r="L2488" s="8">
        <v>337259</v>
      </c>
      <c r="M2488" s="8">
        <v>19</v>
      </c>
      <c r="N2488" s="8">
        <v>1</v>
      </c>
      <c r="O2488" s="8">
        <v>1</v>
      </c>
      <c r="P2488" s="8"/>
    </row>
    <row r="2489" spans="1:16" hidden="1" x14ac:dyDescent="0.25">
      <c r="A2489" s="7" t="s">
        <v>14</v>
      </c>
      <c r="B2489" s="7" t="s">
        <v>558</v>
      </c>
      <c r="C2489" s="8">
        <v>29317</v>
      </c>
      <c r="D2489" s="7" t="s">
        <v>28</v>
      </c>
      <c r="E2489" s="7" t="s">
        <v>483</v>
      </c>
      <c r="F2489" s="7" t="s">
        <v>483</v>
      </c>
      <c r="G2489" s="7" t="s">
        <v>18</v>
      </c>
      <c r="H2489" s="7" t="s">
        <v>689</v>
      </c>
      <c r="I2489" s="7" t="s">
        <v>690</v>
      </c>
      <c r="J2489" s="7" t="s">
        <v>690</v>
      </c>
      <c r="K2489" s="8">
        <v>6335762</v>
      </c>
      <c r="L2489" s="8">
        <v>340549</v>
      </c>
      <c r="M2489" s="8">
        <v>19</v>
      </c>
      <c r="N2489" s="8">
        <v>1</v>
      </c>
      <c r="O2489" s="8">
        <v>0.83</v>
      </c>
      <c r="P2489" s="8"/>
    </row>
    <row r="2490" spans="1:16" hidden="1" x14ac:dyDescent="0.25">
      <c r="A2490" s="7" t="s">
        <v>19</v>
      </c>
      <c r="B2490" s="7" t="s">
        <v>270</v>
      </c>
      <c r="C2490" s="8">
        <v>29318</v>
      </c>
      <c r="D2490" s="7" t="s">
        <v>52</v>
      </c>
      <c r="E2490" s="7" t="s">
        <v>139</v>
      </c>
      <c r="F2490" s="7" t="s">
        <v>270</v>
      </c>
      <c r="G2490" s="7" t="s">
        <v>65</v>
      </c>
      <c r="H2490" s="7" t="s">
        <v>24</v>
      </c>
      <c r="I2490" s="7" t="s">
        <v>712</v>
      </c>
      <c r="J2490" s="7" t="s">
        <v>712</v>
      </c>
      <c r="K2490" s="8">
        <v>6224944</v>
      </c>
      <c r="L2490" s="8">
        <v>338071</v>
      </c>
      <c r="M2490" s="8">
        <v>19</v>
      </c>
      <c r="N2490" s="8">
        <v>1</v>
      </c>
      <c r="O2490" s="8">
        <v>0.5</v>
      </c>
      <c r="P2490" s="8"/>
    </row>
    <row r="2491" spans="1:16" hidden="1" x14ac:dyDescent="0.25">
      <c r="A2491" s="7" t="s">
        <v>19</v>
      </c>
      <c r="B2491" s="7" t="s">
        <v>270</v>
      </c>
      <c r="C2491" s="8">
        <v>29319</v>
      </c>
      <c r="D2491" s="7" t="s">
        <v>52</v>
      </c>
      <c r="E2491" s="7" t="s">
        <v>141</v>
      </c>
      <c r="F2491" s="7" t="s">
        <v>270</v>
      </c>
      <c r="G2491" s="7" t="s">
        <v>65</v>
      </c>
      <c r="H2491" s="7" t="s">
        <v>24</v>
      </c>
      <c r="I2491" s="7" t="s">
        <v>712</v>
      </c>
      <c r="J2491" s="7" t="s">
        <v>712</v>
      </c>
      <c r="K2491" s="8">
        <v>6224146</v>
      </c>
      <c r="L2491" s="8">
        <v>337259</v>
      </c>
      <c r="M2491" s="8">
        <v>19</v>
      </c>
      <c r="N2491" s="8">
        <v>1</v>
      </c>
      <c r="O2491" s="8">
        <v>1</v>
      </c>
      <c r="P2491" s="8"/>
    </row>
    <row r="2492" spans="1:16" hidden="1" x14ac:dyDescent="0.25">
      <c r="A2492" s="7" t="s">
        <v>19</v>
      </c>
      <c r="B2492" s="7" t="s">
        <v>270</v>
      </c>
      <c r="C2492" s="8">
        <v>29320</v>
      </c>
      <c r="D2492" s="7" t="s">
        <v>52</v>
      </c>
      <c r="E2492" s="7" t="s">
        <v>139</v>
      </c>
      <c r="F2492" s="7" t="s">
        <v>270</v>
      </c>
      <c r="G2492" s="7" t="s">
        <v>65</v>
      </c>
      <c r="H2492" s="7" t="s">
        <v>24</v>
      </c>
      <c r="I2492" s="7" t="s">
        <v>712</v>
      </c>
      <c r="J2492" s="7" t="s">
        <v>712</v>
      </c>
      <c r="K2492" s="8">
        <v>6224944</v>
      </c>
      <c r="L2492" s="8">
        <v>338071</v>
      </c>
      <c r="M2492" s="8">
        <v>19</v>
      </c>
      <c r="N2492" s="8">
        <v>1</v>
      </c>
      <c r="O2492" s="8">
        <v>0.5</v>
      </c>
      <c r="P2492" s="8"/>
    </row>
    <row r="2493" spans="1:16" hidden="1" x14ac:dyDescent="0.25">
      <c r="A2493" s="7" t="s">
        <v>19</v>
      </c>
      <c r="B2493" s="7" t="s">
        <v>270</v>
      </c>
      <c r="C2493" s="8">
        <v>29321</v>
      </c>
      <c r="D2493" s="7" t="s">
        <v>52</v>
      </c>
      <c r="E2493" s="7" t="s">
        <v>141</v>
      </c>
      <c r="F2493" s="7" t="s">
        <v>270</v>
      </c>
      <c r="G2493" s="7" t="s">
        <v>65</v>
      </c>
      <c r="H2493" s="7" t="s">
        <v>24</v>
      </c>
      <c r="I2493" s="7" t="s">
        <v>712</v>
      </c>
      <c r="J2493" s="7" t="s">
        <v>712</v>
      </c>
      <c r="K2493" s="8">
        <v>6224181</v>
      </c>
      <c r="L2493" s="8">
        <v>336886</v>
      </c>
      <c r="M2493" s="8">
        <v>19</v>
      </c>
      <c r="N2493" s="8">
        <v>1</v>
      </c>
      <c r="O2493" s="8">
        <v>6</v>
      </c>
      <c r="P2493" s="8"/>
    </row>
    <row r="2494" spans="1:16" hidden="1" x14ac:dyDescent="0.25">
      <c r="A2494" s="7" t="s">
        <v>19</v>
      </c>
      <c r="B2494" s="7" t="s">
        <v>270</v>
      </c>
      <c r="C2494" s="8">
        <v>29322</v>
      </c>
      <c r="D2494" s="7" t="s">
        <v>52</v>
      </c>
      <c r="E2494" s="7" t="s">
        <v>53</v>
      </c>
      <c r="F2494" s="7" t="s">
        <v>614</v>
      </c>
      <c r="G2494" s="7" t="s">
        <v>65</v>
      </c>
      <c r="H2494" s="7" t="s">
        <v>24</v>
      </c>
      <c r="I2494" s="7" t="s">
        <v>712</v>
      </c>
      <c r="J2494" s="7" t="s">
        <v>712</v>
      </c>
      <c r="K2494" s="8">
        <v>6153605</v>
      </c>
      <c r="L2494" s="8">
        <v>309549</v>
      </c>
      <c r="M2494" s="8">
        <v>19</v>
      </c>
      <c r="N2494" s="8">
        <v>4</v>
      </c>
      <c r="O2494" s="8">
        <v>18</v>
      </c>
      <c r="P2494" s="8"/>
    </row>
    <row r="2495" spans="1:16" hidden="1" x14ac:dyDescent="0.25">
      <c r="A2495" s="7" t="s">
        <v>19</v>
      </c>
      <c r="B2495" s="7" t="s">
        <v>270</v>
      </c>
      <c r="C2495" s="8">
        <v>29323</v>
      </c>
      <c r="D2495" s="7" t="s">
        <v>52</v>
      </c>
      <c r="E2495" s="7" t="s">
        <v>141</v>
      </c>
      <c r="F2495" s="7" t="s">
        <v>270</v>
      </c>
      <c r="G2495" s="7" t="s">
        <v>65</v>
      </c>
      <c r="H2495" s="7" t="s">
        <v>24</v>
      </c>
      <c r="I2495" s="7" t="s">
        <v>712</v>
      </c>
      <c r="J2495" s="7" t="s">
        <v>712</v>
      </c>
      <c r="K2495" s="8">
        <v>6224181</v>
      </c>
      <c r="L2495" s="8">
        <v>336886</v>
      </c>
      <c r="M2495" s="8">
        <v>19</v>
      </c>
      <c r="N2495" s="8">
        <v>1</v>
      </c>
      <c r="O2495" s="8">
        <v>3</v>
      </c>
      <c r="P2495" s="8"/>
    </row>
    <row r="2496" spans="1:16" hidden="1" x14ac:dyDescent="0.25">
      <c r="A2496" s="7" t="s">
        <v>19</v>
      </c>
      <c r="B2496" s="7" t="s">
        <v>270</v>
      </c>
      <c r="C2496" s="8">
        <v>29324</v>
      </c>
      <c r="D2496" s="7" t="s">
        <v>21</v>
      </c>
      <c r="E2496" s="7" t="s">
        <v>646</v>
      </c>
      <c r="F2496" s="7" t="s">
        <v>646</v>
      </c>
      <c r="G2496" s="7" t="s">
        <v>65</v>
      </c>
      <c r="H2496" s="7" t="s">
        <v>24</v>
      </c>
      <c r="I2496" s="7" t="s">
        <v>712</v>
      </c>
      <c r="J2496" s="7" t="s">
        <v>712</v>
      </c>
      <c r="K2496" s="8">
        <v>6370838</v>
      </c>
      <c r="L2496" s="8">
        <v>296579</v>
      </c>
      <c r="M2496" s="8">
        <v>19</v>
      </c>
      <c r="N2496" s="8">
        <v>1</v>
      </c>
      <c r="O2496" s="8">
        <v>6</v>
      </c>
      <c r="P2496" s="8"/>
    </row>
    <row r="2497" spans="1:16" hidden="1" x14ac:dyDescent="0.25">
      <c r="A2497" s="7" t="s">
        <v>19</v>
      </c>
      <c r="B2497" s="7" t="s">
        <v>270</v>
      </c>
      <c r="C2497" s="8">
        <v>29325</v>
      </c>
      <c r="D2497" s="7" t="s">
        <v>52</v>
      </c>
      <c r="E2497" s="7" t="s">
        <v>139</v>
      </c>
      <c r="F2497" s="7" t="s">
        <v>270</v>
      </c>
      <c r="G2497" s="7" t="s">
        <v>65</v>
      </c>
      <c r="H2497" s="7" t="s">
        <v>24</v>
      </c>
      <c r="I2497" s="7" t="s">
        <v>712</v>
      </c>
      <c r="J2497" s="7" t="s">
        <v>712</v>
      </c>
      <c r="K2497" s="8">
        <v>6224944</v>
      </c>
      <c r="L2497" s="8">
        <v>338071</v>
      </c>
      <c r="M2497" s="8">
        <v>19</v>
      </c>
      <c r="N2497" s="8">
        <v>1</v>
      </c>
      <c r="O2497" s="8">
        <v>0.5</v>
      </c>
      <c r="P2497" s="8"/>
    </row>
    <row r="2498" spans="1:16" hidden="1" x14ac:dyDescent="0.25">
      <c r="A2498" s="7" t="s">
        <v>19</v>
      </c>
      <c r="B2498" s="7" t="s">
        <v>270</v>
      </c>
      <c r="C2498" s="8">
        <v>29326</v>
      </c>
      <c r="D2498" s="7" t="s">
        <v>52</v>
      </c>
      <c r="E2498" s="7" t="s">
        <v>141</v>
      </c>
      <c r="F2498" s="7" t="s">
        <v>299</v>
      </c>
      <c r="G2498" s="7" t="s">
        <v>65</v>
      </c>
      <c r="H2498" s="7" t="s">
        <v>24</v>
      </c>
      <c r="I2498" s="7" t="s">
        <v>712</v>
      </c>
      <c r="J2498" s="7" t="s">
        <v>712</v>
      </c>
      <c r="K2498" s="8">
        <v>6224693</v>
      </c>
      <c r="L2498" s="8">
        <v>334149</v>
      </c>
      <c r="M2498" s="8">
        <v>19</v>
      </c>
      <c r="N2498" s="8">
        <v>1</v>
      </c>
      <c r="O2498" s="8">
        <v>2.5</v>
      </c>
      <c r="P2498" s="8"/>
    </row>
    <row r="2499" spans="1:16" hidden="1" x14ac:dyDescent="0.25">
      <c r="A2499" s="7" t="s">
        <v>19</v>
      </c>
      <c r="B2499" s="7" t="s">
        <v>270</v>
      </c>
      <c r="C2499" s="8">
        <v>29327</v>
      </c>
      <c r="D2499" s="7" t="s">
        <v>52</v>
      </c>
      <c r="E2499" s="7" t="s">
        <v>141</v>
      </c>
      <c r="F2499" s="7" t="s">
        <v>299</v>
      </c>
      <c r="G2499" s="7" t="s">
        <v>65</v>
      </c>
      <c r="H2499" s="7" t="s">
        <v>24</v>
      </c>
      <c r="I2499" s="7" t="s">
        <v>712</v>
      </c>
      <c r="J2499" s="7" t="s">
        <v>712</v>
      </c>
      <c r="K2499" s="8">
        <v>6224693</v>
      </c>
      <c r="L2499" s="8">
        <v>334149</v>
      </c>
      <c r="M2499" s="8">
        <v>19</v>
      </c>
      <c r="N2499" s="8">
        <v>1</v>
      </c>
      <c r="O2499" s="8">
        <v>0.89</v>
      </c>
      <c r="P2499" s="8"/>
    </row>
    <row r="2500" spans="1:16" hidden="1" x14ac:dyDescent="0.25">
      <c r="A2500" s="7" t="s">
        <v>19</v>
      </c>
      <c r="B2500" s="7" t="s">
        <v>270</v>
      </c>
      <c r="C2500" s="8">
        <v>29328</v>
      </c>
      <c r="D2500" s="7" t="s">
        <v>52</v>
      </c>
      <c r="E2500" s="7" t="s">
        <v>141</v>
      </c>
      <c r="F2500" s="7" t="s">
        <v>139</v>
      </c>
      <c r="G2500" s="7" t="s">
        <v>65</v>
      </c>
      <c r="H2500" s="7" t="s">
        <v>24</v>
      </c>
      <c r="I2500" s="7" t="s">
        <v>712</v>
      </c>
      <c r="J2500" s="7" t="s">
        <v>712</v>
      </c>
      <c r="K2500" s="8">
        <v>6224484</v>
      </c>
      <c r="L2500" s="8">
        <v>339710</v>
      </c>
      <c r="M2500" s="8">
        <v>19</v>
      </c>
      <c r="N2500" s="8">
        <v>1</v>
      </c>
      <c r="O2500" s="8">
        <v>2.06</v>
      </c>
      <c r="P2500" s="8"/>
    </row>
    <row r="2501" spans="1:16" hidden="1" x14ac:dyDescent="0.25">
      <c r="A2501" s="7" t="s">
        <v>19</v>
      </c>
      <c r="B2501" s="7" t="s">
        <v>270</v>
      </c>
      <c r="C2501" s="8">
        <v>29329</v>
      </c>
      <c r="D2501" s="7" t="s">
        <v>52</v>
      </c>
      <c r="E2501" s="7" t="s">
        <v>141</v>
      </c>
      <c r="F2501" s="7" t="s">
        <v>270</v>
      </c>
      <c r="G2501" s="7" t="s">
        <v>65</v>
      </c>
      <c r="H2501" s="7" t="s">
        <v>24</v>
      </c>
      <c r="I2501" s="7" t="s">
        <v>712</v>
      </c>
      <c r="J2501" s="7" t="s">
        <v>712</v>
      </c>
      <c r="K2501" s="8">
        <v>6224146</v>
      </c>
      <c r="L2501" s="8">
        <v>337259</v>
      </c>
      <c r="M2501" s="8">
        <v>19</v>
      </c>
      <c r="N2501" s="8">
        <v>1</v>
      </c>
      <c r="O2501" s="8">
        <v>1</v>
      </c>
      <c r="P2501" s="8"/>
    </row>
    <row r="2502" spans="1:16" hidden="1" x14ac:dyDescent="0.25">
      <c r="A2502" s="7" t="s">
        <v>19</v>
      </c>
      <c r="B2502" s="7" t="s">
        <v>270</v>
      </c>
      <c r="C2502" s="8">
        <v>29330</v>
      </c>
      <c r="D2502" s="7" t="s">
        <v>52</v>
      </c>
      <c r="E2502" s="7" t="s">
        <v>141</v>
      </c>
      <c r="F2502" s="7" t="s">
        <v>299</v>
      </c>
      <c r="G2502" s="7" t="s">
        <v>65</v>
      </c>
      <c r="H2502" s="7" t="s">
        <v>24</v>
      </c>
      <c r="I2502" s="7" t="s">
        <v>712</v>
      </c>
      <c r="J2502" s="7" t="s">
        <v>712</v>
      </c>
      <c r="K2502" s="8">
        <v>6224693</v>
      </c>
      <c r="L2502" s="8">
        <v>334149</v>
      </c>
      <c r="M2502" s="8">
        <v>19</v>
      </c>
      <c r="N2502" s="8">
        <v>1</v>
      </c>
      <c r="O2502" s="8">
        <v>0.8</v>
      </c>
      <c r="P2502" s="8"/>
    </row>
    <row r="2503" spans="1:16" hidden="1" x14ac:dyDescent="0.25">
      <c r="A2503" s="7" t="s">
        <v>14</v>
      </c>
      <c r="B2503" s="7" t="s">
        <v>558</v>
      </c>
      <c r="C2503" s="8">
        <v>29331</v>
      </c>
      <c r="D2503" s="7" t="s">
        <v>52</v>
      </c>
      <c r="E2503" s="7" t="s">
        <v>159</v>
      </c>
      <c r="F2503" s="7" t="s">
        <v>480</v>
      </c>
      <c r="G2503" s="7" t="s">
        <v>18</v>
      </c>
      <c r="H2503" s="7" t="s">
        <v>689</v>
      </c>
      <c r="I2503" s="7" t="s">
        <v>690</v>
      </c>
      <c r="J2503" s="7" t="s">
        <v>690</v>
      </c>
      <c r="K2503" s="8">
        <v>6241688</v>
      </c>
      <c r="L2503" s="8">
        <v>344965</v>
      </c>
      <c r="M2503" s="8">
        <v>19</v>
      </c>
      <c r="N2503" s="8">
        <v>1</v>
      </c>
      <c r="O2503" s="8">
        <v>0.83</v>
      </c>
      <c r="P2503" s="8"/>
    </row>
    <row r="2504" spans="1:16" hidden="1" x14ac:dyDescent="0.25">
      <c r="A2504" s="7" t="s">
        <v>14</v>
      </c>
      <c r="B2504" s="7" t="s">
        <v>558</v>
      </c>
      <c r="C2504" s="8">
        <v>29332</v>
      </c>
      <c r="D2504" s="7" t="s">
        <v>52</v>
      </c>
      <c r="E2504" s="7" t="s">
        <v>141</v>
      </c>
      <c r="F2504" s="7" t="s">
        <v>277</v>
      </c>
      <c r="G2504" s="7" t="s">
        <v>18</v>
      </c>
      <c r="H2504" s="7" t="s">
        <v>689</v>
      </c>
      <c r="I2504" s="7" t="s">
        <v>690</v>
      </c>
      <c r="J2504" s="7" t="s">
        <v>690</v>
      </c>
      <c r="K2504" s="8">
        <v>6218821</v>
      </c>
      <c r="L2504" s="8">
        <v>333434</v>
      </c>
      <c r="M2504" s="8">
        <v>19</v>
      </c>
      <c r="N2504" s="8">
        <v>1</v>
      </c>
      <c r="O2504" s="8">
        <v>0.83</v>
      </c>
      <c r="P2504" s="8"/>
    </row>
    <row r="2505" spans="1:16" x14ac:dyDescent="0.25">
      <c r="A2505" s="7" t="s">
        <v>14</v>
      </c>
      <c r="B2505" s="7" t="s">
        <v>713</v>
      </c>
      <c r="C2505" s="8">
        <v>29334</v>
      </c>
      <c r="D2505" s="7" t="s">
        <v>52</v>
      </c>
      <c r="E2505" s="7" t="s">
        <v>139</v>
      </c>
      <c r="F2505" s="7" t="s">
        <v>139</v>
      </c>
      <c r="G2505" s="7" t="s">
        <v>18</v>
      </c>
      <c r="H2505" s="7" t="s">
        <v>689</v>
      </c>
      <c r="I2505" s="7" t="s">
        <v>712</v>
      </c>
      <c r="J2505" s="7" t="s">
        <v>712</v>
      </c>
      <c r="K2505" s="8">
        <v>6228337</v>
      </c>
      <c r="L2505" s="8">
        <v>336834</v>
      </c>
      <c r="M2505" s="8">
        <v>19</v>
      </c>
      <c r="N2505" s="8">
        <v>1</v>
      </c>
      <c r="O2505" s="8">
        <v>1.36</v>
      </c>
      <c r="P2505" s="8"/>
    </row>
    <row r="2506" spans="1:16" hidden="1" x14ac:dyDescent="0.25">
      <c r="A2506" s="7" t="s">
        <v>14</v>
      </c>
      <c r="B2506" s="7" t="s">
        <v>558</v>
      </c>
      <c r="C2506" s="8">
        <v>29335</v>
      </c>
      <c r="D2506" s="7" t="s">
        <v>52</v>
      </c>
      <c r="E2506" s="7" t="s">
        <v>145</v>
      </c>
      <c r="F2506" s="7" t="s">
        <v>145</v>
      </c>
      <c r="G2506" s="7" t="s">
        <v>18</v>
      </c>
      <c r="H2506" s="7" t="s">
        <v>689</v>
      </c>
      <c r="I2506" s="7" t="s">
        <v>690</v>
      </c>
      <c r="J2506" s="7" t="s">
        <v>690</v>
      </c>
      <c r="K2506" s="8">
        <v>6165317</v>
      </c>
      <c r="L2506" s="8">
        <v>327179</v>
      </c>
      <c r="M2506" s="8">
        <v>19</v>
      </c>
      <c r="N2506" s="8">
        <v>1</v>
      </c>
      <c r="O2506" s="8">
        <v>0.11</v>
      </c>
      <c r="P2506" s="8"/>
    </row>
    <row r="2507" spans="1:16" hidden="1" x14ac:dyDescent="0.25">
      <c r="A2507" s="7" t="s">
        <v>14</v>
      </c>
      <c r="B2507" s="7" t="s">
        <v>415</v>
      </c>
      <c r="C2507" s="8">
        <v>29337</v>
      </c>
      <c r="D2507" s="7" t="s">
        <v>28</v>
      </c>
      <c r="E2507" s="7" t="s">
        <v>56</v>
      </c>
      <c r="F2507" s="7" t="s">
        <v>162</v>
      </c>
      <c r="G2507" s="7" t="s">
        <v>65</v>
      </c>
      <c r="H2507" s="7" t="s">
        <v>689</v>
      </c>
      <c r="I2507" s="7" t="s">
        <v>712</v>
      </c>
      <c r="J2507" s="7" t="s">
        <v>712</v>
      </c>
      <c r="K2507" s="8">
        <v>6258876</v>
      </c>
      <c r="L2507" s="8">
        <v>332346</v>
      </c>
      <c r="M2507" s="8">
        <v>19</v>
      </c>
      <c r="N2507" s="8">
        <v>1</v>
      </c>
      <c r="O2507" s="8">
        <v>0.17</v>
      </c>
      <c r="P2507" s="8"/>
    </row>
    <row r="2508" spans="1:16" hidden="1" x14ac:dyDescent="0.25">
      <c r="A2508" s="7" t="s">
        <v>14</v>
      </c>
      <c r="B2508" s="7" t="s">
        <v>415</v>
      </c>
      <c r="C2508" s="8">
        <v>29338</v>
      </c>
      <c r="D2508" s="7" t="s">
        <v>28</v>
      </c>
      <c r="E2508" s="7" t="s">
        <v>56</v>
      </c>
      <c r="F2508" s="7" t="s">
        <v>162</v>
      </c>
      <c r="G2508" s="7" t="s">
        <v>65</v>
      </c>
      <c r="H2508" s="7" t="s">
        <v>689</v>
      </c>
      <c r="I2508" s="7" t="s">
        <v>712</v>
      </c>
      <c r="J2508" s="7" t="s">
        <v>712</v>
      </c>
      <c r="K2508" s="8">
        <v>6259081</v>
      </c>
      <c r="L2508" s="8">
        <v>332152</v>
      </c>
      <c r="M2508" s="8">
        <v>19</v>
      </c>
      <c r="N2508" s="8">
        <v>2</v>
      </c>
      <c r="O2508" s="8">
        <v>0.52</v>
      </c>
      <c r="P2508" s="8"/>
    </row>
    <row r="2509" spans="1:16" x14ac:dyDescent="0.25">
      <c r="A2509" s="7" t="s">
        <v>14</v>
      </c>
      <c r="B2509" s="7" t="s">
        <v>713</v>
      </c>
      <c r="C2509" s="8">
        <v>29339</v>
      </c>
      <c r="D2509" s="7" t="s">
        <v>52</v>
      </c>
      <c r="E2509" s="7" t="s">
        <v>139</v>
      </c>
      <c r="F2509" s="7" t="s">
        <v>139</v>
      </c>
      <c r="G2509" s="7" t="s">
        <v>18</v>
      </c>
      <c r="H2509" s="7" t="s">
        <v>689</v>
      </c>
      <c r="I2509" s="7" t="s">
        <v>712</v>
      </c>
      <c r="J2509" s="7" t="s">
        <v>712</v>
      </c>
      <c r="K2509" s="8">
        <v>6228291</v>
      </c>
      <c r="L2509" s="8">
        <v>338864</v>
      </c>
      <c r="M2509" s="8">
        <v>19</v>
      </c>
      <c r="N2509" s="8">
        <v>1</v>
      </c>
      <c r="O2509" s="8">
        <v>4.3</v>
      </c>
      <c r="P2509" s="8"/>
    </row>
    <row r="2510" spans="1:16" hidden="1" x14ac:dyDescent="0.25">
      <c r="A2510" s="7" t="s">
        <v>14</v>
      </c>
      <c r="B2510" s="7" t="s">
        <v>558</v>
      </c>
      <c r="C2510" s="8">
        <v>29341</v>
      </c>
      <c r="D2510" s="7" t="s">
        <v>52</v>
      </c>
      <c r="E2510" s="7" t="s">
        <v>561</v>
      </c>
      <c r="F2510" s="7" t="s">
        <v>561</v>
      </c>
      <c r="G2510" s="7" t="s">
        <v>18</v>
      </c>
      <c r="H2510" s="7" t="s">
        <v>689</v>
      </c>
      <c r="I2510" s="7" t="s">
        <v>690</v>
      </c>
      <c r="J2510" s="7" t="s">
        <v>690</v>
      </c>
      <c r="K2510" s="8">
        <v>6211266</v>
      </c>
      <c r="L2510" s="8">
        <v>333411</v>
      </c>
      <c r="M2510" s="8">
        <v>19</v>
      </c>
      <c r="N2510" s="8">
        <v>1</v>
      </c>
      <c r="O2510" s="8">
        <v>0.18</v>
      </c>
      <c r="P2510" s="8"/>
    </row>
    <row r="2511" spans="1:16" hidden="1" x14ac:dyDescent="0.25">
      <c r="A2511" s="7" t="s">
        <v>19</v>
      </c>
      <c r="B2511" s="7" t="s">
        <v>651</v>
      </c>
      <c r="C2511" s="8">
        <v>29342</v>
      </c>
      <c r="D2511" s="7" t="s">
        <v>34</v>
      </c>
      <c r="E2511" s="7" t="s">
        <v>192</v>
      </c>
      <c r="F2511" s="7" t="s">
        <v>192</v>
      </c>
      <c r="G2511" s="7" t="s">
        <v>65</v>
      </c>
      <c r="H2511" s="7" t="s">
        <v>66</v>
      </c>
      <c r="I2511" s="7" t="s">
        <v>712</v>
      </c>
      <c r="J2511" s="7" t="s">
        <v>712</v>
      </c>
      <c r="K2511" s="8">
        <v>5831758</v>
      </c>
      <c r="L2511" s="8">
        <v>734550</v>
      </c>
      <c r="M2511" s="8">
        <v>18</v>
      </c>
      <c r="N2511" s="8">
        <v>1</v>
      </c>
      <c r="O2511" s="8">
        <v>15</v>
      </c>
      <c r="P2511" s="8"/>
    </row>
    <row r="2512" spans="1:16" hidden="1" x14ac:dyDescent="0.25">
      <c r="A2512" s="7" t="s">
        <v>19</v>
      </c>
      <c r="B2512" s="7" t="s">
        <v>651</v>
      </c>
      <c r="C2512" s="8">
        <v>29343</v>
      </c>
      <c r="D2512" s="7" t="s">
        <v>34</v>
      </c>
      <c r="E2512" s="7" t="s">
        <v>35</v>
      </c>
      <c r="F2512" s="7" t="s">
        <v>74</v>
      </c>
      <c r="G2512" s="7" t="s">
        <v>65</v>
      </c>
      <c r="H2512" s="7" t="s">
        <v>66</v>
      </c>
      <c r="I2512" s="7" t="s">
        <v>712</v>
      </c>
      <c r="J2512" s="7" t="s">
        <v>712</v>
      </c>
      <c r="K2512" s="8">
        <v>5853595</v>
      </c>
      <c r="L2512" s="8">
        <v>739910</v>
      </c>
      <c r="M2512" s="8">
        <v>18</v>
      </c>
      <c r="N2512" s="8">
        <v>1</v>
      </c>
      <c r="O2512" s="8">
        <v>9</v>
      </c>
      <c r="P2512" s="8"/>
    </row>
    <row r="2513" spans="1:16" hidden="1" x14ac:dyDescent="0.25">
      <c r="A2513" s="7" t="s">
        <v>19</v>
      </c>
      <c r="B2513" s="7" t="s">
        <v>651</v>
      </c>
      <c r="C2513" s="8">
        <v>29344</v>
      </c>
      <c r="D2513" s="7" t="s">
        <v>34</v>
      </c>
      <c r="E2513" s="7" t="s">
        <v>35</v>
      </c>
      <c r="F2513" s="7" t="s">
        <v>74</v>
      </c>
      <c r="G2513" s="7" t="s">
        <v>65</v>
      </c>
      <c r="H2513" s="7" t="s">
        <v>66</v>
      </c>
      <c r="I2513" s="7" t="s">
        <v>712</v>
      </c>
      <c r="J2513" s="7" t="s">
        <v>712</v>
      </c>
      <c r="K2513" s="8">
        <v>5853448</v>
      </c>
      <c r="L2513" s="8">
        <v>739894</v>
      </c>
      <c r="M2513" s="8">
        <v>18</v>
      </c>
      <c r="N2513" s="8">
        <v>1</v>
      </c>
      <c r="O2513" s="8">
        <v>7</v>
      </c>
      <c r="P2513" s="8"/>
    </row>
    <row r="2514" spans="1:16" hidden="1" x14ac:dyDescent="0.25">
      <c r="A2514" s="7" t="s">
        <v>19</v>
      </c>
      <c r="B2514" s="7" t="s">
        <v>651</v>
      </c>
      <c r="C2514" s="8">
        <v>29345</v>
      </c>
      <c r="D2514" s="7" t="s">
        <v>34</v>
      </c>
      <c r="E2514" s="7" t="s">
        <v>35</v>
      </c>
      <c r="F2514" s="7" t="s">
        <v>74</v>
      </c>
      <c r="G2514" s="7" t="s">
        <v>65</v>
      </c>
      <c r="H2514" s="7" t="s">
        <v>66</v>
      </c>
      <c r="I2514" s="7" t="s">
        <v>712</v>
      </c>
      <c r="J2514" s="7" t="s">
        <v>712</v>
      </c>
      <c r="K2514" s="8">
        <v>5853515</v>
      </c>
      <c r="L2514" s="8">
        <v>739577</v>
      </c>
      <c r="M2514" s="8">
        <v>18</v>
      </c>
      <c r="N2514" s="8">
        <v>1</v>
      </c>
      <c r="O2514" s="8">
        <v>13</v>
      </c>
      <c r="P2514" s="8"/>
    </row>
    <row r="2515" spans="1:16" hidden="1" x14ac:dyDescent="0.25">
      <c r="A2515" s="7" t="s">
        <v>14</v>
      </c>
      <c r="B2515" s="7" t="s">
        <v>181</v>
      </c>
      <c r="C2515" s="8">
        <v>29346</v>
      </c>
      <c r="D2515" s="7" t="s">
        <v>119</v>
      </c>
      <c r="E2515" s="7" t="s">
        <v>238</v>
      </c>
      <c r="F2515" s="7" t="s">
        <v>239</v>
      </c>
      <c r="G2515" s="7" t="s">
        <v>43</v>
      </c>
      <c r="H2515" s="7" t="s">
        <v>689</v>
      </c>
      <c r="I2515" s="7" t="s">
        <v>690</v>
      </c>
      <c r="J2515" s="7" t="s">
        <v>690</v>
      </c>
      <c r="K2515" s="8">
        <v>5649451</v>
      </c>
      <c r="L2515" s="8">
        <v>703612</v>
      </c>
      <c r="M2515" s="8">
        <v>18</v>
      </c>
      <c r="N2515" s="8">
        <v>1</v>
      </c>
      <c r="O2515" s="8">
        <v>0.9</v>
      </c>
      <c r="P2515" s="8"/>
    </row>
    <row r="2516" spans="1:16" hidden="1" x14ac:dyDescent="0.25">
      <c r="A2516" s="7" t="s">
        <v>37</v>
      </c>
      <c r="B2516" s="7" t="s">
        <v>270</v>
      </c>
      <c r="C2516" s="8">
        <v>29348</v>
      </c>
      <c r="D2516" s="7" t="s">
        <v>16</v>
      </c>
      <c r="E2516" s="7" t="s">
        <v>146</v>
      </c>
      <c r="F2516" s="7" t="s">
        <v>393</v>
      </c>
      <c r="G2516" s="7" t="s">
        <v>18</v>
      </c>
      <c r="H2516" s="7" t="s">
        <v>24</v>
      </c>
      <c r="I2516" s="7" t="s">
        <v>712</v>
      </c>
      <c r="J2516" s="7" t="s">
        <v>712</v>
      </c>
      <c r="K2516" s="8">
        <v>6047008</v>
      </c>
      <c r="L2516" s="8">
        <v>269770</v>
      </c>
      <c r="M2516" s="8">
        <v>19</v>
      </c>
      <c r="N2516" s="8">
        <v>1</v>
      </c>
      <c r="O2516" s="8">
        <v>0.5</v>
      </c>
      <c r="P2516" s="8"/>
    </row>
    <row r="2517" spans="1:16" hidden="1" x14ac:dyDescent="0.25">
      <c r="A2517" s="7" t="s">
        <v>37</v>
      </c>
      <c r="B2517" s="7" t="s">
        <v>270</v>
      </c>
      <c r="C2517" s="8">
        <v>29349</v>
      </c>
      <c r="D2517" s="7" t="s">
        <v>16</v>
      </c>
      <c r="E2517" s="7" t="s">
        <v>173</v>
      </c>
      <c r="F2517" s="7" t="s">
        <v>165</v>
      </c>
      <c r="G2517" s="7" t="s">
        <v>18</v>
      </c>
      <c r="H2517" s="7" t="s">
        <v>24</v>
      </c>
      <c r="I2517" s="7" t="s">
        <v>712</v>
      </c>
      <c r="J2517" s="7" t="s">
        <v>712</v>
      </c>
      <c r="K2517" s="8">
        <v>6046914</v>
      </c>
      <c r="L2517" s="8">
        <v>269151</v>
      </c>
      <c r="M2517" s="8">
        <v>19</v>
      </c>
      <c r="N2517" s="8">
        <v>1</v>
      </c>
      <c r="O2517" s="8">
        <v>0.5</v>
      </c>
      <c r="P2517" s="8"/>
    </row>
    <row r="2518" spans="1:16" hidden="1" x14ac:dyDescent="0.25">
      <c r="A2518" s="7" t="s">
        <v>37</v>
      </c>
      <c r="B2518" s="7" t="s">
        <v>270</v>
      </c>
      <c r="C2518" s="8">
        <v>29350</v>
      </c>
      <c r="D2518" s="7" t="s">
        <v>16</v>
      </c>
      <c r="E2518" s="7" t="s">
        <v>17</v>
      </c>
      <c r="F2518" s="7" t="s">
        <v>647</v>
      </c>
      <c r="G2518" s="7" t="s">
        <v>18</v>
      </c>
      <c r="H2518" s="7" t="s">
        <v>24</v>
      </c>
      <c r="I2518" s="7" t="s">
        <v>712</v>
      </c>
      <c r="J2518" s="7" t="s">
        <v>712</v>
      </c>
      <c r="K2518" s="8">
        <v>6061528</v>
      </c>
      <c r="L2518" s="8">
        <v>271257</v>
      </c>
      <c r="M2518" s="8">
        <v>19</v>
      </c>
      <c r="N2518" s="8">
        <v>1</v>
      </c>
      <c r="O2518" s="8">
        <v>0.5</v>
      </c>
      <c r="P2518" s="8"/>
    </row>
    <row r="2519" spans="1:16" hidden="1" x14ac:dyDescent="0.25">
      <c r="A2519" s="7" t="s">
        <v>14</v>
      </c>
      <c r="B2519" s="7" t="s">
        <v>415</v>
      </c>
      <c r="C2519" s="8">
        <v>29351</v>
      </c>
      <c r="D2519" s="7" t="s">
        <v>28</v>
      </c>
      <c r="E2519" s="7" t="s">
        <v>56</v>
      </c>
      <c r="F2519" s="7" t="s">
        <v>378</v>
      </c>
      <c r="G2519" s="7" t="s">
        <v>65</v>
      </c>
      <c r="H2519" s="7" t="s">
        <v>689</v>
      </c>
      <c r="I2519" s="7" t="s">
        <v>712</v>
      </c>
      <c r="J2519" s="7" t="s">
        <v>712</v>
      </c>
      <c r="K2519" s="8">
        <v>6260611</v>
      </c>
      <c r="L2519" s="8">
        <v>331014</v>
      </c>
      <c r="M2519" s="8">
        <v>19</v>
      </c>
      <c r="N2519" s="8">
        <v>3</v>
      </c>
      <c r="O2519" s="8">
        <v>0.54</v>
      </c>
      <c r="P2519" s="8"/>
    </row>
    <row r="2520" spans="1:16" hidden="1" x14ac:dyDescent="0.25">
      <c r="A2520" s="7" t="s">
        <v>19</v>
      </c>
      <c r="B2520" s="7" t="s">
        <v>651</v>
      </c>
      <c r="C2520" s="8">
        <v>29352</v>
      </c>
      <c r="D2520" s="7" t="s">
        <v>16</v>
      </c>
      <c r="E2520" s="7" t="s">
        <v>60</v>
      </c>
      <c r="F2520" s="7" t="s">
        <v>61</v>
      </c>
      <c r="G2520" s="7" t="s">
        <v>65</v>
      </c>
      <c r="H2520" s="7" t="s">
        <v>66</v>
      </c>
      <c r="I2520" s="7" t="s">
        <v>712</v>
      </c>
      <c r="J2520" s="7" t="s">
        <v>712</v>
      </c>
      <c r="K2520" s="8">
        <v>6078180</v>
      </c>
      <c r="L2520" s="8">
        <v>282064</v>
      </c>
      <c r="M2520" s="8">
        <v>19</v>
      </c>
      <c r="N2520" s="8">
        <v>1</v>
      </c>
      <c r="O2520" s="8">
        <v>4</v>
      </c>
      <c r="P2520" s="8"/>
    </row>
    <row r="2521" spans="1:16" hidden="1" x14ac:dyDescent="0.25">
      <c r="A2521" s="7" t="s">
        <v>19</v>
      </c>
      <c r="B2521" s="7" t="s">
        <v>270</v>
      </c>
      <c r="C2521" s="8">
        <v>29353</v>
      </c>
      <c r="D2521" s="7" t="s">
        <v>52</v>
      </c>
      <c r="E2521" s="7" t="s">
        <v>375</v>
      </c>
      <c r="F2521" s="7" t="s">
        <v>376</v>
      </c>
      <c r="G2521" s="7" t="s">
        <v>18</v>
      </c>
      <c r="H2521" s="7" t="s">
        <v>48</v>
      </c>
      <c r="I2521" s="7" t="s">
        <v>712</v>
      </c>
      <c r="J2521" s="7" t="s">
        <v>712</v>
      </c>
      <c r="K2521" s="8">
        <v>6153935</v>
      </c>
      <c r="L2521" s="8">
        <v>299722</v>
      </c>
      <c r="M2521" s="8">
        <v>19</v>
      </c>
      <c r="N2521" s="8">
        <v>1</v>
      </c>
      <c r="O2521" s="8">
        <v>5</v>
      </c>
      <c r="P2521" s="8"/>
    </row>
    <row r="2522" spans="1:16" hidden="1" x14ac:dyDescent="0.25">
      <c r="A2522" s="7" t="s">
        <v>19</v>
      </c>
      <c r="B2522" s="7" t="s">
        <v>270</v>
      </c>
      <c r="C2522" s="8">
        <v>29354</v>
      </c>
      <c r="D2522" s="7" t="s">
        <v>52</v>
      </c>
      <c r="E2522" s="7" t="s">
        <v>375</v>
      </c>
      <c r="F2522" s="7" t="s">
        <v>376</v>
      </c>
      <c r="G2522" s="7" t="s">
        <v>18</v>
      </c>
      <c r="H2522" s="7" t="s">
        <v>48</v>
      </c>
      <c r="I2522" s="7" t="s">
        <v>712</v>
      </c>
      <c r="J2522" s="7" t="s">
        <v>712</v>
      </c>
      <c r="K2522" s="8">
        <v>6154383</v>
      </c>
      <c r="L2522" s="8">
        <v>300452</v>
      </c>
      <c r="M2522" s="8">
        <v>19</v>
      </c>
      <c r="N2522" s="8">
        <v>1</v>
      </c>
      <c r="O2522" s="8">
        <v>3</v>
      </c>
      <c r="P2522" s="8"/>
    </row>
    <row r="2523" spans="1:16" hidden="1" x14ac:dyDescent="0.25">
      <c r="A2523" s="7" t="s">
        <v>19</v>
      </c>
      <c r="B2523" s="7" t="s">
        <v>270</v>
      </c>
      <c r="C2523" s="8">
        <v>29355</v>
      </c>
      <c r="D2523" s="7" t="s">
        <v>52</v>
      </c>
      <c r="E2523" s="7" t="s">
        <v>273</v>
      </c>
      <c r="F2523" s="7" t="s">
        <v>437</v>
      </c>
      <c r="G2523" s="7" t="s">
        <v>65</v>
      </c>
      <c r="H2523" s="7" t="s">
        <v>24</v>
      </c>
      <c r="I2523" s="7" t="s">
        <v>712</v>
      </c>
      <c r="J2523" s="7" t="s">
        <v>712</v>
      </c>
      <c r="K2523" s="8">
        <v>6197813</v>
      </c>
      <c r="L2523" s="8">
        <v>298526</v>
      </c>
      <c r="M2523" s="8">
        <v>19</v>
      </c>
      <c r="N2523" s="8">
        <v>1</v>
      </c>
      <c r="O2523" s="8">
        <v>0.4</v>
      </c>
      <c r="P2523" s="8"/>
    </row>
    <row r="2524" spans="1:16" hidden="1" x14ac:dyDescent="0.25">
      <c r="A2524" s="7" t="s">
        <v>14</v>
      </c>
      <c r="B2524" s="7" t="s">
        <v>415</v>
      </c>
      <c r="C2524" s="8">
        <v>29356</v>
      </c>
      <c r="D2524" s="7" t="s">
        <v>28</v>
      </c>
      <c r="E2524" s="7" t="s">
        <v>56</v>
      </c>
      <c r="F2524" s="7" t="s">
        <v>162</v>
      </c>
      <c r="G2524" s="7" t="s">
        <v>65</v>
      </c>
      <c r="H2524" s="7" t="s">
        <v>689</v>
      </c>
      <c r="I2524" s="7" t="s">
        <v>712</v>
      </c>
      <c r="J2524" s="7" t="s">
        <v>712</v>
      </c>
      <c r="K2524" s="8">
        <v>6259294</v>
      </c>
      <c r="L2524" s="8">
        <v>332156</v>
      </c>
      <c r="M2524" s="8">
        <v>19</v>
      </c>
      <c r="N2524" s="8">
        <v>1</v>
      </c>
      <c r="O2524" s="8">
        <v>0.08</v>
      </c>
      <c r="P2524" s="8"/>
    </row>
    <row r="2525" spans="1:16" hidden="1" x14ac:dyDescent="0.25">
      <c r="A2525" s="7" t="s">
        <v>19</v>
      </c>
      <c r="B2525" s="7" t="s">
        <v>270</v>
      </c>
      <c r="C2525" s="8">
        <v>29357</v>
      </c>
      <c r="D2525" s="7" t="s">
        <v>52</v>
      </c>
      <c r="E2525" s="7" t="s">
        <v>273</v>
      </c>
      <c r="F2525" s="7" t="s">
        <v>437</v>
      </c>
      <c r="G2525" s="7" t="s">
        <v>65</v>
      </c>
      <c r="H2525" s="7" t="s">
        <v>24</v>
      </c>
      <c r="I2525" s="7" t="s">
        <v>712</v>
      </c>
      <c r="J2525" s="7" t="s">
        <v>712</v>
      </c>
      <c r="K2525" s="8">
        <v>6197813</v>
      </c>
      <c r="L2525" s="8">
        <v>298526</v>
      </c>
      <c r="M2525" s="8">
        <v>19</v>
      </c>
      <c r="N2525" s="8">
        <v>1</v>
      </c>
      <c r="O2525" s="8">
        <v>0.3</v>
      </c>
      <c r="P2525" s="8"/>
    </row>
    <row r="2526" spans="1:16" hidden="1" x14ac:dyDescent="0.25">
      <c r="A2526" s="7" t="s">
        <v>14</v>
      </c>
      <c r="B2526" s="7" t="s">
        <v>415</v>
      </c>
      <c r="C2526" s="8">
        <v>29358</v>
      </c>
      <c r="D2526" s="7" t="s">
        <v>28</v>
      </c>
      <c r="E2526" s="7" t="s">
        <v>56</v>
      </c>
      <c r="F2526" s="7" t="s">
        <v>378</v>
      </c>
      <c r="G2526" s="7" t="s">
        <v>65</v>
      </c>
      <c r="H2526" s="7" t="s">
        <v>689</v>
      </c>
      <c r="I2526" s="7" t="s">
        <v>712</v>
      </c>
      <c r="J2526" s="7" t="s">
        <v>712</v>
      </c>
      <c r="K2526" s="8">
        <v>6260629</v>
      </c>
      <c r="L2526" s="8">
        <v>331248</v>
      </c>
      <c r="M2526" s="8">
        <v>19</v>
      </c>
      <c r="N2526" s="8">
        <v>1</v>
      </c>
      <c r="O2526" s="8">
        <v>0.02</v>
      </c>
      <c r="P2526" s="8"/>
    </row>
    <row r="2527" spans="1:16" x14ac:dyDescent="0.25">
      <c r="A2527" s="7" t="s">
        <v>14</v>
      </c>
      <c r="B2527" s="7" t="s">
        <v>713</v>
      </c>
      <c r="C2527" s="8">
        <v>29359</v>
      </c>
      <c r="D2527" s="7" t="s">
        <v>52</v>
      </c>
      <c r="E2527" s="7" t="s">
        <v>139</v>
      </c>
      <c r="F2527" s="7" t="s">
        <v>139</v>
      </c>
      <c r="G2527" s="7" t="s">
        <v>18</v>
      </c>
      <c r="H2527" s="7" t="s">
        <v>689</v>
      </c>
      <c r="I2527" s="7" t="s">
        <v>712</v>
      </c>
      <c r="J2527" s="7" t="s">
        <v>712</v>
      </c>
      <c r="K2527" s="8">
        <v>6228291</v>
      </c>
      <c r="L2527" s="8">
        <v>338864</v>
      </c>
      <c r="M2527" s="8">
        <v>19</v>
      </c>
      <c r="N2527" s="8">
        <v>1</v>
      </c>
      <c r="O2527" s="8">
        <v>1.84</v>
      </c>
      <c r="P2527" s="8"/>
    </row>
    <row r="2528" spans="1:16" x14ac:dyDescent="0.25">
      <c r="A2528" s="7" t="s">
        <v>14</v>
      </c>
      <c r="B2528" s="7" t="s">
        <v>713</v>
      </c>
      <c r="C2528" s="8">
        <v>29360</v>
      </c>
      <c r="D2528" s="7" t="s">
        <v>52</v>
      </c>
      <c r="E2528" s="7" t="s">
        <v>139</v>
      </c>
      <c r="F2528" s="7" t="s">
        <v>139</v>
      </c>
      <c r="G2528" s="7" t="s">
        <v>18</v>
      </c>
      <c r="H2528" s="7" t="s">
        <v>689</v>
      </c>
      <c r="I2528" s="7" t="s">
        <v>712</v>
      </c>
      <c r="J2528" s="7" t="s">
        <v>712</v>
      </c>
      <c r="K2528" s="8">
        <v>6228133</v>
      </c>
      <c r="L2528" s="8">
        <v>339110</v>
      </c>
      <c r="M2528" s="8">
        <v>19</v>
      </c>
      <c r="N2528" s="8">
        <v>1</v>
      </c>
      <c r="O2528" s="8">
        <v>0.68</v>
      </c>
      <c r="P2528" s="8"/>
    </row>
    <row r="2529" spans="1:16" hidden="1" x14ac:dyDescent="0.25">
      <c r="A2529" s="7" t="s">
        <v>14</v>
      </c>
      <c r="B2529" s="7" t="s">
        <v>415</v>
      </c>
      <c r="C2529" s="8">
        <v>29361</v>
      </c>
      <c r="D2529" s="7" t="s">
        <v>322</v>
      </c>
      <c r="E2529" s="7" t="s">
        <v>323</v>
      </c>
      <c r="F2529" s="7" t="s">
        <v>422</v>
      </c>
      <c r="G2529" s="7" t="s">
        <v>18</v>
      </c>
      <c r="H2529" s="7" t="s">
        <v>689</v>
      </c>
      <c r="I2529" s="7" t="s">
        <v>712</v>
      </c>
      <c r="J2529" s="7" t="s">
        <v>712</v>
      </c>
      <c r="K2529" s="8">
        <v>7952735</v>
      </c>
      <c r="L2529" s="8">
        <v>370970</v>
      </c>
      <c r="M2529" s="8">
        <v>19</v>
      </c>
      <c r="N2529" s="8">
        <v>1</v>
      </c>
      <c r="O2529" s="8">
        <v>0.05</v>
      </c>
      <c r="P2529" s="8"/>
    </row>
    <row r="2530" spans="1:16" hidden="1" x14ac:dyDescent="0.25">
      <c r="A2530" s="7" t="s">
        <v>19</v>
      </c>
      <c r="B2530" s="7" t="s">
        <v>270</v>
      </c>
      <c r="C2530" s="8">
        <v>29362</v>
      </c>
      <c r="D2530" s="7" t="s">
        <v>16</v>
      </c>
      <c r="E2530" s="7" t="s">
        <v>50</v>
      </c>
      <c r="F2530" s="7" t="s">
        <v>161</v>
      </c>
      <c r="G2530" s="7" t="s">
        <v>65</v>
      </c>
      <c r="H2530" s="7" t="s">
        <v>24</v>
      </c>
      <c r="I2530" s="7" t="s">
        <v>712</v>
      </c>
      <c r="J2530" s="7" t="s">
        <v>712</v>
      </c>
      <c r="K2530" s="8">
        <v>6072681</v>
      </c>
      <c r="L2530" s="8">
        <v>270633</v>
      </c>
      <c r="M2530" s="8">
        <v>19</v>
      </c>
      <c r="N2530" s="8">
        <v>1</v>
      </c>
      <c r="O2530" s="8">
        <v>0.4</v>
      </c>
      <c r="P2530" s="8"/>
    </row>
    <row r="2531" spans="1:16" hidden="1" x14ac:dyDescent="0.25">
      <c r="A2531" s="7" t="s">
        <v>19</v>
      </c>
      <c r="B2531" s="7" t="s">
        <v>270</v>
      </c>
      <c r="C2531" s="8">
        <v>29363</v>
      </c>
      <c r="D2531" s="7" t="s">
        <v>16</v>
      </c>
      <c r="E2531" s="7" t="s">
        <v>50</v>
      </c>
      <c r="F2531" s="7" t="s">
        <v>161</v>
      </c>
      <c r="G2531" s="7" t="s">
        <v>65</v>
      </c>
      <c r="H2531" s="7" t="s">
        <v>24</v>
      </c>
      <c r="I2531" s="7" t="s">
        <v>712</v>
      </c>
      <c r="J2531" s="7" t="s">
        <v>712</v>
      </c>
      <c r="K2531" s="8">
        <v>6072999</v>
      </c>
      <c r="L2531" s="8">
        <v>269483</v>
      </c>
      <c r="M2531" s="8">
        <v>19</v>
      </c>
      <c r="N2531" s="8">
        <v>1</v>
      </c>
      <c r="O2531" s="8">
        <v>4.0999999999999996</v>
      </c>
      <c r="P2531" s="8"/>
    </row>
    <row r="2532" spans="1:16" hidden="1" x14ac:dyDescent="0.25">
      <c r="A2532" s="7" t="s">
        <v>19</v>
      </c>
      <c r="B2532" s="7" t="s">
        <v>270</v>
      </c>
      <c r="C2532" s="8">
        <v>29364</v>
      </c>
      <c r="D2532" s="7" t="s">
        <v>16</v>
      </c>
      <c r="E2532" s="7" t="s">
        <v>50</v>
      </c>
      <c r="F2532" s="7" t="s">
        <v>161</v>
      </c>
      <c r="G2532" s="7" t="s">
        <v>65</v>
      </c>
      <c r="H2532" s="7" t="s">
        <v>24</v>
      </c>
      <c r="I2532" s="7" t="s">
        <v>712</v>
      </c>
      <c r="J2532" s="7" t="s">
        <v>712</v>
      </c>
      <c r="K2532" s="8">
        <v>6072638</v>
      </c>
      <c r="L2532" s="8">
        <v>270627</v>
      </c>
      <c r="M2532" s="8">
        <v>19</v>
      </c>
      <c r="N2532" s="8">
        <v>1</v>
      </c>
      <c r="O2532" s="8">
        <v>0.4</v>
      </c>
      <c r="P2532" s="8"/>
    </row>
    <row r="2533" spans="1:16" hidden="1" x14ac:dyDescent="0.25">
      <c r="A2533" s="7" t="s">
        <v>19</v>
      </c>
      <c r="B2533" s="7" t="s">
        <v>270</v>
      </c>
      <c r="C2533" s="8">
        <v>29365</v>
      </c>
      <c r="D2533" s="7" t="s">
        <v>16</v>
      </c>
      <c r="E2533" s="7" t="s">
        <v>50</v>
      </c>
      <c r="F2533" s="7" t="s">
        <v>161</v>
      </c>
      <c r="G2533" s="7" t="s">
        <v>65</v>
      </c>
      <c r="H2533" s="7" t="s">
        <v>24</v>
      </c>
      <c r="I2533" s="7" t="s">
        <v>712</v>
      </c>
      <c r="J2533" s="7" t="s">
        <v>712</v>
      </c>
      <c r="K2533" s="8">
        <v>6073147</v>
      </c>
      <c r="L2533" s="8">
        <v>269556</v>
      </c>
      <c r="M2533" s="8">
        <v>19</v>
      </c>
      <c r="N2533" s="8">
        <v>1</v>
      </c>
      <c r="O2533" s="8">
        <v>0.3</v>
      </c>
      <c r="P2533" s="8"/>
    </row>
    <row r="2534" spans="1:16" hidden="1" x14ac:dyDescent="0.25">
      <c r="A2534" s="7" t="s">
        <v>19</v>
      </c>
      <c r="B2534" s="7" t="s">
        <v>270</v>
      </c>
      <c r="C2534" s="8">
        <v>29366</v>
      </c>
      <c r="D2534" s="7" t="s">
        <v>16</v>
      </c>
      <c r="E2534" s="7" t="s">
        <v>50</v>
      </c>
      <c r="F2534" s="7" t="s">
        <v>161</v>
      </c>
      <c r="G2534" s="7" t="s">
        <v>65</v>
      </c>
      <c r="H2534" s="7" t="s">
        <v>24</v>
      </c>
      <c r="I2534" s="7" t="s">
        <v>712</v>
      </c>
      <c r="J2534" s="7" t="s">
        <v>712</v>
      </c>
      <c r="K2534" s="8">
        <v>6072594</v>
      </c>
      <c r="L2534" s="8">
        <v>270630</v>
      </c>
      <c r="M2534" s="8">
        <v>19</v>
      </c>
      <c r="N2534" s="8">
        <v>1</v>
      </c>
      <c r="O2534" s="8">
        <v>0.2</v>
      </c>
      <c r="P2534" s="8"/>
    </row>
    <row r="2535" spans="1:16" hidden="1" x14ac:dyDescent="0.25">
      <c r="A2535" s="7" t="s">
        <v>19</v>
      </c>
      <c r="B2535" s="7" t="s">
        <v>270</v>
      </c>
      <c r="C2535" s="8">
        <v>29367</v>
      </c>
      <c r="D2535" s="7" t="s">
        <v>16</v>
      </c>
      <c r="E2535" s="7" t="s">
        <v>50</v>
      </c>
      <c r="F2535" s="7" t="s">
        <v>161</v>
      </c>
      <c r="G2535" s="7" t="s">
        <v>65</v>
      </c>
      <c r="H2535" s="7" t="s">
        <v>24</v>
      </c>
      <c r="I2535" s="7" t="s">
        <v>712</v>
      </c>
      <c r="J2535" s="7" t="s">
        <v>712</v>
      </c>
      <c r="K2535" s="8">
        <v>6073374</v>
      </c>
      <c r="L2535" s="8">
        <v>270183</v>
      </c>
      <c r="M2535" s="8">
        <v>19</v>
      </c>
      <c r="N2535" s="8">
        <v>2</v>
      </c>
      <c r="O2535" s="8">
        <v>8.5</v>
      </c>
      <c r="P2535" s="8"/>
    </row>
    <row r="2536" spans="1:16" hidden="1" x14ac:dyDescent="0.25">
      <c r="A2536" s="7" t="s">
        <v>37</v>
      </c>
      <c r="B2536" s="7" t="s">
        <v>270</v>
      </c>
      <c r="C2536" s="8">
        <v>29369</v>
      </c>
      <c r="D2536" s="7" t="s">
        <v>21</v>
      </c>
      <c r="E2536" s="7" t="s">
        <v>342</v>
      </c>
      <c r="F2536" s="7" t="s">
        <v>648</v>
      </c>
      <c r="G2536" s="7" t="s">
        <v>18</v>
      </c>
      <c r="H2536" s="7" t="s">
        <v>24</v>
      </c>
      <c r="I2536" s="7" t="s">
        <v>712</v>
      </c>
      <c r="J2536" s="7" t="s">
        <v>712</v>
      </c>
      <c r="K2536" s="8">
        <v>6381216</v>
      </c>
      <c r="L2536" s="8">
        <v>294537</v>
      </c>
      <c r="M2536" s="8">
        <v>19</v>
      </c>
      <c r="N2536" s="8">
        <v>1</v>
      </c>
      <c r="O2536" s="8">
        <v>1</v>
      </c>
      <c r="P2536" s="8"/>
    </row>
    <row r="2537" spans="1:16" hidden="1" x14ac:dyDescent="0.25">
      <c r="A2537" s="7" t="s">
        <v>19</v>
      </c>
      <c r="B2537" s="7" t="s">
        <v>41</v>
      </c>
      <c r="C2537" s="8">
        <v>29370</v>
      </c>
      <c r="D2537" s="7" t="s">
        <v>52</v>
      </c>
      <c r="E2537" s="7" t="s">
        <v>53</v>
      </c>
      <c r="F2537" s="7" t="s">
        <v>53</v>
      </c>
      <c r="G2537" s="7" t="s">
        <v>43</v>
      </c>
      <c r="H2537" s="7" t="s">
        <v>48</v>
      </c>
      <c r="I2537" s="7" t="s">
        <v>712</v>
      </c>
      <c r="J2537" s="7" t="s">
        <v>712</v>
      </c>
      <c r="K2537" s="8">
        <v>6154061</v>
      </c>
      <c r="L2537" s="8">
        <v>319101</v>
      </c>
      <c r="M2537" s="8">
        <v>19</v>
      </c>
      <c r="N2537" s="8">
        <v>1</v>
      </c>
      <c r="O2537" s="8">
        <v>2</v>
      </c>
      <c r="P2537" s="8"/>
    </row>
    <row r="2538" spans="1:16" hidden="1" x14ac:dyDescent="0.25">
      <c r="A2538" s="7" t="s">
        <v>19</v>
      </c>
      <c r="B2538" s="7" t="s">
        <v>270</v>
      </c>
      <c r="C2538" s="8">
        <v>29371</v>
      </c>
      <c r="D2538" s="7" t="s">
        <v>52</v>
      </c>
      <c r="E2538" s="7" t="s">
        <v>273</v>
      </c>
      <c r="F2538" s="7" t="s">
        <v>437</v>
      </c>
      <c r="G2538" s="7" t="s">
        <v>65</v>
      </c>
      <c r="H2538" s="7" t="s">
        <v>24</v>
      </c>
      <c r="I2538" s="7" t="s">
        <v>712</v>
      </c>
      <c r="J2538" s="7" t="s">
        <v>712</v>
      </c>
      <c r="K2538" s="8">
        <v>6197813</v>
      </c>
      <c r="L2538" s="8">
        <v>298526</v>
      </c>
      <c r="M2538" s="8">
        <v>19</v>
      </c>
      <c r="N2538" s="8">
        <v>1</v>
      </c>
      <c r="O2538" s="8">
        <v>0.3</v>
      </c>
      <c r="P2538" s="8"/>
    </row>
    <row r="2539" spans="1:16" hidden="1" x14ac:dyDescent="0.25">
      <c r="A2539" s="7" t="s">
        <v>19</v>
      </c>
      <c r="B2539" s="7" t="s">
        <v>270</v>
      </c>
      <c r="C2539" s="8">
        <v>29372</v>
      </c>
      <c r="D2539" s="7" t="s">
        <v>52</v>
      </c>
      <c r="E2539" s="7" t="s">
        <v>273</v>
      </c>
      <c r="F2539" s="7" t="s">
        <v>437</v>
      </c>
      <c r="G2539" s="7" t="s">
        <v>65</v>
      </c>
      <c r="H2539" s="7" t="s">
        <v>24</v>
      </c>
      <c r="I2539" s="7" t="s">
        <v>712</v>
      </c>
      <c r="J2539" s="7" t="s">
        <v>712</v>
      </c>
      <c r="K2539" s="8">
        <v>6197813</v>
      </c>
      <c r="L2539" s="8">
        <v>298526</v>
      </c>
      <c r="M2539" s="8">
        <v>19</v>
      </c>
      <c r="N2539" s="8">
        <v>1</v>
      </c>
      <c r="O2539" s="8">
        <v>0.4</v>
      </c>
      <c r="P2539" s="8"/>
    </row>
    <row r="2540" spans="1:16" hidden="1" x14ac:dyDescent="0.25">
      <c r="A2540" s="7" t="s">
        <v>19</v>
      </c>
      <c r="B2540" s="7" t="s">
        <v>270</v>
      </c>
      <c r="C2540" s="8">
        <v>29373</v>
      </c>
      <c r="D2540" s="7" t="s">
        <v>52</v>
      </c>
      <c r="E2540" s="7" t="s">
        <v>273</v>
      </c>
      <c r="F2540" s="7" t="s">
        <v>437</v>
      </c>
      <c r="G2540" s="7" t="s">
        <v>65</v>
      </c>
      <c r="H2540" s="7" t="s">
        <v>24</v>
      </c>
      <c r="I2540" s="7" t="s">
        <v>712</v>
      </c>
      <c r="J2540" s="7" t="s">
        <v>712</v>
      </c>
      <c r="K2540" s="8">
        <v>6197813</v>
      </c>
      <c r="L2540" s="8">
        <v>298526</v>
      </c>
      <c r="M2540" s="8">
        <v>19</v>
      </c>
      <c r="N2540" s="8">
        <v>1</v>
      </c>
      <c r="O2540" s="8">
        <v>0.3</v>
      </c>
      <c r="P2540" s="8"/>
    </row>
    <row r="2541" spans="1:16" hidden="1" x14ac:dyDescent="0.25">
      <c r="A2541" s="7" t="s">
        <v>19</v>
      </c>
      <c r="B2541" s="7" t="s">
        <v>270</v>
      </c>
      <c r="C2541" s="8">
        <v>29374</v>
      </c>
      <c r="D2541" s="7" t="s">
        <v>52</v>
      </c>
      <c r="E2541" s="7" t="s">
        <v>273</v>
      </c>
      <c r="F2541" s="7" t="s">
        <v>437</v>
      </c>
      <c r="G2541" s="7" t="s">
        <v>65</v>
      </c>
      <c r="H2541" s="7" t="s">
        <v>24</v>
      </c>
      <c r="I2541" s="7" t="s">
        <v>712</v>
      </c>
      <c r="J2541" s="7" t="s">
        <v>712</v>
      </c>
      <c r="K2541" s="8">
        <v>6197813</v>
      </c>
      <c r="L2541" s="8">
        <v>298526</v>
      </c>
      <c r="M2541" s="8">
        <v>19</v>
      </c>
      <c r="N2541" s="8">
        <v>1</v>
      </c>
      <c r="O2541" s="8">
        <v>0.3</v>
      </c>
      <c r="P2541" s="8"/>
    </row>
    <row r="2542" spans="1:16" hidden="1" x14ac:dyDescent="0.25">
      <c r="A2542" s="7" t="s">
        <v>37</v>
      </c>
      <c r="B2542" s="7" t="s">
        <v>270</v>
      </c>
      <c r="C2542" s="8">
        <v>29375</v>
      </c>
      <c r="D2542" s="7" t="s">
        <v>21</v>
      </c>
      <c r="E2542" s="7" t="s">
        <v>280</v>
      </c>
      <c r="F2542" s="7" t="s">
        <v>280</v>
      </c>
      <c r="G2542" s="7" t="s">
        <v>18</v>
      </c>
      <c r="H2542" s="7" t="s">
        <v>24</v>
      </c>
      <c r="I2542" s="7" t="s">
        <v>712</v>
      </c>
      <c r="J2542" s="7" t="s">
        <v>712</v>
      </c>
      <c r="K2542" s="8">
        <v>6363949</v>
      </c>
      <c r="L2542" s="8">
        <v>322792</v>
      </c>
      <c r="M2542" s="8">
        <v>19</v>
      </c>
      <c r="N2542" s="8">
        <v>1</v>
      </c>
      <c r="O2542" s="8">
        <v>0.5</v>
      </c>
      <c r="P2542" s="8"/>
    </row>
    <row r="2543" spans="1:16" x14ac:dyDescent="0.25">
      <c r="A2543" s="7" t="s">
        <v>14</v>
      </c>
      <c r="B2543" s="7" t="s">
        <v>713</v>
      </c>
      <c r="C2543" s="8">
        <v>29376</v>
      </c>
      <c r="D2543" s="7" t="s">
        <v>52</v>
      </c>
      <c r="E2543" s="7" t="s">
        <v>139</v>
      </c>
      <c r="F2543" s="7" t="s">
        <v>139</v>
      </c>
      <c r="G2543" s="7" t="s">
        <v>18</v>
      </c>
      <c r="H2543" s="7" t="s">
        <v>689</v>
      </c>
      <c r="I2543" s="7" t="s">
        <v>712</v>
      </c>
      <c r="J2543" s="7" t="s">
        <v>712</v>
      </c>
      <c r="K2543" s="8">
        <v>6228133</v>
      </c>
      <c r="L2543" s="8">
        <v>339110</v>
      </c>
      <c r="M2543" s="8">
        <v>19</v>
      </c>
      <c r="N2543" s="8">
        <v>1</v>
      </c>
      <c r="O2543" s="8">
        <v>0.68</v>
      </c>
      <c r="P2543" s="8"/>
    </row>
    <row r="2544" spans="1:16" x14ac:dyDescent="0.25">
      <c r="A2544" s="7" t="s">
        <v>14</v>
      </c>
      <c r="B2544" s="7" t="s">
        <v>713</v>
      </c>
      <c r="C2544" s="8">
        <v>29378</v>
      </c>
      <c r="D2544" s="7" t="s">
        <v>52</v>
      </c>
      <c r="E2544" s="7" t="s">
        <v>139</v>
      </c>
      <c r="F2544" s="7" t="s">
        <v>139</v>
      </c>
      <c r="G2544" s="7" t="s">
        <v>18</v>
      </c>
      <c r="H2544" s="7" t="s">
        <v>689</v>
      </c>
      <c r="I2544" s="7" t="s">
        <v>712</v>
      </c>
      <c r="J2544" s="7" t="s">
        <v>712</v>
      </c>
      <c r="K2544" s="8">
        <v>6228133</v>
      </c>
      <c r="L2544" s="8">
        <v>339110</v>
      </c>
      <c r="M2544" s="8">
        <v>19</v>
      </c>
      <c r="N2544" s="8">
        <v>1</v>
      </c>
      <c r="O2544" s="8">
        <v>0.13</v>
      </c>
      <c r="P2544" s="8"/>
    </row>
    <row r="2545" spans="1:16" hidden="1" x14ac:dyDescent="0.25">
      <c r="A2545" s="7" t="s">
        <v>19</v>
      </c>
      <c r="B2545" s="7" t="s">
        <v>270</v>
      </c>
      <c r="C2545" s="8">
        <v>29381</v>
      </c>
      <c r="D2545" s="7" t="s">
        <v>16</v>
      </c>
      <c r="E2545" s="7" t="s">
        <v>72</v>
      </c>
      <c r="F2545" s="7" t="s">
        <v>72</v>
      </c>
      <c r="G2545" s="7" t="s">
        <v>18</v>
      </c>
      <c r="H2545" s="7" t="s">
        <v>48</v>
      </c>
      <c r="I2545" s="7" t="s">
        <v>712</v>
      </c>
      <c r="J2545" s="7" t="s">
        <v>691</v>
      </c>
      <c r="K2545" s="8">
        <v>6097813</v>
      </c>
      <c r="L2545" s="8">
        <v>298526</v>
      </c>
      <c r="M2545" s="8">
        <v>19</v>
      </c>
      <c r="N2545" s="8">
        <v>1</v>
      </c>
      <c r="O2545" s="8">
        <v>8.5</v>
      </c>
      <c r="P2545" s="8"/>
    </row>
    <row r="2546" spans="1:16" hidden="1" x14ac:dyDescent="0.25">
      <c r="A2546" s="7" t="s">
        <v>19</v>
      </c>
      <c r="B2546" s="7" t="s">
        <v>408</v>
      </c>
      <c r="C2546" s="8">
        <v>29382</v>
      </c>
      <c r="D2546" s="7" t="s">
        <v>52</v>
      </c>
      <c r="E2546" s="7" t="s">
        <v>286</v>
      </c>
      <c r="F2546" s="7" t="s">
        <v>286</v>
      </c>
      <c r="G2546" s="7" t="s">
        <v>65</v>
      </c>
      <c r="H2546" s="7" t="s">
        <v>24</v>
      </c>
      <c r="I2546" s="7" t="s">
        <v>712</v>
      </c>
      <c r="J2546" s="7" t="s">
        <v>712</v>
      </c>
      <c r="K2546" s="8">
        <v>6166095</v>
      </c>
      <c r="L2546" s="8">
        <v>306531</v>
      </c>
      <c r="M2546" s="8">
        <v>19</v>
      </c>
      <c r="N2546" s="8">
        <v>1</v>
      </c>
      <c r="O2546" s="8">
        <v>15</v>
      </c>
      <c r="P2546" s="8"/>
    </row>
    <row r="2547" spans="1:16" hidden="1" x14ac:dyDescent="0.25">
      <c r="A2547" s="7" t="s">
        <v>14</v>
      </c>
      <c r="B2547" s="7" t="s">
        <v>415</v>
      </c>
      <c r="C2547" s="8">
        <v>29383</v>
      </c>
      <c r="D2547" s="7" t="s">
        <v>21</v>
      </c>
      <c r="E2547" s="7" t="s">
        <v>253</v>
      </c>
      <c r="F2547" s="7" t="s">
        <v>253</v>
      </c>
      <c r="G2547" s="7" t="s">
        <v>18</v>
      </c>
      <c r="H2547" s="7" t="s">
        <v>689</v>
      </c>
      <c r="I2547" s="7" t="s">
        <v>712</v>
      </c>
      <c r="J2547" s="7" t="s">
        <v>712</v>
      </c>
      <c r="K2547" s="8">
        <v>6366956</v>
      </c>
      <c r="L2547" s="8">
        <v>354830</v>
      </c>
      <c r="M2547" s="8">
        <v>19</v>
      </c>
      <c r="N2547" s="8">
        <v>1</v>
      </c>
      <c r="O2547" s="8">
        <v>1.37</v>
      </c>
      <c r="P2547" s="8"/>
    </row>
    <row r="2548" spans="1:16" hidden="1" x14ac:dyDescent="0.25">
      <c r="A2548" s="7" t="s">
        <v>37</v>
      </c>
      <c r="B2548" s="7" t="s">
        <v>651</v>
      </c>
      <c r="C2548" s="8">
        <v>29384</v>
      </c>
      <c r="D2548" s="7" t="s">
        <v>16</v>
      </c>
      <c r="E2548" s="7" t="s">
        <v>168</v>
      </c>
      <c r="F2548" s="7" t="s">
        <v>545</v>
      </c>
      <c r="G2548" s="7" t="s">
        <v>65</v>
      </c>
      <c r="H2548" s="7" t="s">
        <v>66</v>
      </c>
      <c r="I2548" s="7" t="s">
        <v>712</v>
      </c>
      <c r="J2548" s="7" t="s">
        <v>712</v>
      </c>
      <c r="K2548" s="8">
        <v>6003224</v>
      </c>
      <c r="L2548" s="8">
        <v>274041</v>
      </c>
      <c r="M2548" s="8">
        <v>19</v>
      </c>
      <c r="N2548" s="8">
        <v>1</v>
      </c>
      <c r="O2548" s="8">
        <v>5</v>
      </c>
      <c r="P2548" s="8"/>
    </row>
    <row r="2549" spans="1:16" hidden="1" x14ac:dyDescent="0.25">
      <c r="A2549" s="7" t="s">
        <v>19</v>
      </c>
      <c r="B2549" s="7" t="s">
        <v>254</v>
      </c>
      <c r="C2549" s="8">
        <v>29385</v>
      </c>
      <c r="D2549" s="7" t="s">
        <v>52</v>
      </c>
      <c r="E2549" s="7" t="s">
        <v>141</v>
      </c>
      <c r="F2549" s="7" t="s">
        <v>272</v>
      </c>
      <c r="G2549" s="7" t="s">
        <v>65</v>
      </c>
      <c r="H2549" s="7" t="s">
        <v>66</v>
      </c>
      <c r="I2549" s="7" t="s">
        <v>712</v>
      </c>
      <c r="J2549" s="7" t="s">
        <v>712</v>
      </c>
      <c r="K2549" s="8">
        <v>6221990</v>
      </c>
      <c r="L2549" s="8">
        <v>332555</v>
      </c>
      <c r="M2549" s="8">
        <v>19</v>
      </c>
      <c r="N2549" s="8">
        <v>1</v>
      </c>
      <c r="O2549" s="8">
        <v>11</v>
      </c>
      <c r="P2549" s="8"/>
    </row>
    <row r="2550" spans="1:16" hidden="1" x14ac:dyDescent="0.25">
      <c r="A2550" s="7" t="s">
        <v>19</v>
      </c>
      <c r="B2550" s="7" t="s">
        <v>254</v>
      </c>
      <c r="C2550" s="8">
        <v>29387</v>
      </c>
      <c r="D2550" s="7" t="s">
        <v>52</v>
      </c>
      <c r="E2550" s="7" t="s">
        <v>139</v>
      </c>
      <c r="F2550" s="7" t="s">
        <v>139</v>
      </c>
      <c r="G2550" s="7" t="s">
        <v>65</v>
      </c>
      <c r="H2550" s="7" t="s">
        <v>66</v>
      </c>
      <c r="I2550" s="7" t="s">
        <v>712</v>
      </c>
      <c r="J2550" s="7" t="s">
        <v>712</v>
      </c>
      <c r="K2550" s="8">
        <v>6226172</v>
      </c>
      <c r="L2550" s="8">
        <v>348745</v>
      </c>
      <c r="M2550" s="8">
        <v>19</v>
      </c>
      <c r="N2550" s="8">
        <v>1</v>
      </c>
      <c r="O2550" s="8">
        <v>10</v>
      </c>
      <c r="P2550" s="8"/>
    </row>
    <row r="2551" spans="1:16" hidden="1" x14ac:dyDescent="0.25">
      <c r="A2551" s="7" t="s">
        <v>14</v>
      </c>
      <c r="B2551" s="7" t="s">
        <v>415</v>
      </c>
      <c r="C2551" s="8">
        <v>29388</v>
      </c>
      <c r="D2551" s="7" t="s">
        <v>21</v>
      </c>
      <c r="E2551" s="7" t="s">
        <v>500</v>
      </c>
      <c r="F2551" s="7" t="s">
        <v>249</v>
      </c>
      <c r="G2551" s="7" t="s">
        <v>18</v>
      </c>
      <c r="H2551" s="7" t="s">
        <v>689</v>
      </c>
      <c r="I2551" s="7" t="s">
        <v>712</v>
      </c>
      <c r="J2551" s="7" t="s">
        <v>712</v>
      </c>
      <c r="K2551" s="8">
        <v>6362983</v>
      </c>
      <c r="L2551" s="8">
        <v>351021</v>
      </c>
      <c r="M2551" s="8">
        <v>19</v>
      </c>
      <c r="N2551" s="8">
        <v>1</v>
      </c>
      <c r="O2551" s="8">
        <v>0.77</v>
      </c>
      <c r="P2551" s="8"/>
    </row>
    <row r="2552" spans="1:16" hidden="1" x14ac:dyDescent="0.25">
      <c r="A2552" s="7" t="s">
        <v>14</v>
      </c>
      <c r="B2552" s="7" t="s">
        <v>415</v>
      </c>
      <c r="C2552" s="8">
        <v>29390</v>
      </c>
      <c r="D2552" s="7" t="s">
        <v>21</v>
      </c>
      <c r="E2552" s="7" t="s">
        <v>500</v>
      </c>
      <c r="F2552" s="7" t="s">
        <v>249</v>
      </c>
      <c r="G2552" s="7" t="s">
        <v>18</v>
      </c>
      <c r="H2552" s="7" t="s">
        <v>689</v>
      </c>
      <c r="I2552" s="7" t="s">
        <v>712</v>
      </c>
      <c r="J2552" s="7" t="s">
        <v>712</v>
      </c>
      <c r="K2552" s="8">
        <v>6362934</v>
      </c>
      <c r="L2552" s="8">
        <v>351071</v>
      </c>
      <c r="M2552" s="8">
        <v>19</v>
      </c>
      <c r="N2552" s="8">
        <v>1</v>
      </c>
      <c r="O2552" s="8">
        <v>0.43</v>
      </c>
      <c r="P2552" s="8"/>
    </row>
    <row r="2553" spans="1:16" hidden="1" x14ac:dyDescent="0.25">
      <c r="A2553" s="7" t="s">
        <v>19</v>
      </c>
      <c r="B2553" s="7" t="s">
        <v>415</v>
      </c>
      <c r="C2553" s="8">
        <v>29393</v>
      </c>
      <c r="D2553" s="7" t="s">
        <v>52</v>
      </c>
      <c r="E2553" s="7" t="s">
        <v>81</v>
      </c>
      <c r="F2553" s="7" t="s">
        <v>81</v>
      </c>
      <c r="G2553" s="7" t="s">
        <v>65</v>
      </c>
      <c r="H2553" s="7" t="s">
        <v>24</v>
      </c>
      <c r="I2553" s="7" t="s">
        <v>712</v>
      </c>
      <c r="J2553" s="7" t="s">
        <v>712</v>
      </c>
      <c r="K2553" s="8">
        <v>6233464</v>
      </c>
      <c r="L2553" s="8">
        <v>345760</v>
      </c>
      <c r="M2553" s="8">
        <v>19</v>
      </c>
      <c r="N2553" s="8">
        <v>2</v>
      </c>
      <c r="O2553" s="8">
        <v>4.0999999999999996</v>
      </c>
      <c r="P2553" s="8"/>
    </row>
    <row r="2554" spans="1:16" hidden="1" x14ac:dyDescent="0.25">
      <c r="A2554" s="7" t="s">
        <v>14</v>
      </c>
      <c r="B2554" s="7" t="s">
        <v>415</v>
      </c>
      <c r="C2554" s="8">
        <v>29394</v>
      </c>
      <c r="D2554" s="7" t="s">
        <v>21</v>
      </c>
      <c r="E2554" s="7" t="s">
        <v>500</v>
      </c>
      <c r="F2554" s="7" t="s">
        <v>249</v>
      </c>
      <c r="G2554" s="7" t="s">
        <v>18</v>
      </c>
      <c r="H2554" s="7" t="s">
        <v>689</v>
      </c>
      <c r="I2554" s="7" t="s">
        <v>712</v>
      </c>
      <c r="J2554" s="7" t="s">
        <v>712</v>
      </c>
      <c r="K2554" s="8">
        <v>6362549</v>
      </c>
      <c r="L2554" s="8">
        <v>350716</v>
      </c>
      <c r="M2554" s="8">
        <v>19</v>
      </c>
      <c r="N2554" s="8">
        <v>1</v>
      </c>
      <c r="O2554" s="8">
        <v>0.73</v>
      </c>
      <c r="P2554" s="8"/>
    </row>
    <row r="2555" spans="1:16" hidden="1" x14ac:dyDescent="0.25">
      <c r="A2555" s="7" t="s">
        <v>14</v>
      </c>
      <c r="B2555" s="7" t="s">
        <v>415</v>
      </c>
      <c r="C2555" s="8">
        <v>29396</v>
      </c>
      <c r="D2555" s="7" t="s">
        <v>21</v>
      </c>
      <c r="E2555" s="7" t="s">
        <v>500</v>
      </c>
      <c r="F2555" s="7" t="s">
        <v>249</v>
      </c>
      <c r="G2555" s="7" t="s">
        <v>18</v>
      </c>
      <c r="H2555" s="7" t="s">
        <v>689</v>
      </c>
      <c r="I2555" s="7" t="s">
        <v>712</v>
      </c>
      <c r="J2555" s="7" t="s">
        <v>712</v>
      </c>
      <c r="K2555" s="8">
        <v>6362788</v>
      </c>
      <c r="L2555" s="8">
        <v>351111</v>
      </c>
      <c r="M2555" s="8">
        <v>19</v>
      </c>
      <c r="N2555" s="8">
        <v>1</v>
      </c>
      <c r="O2555" s="8">
        <v>1.7</v>
      </c>
      <c r="P2555" s="8"/>
    </row>
    <row r="2556" spans="1:16" hidden="1" x14ac:dyDescent="0.25">
      <c r="A2556" s="7" t="s">
        <v>19</v>
      </c>
      <c r="B2556" s="7" t="s">
        <v>415</v>
      </c>
      <c r="C2556" s="8">
        <v>29397</v>
      </c>
      <c r="D2556" s="7" t="s">
        <v>52</v>
      </c>
      <c r="E2556" s="7" t="s">
        <v>81</v>
      </c>
      <c r="F2556" s="7" t="s">
        <v>81</v>
      </c>
      <c r="G2556" s="7" t="s">
        <v>65</v>
      </c>
      <c r="H2556" s="7" t="s">
        <v>24</v>
      </c>
      <c r="I2556" s="7" t="s">
        <v>712</v>
      </c>
      <c r="J2556" s="7" t="s">
        <v>712</v>
      </c>
      <c r="K2556" s="8">
        <v>6238256</v>
      </c>
      <c r="L2556" s="8">
        <v>345187</v>
      </c>
      <c r="M2556" s="8">
        <v>19</v>
      </c>
      <c r="N2556" s="8">
        <v>1</v>
      </c>
      <c r="O2556" s="8">
        <v>6</v>
      </c>
      <c r="P2556" s="8"/>
    </row>
    <row r="2557" spans="1:16" hidden="1" x14ac:dyDescent="0.25">
      <c r="A2557" s="7" t="s">
        <v>14</v>
      </c>
      <c r="B2557" s="7" t="s">
        <v>270</v>
      </c>
      <c r="C2557" s="8">
        <v>29398</v>
      </c>
      <c r="D2557" s="7" t="s">
        <v>52</v>
      </c>
      <c r="E2557" s="7" t="s">
        <v>139</v>
      </c>
      <c r="F2557" s="7" t="s">
        <v>270</v>
      </c>
      <c r="G2557" s="7" t="s">
        <v>65</v>
      </c>
      <c r="H2557" s="7" t="s">
        <v>689</v>
      </c>
      <c r="I2557" s="7" t="s">
        <v>712</v>
      </c>
      <c r="J2557" s="7" t="s">
        <v>712</v>
      </c>
      <c r="K2557" s="8">
        <v>6224097</v>
      </c>
      <c r="L2557" s="8">
        <v>337220</v>
      </c>
      <c r="M2557" s="8">
        <v>19</v>
      </c>
      <c r="N2557" s="8">
        <v>1</v>
      </c>
      <c r="O2557" s="8">
        <v>3.6</v>
      </c>
      <c r="P2557" s="8"/>
    </row>
    <row r="2558" spans="1:16" hidden="1" x14ac:dyDescent="0.25">
      <c r="A2558" s="7" t="s">
        <v>14</v>
      </c>
      <c r="B2558" s="7" t="s">
        <v>415</v>
      </c>
      <c r="C2558" s="8">
        <v>29399</v>
      </c>
      <c r="D2558" s="7" t="s">
        <v>21</v>
      </c>
      <c r="E2558" s="7" t="s">
        <v>500</v>
      </c>
      <c r="F2558" s="7" t="s">
        <v>249</v>
      </c>
      <c r="G2558" s="7" t="s">
        <v>18</v>
      </c>
      <c r="H2558" s="7" t="s">
        <v>689</v>
      </c>
      <c r="I2558" s="7" t="s">
        <v>712</v>
      </c>
      <c r="J2558" s="7" t="s">
        <v>712</v>
      </c>
      <c r="K2558" s="8">
        <v>6362857</v>
      </c>
      <c r="L2558" s="8">
        <v>350875</v>
      </c>
      <c r="M2558" s="8">
        <v>19</v>
      </c>
      <c r="N2558" s="8">
        <v>1</v>
      </c>
      <c r="O2558" s="8">
        <v>0.46</v>
      </c>
      <c r="P2558" s="8"/>
    </row>
    <row r="2559" spans="1:16" hidden="1" x14ac:dyDescent="0.25">
      <c r="A2559" s="7" t="s">
        <v>19</v>
      </c>
      <c r="B2559" s="7" t="s">
        <v>415</v>
      </c>
      <c r="C2559" s="8">
        <v>29400</v>
      </c>
      <c r="D2559" s="7" t="s">
        <v>52</v>
      </c>
      <c r="E2559" s="7" t="s">
        <v>286</v>
      </c>
      <c r="F2559" s="7" t="s">
        <v>286</v>
      </c>
      <c r="G2559" s="7" t="s">
        <v>65</v>
      </c>
      <c r="H2559" s="7" t="s">
        <v>24</v>
      </c>
      <c r="I2559" s="7" t="s">
        <v>712</v>
      </c>
      <c r="J2559" s="7" t="s">
        <v>712</v>
      </c>
      <c r="K2559" s="8">
        <v>6167751</v>
      </c>
      <c r="L2559" s="8">
        <v>307113</v>
      </c>
      <c r="M2559" s="8">
        <v>19</v>
      </c>
      <c r="N2559" s="8">
        <v>1</v>
      </c>
      <c r="O2559" s="8">
        <v>2.4</v>
      </c>
      <c r="P2559" s="8"/>
    </row>
    <row r="2560" spans="1:16" hidden="1" x14ac:dyDescent="0.25">
      <c r="A2560" s="7" t="s">
        <v>14</v>
      </c>
      <c r="B2560" s="7" t="s">
        <v>270</v>
      </c>
      <c r="C2560" s="8">
        <v>29402</v>
      </c>
      <c r="D2560" s="7" t="s">
        <v>52</v>
      </c>
      <c r="E2560" s="7" t="s">
        <v>139</v>
      </c>
      <c r="F2560" s="7" t="s">
        <v>139</v>
      </c>
      <c r="G2560" s="7" t="s">
        <v>65</v>
      </c>
      <c r="H2560" s="7" t="s">
        <v>689</v>
      </c>
      <c r="I2560" s="7" t="s">
        <v>712</v>
      </c>
      <c r="J2560" s="7" t="s">
        <v>712</v>
      </c>
      <c r="K2560" s="8">
        <v>6223850</v>
      </c>
      <c r="L2560" s="8">
        <v>337520</v>
      </c>
      <c r="M2560" s="8">
        <v>19</v>
      </c>
      <c r="N2560" s="8">
        <v>1</v>
      </c>
      <c r="O2560" s="8">
        <v>1.2</v>
      </c>
      <c r="P2560" s="8"/>
    </row>
    <row r="2561" spans="1:16" hidden="1" x14ac:dyDescent="0.25">
      <c r="A2561" s="7" t="s">
        <v>14</v>
      </c>
      <c r="B2561" s="7" t="s">
        <v>415</v>
      </c>
      <c r="C2561" s="8">
        <v>29403</v>
      </c>
      <c r="D2561" s="7" t="s">
        <v>21</v>
      </c>
      <c r="E2561" s="7" t="s">
        <v>500</v>
      </c>
      <c r="F2561" s="7" t="s">
        <v>503</v>
      </c>
      <c r="G2561" s="7" t="s">
        <v>18</v>
      </c>
      <c r="H2561" s="7" t="s">
        <v>689</v>
      </c>
      <c r="I2561" s="7" t="s">
        <v>712</v>
      </c>
      <c r="J2561" s="7" t="s">
        <v>712</v>
      </c>
      <c r="K2561" s="8">
        <v>6366463</v>
      </c>
      <c r="L2561" s="8">
        <v>353906</v>
      </c>
      <c r="M2561" s="8">
        <v>19</v>
      </c>
      <c r="N2561" s="8">
        <v>1</v>
      </c>
      <c r="O2561" s="8">
        <v>1.92</v>
      </c>
      <c r="P2561" s="8"/>
    </row>
    <row r="2562" spans="1:16" hidden="1" x14ac:dyDescent="0.25">
      <c r="A2562" s="7" t="s">
        <v>14</v>
      </c>
      <c r="B2562" s="7" t="s">
        <v>270</v>
      </c>
      <c r="C2562" s="8">
        <v>29404</v>
      </c>
      <c r="D2562" s="7" t="s">
        <v>52</v>
      </c>
      <c r="E2562" s="7" t="s">
        <v>139</v>
      </c>
      <c r="F2562" s="7" t="s">
        <v>270</v>
      </c>
      <c r="G2562" s="7" t="s">
        <v>65</v>
      </c>
      <c r="H2562" s="7" t="s">
        <v>689</v>
      </c>
      <c r="I2562" s="7" t="s">
        <v>712</v>
      </c>
      <c r="J2562" s="7" t="s">
        <v>712</v>
      </c>
      <c r="K2562" s="8">
        <v>6223266</v>
      </c>
      <c r="L2562" s="8">
        <v>338527</v>
      </c>
      <c r="M2562" s="8">
        <v>19</v>
      </c>
      <c r="N2562" s="8">
        <v>1</v>
      </c>
      <c r="O2562" s="8">
        <v>2.8</v>
      </c>
      <c r="P2562" s="8"/>
    </row>
    <row r="2563" spans="1:16" hidden="1" x14ac:dyDescent="0.25">
      <c r="A2563" s="7" t="s">
        <v>14</v>
      </c>
      <c r="B2563" s="7" t="s">
        <v>415</v>
      </c>
      <c r="C2563" s="8">
        <v>29405</v>
      </c>
      <c r="D2563" s="7" t="s">
        <v>21</v>
      </c>
      <c r="E2563" s="7" t="s">
        <v>500</v>
      </c>
      <c r="F2563" s="7" t="s">
        <v>503</v>
      </c>
      <c r="G2563" s="7" t="s">
        <v>18</v>
      </c>
      <c r="H2563" s="7" t="s">
        <v>689</v>
      </c>
      <c r="I2563" s="7" t="s">
        <v>712</v>
      </c>
      <c r="J2563" s="7" t="s">
        <v>712</v>
      </c>
      <c r="K2563" s="8">
        <v>6366580</v>
      </c>
      <c r="L2563" s="8">
        <v>353979</v>
      </c>
      <c r="M2563" s="8">
        <v>19</v>
      </c>
      <c r="N2563" s="8">
        <v>1</v>
      </c>
      <c r="O2563" s="8">
        <v>0.62</v>
      </c>
      <c r="P2563" s="8"/>
    </row>
    <row r="2564" spans="1:16" hidden="1" x14ac:dyDescent="0.25">
      <c r="A2564" s="7" t="s">
        <v>14</v>
      </c>
      <c r="B2564" s="7" t="s">
        <v>415</v>
      </c>
      <c r="C2564" s="8">
        <v>29406</v>
      </c>
      <c r="D2564" s="7" t="s">
        <v>21</v>
      </c>
      <c r="E2564" s="7" t="s">
        <v>500</v>
      </c>
      <c r="F2564" s="7" t="s">
        <v>503</v>
      </c>
      <c r="G2564" s="7" t="s">
        <v>18</v>
      </c>
      <c r="H2564" s="7" t="s">
        <v>689</v>
      </c>
      <c r="I2564" s="7" t="s">
        <v>712</v>
      </c>
      <c r="J2564" s="7" t="s">
        <v>712</v>
      </c>
      <c r="K2564" s="8">
        <v>6366696</v>
      </c>
      <c r="L2564" s="8">
        <v>353714</v>
      </c>
      <c r="M2564" s="8">
        <v>19</v>
      </c>
      <c r="N2564" s="8">
        <v>1</v>
      </c>
      <c r="O2564" s="8">
        <v>1.36</v>
      </c>
      <c r="P2564" s="8"/>
    </row>
    <row r="2565" spans="1:16" hidden="1" x14ac:dyDescent="0.25">
      <c r="A2565" s="7" t="s">
        <v>19</v>
      </c>
      <c r="B2565" s="7" t="s">
        <v>415</v>
      </c>
      <c r="C2565" s="8">
        <v>29407</v>
      </c>
      <c r="D2565" s="7" t="s">
        <v>52</v>
      </c>
      <c r="E2565" s="7" t="s">
        <v>53</v>
      </c>
      <c r="F2565" s="7" t="s">
        <v>53</v>
      </c>
      <c r="G2565" s="7" t="s">
        <v>65</v>
      </c>
      <c r="H2565" s="7" t="s">
        <v>24</v>
      </c>
      <c r="I2565" s="7" t="s">
        <v>712</v>
      </c>
      <c r="J2565" s="7" t="s">
        <v>712</v>
      </c>
      <c r="K2565" s="8">
        <v>6154475</v>
      </c>
      <c r="L2565" s="8">
        <v>320035</v>
      </c>
      <c r="M2565" s="8">
        <v>19</v>
      </c>
      <c r="N2565" s="8">
        <v>1</v>
      </c>
      <c r="O2565" s="8">
        <v>4.0999999999999996</v>
      </c>
      <c r="P2565" s="8"/>
    </row>
    <row r="2566" spans="1:16" hidden="1" x14ac:dyDescent="0.25">
      <c r="A2566" s="7" t="s">
        <v>14</v>
      </c>
      <c r="B2566" s="7" t="s">
        <v>270</v>
      </c>
      <c r="C2566" s="8">
        <v>29408</v>
      </c>
      <c r="D2566" s="7" t="s">
        <v>52</v>
      </c>
      <c r="E2566" s="7" t="s">
        <v>139</v>
      </c>
      <c r="F2566" s="7" t="s">
        <v>270</v>
      </c>
      <c r="G2566" s="7" t="s">
        <v>65</v>
      </c>
      <c r="H2566" s="7" t="s">
        <v>689</v>
      </c>
      <c r="I2566" s="7" t="s">
        <v>712</v>
      </c>
      <c r="J2566" s="7" t="s">
        <v>712</v>
      </c>
      <c r="K2566" s="8">
        <v>6225872</v>
      </c>
      <c r="L2566" s="8">
        <v>338237</v>
      </c>
      <c r="M2566" s="8">
        <v>19</v>
      </c>
      <c r="N2566" s="8">
        <v>1</v>
      </c>
      <c r="O2566" s="8">
        <v>4.54</v>
      </c>
      <c r="P2566" s="8"/>
    </row>
    <row r="2567" spans="1:16" hidden="1" x14ac:dyDescent="0.25">
      <c r="A2567" s="7" t="s">
        <v>14</v>
      </c>
      <c r="B2567" s="7" t="s">
        <v>415</v>
      </c>
      <c r="C2567" s="8">
        <v>29409</v>
      </c>
      <c r="D2567" s="7" t="s">
        <v>21</v>
      </c>
      <c r="E2567" s="7" t="s">
        <v>500</v>
      </c>
      <c r="F2567" s="7" t="s">
        <v>249</v>
      </c>
      <c r="G2567" s="7" t="s">
        <v>18</v>
      </c>
      <c r="H2567" s="7" t="s">
        <v>689</v>
      </c>
      <c r="I2567" s="7" t="s">
        <v>712</v>
      </c>
      <c r="J2567" s="7" t="s">
        <v>712</v>
      </c>
      <c r="K2567" s="8">
        <v>6362802</v>
      </c>
      <c r="L2567" s="8">
        <v>350930</v>
      </c>
      <c r="M2567" s="8">
        <v>19</v>
      </c>
      <c r="N2567" s="8">
        <v>1</v>
      </c>
      <c r="O2567" s="8">
        <v>1</v>
      </c>
      <c r="P2567" s="8"/>
    </row>
    <row r="2568" spans="1:16" hidden="1" x14ac:dyDescent="0.25">
      <c r="A2568" s="7" t="s">
        <v>19</v>
      </c>
      <c r="B2568" s="7" t="s">
        <v>415</v>
      </c>
      <c r="C2568" s="8">
        <v>29410</v>
      </c>
      <c r="D2568" s="7" t="s">
        <v>52</v>
      </c>
      <c r="E2568" s="7" t="s">
        <v>141</v>
      </c>
      <c r="F2568" s="7" t="s">
        <v>141</v>
      </c>
      <c r="G2568" s="7" t="s">
        <v>65</v>
      </c>
      <c r="H2568" s="7" t="s">
        <v>24</v>
      </c>
      <c r="I2568" s="7" t="s">
        <v>712</v>
      </c>
      <c r="J2568" s="7" t="s">
        <v>712</v>
      </c>
      <c r="K2568" s="8">
        <v>6153748</v>
      </c>
      <c r="L2568" s="8">
        <v>320828</v>
      </c>
      <c r="M2568" s="8">
        <v>19</v>
      </c>
      <c r="N2568" s="8">
        <v>1</v>
      </c>
      <c r="O2568" s="8">
        <v>10.3</v>
      </c>
      <c r="P2568" s="8"/>
    </row>
    <row r="2569" spans="1:16" hidden="1" x14ac:dyDescent="0.25">
      <c r="A2569" s="7" t="s">
        <v>14</v>
      </c>
      <c r="B2569" s="7" t="s">
        <v>270</v>
      </c>
      <c r="C2569" s="8">
        <v>29411</v>
      </c>
      <c r="D2569" s="7" t="s">
        <v>52</v>
      </c>
      <c r="E2569" s="7" t="s">
        <v>139</v>
      </c>
      <c r="F2569" s="7" t="s">
        <v>299</v>
      </c>
      <c r="G2569" s="7" t="s">
        <v>65</v>
      </c>
      <c r="H2569" s="7" t="s">
        <v>689</v>
      </c>
      <c r="I2569" s="7" t="s">
        <v>712</v>
      </c>
      <c r="J2569" s="7" t="s">
        <v>712</v>
      </c>
      <c r="K2569" s="8">
        <v>6223011</v>
      </c>
      <c r="L2569" s="8">
        <v>335075</v>
      </c>
      <c r="M2569" s="8">
        <v>19</v>
      </c>
      <c r="N2569" s="8">
        <v>1</v>
      </c>
      <c r="O2569" s="8">
        <v>4.54</v>
      </c>
      <c r="P2569" s="8"/>
    </row>
    <row r="2570" spans="1:16" hidden="1" x14ac:dyDescent="0.25">
      <c r="A2570" s="7" t="s">
        <v>14</v>
      </c>
      <c r="B2570" s="7" t="s">
        <v>415</v>
      </c>
      <c r="C2570" s="8">
        <v>29412</v>
      </c>
      <c r="D2570" s="7" t="s">
        <v>21</v>
      </c>
      <c r="E2570" s="7" t="s">
        <v>500</v>
      </c>
      <c r="F2570" s="7" t="s">
        <v>503</v>
      </c>
      <c r="G2570" s="7" t="s">
        <v>18</v>
      </c>
      <c r="H2570" s="7" t="s">
        <v>689</v>
      </c>
      <c r="I2570" s="7" t="s">
        <v>712</v>
      </c>
      <c r="J2570" s="7" t="s">
        <v>712</v>
      </c>
      <c r="K2570" s="8">
        <v>6366410</v>
      </c>
      <c r="L2570" s="8">
        <v>353484</v>
      </c>
      <c r="M2570" s="8">
        <v>19</v>
      </c>
      <c r="N2570" s="8">
        <v>1</v>
      </c>
      <c r="O2570" s="8">
        <v>0.56999999999999995</v>
      </c>
      <c r="P2570" s="8"/>
    </row>
    <row r="2571" spans="1:16" hidden="1" x14ac:dyDescent="0.25">
      <c r="A2571" s="7" t="s">
        <v>19</v>
      </c>
      <c r="B2571" s="7" t="s">
        <v>415</v>
      </c>
      <c r="C2571" s="8">
        <v>29413</v>
      </c>
      <c r="D2571" s="7" t="s">
        <v>52</v>
      </c>
      <c r="E2571" s="7" t="s">
        <v>53</v>
      </c>
      <c r="F2571" s="7" t="s">
        <v>53</v>
      </c>
      <c r="G2571" s="7" t="s">
        <v>65</v>
      </c>
      <c r="H2571" s="7" t="s">
        <v>24</v>
      </c>
      <c r="I2571" s="7" t="s">
        <v>712</v>
      </c>
      <c r="J2571" s="7" t="s">
        <v>712</v>
      </c>
      <c r="K2571" s="8">
        <v>6154191</v>
      </c>
      <c r="L2571" s="8">
        <v>319829</v>
      </c>
      <c r="M2571" s="8">
        <v>19</v>
      </c>
      <c r="N2571" s="8">
        <v>1</v>
      </c>
      <c r="O2571" s="8">
        <v>6</v>
      </c>
      <c r="P2571" s="8"/>
    </row>
    <row r="2572" spans="1:16" hidden="1" x14ac:dyDescent="0.25">
      <c r="A2572" s="7" t="s">
        <v>19</v>
      </c>
      <c r="B2572" s="7" t="s">
        <v>415</v>
      </c>
      <c r="C2572" s="8">
        <v>29414</v>
      </c>
      <c r="D2572" s="7" t="s">
        <v>52</v>
      </c>
      <c r="E2572" s="7" t="s">
        <v>141</v>
      </c>
      <c r="F2572" s="7" t="s">
        <v>141</v>
      </c>
      <c r="G2572" s="7" t="s">
        <v>65</v>
      </c>
      <c r="H2572" s="7" t="s">
        <v>24</v>
      </c>
      <c r="I2572" s="7" t="s">
        <v>712</v>
      </c>
      <c r="J2572" s="7" t="s">
        <v>712</v>
      </c>
      <c r="K2572" s="8">
        <v>6154257</v>
      </c>
      <c r="L2572" s="8">
        <v>321062</v>
      </c>
      <c r="M2572" s="8">
        <v>19</v>
      </c>
      <c r="N2572" s="8">
        <v>1</v>
      </c>
      <c r="O2572" s="8">
        <v>3.2</v>
      </c>
      <c r="P2572" s="8"/>
    </row>
    <row r="2573" spans="1:16" hidden="1" x14ac:dyDescent="0.25">
      <c r="A2573" s="7" t="s">
        <v>14</v>
      </c>
      <c r="B2573" s="7" t="s">
        <v>270</v>
      </c>
      <c r="C2573" s="8">
        <v>29415</v>
      </c>
      <c r="D2573" s="7" t="s">
        <v>52</v>
      </c>
      <c r="E2573" s="7" t="s">
        <v>139</v>
      </c>
      <c r="F2573" s="7" t="s">
        <v>270</v>
      </c>
      <c r="G2573" s="7" t="s">
        <v>65</v>
      </c>
      <c r="H2573" s="7" t="s">
        <v>689</v>
      </c>
      <c r="I2573" s="7" t="s">
        <v>712</v>
      </c>
      <c r="J2573" s="7" t="s">
        <v>712</v>
      </c>
      <c r="K2573" s="8">
        <v>6225611</v>
      </c>
      <c r="L2573" s="8">
        <v>338672</v>
      </c>
      <c r="M2573" s="8">
        <v>19</v>
      </c>
      <c r="N2573" s="8">
        <v>1</v>
      </c>
      <c r="O2573" s="8">
        <v>6.58</v>
      </c>
      <c r="P2573" s="8"/>
    </row>
    <row r="2574" spans="1:16" hidden="1" x14ac:dyDescent="0.25">
      <c r="A2574" s="7" t="s">
        <v>14</v>
      </c>
      <c r="B2574" s="7" t="s">
        <v>415</v>
      </c>
      <c r="C2574" s="8">
        <v>29416</v>
      </c>
      <c r="D2574" s="7" t="s">
        <v>21</v>
      </c>
      <c r="E2574" s="7" t="s">
        <v>253</v>
      </c>
      <c r="F2574" s="7" t="s">
        <v>253</v>
      </c>
      <c r="G2574" s="7" t="s">
        <v>18</v>
      </c>
      <c r="H2574" s="7" t="s">
        <v>689</v>
      </c>
      <c r="I2574" s="7" t="s">
        <v>712</v>
      </c>
      <c r="J2574" s="7" t="s">
        <v>712</v>
      </c>
      <c r="K2574" s="8">
        <v>6367224</v>
      </c>
      <c r="L2574" s="8">
        <v>355112</v>
      </c>
      <c r="M2574" s="8">
        <v>19</v>
      </c>
      <c r="N2574" s="8">
        <v>1</v>
      </c>
      <c r="O2574" s="8">
        <v>1.1200000000000001</v>
      </c>
      <c r="P2574" s="8"/>
    </row>
    <row r="2575" spans="1:16" hidden="1" x14ac:dyDescent="0.25">
      <c r="A2575" s="7" t="s">
        <v>19</v>
      </c>
      <c r="B2575" s="7" t="s">
        <v>415</v>
      </c>
      <c r="C2575" s="8">
        <v>29417</v>
      </c>
      <c r="D2575" s="7" t="s">
        <v>52</v>
      </c>
      <c r="E2575" s="7" t="s">
        <v>53</v>
      </c>
      <c r="F2575" s="7" t="s">
        <v>53</v>
      </c>
      <c r="G2575" s="7" t="s">
        <v>65</v>
      </c>
      <c r="H2575" s="7" t="s">
        <v>24</v>
      </c>
      <c r="I2575" s="7" t="s">
        <v>712</v>
      </c>
      <c r="J2575" s="7" t="s">
        <v>712</v>
      </c>
      <c r="K2575" s="8">
        <v>6154125</v>
      </c>
      <c r="L2575" s="8">
        <v>320526</v>
      </c>
      <c r="M2575" s="8">
        <v>19</v>
      </c>
      <c r="N2575" s="8">
        <v>1</v>
      </c>
      <c r="O2575" s="8">
        <v>2</v>
      </c>
      <c r="P2575" s="8"/>
    </row>
    <row r="2576" spans="1:16" hidden="1" x14ac:dyDescent="0.25">
      <c r="A2576" s="7" t="s">
        <v>14</v>
      </c>
      <c r="B2576" s="7" t="s">
        <v>415</v>
      </c>
      <c r="C2576" s="8">
        <v>29418</v>
      </c>
      <c r="D2576" s="7" t="s">
        <v>21</v>
      </c>
      <c r="E2576" s="7" t="s">
        <v>500</v>
      </c>
      <c r="F2576" s="7" t="s">
        <v>503</v>
      </c>
      <c r="G2576" s="7" t="s">
        <v>18</v>
      </c>
      <c r="H2576" s="7" t="s">
        <v>689</v>
      </c>
      <c r="I2576" s="7" t="s">
        <v>712</v>
      </c>
      <c r="J2576" s="7" t="s">
        <v>712</v>
      </c>
      <c r="K2576" s="8">
        <v>6366228</v>
      </c>
      <c r="L2576" s="8">
        <v>353114</v>
      </c>
      <c r="M2576" s="8">
        <v>19</v>
      </c>
      <c r="N2576" s="8">
        <v>1</v>
      </c>
      <c r="O2576" s="8">
        <v>0.82</v>
      </c>
      <c r="P2576" s="8"/>
    </row>
    <row r="2577" spans="1:16" hidden="1" x14ac:dyDescent="0.25">
      <c r="A2577" s="7" t="s">
        <v>14</v>
      </c>
      <c r="B2577" s="7" t="s">
        <v>415</v>
      </c>
      <c r="C2577" s="8">
        <v>29419</v>
      </c>
      <c r="D2577" s="7" t="s">
        <v>21</v>
      </c>
      <c r="E2577" s="7" t="s">
        <v>500</v>
      </c>
      <c r="F2577" s="7" t="s">
        <v>503</v>
      </c>
      <c r="G2577" s="7" t="s">
        <v>18</v>
      </c>
      <c r="H2577" s="7" t="s">
        <v>689</v>
      </c>
      <c r="I2577" s="7" t="s">
        <v>712</v>
      </c>
      <c r="J2577" s="7" t="s">
        <v>712</v>
      </c>
      <c r="K2577" s="8">
        <v>6366354</v>
      </c>
      <c r="L2577" s="8">
        <v>353368</v>
      </c>
      <c r="M2577" s="8">
        <v>19</v>
      </c>
      <c r="N2577" s="8">
        <v>1</v>
      </c>
      <c r="O2577" s="8">
        <v>0.97</v>
      </c>
      <c r="P2577" s="8"/>
    </row>
    <row r="2578" spans="1:16" hidden="1" x14ac:dyDescent="0.25">
      <c r="A2578" s="7" t="s">
        <v>14</v>
      </c>
      <c r="B2578" s="7" t="s">
        <v>415</v>
      </c>
      <c r="C2578" s="8">
        <v>29420</v>
      </c>
      <c r="D2578" s="7" t="s">
        <v>21</v>
      </c>
      <c r="E2578" s="7" t="s">
        <v>500</v>
      </c>
      <c r="F2578" s="7" t="s">
        <v>503</v>
      </c>
      <c r="G2578" s="7" t="s">
        <v>18</v>
      </c>
      <c r="H2578" s="7" t="s">
        <v>689</v>
      </c>
      <c r="I2578" s="7" t="s">
        <v>712</v>
      </c>
      <c r="J2578" s="7" t="s">
        <v>712</v>
      </c>
      <c r="K2578" s="8">
        <v>6366436</v>
      </c>
      <c r="L2578" s="8">
        <v>353222</v>
      </c>
      <c r="M2578" s="8">
        <v>19</v>
      </c>
      <c r="N2578" s="8">
        <v>1</v>
      </c>
      <c r="O2578" s="8">
        <v>0.48</v>
      </c>
      <c r="P2578" s="8"/>
    </row>
    <row r="2579" spans="1:16" hidden="1" x14ac:dyDescent="0.25">
      <c r="A2579" s="7" t="s">
        <v>14</v>
      </c>
      <c r="B2579" s="7" t="s">
        <v>415</v>
      </c>
      <c r="C2579" s="8">
        <v>29421</v>
      </c>
      <c r="D2579" s="7" t="s">
        <v>21</v>
      </c>
      <c r="E2579" s="7" t="s">
        <v>500</v>
      </c>
      <c r="F2579" s="7" t="s">
        <v>503</v>
      </c>
      <c r="G2579" s="7" t="s">
        <v>18</v>
      </c>
      <c r="H2579" s="7" t="s">
        <v>689</v>
      </c>
      <c r="I2579" s="7" t="s">
        <v>712</v>
      </c>
      <c r="J2579" s="7" t="s">
        <v>712</v>
      </c>
      <c r="K2579" s="8">
        <v>6366445</v>
      </c>
      <c r="L2579" s="8">
        <v>353561</v>
      </c>
      <c r="M2579" s="8">
        <v>19</v>
      </c>
      <c r="N2579" s="8">
        <v>1</v>
      </c>
      <c r="O2579" s="8">
        <v>0.95</v>
      </c>
      <c r="P2579" s="8"/>
    </row>
    <row r="2580" spans="1:16" hidden="1" x14ac:dyDescent="0.25">
      <c r="A2580" s="7" t="s">
        <v>14</v>
      </c>
      <c r="B2580" s="7" t="s">
        <v>415</v>
      </c>
      <c r="C2580" s="8">
        <v>29422</v>
      </c>
      <c r="D2580" s="7" t="s">
        <v>21</v>
      </c>
      <c r="E2580" s="7" t="s">
        <v>253</v>
      </c>
      <c r="F2580" s="7" t="s">
        <v>253</v>
      </c>
      <c r="G2580" s="7" t="s">
        <v>18</v>
      </c>
      <c r="H2580" s="7" t="s">
        <v>689</v>
      </c>
      <c r="I2580" s="7" t="s">
        <v>712</v>
      </c>
      <c r="J2580" s="7" t="s">
        <v>712</v>
      </c>
      <c r="K2580" s="8">
        <v>6366965</v>
      </c>
      <c r="L2580" s="8">
        <v>355001</v>
      </c>
      <c r="M2580" s="8">
        <v>19</v>
      </c>
      <c r="N2580" s="8">
        <v>1</v>
      </c>
      <c r="O2580" s="8">
        <v>1.04</v>
      </c>
      <c r="P2580" s="8"/>
    </row>
    <row r="2581" spans="1:16" hidden="1" x14ac:dyDescent="0.25">
      <c r="A2581" s="7" t="s">
        <v>14</v>
      </c>
      <c r="B2581" s="7" t="s">
        <v>415</v>
      </c>
      <c r="C2581" s="8">
        <v>29423</v>
      </c>
      <c r="D2581" s="7" t="s">
        <v>21</v>
      </c>
      <c r="E2581" s="7" t="s">
        <v>500</v>
      </c>
      <c r="F2581" s="7" t="s">
        <v>249</v>
      </c>
      <c r="G2581" s="7" t="s">
        <v>18</v>
      </c>
      <c r="H2581" s="7" t="s">
        <v>689</v>
      </c>
      <c r="I2581" s="7" t="s">
        <v>712</v>
      </c>
      <c r="J2581" s="7" t="s">
        <v>712</v>
      </c>
      <c r="K2581" s="8">
        <v>6362693</v>
      </c>
      <c r="L2581" s="8">
        <v>350799</v>
      </c>
      <c r="M2581" s="8">
        <v>19</v>
      </c>
      <c r="N2581" s="8">
        <v>1</v>
      </c>
      <c r="O2581" s="8">
        <v>0.36</v>
      </c>
      <c r="P2581" s="8"/>
    </row>
    <row r="2582" spans="1:16" hidden="1" x14ac:dyDescent="0.25">
      <c r="A2582" s="7" t="s">
        <v>19</v>
      </c>
      <c r="B2582" s="7" t="s">
        <v>415</v>
      </c>
      <c r="C2582" s="8">
        <v>29424</v>
      </c>
      <c r="D2582" s="7" t="s">
        <v>52</v>
      </c>
      <c r="E2582" s="7" t="s">
        <v>53</v>
      </c>
      <c r="F2582" s="7" t="s">
        <v>53</v>
      </c>
      <c r="G2582" s="7" t="s">
        <v>65</v>
      </c>
      <c r="H2582" s="7" t="s">
        <v>24</v>
      </c>
      <c r="I2582" s="7" t="s">
        <v>712</v>
      </c>
      <c r="J2582" s="7" t="s">
        <v>712</v>
      </c>
      <c r="K2582" s="8">
        <v>6154202</v>
      </c>
      <c r="L2582" s="8">
        <v>310286</v>
      </c>
      <c r="M2582" s="8">
        <v>19</v>
      </c>
      <c r="N2582" s="8">
        <v>1</v>
      </c>
      <c r="O2582" s="8">
        <v>5.7</v>
      </c>
      <c r="P2582" s="8"/>
    </row>
    <row r="2583" spans="1:16" hidden="1" x14ac:dyDescent="0.25">
      <c r="A2583" s="7" t="s">
        <v>19</v>
      </c>
      <c r="B2583" s="7" t="s">
        <v>415</v>
      </c>
      <c r="C2583" s="8">
        <v>29425</v>
      </c>
      <c r="D2583" s="7" t="s">
        <v>52</v>
      </c>
      <c r="E2583" s="7" t="s">
        <v>53</v>
      </c>
      <c r="F2583" s="7" t="s">
        <v>53</v>
      </c>
      <c r="G2583" s="7" t="s">
        <v>65</v>
      </c>
      <c r="H2583" s="7" t="s">
        <v>24</v>
      </c>
      <c r="I2583" s="7" t="s">
        <v>712</v>
      </c>
      <c r="J2583" s="7" t="s">
        <v>712</v>
      </c>
      <c r="K2583" s="8">
        <v>6154021</v>
      </c>
      <c r="L2583" s="8">
        <v>320149</v>
      </c>
      <c r="M2583" s="8">
        <v>19</v>
      </c>
      <c r="N2583" s="8">
        <v>2</v>
      </c>
      <c r="O2583" s="8">
        <v>3.5</v>
      </c>
      <c r="P2583" s="8"/>
    </row>
    <row r="2584" spans="1:16" hidden="1" x14ac:dyDescent="0.25">
      <c r="A2584" s="7" t="s">
        <v>14</v>
      </c>
      <c r="B2584" s="7" t="s">
        <v>415</v>
      </c>
      <c r="C2584" s="8">
        <v>29426</v>
      </c>
      <c r="D2584" s="7" t="s">
        <v>21</v>
      </c>
      <c r="E2584" s="7" t="s">
        <v>500</v>
      </c>
      <c r="F2584" s="7" t="s">
        <v>249</v>
      </c>
      <c r="G2584" s="7" t="s">
        <v>18</v>
      </c>
      <c r="H2584" s="7" t="s">
        <v>689</v>
      </c>
      <c r="I2584" s="7" t="s">
        <v>712</v>
      </c>
      <c r="J2584" s="7" t="s">
        <v>712</v>
      </c>
      <c r="K2584" s="8">
        <v>6361452</v>
      </c>
      <c r="L2584" s="8">
        <v>351516</v>
      </c>
      <c r="M2584" s="8">
        <v>19</v>
      </c>
      <c r="N2584" s="8">
        <v>1</v>
      </c>
      <c r="O2584" s="8">
        <v>0.65</v>
      </c>
      <c r="P2584" s="8"/>
    </row>
    <row r="2585" spans="1:16" hidden="1" x14ac:dyDescent="0.25">
      <c r="A2585" s="7" t="s">
        <v>14</v>
      </c>
      <c r="B2585" s="7" t="s">
        <v>415</v>
      </c>
      <c r="C2585" s="8">
        <v>29427</v>
      </c>
      <c r="D2585" s="7" t="s">
        <v>21</v>
      </c>
      <c r="E2585" s="7" t="s">
        <v>253</v>
      </c>
      <c r="F2585" s="7" t="s">
        <v>253</v>
      </c>
      <c r="G2585" s="7" t="s">
        <v>18</v>
      </c>
      <c r="H2585" s="7" t="s">
        <v>689</v>
      </c>
      <c r="I2585" s="7" t="s">
        <v>712</v>
      </c>
      <c r="J2585" s="7" t="s">
        <v>712</v>
      </c>
      <c r="K2585" s="8">
        <v>6367096</v>
      </c>
      <c r="L2585" s="8">
        <v>354932</v>
      </c>
      <c r="M2585" s="8">
        <v>19</v>
      </c>
      <c r="N2585" s="8">
        <v>1</v>
      </c>
      <c r="O2585" s="8">
        <v>0.95</v>
      </c>
      <c r="P2585" s="8"/>
    </row>
    <row r="2586" spans="1:16" hidden="1" x14ac:dyDescent="0.25">
      <c r="A2586" s="7" t="s">
        <v>14</v>
      </c>
      <c r="B2586" s="7" t="s">
        <v>558</v>
      </c>
      <c r="C2586" s="8">
        <v>29428</v>
      </c>
      <c r="D2586" s="7" t="s">
        <v>52</v>
      </c>
      <c r="E2586" s="7" t="s">
        <v>151</v>
      </c>
      <c r="F2586" s="7" t="s">
        <v>309</v>
      </c>
      <c r="G2586" s="7" t="s">
        <v>18</v>
      </c>
      <c r="H2586" s="7" t="s">
        <v>689</v>
      </c>
      <c r="I2586" s="7" t="s">
        <v>690</v>
      </c>
      <c r="J2586" s="7" t="s">
        <v>690</v>
      </c>
      <c r="K2586" s="8">
        <v>6188030</v>
      </c>
      <c r="L2586" s="8">
        <v>335162</v>
      </c>
      <c r="M2586" s="8">
        <v>19</v>
      </c>
      <c r="N2586" s="8">
        <v>1</v>
      </c>
      <c r="O2586" s="8">
        <v>0.18</v>
      </c>
      <c r="P2586" s="8"/>
    </row>
    <row r="2587" spans="1:16" hidden="1" x14ac:dyDescent="0.25">
      <c r="A2587" s="7" t="s">
        <v>14</v>
      </c>
      <c r="B2587" s="7" t="s">
        <v>270</v>
      </c>
      <c r="C2587" s="8">
        <v>29429</v>
      </c>
      <c r="D2587" s="7" t="s">
        <v>52</v>
      </c>
      <c r="E2587" s="7" t="s">
        <v>166</v>
      </c>
      <c r="F2587" s="7" t="s">
        <v>146</v>
      </c>
      <c r="G2587" s="7" t="s">
        <v>65</v>
      </c>
      <c r="H2587" s="7" t="s">
        <v>689</v>
      </c>
      <c r="I2587" s="7" t="s">
        <v>712</v>
      </c>
      <c r="J2587" s="7" t="s">
        <v>712</v>
      </c>
      <c r="K2587" s="8">
        <v>6224892</v>
      </c>
      <c r="L2587" s="8">
        <v>339564</v>
      </c>
      <c r="M2587" s="8">
        <v>19</v>
      </c>
      <c r="N2587" s="8">
        <v>3</v>
      </c>
      <c r="O2587" s="8">
        <v>6.4</v>
      </c>
      <c r="P2587" s="8"/>
    </row>
    <row r="2588" spans="1:16" hidden="1" x14ac:dyDescent="0.25">
      <c r="A2588" s="7" t="s">
        <v>14</v>
      </c>
      <c r="B2588" s="7" t="s">
        <v>415</v>
      </c>
      <c r="C2588" s="8">
        <v>29430</v>
      </c>
      <c r="D2588" s="7" t="s">
        <v>21</v>
      </c>
      <c r="E2588" s="7" t="s">
        <v>253</v>
      </c>
      <c r="F2588" s="7" t="s">
        <v>553</v>
      </c>
      <c r="G2588" s="7" t="s">
        <v>18</v>
      </c>
      <c r="H2588" s="7" t="s">
        <v>689</v>
      </c>
      <c r="I2588" s="7" t="s">
        <v>712</v>
      </c>
      <c r="J2588" s="7" t="s">
        <v>712</v>
      </c>
      <c r="K2588" s="8">
        <v>6368269</v>
      </c>
      <c r="L2588" s="8">
        <v>351689</v>
      </c>
      <c r="M2588" s="8">
        <v>19</v>
      </c>
      <c r="N2588" s="8">
        <v>1</v>
      </c>
      <c r="O2588" s="8">
        <v>0.32</v>
      </c>
      <c r="P2588" s="8"/>
    </row>
    <row r="2589" spans="1:16" hidden="1" x14ac:dyDescent="0.25">
      <c r="A2589" s="7" t="s">
        <v>14</v>
      </c>
      <c r="B2589" s="7" t="s">
        <v>415</v>
      </c>
      <c r="C2589" s="8">
        <v>29431</v>
      </c>
      <c r="D2589" s="7" t="s">
        <v>21</v>
      </c>
      <c r="E2589" s="7" t="s">
        <v>253</v>
      </c>
      <c r="F2589" s="7" t="s">
        <v>553</v>
      </c>
      <c r="G2589" s="7" t="s">
        <v>18</v>
      </c>
      <c r="H2589" s="7" t="s">
        <v>689</v>
      </c>
      <c r="I2589" s="7" t="s">
        <v>712</v>
      </c>
      <c r="J2589" s="7" t="s">
        <v>712</v>
      </c>
      <c r="K2589" s="8">
        <v>6368233</v>
      </c>
      <c r="L2589" s="8">
        <v>351771</v>
      </c>
      <c r="M2589" s="8">
        <v>19</v>
      </c>
      <c r="N2589" s="8">
        <v>1</v>
      </c>
      <c r="O2589" s="8">
        <v>0.47</v>
      </c>
      <c r="P2589" s="8"/>
    </row>
    <row r="2590" spans="1:16" hidden="1" x14ac:dyDescent="0.25">
      <c r="A2590" s="7" t="s">
        <v>14</v>
      </c>
      <c r="B2590" s="7" t="s">
        <v>415</v>
      </c>
      <c r="C2590" s="8">
        <v>29432</v>
      </c>
      <c r="D2590" s="7" t="s">
        <v>21</v>
      </c>
      <c r="E2590" s="7" t="s">
        <v>500</v>
      </c>
      <c r="F2590" s="7" t="s">
        <v>503</v>
      </c>
      <c r="G2590" s="7" t="s">
        <v>18</v>
      </c>
      <c r="H2590" s="7" t="s">
        <v>689</v>
      </c>
      <c r="I2590" s="7" t="s">
        <v>712</v>
      </c>
      <c r="J2590" s="7" t="s">
        <v>712</v>
      </c>
      <c r="K2590" s="8">
        <v>6366296</v>
      </c>
      <c r="L2590" s="8">
        <v>353232</v>
      </c>
      <c r="M2590" s="8">
        <v>19</v>
      </c>
      <c r="N2590" s="8">
        <v>1</v>
      </c>
      <c r="O2590" s="8">
        <v>0.95</v>
      </c>
      <c r="P2590" s="8"/>
    </row>
    <row r="2591" spans="1:16" hidden="1" x14ac:dyDescent="0.25">
      <c r="A2591" s="7" t="s">
        <v>14</v>
      </c>
      <c r="B2591" s="7" t="s">
        <v>415</v>
      </c>
      <c r="C2591" s="8">
        <v>29433</v>
      </c>
      <c r="D2591" s="7" t="s">
        <v>21</v>
      </c>
      <c r="E2591" s="7" t="s">
        <v>500</v>
      </c>
      <c r="F2591" s="7" t="s">
        <v>503</v>
      </c>
      <c r="G2591" s="7" t="s">
        <v>18</v>
      </c>
      <c r="H2591" s="7" t="s">
        <v>689</v>
      </c>
      <c r="I2591" s="7" t="s">
        <v>712</v>
      </c>
      <c r="J2591" s="7" t="s">
        <v>712</v>
      </c>
      <c r="K2591" s="8">
        <v>6366598</v>
      </c>
      <c r="L2591" s="8">
        <v>353534</v>
      </c>
      <c r="M2591" s="8">
        <v>19</v>
      </c>
      <c r="N2591" s="8">
        <v>1</v>
      </c>
      <c r="O2591" s="8">
        <v>2.2000000000000002</v>
      </c>
      <c r="P2591" s="8"/>
    </row>
    <row r="2592" spans="1:16" hidden="1" x14ac:dyDescent="0.25">
      <c r="A2592" s="7" t="s">
        <v>14</v>
      </c>
      <c r="B2592" s="7" t="s">
        <v>415</v>
      </c>
      <c r="C2592" s="8">
        <v>29434</v>
      </c>
      <c r="D2592" s="7" t="s">
        <v>21</v>
      </c>
      <c r="E2592" s="7" t="s">
        <v>253</v>
      </c>
      <c r="F2592" s="7" t="s">
        <v>253</v>
      </c>
      <c r="G2592" s="7" t="s">
        <v>18</v>
      </c>
      <c r="H2592" s="7" t="s">
        <v>689</v>
      </c>
      <c r="I2592" s="7" t="s">
        <v>712</v>
      </c>
      <c r="J2592" s="7" t="s">
        <v>712</v>
      </c>
      <c r="K2592" s="8">
        <v>6367252</v>
      </c>
      <c r="L2592" s="8">
        <v>355186</v>
      </c>
      <c r="M2592" s="8">
        <v>19</v>
      </c>
      <c r="N2592" s="8">
        <v>1</v>
      </c>
      <c r="O2592" s="8">
        <v>0.62</v>
      </c>
      <c r="P2592" s="8"/>
    </row>
    <row r="2593" spans="1:16" hidden="1" x14ac:dyDescent="0.25">
      <c r="A2593" s="7" t="s">
        <v>14</v>
      </c>
      <c r="B2593" s="7" t="s">
        <v>415</v>
      </c>
      <c r="C2593" s="8">
        <v>29435</v>
      </c>
      <c r="D2593" s="7" t="s">
        <v>21</v>
      </c>
      <c r="E2593" s="7" t="s">
        <v>253</v>
      </c>
      <c r="F2593" s="7" t="s">
        <v>253</v>
      </c>
      <c r="G2593" s="7" t="s">
        <v>18</v>
      </c>
      <c r="H2593" s="7" t="s">
        <v>689</v>
      </c>
      <c r="I2593" s="7" t="s">
        <v>712</v>
      </c>
      <c r="J2593" s="7" t="s">
        <v>712</v>
      </c>
      <c r="K2593" s="8">
        <v>6367077</v>
      </c>
      <c r="L2593" s="8">
        <v>355115</v>
      </c>
      <c r="M2593" s="8">
        <v>19</v>
      </c>
      <c r="N2593" s="8">
        <v>1</v>
      </c>
      <c r="O2593" s="8">
        <v>0.45</v>
      </c>
      <c r="P2593" s="8"/>
    </row>
    <row r="2594" spans="1:16" hidden="1" x14ac:dyDescent="0.25">
      <c r="A2594" s="7" t="s">
        <v>19</v>
      </c>
      <c r="B2594" s="7" t="s">
        <v>408</v>
      </c>
      <c r="C2594" s="8">
        <v>29438</v>
      </c>
      <c r="D2594" s="7" t="s">
        <v>28</v>
      </c>
      <c r="E2594" s="7" t="s">
        <v>146</v>
      </c>
      <c r="F2594" s="7" t="s">
        <v>393</v>
      </c>
      <c r="G2594" s="7" t="s">
        <v>65</v>
      </c>
      <c r="H2594" s="7" t="s">
        <v>24</v>
      </c>
      <c r="I2594" s="7" t="s">
        <v>712</v>
      </c>
      <c r="J2594" s="7" t="s">
        <v>712</v>
      </c>
      <c r="K2594" s="8">
        <v>6272473</v>
      </c>
      <c r="L2594" s="8">
        <v>316872</v>
      </c>
      <c r="M2594" s="8">
        <v>19</v>
      </c>
      <c r="N2594" s="8">
        <v>1</v>
      </c>
      <c r="O2594" s="8">
        <v>1.88</v>
      </c>
      <c r="P2594" s="8"/>
    </row>
    <row r="2595" spans="1:16" hidden="1" x14ac:dyDescent="0.25">
      <c r="A2595" s="7" t="s">
        <v>14</v>
      </c>
      <c r="B2595" s="7" t="s">
        <v>343</v>
      </c>
      <c r="C2595" s="8">
        <v>29440</v>
      </c>
      <c r="D2595" s="7" t="s">
        <v>28</v>
      </c>
      <c r="E2595" s="7" t="s">
        <v>56</v>
      </c>
      <c r="F2595" s="7" t="s">
        <v>162</v>
      </c>
      <c r="G2595" s="7" t="s">
        <v>43</v>
      </c>
      <c r="H2595" s="7" t="s">
        <v>689</v>
      </c>
      <c r="I2595" s="7" t="s">
        <v>712</v>
      </c>
      <c r="J2595" s="7" t="s">
        <v>712</v>
      </c>
      <c r="K2595" s="8">
        <v>6258776</v>
      </c>
      <c r="L2595" s="8">
        <v>335936</v>
      </c>
      <c r="M2595" s="8">
        <v>19</v>
      </c>
      <c r="N2595" s="8">
        <v>1</v>
      </c>
      <c r="O2595" s="8">
        <v>1</v>
      </c>
      <c r="P2595" s="8"/>
    </row>
    <row r="2596" spans="1:16" hidden="1" x14ac:dyDescent="0.25">
      <c r="A2596" s="7" t="s">
        <v>14</v>
      </c>
      <c r="B2596" s="7" t="s">
        <v>558</v>
      </c>
      <c r="C2596" s="8">
        <v>29442</v>
      </c>
      <c r="D2596" s="7" t="s">
        <v>28</v>
      </c>
      <c r="E2596" s="7" t="s">
        <v>483</v>
      </c>
      <c r="F2596" s="7" t="s">
        <v>483</v>
      </c>
      <c r="G2596" s="7" t="s">
        <v>18</v>
      </c>
      <c r="H2596" s="7" t="s">
        <v>689</v>
      </c>
      <c r="I2596" s="7" t="s">
        <v>690</v>
      </c>
      <c r="J2596" s="7" t="s">
        <v>690</v>
      </c>
      <c r="K2596" s="8">
        <v>6335904</v>
      </c>
      <c r="L2596" s="8">
        <v>341190</v>
      </c>
      <c r="M2596" s="8">
        <v>19</v>
      </c>
      <c r="N2596" s="8">
        <v>1</v>
      </c>
      <c r="O2596" s="8">
        <v>0.18</v>
      </c>
      <c r="P2596" s="8"/>
    </row>
    <row r="2597" spans="1:16" hidden="1" x14ac:dyDescent="0.25">
      <c r="A2597" s="7" t="s">
        <v>14</v>
      </c>
      <c r="B2597" s="7" t="s">
        <v>558</v>
      </c>
      <c r="C2597" s="8">
        <v>29443</v>
      </c>
      <c r="D2597" s="7" t="s">
        <v>28</v>
      </c>
      <c r="E2597" s="7" t="s">
        <v>483</v>
      </c>
      <c r="F2597" s="7" t="s">
        <v>483</v>
      </c>
      <c r="G2597" s="7" t="s">
        <v>65</v>
      </c>
      <c r="H2597" s="7" t="s">
        <v>689</v>
      </c>
      <c r="I2597" s="7" t="s">
        <v>690</v>
      </c>
      <c r="J2597" s="7" t="s">
        <v>690</v>
      </c>
      <c r="K2597" s="8">
        <v>6335904</v>
      </c>
      <c r="L2597" s="8">
        <v>341190</v>
      </c>
      <c r="M2597" s="8">
        <v>19</v>
      </c>
      <c r="N2597" s="8">
        <v>1</v>
      </c>
      <c r="O2597" s="8">
        <v>0.21</v>
      </c>
      <c r="P2597" s="8"/>
    </row>
    <row r="2598" spans="1:16" hidden="1" x14ac:dyDescent="0.25">
      <c r="A2598" s="7" t="s">
        <v>14</v>
      </c>
      <c r="B2598" s="7" t="s">
        <v>558</v>
      </c>
      <c r="C2598" s="8">
        <v>29444</v>
      </c>
      <c r="D2598" s="7" t="s">
        <v>52</v>
      </c>
      <c r="E2598" s="7" t="s">
        <v>151</v>
      </c>
      <c r="F2598" s="7" t="s">
        <v>309</v>
      </c>
      <c r="G2598" s="7" t="s">
        <v>65</v>
      </c>
      <c r="H2598" s="7" t="s">
        <v>689</v>
      </c>
      <c r="I2598" s="7" t="s">
        <v>690</v>
      </c>
      <c r="J2598" s="7" t="s">
        <v>690</v>
      </c>
      <c r="K2598" s="8">
        <v>6188030</v>
      </c>
      <c r="L2598" s="8">
        <v>335162</v>
      </c>
      <c r="M2598" s="8">
        <v>19</v>
      </c>
      <c r="N2598" s="8">
        <v>1</v>
      </c>
      <c r="O2598" s="8">
        <v>0.09</v>
      </c>
      <c r="P2598" s="8"/>
    </row>
    <row r="2599" spans="1:16" hidden="1" x14ac:dyDescent="0.25">
      <c r="A2599" s="7" t="s">
        <v>14</v>
      </c>
      <c r="B2599" s="7" t="s">
        <v>558</v>
      </c>
      <c r="C2599" s="8">
        <v>29445</v>
      </c>
      <c r="D2599" s="7" t="s">
        <v>28</v>
      </c>
      <c r="E2599" s="7" t="s">
        <v>364</v>
      </c>
      <c r="F2599" s="7" t="s">
        <v>364</v>
      </c>
      <c r="G2599" s="7" t="s">
        <v>18</v>
      </c>
      <c r="H2599" s="7" t="s">
        <v>689</v>
      </c>
      <c r="I2599" s="7" t="s">
        <v>690</v>
      </c>
      <c r="J2599" s="7" t="s">
        <v>690</v>
      </c>
      <c r="K2599" s="8">
        <v>6295157</v>
      </c>
      <c r="L2599" s="8">
        <v>372147</v>
      </c>
      <c r="M2599" s="8">
        <v>19</v>
      </c>
      <c r="N2599" s="8">
        <v>1</v>
      </c>
      <c r="O2599" s="8">
        <v>0.4</v>
      </c>
      <c r="P2599" s="8"/>
    </row>
    <row r="2600" spans="1:16" hidden="1" x14ac:dyDescent="0.25">
      <c r="A2600" s="7" t="s">
        <v>14</v>
      </c>
      <c r="B2600" s="7" t="s">
        <v>558</v>
      </c>
      <c r="C2600" s="8">
        <v>29446</v>
      </c>
      <c r="D2600" s="7" t="s">
        <v>28</v>
      </c>
      <c r="E2600" s="7" t="s">
        <v>364</v>
      </c>
      <c r="F2600" s="7" t="s">
        <v>364</v>
      </c>
      <c r="G2600" s="7" t="s">
        <v>18</v>
      </c>
      <c r="H2600" s="7" t="s">
        <v>689</v>
      </c>
      <c r="I2600" s="7" t="s">
        <v>690</v>
      </c>
      <c r="J2600" s="7" t="s">
        <v>690</v>
      </c>
      <c r="K2600" s="8">
        <v>6294906</v>
      </c>
      <c r="L2600" s="8">
        <v>332690</v>
      </c>
      <c r="M2600" s="8">
        <v>19</v>
      </c>
      <c r="N2600" s="8">
        <v>1</v>
      </c>
      <c r="O2600" s="8">
        <v>0.4</v>
      </c>
      <c r="P2600" s="8"/>
    </row>
    <row r="2601" spans="1:16" hidden="1" x14ac:dyDescent="0.25">
      <c r="A2601" s="7" t="s">
        <v>14</v>
      </c>
      <c r="B2601" s="7" t="s">
        <v>558</v>
      </c>
      <c r="C2601" s="8">
        <v>29447</v>
      </c>
      <c r="D2601" s="7" t="s">
        <v>52</v>
      </c>
      <c r="E2601" s="7" t="s">
        <v>141</v>
      </c>
      <c r="F2601" s="7" t="s">
        <v>277</v>
      </c>
      <c r="G2601" s="7" t="s">
        <v>65</v>
      </c>
      <c r="H2601" s="7" t="s">
        <v>689</v>
      </c>
      <c r="I2601" s="7" t="s">
        <v>690</v>
      </c>
      <c r="J2601" s="7" t="s">
        <v>690</v>
      </c>
      <c r="K2601" s="8">
        <v>6218821</v>
      </c>
      <c r="L2601" s="8">
        <v>333434</v>
      </c>
      <c r="M2601" s="8">
        <v>19</v>
      </c>
      <c r="N2601" s="8">
        <v>1</v>
      </c>
      <c r="O2601" s="8">
        <v>0.12</v>
      </c>
      <c r="P2601" s="8"/>
    </row>
    <row r="2602" spans="1:16" hidden="1" x14ac:dyDescent="0.25">
      <c r="A2602" s="7" t="s">
        <v>14</v>
      </c>
      <c r="B2602" s="7" t="s">
        <v>558</v>
      </c>
      <c r="C2602" s="8">
        <v>29448</v>
      </c>
      <c r="D2602" s="7" t="s">
        <v>52</v>
      </c>
      <c r="E2602" s="7" t="s">
        <v>145</v>
      </c>
      <c r="F2602" s="7" t="s">
        <v>390</v>
      </c>
      <c r="G2602" s="7" t="s">
        <v>65</v>
      </c>
      <c r="H2602" s="7" t="s">
        <v>689</v>
      </c>
      <c r="I2602" s="7" t="s">
        <v>690</v>
      </c>
      <c r="J2602" s="7" t="s">
        <v>690</v>
      </c>
      <c r="K2602" s="8">
        <v>6221406</v>
      </c>
      <c r="L2602" s="8">
        <v>338353</v>
      </c>
      <c r="M2602" s="8">
        <v>19</v>
      </c>
      <c r="N2602" s="8">
        <v>1</v>
      </c>
      <c r="O2602" s="8">
        <v>0.21</v>
      </c>
      <c r="P2602" s="8"/>
    </row>
    <row r="2603" spans="1:16" hidden="1" x14ac:dyDescent="0.25">
      <c r="A2603" s="7" t="s">
        <v>14</v>
      </c>
      <c r="B2603" s="7" t="s">
        <v>558</v>
      </c>
      <c r="C2603" s="8">
        <v>29450</v>
      </c>
      <c r="D2603" s="7" t="s">
        <v>28</v>
      </c>
      <c r="E2603" s="7" t="s">
        <v>142</v>
      </c>
      <c r="F2603" s="7" t="s">
        <v>562</v>
      </c>
      <c r="G2603" s="7" t="s">
        <v>18</v>
      </c>
      <c r="H2603" s="7" t="s">
        <v>689</v>
      </c>
      <c r="I2603" s="7" t="s">
        <v>690</v>
      </c>
      <c r="J2603" s="7" t="s">
        <v>690</v>
      </c>
      <c r="K2603" s="8">
        <v>6281105</v>
      </c>
      <c r="L2603" s="8">
        <v>334791</v>
      </c>
      <c r="M2603" s="8">
        <v>19</v>
      </c>
      <c r="N2603" s="8">
        <v>1</v>
      </c>
      <c r="O2603" s="8">
        <v>0.11</v>
      </c>
      <c r="P2603" s="8"/>
    </row>
    <row r="2604" spans="1:16" hidden="1" x14ac:dyDescent="0.25">
      <c r="A2604" s="7" t="s">
        <v>14</v>
      </c>
      <c r="B2604" s="7" t="s">
        <v>558</v>
      </c>
      <c r="C2604" s="8">
        <v>29451</v>
      </c>
      <c r="D2604" s="7" t="s">
        <v>52</v>
      </c>
      <c r="E2604" s="7" t="s">
        <v>44</v>
      </c>
      <c r="F2604" s="7" t="s">
        <v>44</v>
      </c>
      <c r="G2604" s="7" t="s">
        <v>65</v>
      </c>
      <c r="H2604" s="7" t="s">
        <v>689</v>
      </c>
      <c r="I2604" s="7" t="s">
        <v>690</v>
      </c>
      <c r="J2604" s="7" t="s">
        <v>690</v>
      </c>
      <c r="K2604" s="8">
        <v>6225346</v>
      </c>
      <c r="L2604" s="8">
        <v>345785</v>
      </c>
      <c r="M2604" s="8">
        <v>19</v>
      </c>
      <c r="N2604" s="8">
        <v>1</v>
      </c>
      <c r="O2604" s="8">
        <v>4</v>
      </c>
      <c r="P2604" s="8"/>
    </row>
    <row r="2605" spans="1:16" hidden="1" x14ac:dyDescent="0.25">
      <c r="A2605" s="7" t="s">
        <v>14</v>
      </c>
      <c r="B2605" s="7" t="s">
        <v>558</v>
      </c>
      <c r="C2605" s="8">
        <v>29452</v>
      </c>
      <c r="D2605" s="7" t="s">
        <v>52</v>
      </c>
      <c r="E2605" s="7" t="s">
        <v>145</v>
      </c>
      <c r="F2605" s="7" t="s">
        <v>247</v>
      </c>
      <c r="G2605" s="7" t="s">
        <v>65</v>
      </c>
      <c r="H2605" s="7" t="s">
        <v>689</v>
      </c>
      <c r="I2605" s="7" t="s">
        <v>690</v>
      </c>
      <c r="J2605" s="7" t="s">
        <v>690</v>
      </c>
      <c r="K2605" s="8">
        <v>6196173</v>
      </c>
      <c r="L2605" s="8">
        <v>329925</v>
      </c>
      <c r="M2605" s="8">
        <v>19</v>
      </c>
      <c r="N2605" s="8">
        <v>1</v>
      </c>
      <c r="O2605" s="8">
        <v>0.12</v>
      </c>
      <c r="P2605" s="8"/>
    </row>
    <row r="2606" spans="1:16" hidden="1" x14ac:dyDescent="0.25">
      <c r="A2606" s="7" t="s">
        <v>14</v>
      </c>
      <c r="B2606" s="7" t="s">
        <v>558</v>
      </c>
      <c r="C2606" s="8">
        <v>29453</v>
      </c>
      <c r="D2606" s="7" t="s">
        <v>52</v>
      </c>
      <c r="E2606" s="7" t="s">
        <v>159</v>
      </c>
      <c r="F2606" s="7" t="s">
        <v>480</v>
      </c>
      <c r="G2606" s="7" t="s">
        <v>65</v>
      </c>
      <c r="H2606" s="7" t="s">
        <v>689</v>
      </c>
      <c r="I2606" s="7" t="s">
        <v>690</v>
      </c>
      <c r="J2606" s="7" t="s">
        <v>690</v>
      </c>
      <c r="K2606" s="8">
        <v>6242115</v>
      </c>
      <c r="L2606" s="8">
        <v>344980</v>
      </c>
      <c r="M2606" s="8">
        <v>19</v>
      </c>
      <c r="N2606" s="8">
        <v>1</v>
      </c>
      <c r="O2606" s="8">
        <v>0.09</v>
      </c>
      <c r="P2606" s="8"/>
    </row>
    <row r="2607" spans="1:16" hidden="1" x14ac:dyDescent="0.25">
      <c r="A2607" s="7" t="s">
        <v>19</v>
      </c>
      <c r="B2607" s="7" t="s">
        <v>254</v>
      </c>
      <c r="C2607" s="8">
        <v>29454</v>
      </c>
      <c r="D2607" s="7" t="s">
        <v>52</v>
      </c>
      <c r="E2607" s="7" t="s">
        <v>141</v>
      </c>
      <c r="F2607" s="7" t="s">
        <v>165</v>
      </c>
      <c r="G2607" s="7" t="s">
        <v>65</v>
      </c>
      <c r="H2607" s="7" t="s">
        <v>66</v>
      </c>
      <c r="I2607" s="7" t="s">
        <v>712</v>
      </c>
      <c r="J2607" s="7" t="s">
        <v>712</v>
      </c>
      <c r="K2607" s="8">
        <v>6219557</v>
      </c>
      <c r="L2607" s="8">
        <v>335949</v>
      </c>
      <c r="M2607" s="8">
        <v>19</v>
      </c>
      <c r="N2607" s="8">
        <v>1</v>
      </c>
      <c r="O2607" s="8">
        <v>6.5</v>
      </c>
      <c r="P2607" s="8"/>
    </row>
    <row r="2608" spans="1:16" hidden="1" x14ac:dyDescent="0.25">
      <c r="A2608" s="7" t="s">
        <v>14</v>
      </c>
      <c r="B2608" s="7" t="s">
        <v>558</v>
      </c>
      <c r="C2608" s="8">
        <v>29455</v>
      </c>
      <c r="D2608" s="7" t="s">
        <v>28</v>
      </c>
      <c r="E2608" s="7" t="s">
        <v>142</v>
      </c>
      <c r="F2608" s="7" t="s">
        <v>562</v>
      </c>
      <c r="G2608" s="7" t="s">
        <v>65</v>
      </c>
      <c r="H2608" s="7" t="s">
        <v>689</v>
      </c>
      <c r="I2608" s="7" t="s">
        <v>690</v>
      </c>
      <c r="J2608" s="7" t="s">
        <v>690</v>
      </c>
      <c r="K2608" s="8">
        <v>6279653</v>
      </c>
      <c r="L2608" s="8">
        <v>336042</v>
      </c>
      <c r="M2608" s="8">
        <v>19</v>
      </c>
      <c r="N2608" s="8">
        <v>1</v>
      </c>
      <c r="O2608" s="8">
        <v>0.12</v>
      </c>
      <c r="P2608" s="8"/>
    </row>
    <row r="2609" spans="1:16" hidden="1" x14ac:dyDescent="0.25">
      <c r="A2609" s="7" t="s">
        <v>19</v>
      </c>
      <c r="B2609" s="7" t="s">
        <v>254</v>
      </c>
      <c r="C2609" s="8">
        <v>29456</v>
      </c>
      <c r="D2609" s="7" t="s">
        <v>52</v>
      </c>
      <c r="E2609" s="7" t="s">
        <v>141</v>
      </c>
      <c r="F2609" s="7" t="s">
        <v>165</v>
      </c>
      <c r="G2609" s="7" t="s">
        <v>65</v>
      </c>
      <c r="H2609" s="7" t="s">
        <v>66</v>
      </c>
      <c r="I2609" s="7" t="s">
        <v>712</v>
      </c>
      <c r="J2609" s="7" t="s">
        <v>712</v>
      </c>
      <c r="K2609" s="8">
        <v>6219557</v>
      </c>
      <c r="L2609" s="8">
        <v>335949</v>
      </c>
      <c r="M2609" s="8">
        <v>19</v>
      </c>
      <c r="N2609" s="8">
        <v>1</v>
      </c>
      <c r="O2609" s="8">
        <v>0.14000000000000001</v>
      </c>
      <c r="P2609" s="8"/>
    </row>
    <row r="2610" spans="1:16" hidden="1" x14ac:dyDescent="0.25">
      <c r="A2610" s="7" t="s">
        <v>19</v>
      </c>
      <c r="B2610" s="7" t="s">
        <v>254</v>
      </c>
      <c r="C2610" s="8">
        <v>29457</v>
      </c>
      <c r="D2610" s="7" t="s">
        <v>52</v>
      </c>
      <c r="E2610" s="7" t="s">
        <v>141</v>
      </c>
      <c r="F2610" s="7" t="s">
        <v>165</v>
      </c>
      <c r="G2610" s="7" t="s">
        <v>65</v>
      </c>
      <c r="H2610" s="7" t="s">
        <v>66</v>
      </c>
      <c r="I2610" s="7" t="s">
        <v>712</v>
      </c>
      <c r="J2610" s="7" t="s">
        <v>712</v>
      </c>
      <c r="K2610" s="8">
        <v>6220025</v>
      </c>
      <c r="L2610" s="8">
        <v>335361</v>
      </c>
      <c r="M2610" s="8">
        <v>19</v>
      </c>
      <c r="N2610" s="8">
        <v>1</v>
      </c>
      <c r="O2610" s="8">
        <v>0.4</v>
      </c>
      <c r="P2610" s="8"/>
    </row>
    <row r="2611" spans="1:16" hidden="1" x14ac:dyDescent="0.25">
      <c r="A2611" s="7" t="s">
        <v>19</v>
      </c>
      <c r="B2611" s="7" t="s">
        <v>254</v>
      </c>
      <c r="C2611" s="8">
        <v>29458</v>
      </c>
      <c r="D2611" s="7" t="s">
        <v>52</v>
      </c>
      <c r="E2611" s="7" t="s">
        <v>141</v>
      </c>
      <c r="F2611" s="7" t="s">
        <v>165</v>
      </c>
      <c r="G2611" s="7" t="s">
        <v>65</v>
      </c>
      <c r="H2611" s="7" t="s">
        <v>66</v>
      </c>
      <c r="I2611" s="7" t="s">
        <v>712</v>
      </c>
      <c r="J2611" s="7" t="s">
        <v>712</v>
      </c>
      <c r="K2611" s="8">
        <v>6219388</v>
      </c>
      <c r="L2611" s="8">
        <v>335773</v>
      </c>
      <c r="M2611" s="8">
        <v>19</v>
      </c>
      <c r="N2611" s="8">
        <v>1</v>
      </c>
      <c r="O2611" s="8">
        <v>0.3</v>
      </c>
      <c r="P2611" s="8"/>
    </row>
    <row r="2612" spans="1:16" hidden="1" x14ac:dyDescent="0.25">
      <c r="A2612" s="7" t="s">
        <v>14</v>
      </c>
      <c r="B2612" s="7" t="s">
        <v>415</v>
      </c>
      <c r="C2612" s="8">
        <v>29459</v>
      </c>
      <c r="D2612" s="7" t="s">
        <v>322</v>
      </c>
      <c r="E2612" s="7" t="s">
        <v>323</v>
      </c>
      <c r="F2612" s="7" t="s">
        <v>422</v>
      </c>
      <c r="G2612" s="7" t="s">
        <v>18</v>
      </c>
      <c r="H2612" s="7" t="s">
        <v>689</v>
      </c>
      <c r="I2612" s="7" t="s">
        <v>712</v>
      </c>
      <c r="J2612" s="7" t="s">
        <v>712</v>
      </c>
      <c r="K2612" s="8">
        <v>7949747</v>
      </c>
      <c r="L2612" s="8">
        <v>378188</v>
      </c>
      <c r="M2612" s="8">
        <v>19</v>
      </c>
      <c r="N2612" s="8">
        <v>1</v>
      </c>
      <c r="O2612" s="8">
        <v>0.04</v>
      </c>
      <c r="P2612" s="8"/>
    </row>
    <row r="2613" spans="1:16" hidden="1" x14ac:dyDescent="0.25">
      <c r="A2613" s="7" t="s">
        <v>14</v>
      </c>
      <c r="B2613" s="7" t="s">
        <v>415</v>
      </c>
      <c r="C2613" s="8">
        <v>29460</v>
      </c>
      <c r="D2613" s="7" t="s">
        <v>322</v>
      </c>
      <c r="E2613" s="7" t="s">
        <v>323</v>
      </c>
      <c r="F2613" s="7" t="s">
        <v>422</v>
      </c>
      <c r="G2613" s="7" t="s">
        <v>18</v>
      </c>
      <c r="H2613" s="7" t="s">
        <v>689</v>
      </c>
      <c r="I2613" s="7" t="s">
        <v>712</v>
      </c>
      <c r="J2613" s="7" t="s">
        <v>712</v>
      </c>
      <c r="K2613" s="8">
        <v>7950719</v>
      </c>
      <c r="L2613" s="8">
        <v>370904</v>
      </c>
      <c r="M2613" s="8">
        <v>19</v>
      </c>
      <c r="N2613" s="8">
        <v>1</v>
      </c>
      <c r="O2613" s="8">
        <v>0.22</v>
      </c>
      <c r="P2613" s="8"/>
    </row>
    <row r="2614" spans="1:16" hidden="1" x14ac:dyDescent="0.25">
      <c r="A2614" s="7" t="s">
        <v>14</v>
      </c>
      <c r="B2614" s="7" t="s">
        <v>415</v>
      </c>
      <c r="C2614" s="8">
        <v>29461</v>
      </c>
      <c r="D2614" s="7" t="s">
        <v>322</v>
      </c>
      <c r="E2614" s="7" t="s">
        <v>323</v>
      </c>
      <c r="F2614" s="7" t="s">
        <v>422</v>
      </c>
      <c r="G2614" s="7" t="s">
        <v>18</v>
      </c>
      <c r="H2614" s="7" t="s">
        <v>689</v>
      </c>
      <c r="I2614" s="7" t="s">
        <v>712</v>
      </c>
      <c r="J2614" s="7" t="s">
        <v>712</v>
      </c>
      <c r="K2614" s="8">
        <v>7950719</v>
      </c>
      <c r="L2614" s="8">
        <v>370904</v>
      </c>
      <c r="M2614" s="8">
        <v>19</v>
      </c>
      <c r="N2614" s="8">
        <v>1</v>
      </c>
      <c r="O2614" s="8">
        <v>0.14000000000000001</v>
      </c>
      <c r="P2614" s="8"/>
    </row>
    <row r="2615" spans="1:16" hidden="1" x14ac:dyDescent="0.25">
      <c r="A2615" s="7" t="s">
        <v>14</v>
      </c>
      <c r="B2615" s="7" t="s">
        <v>415</v>
      </c>
      <c r="C2615" s="8">
        <v>29462</v>
      </c>
      <c r="D2615" s="7" t="s">
        <v>322</v>
      </c>
      <c r="E2615" s="7" t="s">
        <v>323</v>
      </c>
      <c r="F2615" s="7" t="s">
        <v>422</v>
      </c>
      <c r="G2615" s="7" t="s">
        <v>18</v>
      </c>
      <c r="H2615" s="7" t="s">
        <v>689</v>
      </c>
      <c r="I2615" s="7" t="s">
        <v>712</v>
      </c>
      <c r="J2615" s="7" t="s">
        <v>712</v>
      </c>
      <c r="K2615" s="8">
        <v>7949976</v>
      </c>
      <c r="L2615" s="8">
        <v>378237</v>
      </c>
      <c r="M2615" s="8">
        <v>19</v>
      </c>
      <c r="N2615" s="8">
        <v>1</v>
      </c>
      <c r="O2615" s="8">
        <v>0.04</v>
      </c>
      <c r="P2615" s="8"/>
    </row>
    <row r="2616" spans="1:16" hidden="1" x14ac:dyDescent="0.25">
      <c r="A2616" s="7" t="s">
        <v>14</v>
      </c>
      <c r="B2616" s="7" t="s">
        <v>415</v>
      </c>
      <c r="C2616" s="8">
        <v>29463</v>
      </c>
      <c r="D2616" s="7" t="s">
        <v>322</v>
      </c>
      <c r="E2616" s="7" t="s">
        <v>323</v>
      </c>
      <c r="F2616" s="7" t="s">
        <v>422</v>
      </c>
      <c r="G2616" s="7" t="s">
        <v>18</v>
      </c>
      <c r="H2616" s="7" t="s">
        <v>689</v>
      </c>
      <c r="I2616" s="7" t="s">
        <v>712</v>
      </c>
      <c r="J2616" s="7" t="s">
        <v>712</v>
      </c>
      <c r="K2616" s="8">
        <v>7949976</v>
      </c>
      <c r="L2616" s="8">
        <v>378237</v>
      </c>
      <c r="M2616" s="8">
        <v>19</v>
      </c>
      <c r="N2616" s="8">
        <v>1</v>
      </c>
      <c r="O2616" s="8">
        <v>0.03</v>
      </c>
      <c r="P2616" s="8"/>
    </row>
    <row r="2617" spans="1:16" hidden="1" x14ac:dyDescent="0.25">
      <c r="A2617" s="7" t="s">
        <v>14</v>
      </c>
      <c r="B2617" s="7" t="s">
        <v>415</v>
      </c>
      <c r="C2617" s="8">
        <v>29464</v>
      </c>
      <c r="D2617" s="7" t="s">
        <v>322</v>
      </c>
      <c r="E2617" s="7" t="s">
        <v>323</v>
      </c>
      <c r="F2617" s="7" t="s">
        <v>422</v>
      </c>
      <c r="G2617" s="7" t="s">
        <v>18</v>
      </c>
      <c r="H2617" s="7" t="s">
        <v>689</v>
      </c>
      <c r="I2617" s="7" t="s">
        <v>712</v>
      </c>
      <c r="J2617" s="7" t="s">
        <v>712</v>
      </c>
      <c r="K2617" s="8">
        <v>7949704</v>
      </c>
      <c r="L2617" s="8">
        <v>378065</v>
      </c>
      <c r="M2617" s="8">
        <v>19</v>
      </c>
      <c r="N2617" s="8">
        <v>1</v>
      </c>
      <c r="O2617" s="8">
        <v>0.33</v>
      </c>
      <c r="P2617" s="8"/>
    </row>
    <row r="2618" spans="1:16" hidden="1" x14ac:dyDescent="0.25">
      <c r="A2618" s="7" t="s">
        <v>14</v>
      </c>
      <c r="B2618" s="7" t="s">
        <v>415</v>
      </c>
      <c r="C2618" s="8">
        <v>29465</v>
      </c>
      <c r="D2618" s="7" t="s">
        <v>322</v>
      </c>
      <c r="E2618" s="7" t="s">
        <v>323</v>
      </c>
      <c r="F2618" s="7" t="s">
        <v>422</v>
      </c>
      <c r="G2618" s="7" t="s">
        <v>18</v>
      </c>
      <c r="H2618" s="7" t="s">
        <v>689</v>
      </c>
      <c r="I2618" s="7" t="s">
        <v>712</v>
      </c>
      <c r="J2618" s="7" t="s">
        <v>712</v>
      </c>
      <c r="K2618" s="8">
        <v>7949976</v>
      </c>
      <c r="L2618" s="8">
        <v>378237</v>
      </c>
      <c r="M2618" s="8">
        <v>19</v>
      </c>
      <c r="N2618" s="8">
        <v>1</v>
      </c>
      <c r="O2618" s="8">
        <v>0.04</v>
      </c>
      <c r="P2618" s="8"/>
    </row>
    <row r="2619" spans="1:16" hidden="1" x14ac:dyDescent="0.25">
      <c r="A2619" s="7" t="s">
        <v>19</v>
      </c>
      <c r="B2619" s="7" t="s">
        <v>415</v>
      </c>
      <c r="C2619" s="8">
        <v>29466</v>
      </c>
      <c r="D2619" s="7" t="s">
        <v>52</v>
      </c>
      <c r="E2619" s="7" t="s">
        <v>273</v>
      </c>
      <c r="F2619" s="7" t="s">
        <v>554</v>
      </c>
      <c r="G2619" s="7" t="s">
        <v>65</v>
      </c>
      <c r="H2619" s="7" t="s">
        <v>24</v>
      </c>
      <c r="I2619" s="7" t="s">
        <v>712</v>
      </c>
      <c r="J2619" s="7" t="s">
        <v>712</v>
      </c>
      <c r="K2619" s="8">
        <v>6166264</v>
      </c>
      <c r="L2619" s="8">
        <v>301060</v>
      </c>
      <c r="M2619" s="8">
        <v>19</v>
      </c>
      <c r="N2619" s="8">
        <v>1</v>
      </c>
      <c r="O2619" s="8">
        <v>10.3</v>
      </c>
      <c r="P2619" s="8"/>
    </row>
    <row r="2620" spans="1:16" hidden="1" x14ac:dyDescent="0.25">
      <c r="A2620" s="7" t="s">
        <v>19</v>
      </c>
      <c r="B2620" s="7" t="s">
        <v>415</v>
      </c>
      <c r="C2620" s="8">
        <v>29467</v>
      </c>
      <c r="D2620" s="7" t="s">
        <v>52</v>
      </c>
      <c r="E2620" s="7" t="s">
        <v>286</v>
      </c>
      <c r="F2620" s="7" t="s">
        <v>286</v>
      </c>
      <c r="G2620" s="7" t="s">
        <v>65</v>
      </c>
      <c r="H2620" s="7" t="s">
        <v>24</v>
      </c>
      <c r="I2620" s="7" t="s">
        <v>712</v>
      </c>
      <c r="J2620" s="7" t="s">
        <v>712</v>
      </c>
      <c r="K2620" s="8">
        <v>6166971</v>
      </c>
      <c r="L2620" s="8">
        <v>306760</v>
      </c>
      <c r="M2620" s="8">
        <v>19</v>
      </c>
      <c r="N2620" s="8">
        <v>1</v>
      </c>
      <c r="O2620" s="8">
        <v>3.65</v>
      </c>
      <c r="P2620" s="8"/>
    </row>
    <row r="2621" spans="1:16" hidden="1" x14ac:dyDescent="0.25">
      <c r="A2621" s="7" t="s">
        <v>19</v>
      </c>
      <c r="B2621" s="7" t="s">
        <v>254</v>
      </c>
      <c r="C2621" s="8">
        <v>29468</v>
      </c>
      <c r="D2621" s="7" t="s">
        <v>52</v>
      </c>
      <c r="E2621" s="7" t="s">
        <v>81</v>
      </c>
      <c r="F2621" s="7" t="s">
        <v>81</v>
      </c>
      <c r="G2621" s="7" t="s">
        <v>65</v>
      </c>
      <c r="H2621" s="7" t="s">
        <v>66</v>
      </c>
      <c r="I2621" s="7" t="s">
        <v>712</v>
      </c>
      <c r="J2621" s="7" t="s">
        <v>712</v>
      </c>
      <c r="K2621" s="8">
        <v>6221492</v>
      </c>
      <c r="L2621" s="8">
        <v>344971</v>
      </c>
      <c r="M2621" s="8">
        <v>19</v>
      </c>
      <c r="N2621" s="8">
        <v>1</v>
      </c>
      <c r="O2621" s="8">
        <v>5.5</v>
      </c>
      <c r="P2621" s="8"/>
    </row>
    <row r="2622" spans="1:16" hidden="1" x14ac:dyDescent="0.25">
      <c r="A2622" s="7" t="s">
        <v>14</v>
      </c>
      <c r="B2622" s="7" t="s">
        <v>124</v>
      </c>
      <c r="C2622" s="8">
        <v>29469</v>
      </c>
      <c r="D2622" s="7" t="s">
        <v>52</v>
      </c>
      <c r="E2622" s="7" t="s">
        <v>139</v>
      </c>
      <c r="F2622" s="7" t="s">
        <v>139</v>
      </c>
      <c r="G2622" s="7" t="s">
        <v>65</v>
      </c>
      <c r="H2622" s="7" t="s">
        <v>689</v>
      </c>
      <c r="I2622" s="7" t="s">
        <v>712</v>
      </c>
      <c r="J2622" s="7" t="s">
        <v>712</v>
      </c>
      <c r="K2622" s="8">
        <v>6227891</v>
      </c>
      <c r="L2622" s="8">
        <v>338951</v>
      </c>
      <c r="M2622" s="8">
        <v>19</v>
      </c>
      <c r="N2622" s="8">
        <v>1</v>
      </c>
      <c r="O2622" s="8">
        <v>4</v>
      </c>
      <c r="P2622" s="8"/>
    </row>
    <row r="2623" spans="1:16" hidden="1" x14ac:dyDescent="0.25">
      <c r="A2623" s="7" t="s">
        <v>14</v>
      </c>
      <c r="B2623" s="7" t="s">
        <v>558</v>
      </c>
      <c r="C2623" s="8">
        <v>29470</v>
      </c>
      <c r="D2623" s="7" t="s">
        <v>52</v>
      </c>
      <c r="E2623" s="7" t="s">
        <v>145</v>
      </c>
      <c r="F2623" s="7" t="s">
        <v>145</v>
      </c>
      <c r="G2623" s="7" t="s">
        <v>18</v>
      </c>
      <c r="H2623" s="7" t="s">
        <v>689</v>
      </c>
      <c r="I2623" s="7" t="s">
        <v>690</v>
      </c>
      <c r="J2623" s="7" t="s">
        <v>690</v>
      </c>
      <c r="K2623" s="8">
        <v>6165061</v>
      </c>
      <c r="L2623" s="8">
        <v>328062</v>
      </c>
      <c r="M2623" s="8">
        <v>19</v>
      </c>
      <c r="N2623" s="8">
        <v>1</v>
      </c>
      <c r="O2623" s="8">
        <v>0.08</v>
      </c>
      <c r="P2623" s="8"/>
    </row>
    <row r="2624" spans="1:16" hidden="1" x14ac:dyDescent="0.25">
      <c r="A2624" s="7" t="s">
        <v>19</v>
      </c>
      <c r="B2624" s="7" t="s">
        <v>254</v>
      </c>
      <c r="C2624" s="8">
        <v>29471</v>
      </c>
      <c r="D2624" s="7" t="s">
        <v>21</v>
      </c>
      <c r="E2624" s="7" t="s">
        <v>342</v>
      </c>
      <c r="F2624" s="7" t="s">
        <v>342</v>
      </c>
      <c r="G2624" s="7" t="s">
        <v>65</v>
      </c>
      <c r="H2624" s="7" t="s">
        <v>66</v>
      </c>
      <c r="I2624" s="7" t="s">
        <v>712</v>
      </c>
      <c r="J2624" s="7" t="s">
        <v>712</v>
      </c>
      <c r="K2624" s="8">
        <v>6362058</v>
      </c>
      <c r="L2624" s="8">
        <v>292942</v>
      </c>
      <c r="M2624" s="8">
        <v>19</v>
      </c>
      <c r="N2624" s="8">
        <v>1</v>
      </c>
      <c r="O2624" s="8">
        <v>0.01</v>
      </c>
      <c r="P2624" s="8"/>
    </row>
    <row r="2625" spans="1:16" hidden="1" x14ac:dyDescent="0.25">
      <c r="A2625" s="7" t="s">
        <v>14</v>
      </c>
      <c r="B2625" s="7" t="s">
        <v>124</v>
      </c>
      <c r="C2625" s="8">
        <v>29472</v>
      </c>
      <c r="D2625" s="7" t="s">
        <v>52</v>
      </c>
      <c r="E2625" s="7" t="s">
        <v>139</v>
      </c>
      <c r="F2625" s="7" t="s">
        <v>139</v>
      </c>
      <c r="G2625" s="7" t="s">
        <v>65</v>
      </c>
      <c r="H2625" s="7" t="s">
        <v>689</v>
      </c>
      <c r="I2625" s="7" t="s">
        <v>712</v>
      </c>
      <c r="J2625" s="7" t="s">
        <v>712</v>
      </c>
      <c r="K2625" s="8">
        <v>6227558</v>
      </c>
      <c r="L2625" s="8">
        <v>338840</v>
      </c>
      <c r="M2625" s="8">
        <v>19</v>
      </c>
      <c r="N2625" s="8">
        <v>1</v>
      </c>
      <c r="O2625" s="8">
        <v>4</v>
      </c>
      <c r="P2625" s="8"/>
    </row>
    <row r="2626" spans="1:16" hidden="1" x14ac:dyDescent="0.25">
      <c r="A2626" s="7" t="s">
        <v>14</v>
      </c>
      <c r="B2626" s="7" t="s">
        <v>415</v>
      </c>
      <c r="C2626" s="8">
        <v>29473</v>
      </c>
      <c r="D2626" s="7" t="s">
        <v>21</v>
      </c>
      <c r="E2626" s="7" t="s">
        <v>500</v>
      </c>
      <c r="F2626" s="7" t="s">
        <v>249</v>
      </c>
      <c r="G2626" s="7" t="s">
        <v>18</v>
      </c>
      <c r="H2626" s="7" t="s">
        <v>689</v>
      </c>
      <c r="I2626" s="7" t="s">
        <v>712</v>
      </c>
      <c r="J2626" s="7" t="s">
        <v>712</v>
      </c>
      <c r="K2626" s="8">
        <v>6362615</v>
      </c>
      <c r="L2626" s="8">
        <v>350651</v>
      </c>
      <c r="M2626" s="8">
        <v>19</v>
      </c>
      <c r="N2626" s="8">
        <v>1</v>
      </c>
      <c r="O2626" s="8">
        <v>0.15</v>
      </c>
      <c r="P2626" s="8"/>
    </row>
    <row r="2627" spans="1:16" hidden="1" x14ac:dyDescent="0.25">
      <c r="A2627" s="7" t="s">
        <v>14</v>
      </c>
      <c r="B2627" s="7" t="s">
        <v>124</v>
      </c>
      <c r="C2627" s="8">
        <v>29474</v>
      </c>
      <c r="D2627" s="7" t="s">
        <v>52</v>
      </c>
      <c r="E2627" s="7" t="s">
        <v>139</v>
      </c>
      <c r="F2627" s="7" t="s">
        <v>139</v>
      </c>
      <c r="G2627" s="7" t="s">
        <v>65</v>
      </c>
      <c r="H2627" s="7" t="s">
        <v>689</v>
      </c>
      <c r="I2627" s="7" t="s">
        <v>712</v>
      </c>
      <c r="J2627" s="7" t="s">
        <v>712</v>
      </c>
      <c r="K2627" s="8">
        <v>6228021</v>
      </c>
      <c r="L2627" s="8">
        <v>338605</v>
      </c>
      <c r="M2627" s="8">
        <v>19</v>
      </c>
      <c r="N2627" s="8">
        <v>1</v>
      </c>
      <c r="O2627" s="8">
        <v>4</v>
      </c>
      <c r="P2627" s="8"/>
    </row>
    <row r="2628" spans="1:16" hidden="1" x14ac:dyDescent="0.25">
      <c r="A2628" s="7" t="s">
        <v>14</v>
      </c>
      <c r="B2628" s="7" t="s">
        <v>124</v>
      </c>
      <c r="C2628" s="8">
        <v>29475</v>
      </c>
      <c r="D2628" s="7" t="s">
        <v>52</v>
      </c>
      <c r="E2628" s="7" t="s">
        <v>139</v>
      </c>
      <c r="F2628" s="7" t="s">
        <v>139</v>
      </c>
      <c r="G2628" s="7" t="s">
        <v>65</v>
      </c>
      <c r="H2628" s="7" t="s">
        <v>689</v>
      </c>
      <c r="I2628" s="7" t="s">
        <v>712</v>
      </c>
      <c r="J2628" s="7" t="s">
        <v>712</v>
      </c>
      <c r="K2628" s="8">
        <v>6227683</v>
      </c>
      <c r="L2628" s="8">
        <v>338183</v>
      </c>
      <c r="M2628" s="8">
        <v>19</v>
      </c>
      <c r="N2628" s="8">
        <v>1</v>
      </c>
      <c r="O2628" s="8">
        <v>4</v>
      </c>
      <c r="P2628" s="8"/>
    </row>
    <row r="2629" spans="1:16" hidden="1" x14ac:dyDescent="0.25">
      <c r="A2629" s="7" t="s">
        <v>19</v>
      </c>
      <c r="B2629" s="7" t="s">
        <v>254</v>
      </c>
      <c r="C2629" s="8">
        <v>29476</v>
      </c>
      <c r="D2629" s="7" t="s">
        <v>16</v>
      </c>
      <c r="E2629" s="7" t="s">
        <v>268</v>
      </c>
      <c r="F2629" s="7" t="s">
        <v>282</v>
      </c>
      <c r="G2629" s="7" t="s">
        <v>18</v>
      </c>
      <c r="H2629" s="7" t="s">
        <v>48</v>
      </c>
      <c r="I2629" s="7" t="s">
        <v>712</v>
      </c>
      <c r="J2629" s="7" t="s">
        <v>712</v>
      </c>
      <c r="K2629" s="8">
        <v>6139423</v>
      </c>
      <c r="L2629" s="8">
        <v>308502</v>
      </c>
      <c r="M2629" s="8">
        <v>19</v>
      </c>
      <c r="N2629" s="8">
        <v>1</v>
      </c>
      <c r="O2629" s="8">
        <v>3.8</v>
      </c>
      <c r="P2629" s="8"/>
    </row>
    <row r="2630" spans="1:16" hidden="1" x14ac:dyDescent="0.25">
      <c r="A2630" s="7" t="s">
        <v>14</v>
      </c>
      <c r="B2630" s="7" t="s">
        <v>415</v>
      </c>
      <c r="C2630" s="8">
        <v>29483</v>
      </c>
      <c r="D2630" s="7" t="s">
        <v>28</v>
      </c>
      <c r="E2630" s="7" t="s">
        <v>56</v>
      </c>
      <c r="F2630" s="7" t="s">
        <v>162</v>
      </c>
      <c r="G2630" s="7" t="s">
        <v>18</v>
      </c>
      <c r="H2630" s="7" t="s">
        <v>689</v>
      </c>
      <c r="I2630" s="7" t="s">
        <v>712</v>
      </c>
      <c r="J2630" s="7" t="s">
        <v>712</v>
      </c>
      <c r="K2630" s="8">
        <v>6258937</v>
      </c>
      <c r="L2630" s="8">
        <v>332339</v>
      </c>
      <c r="M2630" s="8">
        <v>19</v>
      </c>
      <c r="N2630" s="8">
        <v>1</v>
      </c>
      <c r="O2630" s="8">
        <v>0.68</v>
      </c>
      <c r="P2630" s="8"/>
    </row>
    <row r="2631" spans="1:16" hidden="1" x14ac:dyDescent="0.25">
      <c r="A2631" s="7" t="s">
        <v>14</v>
      </c>
      <c r="B2631" s="7" t="s">
        <v>27</v>
      </c>
      <c r="C2631" s="8">
        <v>29484</v>
      </c>
      <c r="D2631" s="7" t="s">
        <v>28</v>
      </c>
      <c r="E2631" s="7" t="s">
        <v>32</v>
      </c>
      <c r="F2631" s="7" t="s">
        <v>33</v>
      </c>
      <c r="G2631" s="7" t="s">
        <v>31</v>
      </c>
      <c r="H2631" s="7" t="s">
        <v>689</v>
      </c>
      <c r="I2631" s="7" t="s">
        <v>690</v>
      </c>
      <c r="J2631" s="7" t="s">
        <v>690</v>
      </c>
      <c r="K2631" s="8">
        <v>6275834</v>
      </c>
      <c r="L2631" s="8">
        <v>340529</v>
      </c>
      <c r="M2631" s="8">
        <v>19</v>
      </c>
      <c r="N2631" s="8">
        <v>1</v>
      </c>
      <c r="O2631" s="8">
        <v>3</v>
      </c>
      <c r="P2631" s="8"/>
    </row>
    <row r="2632" spans="1:16" hidden="1" x14ac:dyDescent="0.25">
      <c r="A2632" s="7" t="s">
        <v>14</v>
      </c>
      <c r="B2632" s="7" t="s">
        <v>181</v>
      </c>
      <c r="C2632" s="8">
        <v>29485</v>
      </c>
      <c r="D2632" s="7" t="s">
        <v>119</v>
      </c>
      <c r="E2632" s="7" t="s">
        <v>240</v>
      </c>
      <c r="F2632" s="7" t="s">
        <v>241</v>
      </c>
      <c r="G2632" s="7" t="s">
        <v>43</v>
      </c>
      <c r="H2632" s="7" t="s">
        <v>689</v>
      </c>
      <c r="I2632" s="7" t="s">
        <v>690</v>
      </c>
      <c r="J2632" s="7" t="s">
        <v>690</v>
      </c>
      <c r="K2632" s="8">
        <v>5721052</v>
      </c>
      <c r="L2632" s="8">
        <v>701770</v>
      </c>
      <c r="M2632" s="8">
        <v>18</v>
      </c>
      <c r="N2632" s="8">
        <v>1</v>
      </c>
      <c r="O2632" s="8">
        <v>0.53</v>
      </c>
      <c r="P2632" s="8"/>
    </row>
    <row r="2633" spans="1:16" hidden="1" x14ac:dyDescent="0.25">
      <c r="A2633" s="7" t="s">
        <v>14</v>
      </c>
      <c r="B2633" s="7" t="s">
        <v>181</v>
      </c>
      <c r="C2633" s="8">
        <v>29486</v>
      </c>
      <c r="D2633" s="7" t="s">
        <v>119</v>
      </c>
      <c r="E2633" s="7" t="s">
        <v>240</v>
      </c>
      <c r="F2633" s="7" t="s">
        <v>242</v>
      </c>
      <c r="G2633" s="7" t="s">
        <v>43</v>
      </c>
      <c r="H2633" s="7" t="s">
        <v>689</v>
      </c>
      <c r="I2633" s="7" t="s">
        <v>690</v>
      </c>
      <c r="J2633" s="7" t="s">
        <v>690</v>
      </c>
      <c r="K2633" s="8">
        <v>5720972</v>
      </c>
      <c r="L2633" s="8">
        <v>696135</v>
      </c>
      <c r="M2633" s="8">
        <v>18</v>
      </c>
      <c r="N2633" s="8">
        <v>1</v>
      </c>
      <c r="O2633" s="8">
        <v>0.01</v>
      </c>
      <c r="P2633" s="8"/>
    </row>
    <row r="2634" spans="1:16" hidden="1" x14ac:dyDescent="0.25">
      <c r="A2634" s="7" t="s">
        <v>14</v>
      </c>
      <c r="B2634" s="7" t="s">
        <v>415</v>
      </c>
      <c r="C2634" s="8">
        <v>29487</v>
      </c>
      <c r="D2634" s="7" t="s">
        <v>322</v>
      </c>
      <c r="E2634" s="7" t="s">
        <v>323</v>
      </c>
      <c r="F2634" s="7" t="s">
        <v>422</v>
      </c>
      <c r="G2634" s="7" t="s">
        <v>18</v>
      </c>
      <c r="H2634" s="7" t="s">
        <v>689</v>
      </c>
      <c r="I2634" s="7" t="s">
        <v>712</v>
      </c>
      <c r="J2634" s="7" t="s">
        <v>712</v>
      </c>
      <c r="K2634" s="8">
        <v>7949976</v>
      </c>
      <c r="L2634" s="8">
        <v>378237</v>
      </c>
      <c r="M2634" s="8">
        <v>19</v>
      </c>
      <c r="N2634" s="8">
        <v>1</v>
      </c>
      <c r="O2634" s="8">
        <v>0.88</v>
      </c>
      <c r="P2634" s="8"/>
    </row>
    <row r="2635" spans="1:16" hidden="1" x14ac:dyDescent="0.25">
      <c r="A2635" s="7" t="s">
        <v>14</v>
      </c>
      <c r="B2635" s="7" t="s">
        <v>415</v>
      </c>
      <c r="C2635" s="8">
        <v>29488</v>
      </c>
      <c r="D2635" s="7" t="s">
        <v>322</v>
      </c>
      <c r="E2635" s="7" t="s">
        <v>323</v>
      </c>
      <c r="F2635" s="7" t="s">
        <v>422</v>
      </c>
      <c r="G2635" s="7" t="s">
        <v>18</v>
      </c>
      <c r="H2635" s="7" t="s">
        <v>689</v>
      </c>
      <c r="I2635" s="7" t="s">
        <v>712</v>
      </c>
      <c r="J2635" s="7" t="s">
        <v>712</v>
      </c>
      <c r="K2635" s="8">
        <v>7949881</v>
      </c>
      <c r="L2635" s="8">
        <v>378390</v>
      </c>
      <c r="M2635" s="8">
        <v>19</v>
      </c>
      <c r="N2635" s="8">
        <v>1</v>
      </c>
      <c r="O2635" s="8">
        <v>0.14000000000000001</v>
      </c>
      <c r="P2635" s="8"/>
    </row>
    <row r="2636" spans="1:16" hidden="1" x14ac:dyDescent="0.25">
      <c r="A2636" s="7" t="s">
        <v>14</v>
      </c>
      <c r="B2636" s="7" t="s">
        <v>415</v>
      </c>
      <c r="C2636" s="8">
        <v>29489</v>
      </c>
      <c r="D2636" s="7" t="s">
        <v>322</v>
      </c>
      <c r="E2636" s="7" t="s">
        <v>323</v>
      </c>
      <c r="F2636" s="7" t="s">
        <v>422</v>
      </c>
      <c r="G2636" s="7" t="s">
        <v>18</v>
      </c>
      <c r="H2636" s="7" t="s">
        <v>689</v>
      </c>
      <c r="I2636" s="7" t="s">
        <v>712</v>
      </c>
      <c r="J2636" s="7" t="s">
        <v>712</v>
      </c>
      <c r="K2636" s="8">
        <v>7950719</v>
      </c>
      <c r="L2636" s="8">
        <v>370904</v>
      </c>
      <c r="M2636" s="8">
        <v>19</v>
      </c>
      <c r="N2636" s="8">
        <v>1</v>
      </c>
      <c r="O2636" s="8">
        <v>0.19</v>
      </c>
      <c r="P2636" s="8"/>
    </row>
    <row r="2637" spans="1:16" hidden="1" x14ac:dyDescent="0.25">
      <c r="A2637" s="7" t="s">
        <v>14</v>
      </c>
      <c r="B2637" s="7" t="s">
        <v>415</v>
      </c>
      <c r="C2637" s="8">
        <v>29490</v>
      </c>
      <c r="D2637" s="7" t="s">
        <v>322</v>
      </c>
      <c r="E2637" s="7" t="s">
        <v>323</v>
      </c>
      <c r="F2637" s="7" t="s">
        <v>422</v>
      </c>
      <c r="G2637" s="7" t="s">
        <v>18</v>
      </c>
      <c r="H2637" s="7" t="s">
        <v>689</v>
      </c>
      <c r="I2637" s="7" t="s">
        <v>712</v>
      </c>
      <c r="J2637" s="7" t="s">
        <v>712</v>
      </c>
      <c r="K2637" s="8">
        <v>7950719</v>
      </c>
      <c r="L2637" s="8">
        <v>370904</v>
      </c>
      <c r="M2637" s="8">
        <v>19</v>
      </c>
      <c r="N2637" s="8">
        <v>1</v>
      </c>
      <c r="O2637" s="8">
        <v>0.15</v>
      </c>
      <c r="P2637" s="8"/>
    </row>
    <row r="2638" spans="1:16" x14ac:dyDescent="0.25">
      <c r="A2638" s="7" t="s">
        <v>14</v>
      </c>
      <c r="B2638" s="7" t="s">
        <v>713</v>
      </c>
      <c r="C2638" s="8">
        <v>29491</v>
      </c>
      <c r="D2638" s="7" t="s">
        <v>52</v>
      </c>
      <c r="E2638" s="7" t="s">
        <v>139</v>
      </c>
      <c r="F2638" s="7" t="s">
        <v>139</v>
      </c>
      <c r="G2638" s="7" t="s">
        <v>18</v>
      </c>
      <c r="H2638" s="7" t="s">
        <v>689</v>
      </c>
      <c r="I2638" s="7" t="s">
        <v>712</v>
      </c>
      <c r="J2638" s="7" t="s">
        <v>712</v>
      </c>
      <c r="K2638" s="8">
        <v>6228133</v>
      </c>
      <c r="L2638" s="8">
        <v>339110</v>
      </c>
      <c r="M2638" s="8">
        <v>19</v>
      </c>
      <c r="N2638" s="8">
        <v>1</v>
      </c>
      <c r="O2638" s="8">
        <v>0.06</v>
      </c>
      <c r="P2638" s="8"/>
    </row>
    <row r="2639" spans="1:16" x14ac:dyDescent="0.25">
      <c r="A2639" s="7" t="s">
        <v>14</v>
      </c>
      <c r="B2639" s="7" t="s">
        <v>713</v>
      </c>
      <c r="C2639" s="8">
        <v>29492</v>
      </c>
      <c r="D2639" s="7" t="s">
        <v>52</v>
      </c>
      <c r="E2639" s="7" t="s">
        <v>139</v>
      </c>
      <c r="F2639" s="7" t="s">
        <v>139</v>
      </c>
      <c r="G2639" s="7" t="s">
        <v>65</v>
      </c>
      <c r="H2639" s="7" t="s">
        <v>689</v>
      </c>
      <c r="I2639" s="7" t="s">
        <v>712</v>
      </c>
      <c r="J2639" s="7" t="s">
        <v>712</v>
      </c>
      <c r="K2639" s="8">
        <v>6228133</v>
      </c>
      <c r="L2639" s="8">
        <v>339110</v>
      </c>
      <c r="M2639" s="8">
        <v>19</v>
      </c>
      <c r="N2639" s="8">
        <v>1</v>
      </c>
      <c r="O2639" s="8">
        <v>1.6</v>
      </c>
      <c r="P2639" s="8"/>
    </row>
    <row r="2640" spans="1:16" hidden="1" x14ac:dyDescent="0.25">
      <c r="A2640" s="7" t="s">
        <v>14</v>
      </c>
      <c r="B2640" s="7" t="s">
        <v>415</v>
      </c>
      <c r="C2640" s="8">
        <v>29493</v>
      </c>
      <c r="D2640" s="7" t="s">
        <v>322</v>
      </c>
      <c r="E2640" s="7" t="s">
        <v>323</v>
      </c>
      <c r="F2640" s="7" t="s">
        <v>422</v>
      </c>
      <c r="G2640" s="7" t="s">
        <v>18</v>
      </c>
      <c r="H2640" s="7" t="s">
        <v>689</v>
      </c>
      <c r="I2640" s="7" t="s">
        <v>712</v>
      </c>
      <c r="J2640" s="7" t="s">
        <v>712</v>
      </c>
      <c r="K2640" s="8">
        <v>7949704</v>
      </c>
      <c r="L2640" s="8">
        <v>378065</v>
      </c>
      <c r="M2640" s="8">
        <v>19</v>
      </c>
      <c r="N2640" s="8">
        <v>1</v>
      </c>
      <c r="O2640" s="8">
        <v>0.13</v>
      </c>
      <c r="P2640" s="8"/>
    </row>
    <row r="2641" spans="1:16" hidden="1" x14ac:dyDescent="0.25">
      <c r="A2641" s="7" t="s">
        <v>14</v>
      </c>
      <c r="B2641" s="7" t="s">
        <v>270</v>
      </c>
      <c r="C2641" s="8">
        <v>29495</v>
      </c>
      <c r="D2641" s="7" t="s">
        <v>322</v>
      </c>
      <c r="E2641" s="7" t="s">
        <v>323</v>
      </c>
      <c r="F2641" s="7" t="s">
        <v>641</v>
      </c>
      <c r="G2641" s="7" t="s">
        <v>43</v>
      </c>
      <c r="H2641" s="7" t="s">
        <v>689</v>
      </c>
      <c r="I2641" s="7" t="s">
        <v>712</v>
      </c>
      <c r="J2641" s="7" t="s">
        <v>712</v>
      </c>
      <c r="K2641" s="8">
        <v>7952420</v>
      </c>
      <c r="L2641" s="8">
        <v>375180</v>
      </c>
      <c r="M2641" s="8">
        <v>19</v>
      </c>
      <c r="N2641" s="8">
        <v>1</v>
      </c>
      <c r="O2641" s="8">
        <v>0.04</v>
      </c>
      <c r="P2641" s="8"/>
    </row>
    <row r="2642" spans="1:16" hidden="1" x14ac:dyDescent="0.25">
      <c r="A2642" s="7" t="s">
        <v>14</v>
      </c>
      <c r="B2642" s="7" t="s">
        <v>270</v>
      </c>
      <c r="C2642" s="8">
        <v>29497</v>
      </c>
      <c r="D2642" s="7" t="s">
        <v>322</v>
      </c>
      <c r="E2642" s="7" t="s">
        <v>323</v>
      </c>
      <c r="F2642" s="7" t="s">
        <v>641</v>
      </c>
      <c r="G2642" s="7" t="s">
        <v>43</v>
      </c>
      <c r="H2642" s="7" t="s">
        <v>689</v>
      </c>
      <c r="I2642" s="7" t="s">
        <v>712</v>
      </c>
      <c r="J2642" s="7" t="s">
        <v>712</v>
      </c>
      <c r="K2642" s="8">
        <v>7952615</v>
      </c>
      <c r="L2642" s="8">
        <v>375180</v>
      </c>
      <c r="M2642" s="8">
        <v>19</v>
      </c>
      <c r="N2642" s="8">
        <v>1</v>
      </c>
      <c r="O2642" s="8">
        <v>0.01</v>
      </c>
      <c r="P2642" s="8"/>
    </row>
    <row r="2643" spans="1:16" hidden="1" x14ac:dyDescent="0.25">
      <c r="A2643" s="7" t="s">
        <v>14</v>
      </c>
      <c r="B2643" s="7" t="s">
        <v>343</v>
      </c>
      <c r="C2643" s="8">
        <v>29501</v>
      </c>
      <c r="D2643" s="7" t="s">
        <v>52</v>
      </c>
      <c r="E2643" s="7" t="s">
        <v>151</v>
      </c>
      <c r="F2643" s="7" t="s">
        <v>151</v>
      </c>
      <c r="G2643" s="7" t="s">
        <v>18</v>
      </c>
      <c r="H2643" s="7" t="s">
        <v>689</v>
      </c>
      <c r="I2643" s="7" t="s">
        <v>712</v>
      </c>
      <c r="J2643" s="7" t="s">
        <v>712</v>
      </c>
      <c r="K2643" s="8">
        <v>6190300</v>
      </c>
      <c r="L2643" s="8">
        <v>328138</v>
      </c>
      <c r="M2643" s="8">
        <v>19</v>
      </c>
      <c r="N2643" s="8">
        <v>1</v>
      </c>
      <c r="O2643" s="8">
        <v>0.15</v>
      </c>
      <c r="P2643" s="8"/>
    </row>
    <row r="2644" spans="1:16" hidden="1" x14ac:dyDescent="0.25">
      <c r="A2644" s="7" t="s">
        <v>14</v>
      </c>
      <c r="B2644" s="7" t="s">
        <v>558</v>
      </c>
      <c r="C2644" s="8">
        <v>29505</v>
      </c>
      <c r="D2644" s="7" t="s">
        <v>52</v>
      </c>
      <c r="E2644" s="7" t="s">
        <v>561</v>
      </c>
      <c r="F2644" s="7" t="s">
        <v>561</v>
      </c>
      <c r="G2644" s="7" t="s">
        <v>65</v>
      </c>
      <c r="H2644" s="7" t="s">
        <v>689</v>
      </c>
      <c r="I2644" s="7" t="s">
        <v>690</v>
      </c>
      <c r="J2644" s="7" t="s">
        <v>690</v>
      </c>
      <c r="K2644" s="8">
        <v>6211527</v>
      </c>
      <c r="L2644" s="8">
        <v>331516</v>
      </c>
      <c r="M2644" s="8">
        <v>19</v>
      </c>
      <c r="N2644" s="8">
        <v>1</v>
      </c>
      <c r="O2644" s="8">
        <v>0.12</v>
      </c>
      <c r="P2644" s="8"/>
    </row>
    <row r="2645" spans="1:16" hidden="1" x14ac:dyDescent="0.25">
      <c r="A2645" s="7" t="s">
        <v>14</v>
      </c>
      <c r="B2645" s="7" t="s">
        <v>558</v>
      </c>
      <c r="C2645" s="8">
        <v>29507</v>
      </c>
      <c r="D2645" s="7" t="s">
        <v>28</v>
      </c>
      <c r="E2645" s="7" t="s">
        <v>364</v>
      </c>
      <c r="F2645" s="7" t="s">
        <v>364</v>
      </c>
      <c r="G2645" s="7" t="s">
        <v>18</v>
      </c>
      <c r="H2645" s="7" t="s">
        <v>689</v>
      </c>
      <c r="I2645" s="7" t="s">
        <v>690</v>
      </c>
      <c r="J2645" s="7" t="s">
        <v>690</v>
      </c>
      <c r="K2645" s="8">
        <v>6294904</v>
      </c>
      <c r="L2645" s="8">
        <v>332465</v>
      </c>
      <c r="M2645" s="8">
        <v>19</v>
      </c>
      <c r="N2645" s="8">
        <v>1</v>
      </c>
      <c r="O2645" s="8">
        <v>0.4</v>
      </c>
      <c r="P2645" s="8"/>
    </row>
    <row r="2646" spans="1:16" hidden="1" x14ac:dyDescent="0.25">
      <c r="A2646" s="7" t="s">
        <v>14</v>
      </c>
      <c r="B2646" s="7" t="s">
        <v>558</v>
      </c>
      <c r="C2646" s="8">
        <v>29508</v>
      </c>
      <c r="D2646" s="7" t="s">
        <v>28</v>
      </c>
      <c r="E2646" s="7" t="s">
        <v>364</v>
      </c>
      <c r="F2646" s="7" t="s">
        <v>364</v>
      </c>
      <c r="G2646" s="7" t="s">
        <v>18</v>
      </c>
      <c r="H2646" s="7" t="s">
        <v>689</v>
      </c>
      <c r="I2646" s="7" t="s">
        <v>690</v>
      </c>
      <c r="J2646" s="7" t="s">
        <v>690</v>
      </c>
      <c r="K2646" s="8">
        <v>6294906</v>
      </c>
      <c r="L2646" s="8">
        <v>332690</v>
      </c>
      <c r="M2646" s="8">
        <v>19</v>
      </c>
      <c r="N2646" s="8">
        <v>1</v>
      </c>
      <c r="O2646" s="8">
        <v>0.4</v>
      </c>
      <c r="P2646" s="8"/>
    </row>
    <row r="2647" spans="1:16" hidden="1" x14ac:dyDescent="0.25">
      <c r="A2647" s="7" t="s">
        <v>14</v>
      </c>
      <c r="B2647" s="7" t="s">
        <v>558</v>
      </c>
      <c r="C2647" s="8">
        <v>29510</v>
      </c>
      <c r="D2647" s="7" t="s">
        <v>52</v>
      </c>
      <c r="E2647" s="7" t="s">
        <v>159</v>
      </c>
      <c r="F2647" s="7" t="s">
        <v>480</v>
      </c>
      <c r="G2647" s="7" t="s">
        <v>18</v>
      </c>
      <c r="H2647" s="7" t="s">
        <v>689</v>
      </c>
      <c r="I2647" s="7" t="s">
        <v>690</v>
      </c>
      <c r="J2647" s="7" t="s">
        <v>690</v>
      </c>
      <c r="K2647" s="8">
        <v>6242115</v>
      </c>
      <c r="L2647" s="8">
        <v>344980</v>
      </c>
      <c r="M2647" s="8">
        <v>19</v>
      </c>
      <c r="N2647" s="8">
        <v>1</v>
      </c>
      <c r="O2647" s="8">
        <v>0.11</v>
      </c>
      <c r="P2647" s="8"/>
    </row>
    <row r="2648" spans="1:16" hidden="1" x14ac:dyDescent="0.25">
      <c r="A2648" s="7" t="s">
        <v>14</v>
      </c>
      <c r="B2648" s="7" t="s">
        <v>558</v>
      </c>
      <c r="C2648" s="8">
        <v>29511</v>
      </c>
      <c r="D2648" s="7" t="s">
        <v>52</v>
      </c>
      <c r="E2648" s="7" t="s">
        <v>145</v>
      </c>
      <c r="F2648" s="7" t="s">
        <v>247</v>
      </c>
      <c r="G2648" s="7" t="s">
        <v>65</v>
      </c>
      <c r="H2648" s="7" t="s">
        <v>689</v>
      </c>
      <c r="I2648" s="7" t="s">
        <v>690</v>
      </c>
      <c r="J2648" s="7" t="s">
        <v>690</v>
      </c>
      <c r="K2648" s="8">
        <v>6172449</v>
      </c>
      <c r="L2648" s="8">
        <v>323965</v>
      </c>
      <c r="M2648" s="8">
        <v>19</v>
      </c>
      <c r="N2648" s="8">
        <v>1</v>
      </c>
      <c r="O2648" s="8">
        <v>0.12</v>
      </c>
      <c r="P2648" s="8"/>
    </row>
    <row r="2649" spans="1:16" hidden="1" x14ac:dyDescent="0.25">
      <c r="A2649" s="7" t="s">
        <v>14</v>
      </c>
      <c r="B2649" s="7" t="s">
        <v>558</v>
      </c>
      <c r="C2649" s="8">
        <v>29512</v>
      </c>
      <c r="D2649" s="7" t="s">
        <v>52</v>
      </c>
      <c r="E2649" s="7" t="s">
        <v>296</v>
      </c>
      <c r="F2649" s="7" t="s">
        <v>559</v>
      </c>
      <c r="G2649" s="7" t="s">
        <v>65</v>
      </c>
      <c r="H2649" s="7" t="s">
        <v>689</v>
      </c>
      <c r="I2649" s="7" t="s">
        <v>690</v>
      </c>
      <c r="J2649" s="7" t="s">
        <v>690</v>
      </c>
      <c r="K2649" s="8">
        <v>6183648</v>
      </c>
      <c r="L2649" s="8">
        <v>324299</v>
      </c>
      <c r="M2649" s="8">
        <v>19</v>
      </c>
      <c r="N2649" s="8">
        <v>1</v>
      </c>
      <c r="O2649" s="8">
        <v>0.12</v>
      </c>
      <c r="P2649" s="8"/>
    </row>
    <row r="2650" spans="1:16" hidden="1" x14ac:dyDescent="0.25">
      <c r="A2650" s="7" t="s">
        <v>19</v>
      </c>
      <c r="B2650" s="7" t="s">
        <v>92</v>
      </c>
      <c r="C2650" s="8">
        <v>29519</v>
      </c>
      <c r="D2650" s="7" t="s">
        <v>119</v>
      </c>
      <c r="E2650" s="7" t="s">
        <v>123</v>
      </c>
      <c r="F2650" s="7" t="s">
        <v>118</v>
      </c>
      <c r="G2650" s="7" t="s">
        <v>65</v>
      </c>
      <c r="H2650" s="7" t="s">
        <v>24</v>
      </c>
      <c r="I2650" s="7" t="s">
        <v>712</v>
      </c>
      <c r="J2650" s="7" t="s">
        <v>712</v>
      </c>
      <c r="K2650" s="8">
        <v>5814516</v>
      </c>
      <c r="L2650" s="8">
        <v>719103</v>
      </c>
      <c r="M2650" s="8">
        <v>18</v>
      </c>
      <c r="N2650" s="8">
        <v>1</v>
      </c>
      <c r="O2650" s="8">
        <v>1.5</v>
      </c>
      <c r="P2650" s="8"/>
    </row>
    <row r="2651" spans="1:16" hidden="1" x14ac:dyDescent="0.25">
      <c r="A2651" s="7" t="s">
        <v>14</v>
      </c>
      <c r="B2651" s="7" t="s">
        <v>415</v>
      </c>
      <c r="C2651" s="8">
        <v>29520</v>
      </c>
      <c r="D2651" s="7" t="s">
        <v>52</v>
      </c>
      <c r="E2651" s="7" t="s">
        <v>139</v>
      </c>
      <c r="F2651" s="7" t="s">
        <v>139</v>
      </c>
      <c r="G2651" s="7" t="s">
        <v>18</v>
      </c>
      <c r="H2651" s="7" t="s">
        <v>689</v>
      </c>
      <c r="I2651" s="7" t="s">
        <v>712</v>
      </c>
      <c r="J2651" s="7" t="s">
        <v>712</v>
      </c>
      <c r="K2651" s="8">
        <v>6227523</v>
      </c>
      <c r="L2651" s="8">
        <v>345851</v>
      </c>
      <c r="M2651" s="8">
        <v>19</v>
      </c>
      <c r="N2651" s="8">
        <v>1</v>
      </c>
      <c r="O2651" s="8">
        <v>0.2</v>
      </c>
      <c r="P2651" s="8"/>
    </row>
    <row r="2652" spans="1:16" hidden="1" x14ac:dyDescent="0.25">
      <c r="A2652" s="7" t="s">
        <v>19</v>
      </c>
      <c r="B2652" s="7" t="s">
        <v>92</v>
      </c>
      <c r="C2652" s="8">
        <v>29521</v>
      </c>
      <c r="D2652" s="7" t="s">
        <v>119</v>
      </c>
      <c r="E2652" s="7" t="s">
        <v>123</v>
      </c>
      <c r="F2652" s="7" t="s">
        <v>118</v>
      </c>
      <c r="G2652" s="7" t="s">
        <v>65</v>
      </c>
      <c r="H2652" s="7" t="s">
        <v>24</v>
      </c>
      <c r="I2652" s="7" t="s">
        <v>712</v>
      </c>
      <c r="J2652" s="7" t="s">
        <v>712</v>
      </c>
      <c r="K2652" s="8">
        <v>5814316</v>
      </c>
      <c r="L2652" s="8">
        <v>719303</v>
      </c>
      <c r="M2652" s="8">
        <v>18</v>
      </c>
      <c r="N2652" s="8">
        <v>1</v>
      </c>
      <c r="O2652" s="8">
        <v>6</v>
      </c>
      <c r="P2652" s="8"/>
    </row>
    <row r="2653" spans="1:16" hidden="1" x14ac:dyDescent="0.25">
      <c r="A2653" s="7" t="s">
        <v>19</v>
      </c>
      <c r="B2653" s="7" t="s">
        <v>92</v>
      </c>
      <c r="C2653" s="8">
        <v>29522</v>
      </c>
      <c r="D2653" s="7" t="s">
        <v>119</v>
      </c>
      <c r="E2653" s="7" t="s">
        <v>123</v>
      </c>
      <c r="F2653" s="7" t="s">
        <v>118</v>
      </c>
      <c r="G2653" s="7" t="s">
        <v>65</v>
      </c>
      <c r="H2653" s="7" t="s">
        <v>24</v>
      </c>
      <c r="I2653" s="7" t="s">
        <v>712</v>
      </c>
      <c r="J2653" s="7" t="s">
        <v>712</v>
      </c>
      <c r="K2653" s="8">
        <v>5814316</v>
      </c>
      <c r="L2653" s="8">
        <v>719103</v>
      </c>
      <c r="M2653" s="8">
        <v>18</v>
      </c>
      <c r="N2653" s="8">
        <v>1</v>
      </c>
      <c r="O2653" s="8">
        <v>6</v>
      </c>
      <c r="P2653" s="8"/>
    </row>
    <row r="2654" spans="1:16" hidden="1" x14ac:dyDescent="0.25">
      <c r="A2654" s="7" t="s">
        <v>19</v>
      </c>
      <c r="B2654" s="7" t="s">
        <v>254</v>
      </c>
      <c r="C2654" s="8">
        <v>29525</v>
      </c>
      <c r="D2654" s="7" t="s">
        <v>52</v>
      </c>
      <c r="E2654" s="7" t="s">
        <v>141</v>
      </c>
      <c r="F2654" s="7" t="s">
        <v>165</v>
      </c>
      <c r="G2654" s="7" t="s">
        <v>65</v>
      </c>
      <c r="H2654" s="7" t="s">
        <v>66</v>
      </c>
      <c r="I2654" s="7" t="s">
        <v>712</v>
      </c>
      <c r="J2654" s="7" t="s">
        <v>712</v>
      </c>
      <c r="K2654" s="8">
        <v>6219388</v>
      </c>
      <c r="L2654" s="8">
        <v>335773</v>
      </c>
      <c r="M2654" s="8">
        <v>19</v>
      </c>
      <c r="N2654" s="8">
        <v>1</v>
      </c>
      <c r="O2654" s="8">
        <v>0.09</v>
      </c>
      <c r="P2654" s="8"/>
    </row>
    <row r="2655" spans="1:16" hidden="1" x14ac:dyDescent="0.25">
      <c r="A2655" s="7" t="s">
        <v>14</v>
      </c>
      <c r="B2655" s="7" t="s">
        <v>415</v>
      </c>
      <c r="C2655" s="8">
        <v>29526</v>
      </c>
      <c r="D2655" s="7" t="s">
        <v>322</v>
      </c>
      <c r="E2655" s="7" t="s">
        <v>323</v>
      </c>
      <c r="F2655" s="7" t="s">
        <v>422</v>
      </c>
      <c r="G2655" s="7" t="s">
        <v>18</v>
      </c>
      <c r="H2655" s="7" t="s">
        <v>689</v>
      </c>
      <c r="I2655" s="7" t="s">
        <v>712</v>
      </c>
      <c r="J2655" s="7" t="s">
        <v>712</v>
      </c>
      <c r="K2655" s="8">
        <v>7950719</v>
      </c>
      <c r="L2655" s="8">
        <v>370904</v>
      </c>
      <c r="M2655" s="8">
        <v>19</v>
      </c>
      <c r="N2655" s="8">
        <v>1</v>
      </c>
      <c r="O2655" s="8">
        <v>0.05</v>
      </c>
      <c r="P2655" s="8"/>
    </row>
    <row r="2656" spans="1:16" hidden="1" x14ac:dyDescent="0.25">
      <c r="A2656" s="7" t="s">
        <v>14</v>
      </c>
      <c r="B2656" s="7" t="s">
        <v>415</v>
      </c>
      <c r="C2656" s="8">
        <v>29527</v>
      </c>
      <c r="D2656" s="7" t="s">
        <v>322</v>
      </c>
      <c r="E2656" s="7" t="s">
        <v>323</v>
      </c>
      <c r="F2656" s="7" t="s">
        <v>422</v>
      </c>
      <c r="G2656" s="7" t="s">
        <v>18</v>
      </c>
      <c r="H2656" s="7" t="s">
        <v>689</v>
      </c>
      <c r="I2656" s="7" t="s">
        <v>712</v>
      </c>
      <c r="J2656" s="7" t="s">
        <v>712</v>
      </c>
      <c r="K2656" s="8">
        <v>7950719</v>
      </c>
      <c r="L2656" s="8">
        <v>370904</v>
      </c>
      <c r="M2656" s="8">
        <v>19</v>
      </c>
      <c r="N2656" s="8">
        <v>1</v>
      </c>
      <c r="O2656" s="8">
        <v>0.05</v>
      </c>
      <c r="P2656" s="8"/>
    </row>
    <row r="2657" spans="1:16" hidden="1" x14ac:dyDescent="0.25">
      <c r="A2657" s="7" t="s">
        <v>14</v>
      </c>
      <c r="B2657" s="7" t="s">
        <v>415</v>
      </c>
      <c r="C2657" s="8">
        <v>29528</v>
      </c>
      <c r="D2657" s="7" t="s">
        <v>322</v>
      </c>
      <c r="E2657" s="7" t="s">
        <v>323</v>
      </c>
      <c r="F2657" s="7" t="s">
        <v>422</v>
      </c>
      <c r="G2657" s="7" t="s">
        <v>18</v>
      </c>
      <c r="H2657" s="7" t="s">
        <v>689</v>
      </c>
      <c r="I2657" s="7" t="s">
        <v>712</v>
      </c>
      <c r="J2657" s="7" t="s">
        <v>712</v>
      </c>
      <c r="K2657" s="8">
        <v>7952848</v>
      </c>
      <c r="L2657" s="8">
        <v>370843</v>
      </c>
      <c r="M2657" s="8">
        <v>19</v>
      </c>
      <c r="N2657" s="8">
        <v>1</v>
      </c>
      <c r="O2657" s="8">
        <v>0.08</v>
      </c>
      <c r="P2657" s="8"/>
    </row>
    <row r="2658" spans="1:16" hidden="1" x14ac:dyDescent="0.25">
      <c r="A2658" s="7" t="s">
        <v>14</v>
      </c>
      <c r="B2658" s="7" t="s">
        <v>415</v>
      </c>
      <c r="C2658" s="8">
        <v>29529</v>
      </c>
      <c r="D2658" s="7" t="s">
        <v>322</v>
      </c>
      <c r="E2658" s="7" t="s">
        <v>323</v>
      </c>
      <c r="F2658" s="7" t="s">
        <v>422</v>
      </c>
      <c r="G2658" s="7" t="s">
        <v>18</v>
      </c>
      <c r="H2658" s="7" t="s">
        <v>689</v>
      </c>
      <c r="I2658" s="7" t="s">
        <v>712</v>
      </c>
      <c r="J2658" s="7" t="s">
        <v>712</v>
      </c>
      <c r="K2658" s="8">
        <v>7949747</v>
      </c>
      <c r="L2658" s="8">
        <v>378188</v>
      </c>
      <c r="M2658" s="8">
        <v>19</v>
      </c>
      <c r="N2658" s="8">
        <v>1</v>
      </c>
      <c r="O2658" s="8">
        <v>0.2</v>
      </c>
      <c r="P2658" s="8"/>
    </row>
    <row r="2659" spans="1:16" hidden="1" x14ac:dyDescent="0.25">
      <c r="A2659" s="7" t="s">
        <v>14</v>
      </c>
      <c r="B2659" s="7" t="s">
        <v>415</v>
      </c>
      <c r="C2659" s="8">
        <v>29530</v>
      </c>
      <c r="D2659" s="7" t="s">
        <v>322</v>
      </c>
      <c r="E2659" s="7" t="s">
        <v>323</v>
      </c>
      <c r="F2659" s="7" t="s">
        <v>422</v>
      </c>
      <c r="G2659" s="7" t="s">
        <v>18</v>
      </c>
      <c r="H2659" s="7" t="s">
        <v>689</v>
      </c>
      <c r="I2659" s="7" t="s">
        <v>712</v>
      </c>
      <c r="J2659" s="7" t="s">
        <v>712</v>
      </c>
      <c r="K2659" s="8">
        <v>7950719</v>
      </c>
      <c r="L2659" s="8">
        <v>370904</v>
      </c>
      <c r="M2659" s="8">
        <v>19</v>
      </c>
      <c r="N2659" s="8">
        <v>1</v>
      </c>
      <c r="O2659" s="8">
        <v>0.01</v>
      </c>
      <c r="P2659" s="8"/>
    </row>
    <row r="2660" spans="1:16" hidden="1" x14ac:dyDescent="0.25">
      <c r="A2660" s="7" t="s">
        <v>14</v>
      </c>
      <c r="B2660" s="7" t="s">
        <v>415</v>
      </c>
      <c r="C2660" s="8">
        <v>29531</v>
      </c>
      <c r="D2660" s="7" t="s">
        <v>322</v>
      </c>
      <c r="E2660" s="7" t="s">
        <v>323</v>
      </c>
      <c r="F2660" s="7" t="s">
        <v>422</v>
      </c>
      <c r="G2660" s="7" t="s">
        <v>18</v>
      </c>
      <c r="H2660" s="7" t="s">
        <v>689</v>
      </c>
      <c r="I2660" s="7" t="s">
        <v>712</v>
      </c>
      <c r="J2660" s="7" t="s">
        <v>712</v>
      </c>
      <c r="K2660" s="8">
        <v>7949747</v>
      </c>
      <c r="L2660" s="8">
        <v>378188</v>
      </c>
      <c r="M2660" s="8">
        <v>19</v>
      </c>
      <c r="N2660" s="8">
        <v>1</v>
      </c>
      <c r="O2660" s="8">
        <v>0.1</v>
      </c>
      <c r="P2660" s="8"/>
    </row>
    <row r="2661" spans="1:16" hidden="1" x14ac:dyDescent="0.25">
      <c r="A2661" s="7" t="s">
        <v>14</v>
      </c>
      <c r="B2661" s="7" t="s">
        <v>415</v>
      </c>
      <c r="C2661" s="8">
        <v>29532</v>
      </c>
      <c r="D2661" s="7" t="s">
        <v>322</v>
      </c>
      <c r="E2661" s="7" t="s">
        <v>323</v>
      </c>
      <c r="F2661" s="7" t="s">
        <v>422</v>
      </c>
      <c r="G2661" s="7" t="s">
        <v>18</v>
      </c>
      <c r="H2661" s="7" t="s">
        <v>689</v>
      </c>
      <c r="I2661" s="7" t="s">
        <v>712</v>
      </c>
      <c r="J2661" s="7" t="s">
        <v>712</v>
      </c>
      <c r="K2661" s="8">
        <v>7950719</v>
      </c>
      <c r="L2661" s="8">
        <v>370904</v>
      </c>
      <c r="M2661" s="8">
        <v>19</v>
      </c>
      <c r="N2661" s="8">
        <v>1</v>
      </c>
      <c r="O2661" s="8">
        <v>0.1</v>
      </c>
      <c r="P2661" s="8"/>
    </row>
    <row r="2662" spans="1:16" hidden="1" x14ac:dyDescent="0.25">
      <c r="A2662" s="7" t="s">
        <v>14</v>
      </c>
      <c r="B2662" s="7" t="s">
        <v>415</v>
      </c>
      <c r="C2662" s="8">
        <v>29533</v>
      </c>
      <c r="D2662" s="7" t="s">
        <v>322</v>
      </c>
      <c r="E2662" s="7" t="s">
        <v>323</v>
      </c>
      <c r="F2662" s="7" t="s">
        <v>422</v>
      </c>
      <c r="G2662" s="7" t="s">
        <v>18</v>
      </c>
      <c r="H2662" s="7" t="s">
        <v>689</v>
      </c>
      <c r="I2662" s="7" t="s">
        <v>712</v>
      </c>
      <c r="J2662" s="7" t="s">
        <v>712</v>
      </c>
      <c r="K2662" s="8">
        <v>7950719</v>
      </c>
      <c r="L2662" s="8">
        <v>370904</v>
      </c>
      <c r="M2662" s="8">
        <v>19</v>
      </c>
      <c r="N2662" s="8">
        <v>1</v>
      </c>
      <c r="O2662" s="8">
        <v>0.02</v>
      </c>
      <c r="P2662" s="8"/>
    </row>
    <row r="2663" spans="1:16" hidden="1" x14ac:dyDescent="0.25">
      <c r="A2663" s="7" t="s">
        <v>14</v>
      </c>
      <c r="B2663" s="7" t="s">
        <v>415</v>
      </c>
      <c r="C2663" s="8">
        <v>29534</v>
      </c>
      <c r="D2663" s="7" t="s">
        <v>322</v>
      </c>
      <c r="E2663" s="7" t="s">
        <v>323</v>
      </c>
      <c r="F2663" s="7" t="s">
        <v>422</v>
      </c>
      <c r="G2663" s="7" t="s">
        <v>18</v>
      </c>
      <c r="H2663" s="7" t="s">
        <v>689</v>
      </c>
      <c r="I2663" s="7" t="s">
        <v>712</v>
      </c>
      <c r="J2663" s="7" t="s">
        <v>712</v>
      </c>
      <c r="K2663" s="8">
        <v>7950719</v>
      </c>
      <c r="L2663" s="8">
        <v>370904</v>
      </c>
      <c r="M2663" s="8">
        <v>19</v>
      </c>
      <c r="N2663" s="8">
        <v>1</v>
      </c>
      <c r="O2663" s="8">
        <v>0.01</v>
      </c>
      <c r="P2663" s="8"/>
    </row>
    <row r="2664" spans="1:16" hidden="1" x14ac:dyDescent="0.25">
      <c r="A2664" s="7" t="s">
        <v>14</v>
      </c>
      <c r="B2664" s="7" t="s">
        <v>415</v>
      </c>
      <c r="C2664" s="8">
        <v>29535</v>
      </c>
      <c r="D2664" s="7" t="s">
        <v>322</v>
      </c>
      <c r="E2664" s="7" t="s">
        <v>323</v>
      </c>
      <c r="F2664" s="7" t="s">
        <v>422</v>
      </c>
      <c r="G2664" s="7" t="s">
        <v>18</v>
      </c>
      <c r="H2664" s="7" t="s">
        <v>689</v>
      </c>
      <c r="I2664" s="7" t="s">
        <v>712</v>
      </c>
      <c r="J2664" s="7" t="s">
        <v>712</v>
      </c>
      <c r="K2664" s="8">
        <v>7952666</v>
      </c>
      <c r="L2664" s="8">
        <v>371639</v>
      </c>
      <c r="M2664" s="8">
        <v>19</v>
      </c>
      <c r="N2664" s="8">
        <v>1</v>
      </c>
      <c r="O2664" s="8">
        <v>0.01</v>
      </c>
      <c r="P2664" s="8"/>
    </row>
    <row r="2665" spans="1:16" hidden="1" x14ac:dyDescent="0.25">
      <c r="A2665" s="7" t="s">
        <v>14</v>
      </c>
      <c r="B2665" s="7" t="s">
        <v>415</v>
      </c>
      <c r="C2665" s="8">
        <v>29536</v>
      </c>
      <c r="D2665" s="7" t="s">
        <v>322</v>
      </c>
      <c r="E2665" s="7" t="s">
        <v>323</v>
      </c>
      <c r="F2665" s="7" t="s">
        <v>422</v>
      </c>
      <c r="G2665" s="7" t="s">
        <v>18</v>
      </c>
      <c r="H2665" s="7" t="s">
        <v>689</v>
      </c>
      <c r="I2665" s="7" t="s">
        <v>712</v>
      </c>
      <c r="J2665" s="7" t="s">
        <v>712</v>
      </c>
      <c r="K2665" s="8">
        <v>7949704</v>
      </c>
      <c r="L2665" s="8">
        <v>378065</v>
      </c>
      <c r="M2665" s="8">
        <v>19</v>
      </c>
      <c r="N2665" s="8">
        <v>1</v>
      </c>
      <c r="O2665" s="8">
        <v>0.16</v>
      </c>
      <c r="P2665" s="8"/>
    </row>
    <row r="2666" spans="1:16" x14ac:dyDescent="0.25">
      <c r="A2666" s="7" t="s">
        <v>14</v>
      </c>
      <c r="B2666" s="7" t="s">
        <v>713</v>
      </c>
      <c r="C2666" s="8">
        <v>29537</v>
      </c>
      <c r="D2666" s="7" t="s">
        <v>322</v>
      </c>
      <c r="E2666" s="7" t="s">
        <v>323</v>
      </c>
      <c r="F2666" s="7" t="s">
        <v>323</v>
      </c>
      <c r="G2666" s="7" t="s">
        <v>65</v>
      </c>
      <c r="H2666" s="7" t="s">
        <v>689</v>
      </c>
      <c r="I2666" s="7" t="s">
        <v>712</v>
      </c>
      <c r="J2666" s="7" t="s">
        <v>712</v>
      </c>
      <c r="K2666" s="8">
        <v>7948983</v>
      </c>
      <c r="L2666" s="8">
        <v>379837</v>
      </c>
      <c r="M2666" s="8">
        <v>19</v>
      </c>
      <c r="N2666" s="8">
        <v>1</v>
      </c>
      <c r="O2666" s="8">
        <v>0.05</v>
      </c>
      <c r="P2666" s="8"/>
    </row>
    <row r="2667" spans="1:16" x14ac:dyDescent="0.25">
      <c r="A2667" s="7" t="s">
        <v>14</v>
      </c>
      <c r="B2667" s="7" t="s">
        <v>713</v>
      </c>
      <c r="C2667" s="8">
        <v>29538</v>
      </c>
      <c r="D2667" s="7" t="s">
        <v>322</v>
      </c>
      <c r="E2667" s="7" t="s">
        <v>323</v>
      </c>
      <c r="F2667" s="7" t="s">
        <v>323</v>
      </c>
      <c r="G2667" s="7" t="s">
        <v>18</v>
      </c>
      <c r="H2667" s="7" t="s">
        <v>689</v>
      </c>
      <c r="I2667" s="7" t="s">
        <v>712</v>
      </c>
      <c r="J2667" s="7" t="s">
        <v>712</v>
      </c>
      <c r="K2667" s="8">
        <v>7949341</v>
      </c>
      <c r="L2667" s="8">
        <v>379810</v>
      </c>
      <c r="M2667" s="8">
        <v>19</v>
      </c>
      <c r="N2667" s="8">
        <v>1</v>
      </c>
      <c r="O2667" s="8">
        <v>0.03</v>
      </c>
      <c r="P2667" s="8"/>
    </row>
    <row r="2668" spans="1:16" x14ac:dyDescent="0.25">
      <c r="A2668" s="7" t="s">
        <v>14</v>
      </c>
      <c r="B2668" s="7" t="s">
        <v>713</v>
      </c>
      <c r="C2668" s="8">
        <v>29539</v>
      </c>
      <c r="D2668" s="7" t="s">
        <v>322</v>
      </c>
      <c r="E2668" s="7" t="s">
        <v>323</v>
      </c>
      <c r="F2668" s="7" t="s">
        <v>323</v>
      </c>
      <c r="G2668" s="7" t="s">
        <v>65</v>
      </c>
      <c r="H2668" s="7" t="s">
        <v>689</v>
      </c>
      <c r="I2668" s="7" t="s">
        <v>712</v>
      </c>
      <c r="J2668" s="7" t="s">
        <v>712</v>
      </c>
      <c r="K2668" s="8">
        <v>7948983</v>
      </c>
      <c r="L2668" s="8">
        <v>379837</v>
      </c>
      <c r="M2668" s="8">
        <v>19</v>
      </c>
      <c r="N2668" s="8">
        <v>1</v>
      </c>
      <c r="O2668" s="8">
        <v>0.01</v>
      </c>
      <c r="P2668" s="8"/>
    </row>
    <row r="2669" spans="1:16" hidden="1" x14ac:dyDescent="0.25">
      <c r="A2669" s="7" t="s">
        <v>14</v>
      </c>
      <c r="B2669" s="7" t="s">
        <v>27</v>
      </c>
      <c r="C2669" s="8">
        <v>29540</v>
      </c>
      <c r="D2669" s="7" t="s">
        <v>34</v>
      </c>
      <c r="E2669" s="7" t="s">
        <v>35</v>
      </c>
      <c r="F2669" s="7" t="s">
        <v>36</v>
      </c>
      <c r="G2669" s="7" t="s">
        <v>31</v>
      </c>
      <c r="H2669" s="7" t="s">
        <v>689</v>
      </c>
      <c r="I2669" s="7" t="s">
        <v>690</v>
      </c>
      <c r="J2669" s="7" t="s">
        <v>690</v>
      </c>
      <c r="K2669" s="8">
        <v>5855785</v>
      </c>
      <c r="L2669" s="8">
        <v>718810</v>
      </c>
      <c r="M2669" s="8">
        <v>18</v>
      </c>
      <c r="N2669" s="8">
        <v>1</v>
      </c>
      <c r="O2669" s="8">
        <v>6</v>
      </c>
      <c r="P2669" s="8"/>
    </row>
    <row r="2670" spans="1:16" x14ac:dyDescent="0.25">
      <c r="A2670" s="7" t="s">
        <v>14</v>
      </c>
      <c r="B2670" s="7" t="s">
        <v>713</v>
      </c>
      <c r="C2670" s="8">
        <v>29541</v>
      </c>
      <c r="D2670" s="7" t="s">
        <v>322</v>
      </c>
      <c r="E2670" s="7" t="s">
        <v>323</v>
      </c>
      <c r="F2670" s="7" t="s">
        <v>323</v>
      </c>
      <c r="G2670" s="7" t="s">
        <v>18</v>
      </c>
      <c r="H2670" s="7" t="s">
        <v>689</v>
      </c>
      <c r="I2670" s="7" t="s">
        <v>712</v>
      </c>
      <c r="J2670" s="7" t="s">
        <v>712</v>
      </c>
      <c r="K2670" s="8">
        <v>7949339</v>
      </c>
      <c r="L2670" s="8">
        <v>379821</v>
      </c>
      <c r="M2670" s="8">
        <v>19</v>
      </c>
      <c r="N2670" s="8">
        <v>1</v>
      </c>
      <c r="O2670" s="8">
        <v>0.02</v>
      </c>
      <c r="P2670" s="8"/>
    </row>
    <row r="2671" spans="1:16" x14ac:dyDescent="0.25">
      <c r="A2671" s="7" t="s">
        <v>14</v>
      </c>
      <c r="B2671" s="7" t="s">
        <v>713</v>
      </c>
      <c r="C2671" s="8">
        <v>29542</v>
      </c>
      <c r="D2671" s="7" t="s">
        <v>322</v>
      </c>
      <c r="E2671" s="7" t="s">
        <v>323</v>
      </c>
      <c r="F2671" s="7" t="s">
        <v>323</v>
      </c>
      <c r="G2671" s="7" t="s">
        <v>65</v>
      </c>
      <c r="H2671" s="7" t="s">
        <v>689</v>
      </c>
      <c r="I2671" s="7" t="s">
        <v>712</v>
      </c>
      <c r="J2671" s="7" t="s">
        <v>712</v>
      </c>
      <c r="K2671" s="8">
        <v>7948992</v>
      </c>
      <c r="L2671" s="8">
        <v>379829</v>
      </c>
      <c r="M2671" s="8">
        <v>19</v>
      </c>
      <c r="N2671" s="8">
        <v>1</v>
      </c>
      <c r="O2671" s="8">
        <v>0</v>
      </c>
      <c r="P2671" s="8"/>
    </row>
    <row r="2672" spans="1:16" hidden="1" x14ac:dyDescent="0.25">
      <c r="A2672" s="7" t="s">
        <v>14</v>
      </c>
      <c r="B2672" s="7" t="s">
        <v>415</v>
      </c>
      <c r="C2672" s="8">
        <v>29545</v>
      </c>
      <c r="D2672" s="7" t="s">
        <v>322</v>
      </c>
      <c r="E2672" s="7" t="s">
        <v>323</v>
      </c>
      <c r="F2672" s="7" t="s">
        <v>422</v>
      </c>
      <c r="G2672" s="7" t="s">
        <v>18</v>
      </c>
      <c r="H2672" s="7" t="s">
        <v>689</v>
      </c>
      <c r="I2672" s="7" t="s">
        <v>712</v>
      </c>
      <c r="J2672" s="7" t="s">
        <v>712</v>
      </c>
      <c r="K2672" s="8">
        <v>7949704</v>
      </c>
      <c r="L2672" s="8">
        <v>378065</v>
      </c>
      <c r="M2672" s="8">
        <v>19</v>
      </c>
      <c r="N2672" s="8">
        <v>1</v>
      </c>
      <c r="O2672" s="8">
        <v>0.02</v>
      </c>
      <c r="P2672" s="8"/>
    </row>
    <row r="2673" spans="1:16" hidden="1" x14ac:dyDescent="0.25">
      <c r="A2673" s="7" t="s">
        <v>14</v>
      </c>
      <c r="B2673" s="7" t="s">
        <v>415</v>
      </c>
      <c r="C2673" s="8">
        <v>29555</v>
      </c>
      <c r="D2673" s="7" t="s">
        <v>322</v>
      </c>
      <c r="E2673" s="7" t="s">
        <v>323</v>
      </c>
      <c r="F2673" s="7" t="s">
        <v>422</v>
      </c>
      <c r="G2673" s="7" t="s">
        <v>18</v>
      </c>
      <c r="H2673" s="7" t="s">
        <v>689</v>
      </c>
      <c r="I2673" s="7" t="s">
        <v>712</v>
      </c>
      <c r="J2673" s="7" t="s">
        <v>712</v>
      </c>
      <c r="K2673" s="8">
        <v>7949881</v>
      </c>
      <c r="L2673" s="8">
        <v>378390</v>
      </c>
      <c r="M2673" s="8">
        <v>19</v>
      </c>
      <c r="N2673" s="8">
        <v>1</v>
      </c>
      <c r="O2673" s="8">
        <v>0.55000000000000004</v>
      </c>
      <c r="P2673" s="8"/>
    </row>
    <row r="2674" spans="1:16" hidden="1" x14ac:dyDescent="0.25">
      <c r="A2674" s="7" t="s">
        <v>14</v>
      </c>
      <c r="B2674" s="7" t="s">
        <v>415</v>
      </c>
      <c r="C2674" s="8">
        <v>29556</v>
      </c>
      <c r="D2674" s="7" t="s">
        <v>322</v>
      </c>
      <c r="E2674" s="7" t="s">
        <v>323</v>
      </c>
      <c r="F2674" s="7" t="s">
        <v>422</v>
      </c>
      <c r="G2674" s="7" t="s">
        <v>18</v>
      </c>
      <c r="H2674" s="7" t="s">
        <v>689</v>
      </c>
      <c r="I2674" s="7" t="s">
        <v>712</v>
      </c>
      <c r="J2674" s="7" t="s">
        <v>712</v>
      </c>
      <c r="K2674" s="8">
        <v>7949747</v>
      </c>
      <c r="L2674" s="8">
        <v>378188</v>
      </c>
      <c r="M2674" s="8">
        <v>19</v>
      </c>
      <c r="N2674" s="8">
        <v>1</v>
      </c>
      <c r="O2674" s="8">
        <v>0.13</v>
      </c>
      <c r="P2674" s="8"/>
    </row>
    <row r="2675" spans="1:16" hidden="1" x14ac:dyDescent="0.25">
      <c r="A2675" s="7" t="s">
        <v>14</v>
      </c>
      <c r="B2675" s="7" t="s">
        <v>415</v>
      </c>
      <c r="C2675" s="8">
        <v>29565</v>
      </c>
      <c r="D2675" s="7" t="s">
        <v>322</v>
      </c>
      <c r="E2675" s="7" t="s">
        <v>323</v>
      </c>
      <c r="F2675" s="7" t="s">
        <v>422</v>
      </c>
      <c r="G2675" s="7" t="s">
        <v>65</v>
      </c>
      <c r="H2675" s="7" t="s">
        <v>689</v>
      </c>
      <c r="I2675" s="7" t="s">
        <v>712</v>
      </c>
      <c r="J2675" s="7" t="s">
        <v>712</v>
      </c>
      <c r="K2675" s="8">
        <v>7952543</v>
      </c>
      <c r="L2675" s="8">
        <v>371606</v>
      </c>
      <c r="M2675" s="8">
        <v>19</v>
      </c>
      <c r="N2675" s="8">
        <v>1</v>
      </c>
      <c r="O2675" s="8">
        <v>0</v>
      </c>
      <c r="P2675" s="8"/>
    </row>
    <row r="2676" spans="1:16" hidden="1" x14ac:dyDescent="0.25">
      <c r="A2676" s="7" t="s">
        <v>14</v>
      </c>
      <c r="B2676" s="7" t="s">
        <v>415</v>
      </c>
      <c r="C2676" s="8">
        <v>29566</v>
      </c>
      <c r="D2676" s="7" t="s">
        <v>322</v>
      </c>
      <c r="E2676" s="7" t="s">
        <v>323</v>
      </c>
      <c r="F2676" s="7" t="s">
        <v>422</v>
      </c>
      <c r="G2676" s="7" t="s">
        <v>18</v>
      </c>
      <c r="H2676" s="7" t="s">
        <v>689</v>
      </c>
      <c r="I2676" s="7" t="s">
        <v>712</v>
      </c>
      <c r="J2676" s="7" t="s">
        <v>712</v>
      </c>
      <c r="K2676" s="8">
        <v>7952572</v>
      </c>
      <c r="L2676" s="8">
        <v>371551</v>
      </c>
      <c r="M2676" s="8">
        <v>19</v>
      </c>
      <c r="N2676" s="8">
        <v>1</v>
      </c>
      <c r="O2676" s="8">
        <v>0.3</v>
      </c>
      <c r="P2676" s="8"/>
    </row>
    <row r="2677" spans="1:16" hidden="1" x14ac:dyDescent="0.25">
      <c r="A2677" s="7" t="s">
        <v>14</v>
      </c>
      <c r="B2677" s="7" t="s">
        <v>415</v>
      </c>
      <c r="C2677" s="8">
        <v>29567</v>
      </c>
      <c r="D2677" s="7" t="s">
        <v>322</v>
      </c>
      <c r="E2677" s="7" t="s">
        <v>323</v>
      </c>
      <c r="F2677" s="7" t="s">
        <v>422</v>
      </c>
      <c r="G2677" s="7" t="s">
        <v>18</v>
      </c>
      <c r="H2677" s="7" t="s">
        <v>689</v>
      </c>
      <c r="I2677" s="7" t="s">
        <v>712</v>
      </c>
      <c r="J2677" s="7" t="s">
        <v>712</v>
      </c>
      <c r="K2677" s="8">
        <v>7949881</v>
      </c>
      <c r="L2677" s="8">
        <v>378390</v>
      </c>
      <c r="M2677" s="8">
        <v>19</v>
      </c>
      <c r="N2677" s="8">
        <v>1</v>
      </c>
      <c r="O2677" s="8">
        <v>0.37</v>
      </c>
      <c r="P2677" s="8"/>
    </row>
    <row r="2678" spans="1:16" hidden="1" x14ac:dyDescent="0.25">
      <c r="A2678" s="7" t="s">
        <v>14</v>
      </c>
      <c r="B2678" s="7" t="s">
        <v>415</v>
      </c>
      <c r="C2678" s="8">
        <v>29568</v>
      </c>
      <c r="D2678" s="7" t="s">
        <v>322</v>
      </c>
      <c r="E2678" s="7" t="s">
        <v>323</v>
      </c>
      <c r="F2678" s="7" t="s">
        <v>422</v>
      </c>
      <c r="G2678" s="7" t="s">
        <v>18</v>
      </c>
      <c r="H2678" s="7" t="s">
        <v>689</v>
      </c>
      <c r="I2678" s="7" t="s">
        <v>712</v>
      </c>
      <c r="J2678" s="7" t="s">
        <v>712</v>
      </c>
      <c r="K2678" s="8">
        <v>7949747</v>
      </c>
      <c r="L2678" s="8">
        <v>378188</v>
      </c>
      <c r="M2678" s="8">
        <v>19</v>
      </c>
      <c r="N2678" s="8">
        <v>1</v>
      </c>
      <c r="O2678" s="8">
        <v>0.09</v>
      </c>
      <c r="P2678" s="8"/>
    </row>
    <row r="2679" spans="1:16" hidden="1" x14ac:dyDescent="0.25">
      <c r="A2679" s="7" t="s">
        <v>14</v>
      </c>
      <c r="B2679" s="7" t="s">
        <v>415</v>
      </c>
      <c r="C2679" s="8">
        <v>29569</v>
      </c>
      <c r="D2679" s="7" t="s">
        <v>322</v>
      </c>
      <c r="E2679" s="7" t="s">
        <v>323</v>
      </c>
      <c r="F2679" s="7" t="s">
        <v>422</v>
      </c>
      <c r="G2679" s="7" t="s">
        <v>18</v>
      </c>
      <c r="H2679" s="7" t="s">
        <v>689</v>
      </c>
      <c r="I2679" s="7" t="s">
        <v>712</v>
      </c>
      <c r="J2679" s="7" t="s">
        <v>712</v>
      </c>
      <c r="K2679" s="8">
        <v>7949747</v>
      </c>
      <c r="L2679" s="8">
        <v>378188</v>
      </c>
      <c r="M2679" s="8">
        <v>19</v>
      </c>
      <c r="N2679" s="8">
        <v>1</v>
      </c>
      <c r="O2679" s="8">
        <v>0.09</v>
      </c>
      <c r="P2679" s="8"/>
    </row>
    <row r="2680" spans="1:16" hidden="1" x14ac:dyDescent="0.25">
      <c r="A2680" s="7" t="s">
        <v>14</v>
      </c>
      <c r="B2680" s="7" t="s">
        <v>415</v>
      </c>
      <c r="C2680" s="8">
        <v>29570</v>
      </c>
      <c r="D2680" s="7" t="s">
        <v>322</v>
      </c>
      <c r="E2680" s="7" t="s">
        <v>323</v>
      </c>
      <c r="F2680" s="7" t="s">
        <v>422</v>
      </c>
      <c r="G2680" s="7" t="s">
        <v>18</v>
      </c>
      <c r="H2680" s="7" t="s">
        <v>689</v>
      </c>
      <c r="I2680" s="7" t="s">
        <v>712</v>
      </c>
      <c r="J2680" s="7" t="s">
        <v>712</v>
      </c>
      <c r="K2680" s="8">
        <v>7949747</v>
      </c>
      <c r="L2680" s="8">
        <v>378188</v>
      </c>
      <c r="M2680" s="8">
        <v>19</v>
      </c>
      <c r="N2680" s="8">
        <v>1</v>
      </c>
      <c r="O2680" s="8">
        <v>0.1</v>
      </c>
      <c r="P2680" s="8"/>
    </row>
    <row r="2681" spans="1:16" hidden="1" x14ac:dyDescent="0.25">
      <c r="A2681" s="7" t="s">
        <v>14</v>
      </c>
      <c r="B2681" s="7" t="s">
        <v>415</v>
      </c>
      <c r="C2681" s="8">
        <v>29571</v>
      </c>
      <c r="D2681" s="7" t="s">
        <v>322</v>
      </c>
      <c r="E2681" s="7" t="s">
        <v>323</v>
      </c>
      <c r="F2681" s="7" t="s">
        <v>422</v>
      </c>
      <c r="G2681" s="7" t="s">
        <v>18</v>
      </c>
      <c r="H2681" s="7" t="s">
        <v>689</v>
      </c>
      <c r="I2681" s="7" t="s">
        <v>712</v>
      </c>
      <c r="J2681" s="7" t="s">
        <v>712</v>
      </c>
      <c r="K2681" s="8">
        <v>7952887</v>
      </c>
      <c r="L2681" s="8">
        <v>370961</v>
      </c>
      <c r="M2681" s="8">
        <v>19</v>
      </c>
      <c r="N2681" s="8">
        <v>1</v>
      </c>
      <c r="O2681" s="8">
        <v>0.22</v>
      </c>
      <c r="P2681" s="8"/>
    </row>
    <row r="2682" spans="1:16" hidden="1" x14ac:dyDescent="0.25">
      <c r="A2682" s="7" t="s">
        <v>14</v>
      </c>
      <c r="B2682" s="7" t="s">
        <v>415</v>
      </c>
      <c r="C2682" s="8">
        <v>29572</v>
      </c>
      <c r="D2682" s="7" t="s">
        <v>322</v>
      </c>
      <c r="E2682" s="7" t="s">
        <v>323</v>
      </c>
      <c r="F2682" s="7" t="s">
        <v>422</v>
      </c>
      <c r="G2682" s="7" t="s">
        <v>18</v>
      </c>
      <c r="H2682" s="7" t="s">
        <v>689</v>
      </c>
      <c r="I2682" s="7" t="s">
        <v>712</v>
      </c>
      <c r="J2682" s="7" t="s">
        <v>712</v>
      </c>
      <c r="K2682" s="8">
        <v>7952544</v>
      </c>
      <c r="L2682" s="8">
        <v>371519</v>
      </c>
      <c r="M2682" s="8">
        <v>19</v>
      </c>
      <c r="N2682" s="8">
        <v>1</v>
      </c>
      <c r="O2682" s="8">
        <v>0.11</v>
      </c>
      <c r="P2682" s="8"/>
    </row>
    <row r="2683" spans="1:16" hidden="1" x14ac:dyDescent="0.25">
      <c r="A2683" s="7" t="s">
        <v>14</v>
      </c>
      <c r="B2683" s="7" t="s">
        <v>649</v>
      </c>
      <c r="C2683" s="8">
        <v>29573</v>
      </c>
      <c r="D2683" s="7" t="s">
        <v>52</v>
      </c>
      <c r="E2683" s="7" t="s">
        <v>139</v>
      </c>
      <c r="F2683" s="7" t="s">
        <v>650</v>
      </c>
      <c r="G2683" s="7" t="s">
        <v>18</v>
      </c>
      <c r="H2683" s="7" t="s">
        <v>689</v>
      </c>
      <c r="I2683" s="7" t="s">
        <v>690</v>
      </c>
      <c r="J2683" s="7" t="s">
        <v>690</v>
      </c>
      <c r="K2683" s="8">
        <v>6227621</v>
      </c>
      <c r="L2683" s="8">
        <v>340261</v>
      </c>
      <c r="M2683" s="8">
        <v>19</v>
      </c>
      <c r="N2683" s="8">
        <v>1</v>
      </c>
      <c r="O2683" s="8">
        <v>1.5</v>
      </c>
      <c r="P2683" s="8"/>
    </row>
    <row r="2684" spans="1:16" hidden="1" x14ac:dyDescent="0.25">
      <c r="A2684" s="7" t="s">
        <v>14</v>
      </c>
      <c r="B2684" s="7" t="s">
        <v>415</v>
      </c>
      <c r="C2684" s="8">
        <v>29574</v>
      </c>
      <c r="D2684" s="7" t="s">
        <v>322</v>
      </c>
      <c r="E2684" s="7" t="s">
        <v>323</v>
      </c>
      <c r="F2684" s="7" t="s">
        <v>422</v>
      </c>
      <c r="G2684" s="7" t="s">
        <v>18</v>
      </c>
      <c r="H2684" s="7" t="s">
        <v>689</v>
      </c>
      <c r="I2684" s="7" t="s">
        <v>712</v>
      </c>
      <c r="J2684" s="7" t="s">
        <v>712</v>
      </c>
      <c r="K2684" s="8">
        <v>7952544</v>
      </c>
      <c r="L2684" s="8">
        <v>371519</v>
      </c>
      <c r="M2684" s="8">
        <v>19</v>
      </c>
      <c r="N2684" s="8">
        <v>1</v>
      </c>
      <c r="O2684" s="8">
        <v>0.05</v>
      </c>
      <c r="P2684" s="8"/>
    </row>
    <row r="2685" spans="1:16" hidden="1" x14ac:dyDescent="0.25">
      <c r="A2685" s="7" t="s">
        <v>14</v>
      </c>
      <c r="B2685" s="7" t="s">
        <v>415</v>
      </c>
      <c r="C2685" s="8">
        <v>29575</v>
      </c>
      <c r="D2685" s="7" t="s">
        <v>322</v>
      </c>
      <c r="E2685" s="7" t="s">
        <v>323</v>
      </c>
      <c r="F2685" s="7" t="s">
        <v>422</v>
      </c>
      <c r="G2685" s="7" t="s">
        <v>18</v>
      </c>
      <c r="H2685" s="7" t="s">
        <v>689</v>
      </c>
      <c r="I2685" s="7" t="s">
        <v>712</v>
      </c>
      <c r="J2685" s="7" t="s">
        <v>712</v>
      </c>
      <c r="K2685" s="8">
        <v>7949836</v>
      </c>
      <c r="L2685" s="8">
        <v>378192</v>
      </c>
      <c r="M2685" s="8">
        <v>19</v>
      </c>
      <c r="N2685" s="8">
        <v>1</v>
      </c>
      <c r="O2685" s="8">
        <v>0.2</v>
      </c>
      <c r="P2685" s="8"/>
    </row>
    <row r="2686" spans="1:16" hidden="1" x14ac:dyDescent="0.25">
      <c r="A2686" s="7" t="s">
        <v>14</v>
      </c>
      <c r="B2686" s="7" t="s">
        <v>415</v>
      </c>
      <c r="C2686" s="8">
        <v>29576</v>
      </c>
      <c r="D2686" s="7" t="s">
        <v>322</v>
      </c>
      <c r="E2686" s="7" t="s">
        <v>323</v>
      </c>
      <c r="F2686" s="7" t="s">
        <v>422</v>
      </c>
      <c r="G2686" s="7" t="s">
        <v>18</v>
      </c>
      <c r="H2686" s="7" t="s">
        <v>689</v>
      </c>
      <c r="I2686" s="7" t="s">
        <v>712</v>
      </c>
      <c r="J2686" s="7" t="s">
        <v>712</v>
      </c>
      <c r="K2686" s="8">
        <v>7949966</v>
      </c>
      <c r="L2686" s="8">
        <v>378353</v>
      </c>
      <c r="M2686" s="8">
        <v>19</v>
      </c>
      <c r="N2686" s="8">
        <v>1</v>
      </c>
      <c r="O2686" s="8">
        <v>0.45</v>
      </c>
      <c r="P2686" s="8"/>
    </row>
    <row r="2687" spans="1:16" hidden="1" x14ac:dyDescent="0.25">
      <c r="A2687" s="7" t="s">
        <v>14</v>
      </c>
      <c r="B2687" s="7" t="s">
        <v>415</v>
      </c>
      <c r="C2687" s="8">
        <v>29577</v>
      </c>
      <c r="D2687" s="7" t="s">
        <v>322</v>
      </c>
      <c r="E2687" s="7" t="s">
        <v>323</v>
      </c>
      <c r="F2687" s="7" t="s">
        <v>422</v>
      </c>
      <c r="G2687" s="7" t="s">
        <v>18</v>
      </c>
      <c r="H2687" s="7" t="s">
        <v>689</v>
      </c>
      <c r="I2687" s="7" t="s">
        <v>712</v>
      </c>
      <c r="J2687" s="7" t="s">
        <v>712</v>
      </c>
      <c r="K2687" s="8">
        <v>7952943</v>
      </c>
      <c r="L2687" s="8">
        <v>370989</v>
      </c>
      <c r="M2687" s="8">
        <v>19</v>
      </c>
      <c r="N2687" s="8">
        <v>1</v>
      </c>
      <c r="O2687" s="8">
        <v>0.08</v>
      </c>
      <c r="P2687" s="8"/>
    </row>
    <row r="2688" spans="1:16" hidden="1" x14ac:dyDescent="0.25">
      <c r="A2688" s="7" t="s">
        <v>14</v>
      </c>
      <c r="B2688" s="7" t="s">
        <v>415</v>
      </c>
      <c r="C2688" s="8">
        <v>29578</v>
      </c>
      <c r="D2688" s="7" t="s">
        <v>322</v>
      </c>
      <c r="E2688" s="7" t="s">
        <v>323</v>
      </c>
      <c r="F2688" s="7" t="s">
        <v>422</v>
      </c>
      <c r="G2688" s="7" t="s">
        <v>18</v>
      </c>
      <c r="H2688" s="7" t="s">
        <v>689</v>
      </c>
      <c r="I2688" s="7" t="s">
        <v>712</v>
      </c>
      <c r="J2688" s="7" t="s">
        <v>712</v>
      </c>
      <c r="K2688" s="8">
        <v>7952929</v>
      </c>
      <c r="L2688" s="8">
        <v>370988</v>
      </c>
      <c r="M2688" s="8">
        <v>19</v>
      </c>
      <c r="N2688" s="8">
        <v>1</v>
      </c>
      <c r="O2688" s="8">
        <v>0.05</v>
      </c>
      <c r="P2688" s="8"/>
    </row>
    <row r="2689" spans="1:16" hidden="1" x14ac:dyDescent="0.25">
      <c r="A2689" s="7" t="s">
        <v>14</v>
      </c>
      <c r="B2689" s="7" t="s">
        <v>415</v>
      </c>
      <c r="C2689" s="8">
        <v>29579</v>
      </c>
      <c r="D2689" s="7" t="s">
        <v>322</v>
      </c>
      <c r="E2689" s="7" t="s">
        <v>323</v>
      </c>
      <c r="F2689" s="7" t="s">
        <v>422</v>
      </c>
      <c r="G2689" s="7" t="s">
        <v>18</v>
      </c>
      <c r="H2689" s="7" t="s">
        <v>689</v>
      </c>
      <c r="I2689" s="7" t="s">
        <v>712</v>
      </c>
      <c r="J2689" s="7" t="s">
        <v>712</v>
      </c>
      <c r="K2689" s="8">
        <v>7950095</v>
      </c>
      <c r="L2689" s="8">
        <v>378337</v>
      </c>
      <c r="M2689" s="8">
        <v>19</v>
      </c>
      <c r="N2689" s="8">
        <v>1</v>
      </c>
      <c r="O2689" s="8">
        <v>7.0000000000000007E-2</v>
      </c>
      <c r="P2689" s="8"/>
    </row>
    <row r="2690" spans="1:16" hidden="1" x14ac:dyDescent="0.25">
      <c r="A2690" s="7" t="s">
        <v>14</v>
      </c>
      <c r="B2690" s="7" t="s">
        <v>415</v>
      </c>
      <c r="C2690" s="8">
        <v>29580</v>
      </c>
      <c r="D2690" s="7" t="s">
        <v>322</v>
      </c>
      <c r="E2690" s="7" t="s">
        <v>323</v>
      </c>
      <c r="F2690" s="7" t="s">
        <v>422</v>
      </c>
      <c r="G2690" s="7" t="s">
        <v>18</v>
      </c>
      <c r="H2690" s="7" t="s">
        <v>689</v>
      </c>
      <c r="I2690" s="7" t="s">
        <v>712</v>
      </c>
      <c r="J2690" s="7" t="s">
        <v>712</v>
      </c>
      <c r="K2690" s="8">
        <v>7949836</v>
      </c>
      <c r="L2690" s="8">
        <v>378192</v>
      </c>
      <c r="M2690" s="8">
        <v>19</v>
      </c>
      <c r="N2690" s="8">
        <v>1</v>
      </c>
      <c r="O2690" s="8">
        <v>0.08</v>
      </c>
      <c r="P2690" s="8"/>
    </row>
    <row r="2691" spans="1:16" hidden="1" x14ac:dyDescent="0.25">
      <c r="A2691" s="7" t="s">
        <v>14</v>
      </c>
      <c r="B2691" s="7" t="s">
        <v>415</v>
      </c>
      <c r="C2691" s="8">
        <v>29581</v>
      </c>
      <c r="D2691" s="7" t="s">
        <v>322</v>
      </c>
      <c r="E2691" s="7" t="s">
        <v>323</v>
      </c>
      <c r="F2691" s="7" t="s">
        <v>422</v>
      </c>
      <c r="G2691" s="7" t="s">
        <v>18</v>
      </c>
      <c r="H2691" s="7" t="s">
        <v>689</v>
      </c>
      <c r="I2691" s="7" t="s">
        <v>712</v>
      </c>
      <c r="J2691" s="7" t="s">
        <v>712</v>
      </c>
      <c r="K2691" s="8">
        <v>7952917</v>
      </c>
      <c r="L2691" s="8">
        <v>370985</v>
      </c>
      <c r="M2691" s="8">
        <v>19</v>
      </c>
      <c r="N2691" s="8">
        <v>1</v>
      </c>
      <c r="O2691" s="8">
        <v>0.08</v>
      </c>
      <c r="P2691" s="8"/>
    </row>
    <row r="2692" spans="1:16" hidden="1" x14ac:dyDescent="0.25">
      <c r="A2692" s="7" t="s">
        <v>14</v>
      </c>
      <c r="B2692" s="7" t="s">
        <v>415</v>
      </c>
      <c r="C2692" s="8">
        <v>29582</v>
      </c>
      <c r="D2692" s="7" t="s">
        <v>322</v>
      </c>
      <c r="E2692" s="7" t="s">
        <v>323</v>
      </c>
      <c r="F2692" s="7" t="s">
        <v>422</v>
      </c>
      <c r="G2692" s="7" t="s">
        <v>18</v>
      </c>
      <c r="H2692" s="7" t="s">
        <v>689</v>
      </c>
      <c r="I2692" s="7" t="s">
        <v>712</v>
      </c>
      <c r="J2692" s="7" t="s">
        <v>712</v>
      </c>
      <c r="K2692" s="8">
        <v>7952904</v>
      </c>
      <c r="L2692" s="8">
        <v>370974</v>
      </c>
      <c r="M2692" s="8">
        <v>19</v>
      </c>
      <c r="N2692" s="8">
        <v>1</v>
      </c>
      <c r="O2692" s="8">
        <v>0.13</v>
      </c>
      <c r="P2692" s="8"/>
    </row>
    <row r="2693" spans="1:16" hidden="1" x14ac:dyDescent="0.25">
      <c r="A2693" s="7" t="s">
        <v>14</v>
      </c>
      <c r="B2693" s="7" t="s">
        <v>415</v>
      </c>
      <c r="C2693" s="8">
        <v>29583</v>
      </c>
      <c r="D2693" s="7" t="s">
        <v>322</v>
      </c>
      <c r="E2693" s="7" t="s">
        <v>323</v>
      </c>
      <c r="F2693" s="7" t="s">
        <v>422</v>
      </c>
      <c r="G2693" s="7" t="s">
        <v>18</v>
      </c>
      <c r="H2693" s="7" t="s">
        <v>689</v>
      </c>
      <c r="I2693" s="7" t="s">
        <v>712</v>
      </c>
      <c r="J2693" s="7" t="s">
        <v>712</v>
      </c>
      <c r="K2693" s="8">
        <v>7950114</v>
      </c>
      <c r="L2693" s="8">
        <v>378318</v>
      </c>
      <c r="M2693" s="8">
        <v>19</v>
      </c>
      <c r="N2693" s="8">
        <v>1</v>
      </c>
      <c r="O2693" s="8">
        <v>0.06</v>
      </c>
      <c r="P2693" s="8"/>
    </row>
    <row r="2694" spans="1:16" hidden="1" x14ac:dyDescent="0.25">
      <c r="A2694" s="7" t="s">
        <v>14</v>
      </c>
      <c r="B2694" s="7" t="s">
        <v>415</v>
      </c>
      <c r="C2694" s="8">
        <v>29584</v>
      </c>
      <c r="D2694" s="7" t="s">
        <v>322</v>
      </c>
      <c r="E2694" s="7" t="s">
        <v>323</v>
      </c>
      <c r="F2694" s="7" t="s">
        <v>422</v>
      </c>
      <c r="G2694" s="7" t="s">
        <v>18</v>
      </c>
      <c r="H2694" s="7" t="s">
        <v>689</v>
      </c>
      <c r="I2694" s="7" t="s">
        <v>712</v>
      </c>
      <c r="J2694" s="7" t="s">
        <v>712</v>
      </c>
      <c r="K2694" s="8">
        <v>7950118</v>
      </c>
      <c r="L2694" s="8">
        <v>378304</v>
      </c>
      <c r="M2694" s="8">
        <v>19</v>
      </c>
      <c r="N2694" s="8">
        <v>1</v>
      </c>
      <c r="O2694" s="8">
        <v>0.08</v>
      </c>
      <c r="P2694" s="8"/>
    </row>
    <row r="2695" spans="1:16" hidden="1" x14ac:dyDescent="0.25">
      <c r="A2695" s="7" t="s">
        <v>14</v>
      </c>
      <c r="B2695" s="7" t="s">
        <v>415</v>
      </c>
      <c r="C2695" s="8">
        <v>29585</v>
      </c>
      <c r="D2695" s="7" t="s">
        <v>322</v>
      </c>
      <c r="E2695" s="7" t="s">
        <v>323</v>
      </c>
      <c r="F2695" s="7" t="s">
        <v>422</v>
      </c>
      <c r="G2695" s="7" t="s">
        <v>18</v>
      </c>
      <c r="H2695" s="7" t="s">
        <v>689</v>
      </c>
      <c r="I2695" s="7" t="s">
        <v>712</v>
      </c>
      <c r="J2695" s="7" t="s">
        <v>712</v>
      </c>
      <c r="K2695" s="8">
        <v>7952898</v>
      </c>
      <c r="L2695" s="8">
        <v>370960</v>
      </c>
      <c r="M2695" s="8">
        <v>19</v>
      </c>
      <c r="N2695" s="8">
        <v>1</v>
      </c>
      <c r="O2695" s="8">
        <v>0.08</v>
      </c>
      <c r="P2695" s="8"/>
    </row>
    <row r="2696" spans="1:16" hidden="1" x14ac:dyDescent="0.25">
      <c r="A2696" s="7" t="s">
        <v>14</v>
      </c>
      <c r="B2696" s="7" t="s">
        <v>415</v>
      </c>
      <c r="C2696" s="8">
        <v>29588</v>
      </c>
      <c r="D2696" s="7" t="s">
        <v>322</v>
      </c>
      <c r="E2696" s="7" t="s">
        <v>323</v>
      </c>
      <c r="F2696" s="7" t="s">
        <v>422</v>
      </c>
      <c r="G2696" s="7" t="s">
        <v>18</v>
      </c>
      <c r="H2696" s="7" t="s">
        <v>689</v>
      </c>
      <c r="I2696" s="7" t="s">
        <v>712</v>
      </c>
      <c r="J2696" s="7" t="s">
        <v>712</v>
      </c>
      <c r="K2696" s="8">
        <v>7950128</v>
      </c>
      <c r="L2696" s="8">
        <v>378292</v>
      </c>
      <c r="M2696" s="8">
        <v>19</v>
      </c>
      <c r="N2696" s="8">
        <v>1</v>
      </c>
      <c r="O2696" s="8">
        <v>0.16</v>
      </c>
      <c r="P2696" s="8"/>
    </row>
    <row r="2697" spans="1:16" hidden="1" x14ac:dyDescent="0.25">
      <c r="A2697" s="7" t="s">
        <v>14</v>
      </c>
      <c r="B2697" s="7" t="s">
        <v>415</v>
      </c>
      <c r="C2697" s="8">
        <v>29589</v>
      </c>
      <c r="D2697" s="7" t="s">
        <v>322</v>
      </c>
      <c r="E2697" s="7" t="s">
        <v>323</v>
      </c>
      <c r="F2697" s="7" t="s">
        <v>422</v>
      </c>
      <c r="G2697" s="7" t="s">
        <v>18</v>
      </c>
      <c r="H2697" s="7" t="s">
        <v>689</v>
      </c>
      <c r="I2697" s="7" t="s">
        <v>712</v>
      </c>
      <c r="J2697" s="7" t="s">
        <v>712</v>
      </c>
      <c r="K2697" s="8">
        <v>7950133</v>
      </c>
      <c r="L2697" s="8">
        <v>378280</v>
      </c>
      <c r="M2697" s="8">
        <v>19</v>
      </c>
      <c r="N2697" s="8">
        <v>1</v>
      </c>
      <c r="O2697" s="8">
        <v>0.17</v>
      </c>
      <c r="P2697" s="8"/>
    </row>
    <row r="2698" spans="1:16" hidden="1" x14ac:dyDescent="0.25">
      <c r="A2698" s="7" t="s">
        <v>14</v>
      </c>
      <c r="B2698" s="7" t="s">
        <v>415</v>
      </c>
      <c r="C2698" s="8">
        <v>29590</v>
      </c>
      <c r="D2698" s="7" t="s">
        <v>322</v>
      </c>
      <c r="E2698" s="7" t="s">
        <v>323</v>
      </c>
      <c r="F2698" s="7" t="s">
        <v>422</v>
      </c>
      <c r="G2698" s="7" t="s">
        <v>18</v>
      </c>
      <c r="H2698" s="7" t="s">
        <v>689</v>
      </c>
      <c r="I2698" s="7" t="s">
        <v>712</v>
      </c>
      <c r="J2698" s="7" t="s">
        <v>712</v>
      </c>
      <c r="K2698" s="8">
        <v>7950139</v>
      </c>
      <c r="L2698" s="8">
        <v>378273</v>
      </c>
      <c r="M2698" s="8">
        <v>19</v>
      </c>
      <c r="N2698" s="8">
        <v>1</v>
      </c>
      <c r="O2698" s="8">
        <v>0.17</v>
      </c>
      <c r="P2698" s="8"/>
    </row>
    <row r="2699" spans="1:16" hidden="1" x14ac:dyDescent="0.25">
      <c r="A2699" s="7" t="s">
        <v>14</v>
      </c>
      <c r="B2699" s="7" t="s">
        <v>415</v>
      </c>
      <c r="C2699" s="8">
        <v>29591</v>
      </c>
      <c r="D2699" s="7" t="s">
        <v>322</v>
      </c>
      <c r="E2699" s="7" t="s">
        <v>323</v>
      </c>
      <c r="F2699" s="7" t="s">
        <v>422</v>
      </c>
      <c r="G2699" s="7" t="s">
        <v>18</v>
      </c>
      <c r="H2699" s="7" t="s">
        <v>689</v>
      </c>
      <c r="I2699" s="7" t="s">
        <v>712</v>
      </c>
      <c r="J2699" s="7" t="s">
        <v>712</v>
      </c>
      <c r="K2699" s="8">
        <v>7949966</v>
      </c>
      <c r="L2699" s="8">
        <v>378353</v>
      </c>
      <c r="M2699" s="8">
        <v>19</v>
      </c>
      <c r="N2699" s="8">
        <v>1</v>
      </c>
      <c r="O2699" s="8">
        <v>0.15</v>
      </c>
      <c r="P2699" s="8"/>
    </row>
    <row r="2700" spans="1:16" hidden="1" x14ac:dyDescent="0.25">
      <c r="A2700" s="7" t="s">
        <v>14</v>
      </c>
      <c r="B2700" s="7" t="s">
        <v>415</v>
      </c>
      <c r="C2700" s="8">
        <v>29592</v>
      </c>
      <c r="D2700" s="7" t="s">
        <v>322</v>
      </c>
      <c r="E2700" s="7" t="s">
        <v>323</v>
      </c>
      <c r="F2700" s="7" t="s">
        <v>422</v>
      </c>
      <c r="G2700" s="7" t="s">
        <v>18</v>
      </c>
      <c r="H2700" s="7" t="s">
        <v>689</v>
      </c>
      <c r="I2700" s="7" t="s">
        <v>712</v>
      </c>
      <c r="J2700" s="7" t="s">
        <v>712</v>
      </c>
      <c r="K2700" s="8">
        <v>7949836</v>
      </c>
      <c r="L2700" s="8">
        <v>378192</v>
      </c>
      <c r="M2700" s="8">
        <v>19</v>
      </c>
      <c r="N2700" s="8">
        <v>1</v>
      </c>
      <c r="O2700" s="8">
        <v>0.04</v>
      </c>
      <c r="P2700" s="8"/>
    </row>
    <row r="2701" spans="1:16" hidden="1" x14ac:dyDescent="0.25">
      <c r="A2701" s="7" t="s">
        <v>14</v>
      </c>
      <c r="B2701" s="7" t="s">
        <v>415</v>
      </c>
      <c r="C2701" s="8">
        <v>29593</v>
      </c>
      <c r="D2701" s="7" t="s">
        <v>322</v>
      </c>
      <c r="E2701" s="7" t="s">
        <v>323</v>
      </c>
      <c r="F2701" s="7" t="s">
        <v>422</v>
      </c>
      <c r="G2701" s="7" t="s">
        <v>18</v>
      </c>
      <c r="H2701" s="7" t="s">
        <v>689</v>
      </c>
      <c r="I2701" s="7" t="s">
        <v>712</v>
      </c>
      <c r="J2701" s="7" t="s">
        <v>712</v>
      </c>
      <c r="K2701" s="8">
        <v>7950145</v>
      </c>
      <c r="L2701" s="8">
        <v>378246</v>
      </c>
      <c r="M2701" s="8">
        <v>19</v>
      </c>
      <c r="N2701" s="8">
        <v>1</v>
      </c>
      <c r="O2701" s="8">
        <v>7.0000000000000007E-2</v>
      </c>
      <c r="P2701" s="8"/>
    </row>
    <row r="2702" spans="1:16" hidden="1" x14ac:dyDescent="0.25">
      <c r="A2702" s="7" t="s">
        <v>14</v>
      </c>
      <c r="B2702" s="7" t="s">
        <v>415</v>
      </c>
      <c r="C2702" s="8">
        <v>29594</v>
      </c>
      <c r="D2702" s="7" t="s">
        <v>322</v>
      </c>
      <c r="E2702" s="7" t="s">
        <v>323</v>
      </c>
      <c r="F2702" s="7" t="s">
        <v>422</v>
      </c>
      <c r="G2702" s="7" t="s">
        <v>18</v>
      </c>
      <c r="H2702" s="7" t="s">
        <v>689</v>
      </c>
      <c r="I2702" s="7" t="s">
        <v>712</v>
      </c>
      <c r="J2702" s="7" t="s">
        <v>712</v>
      </c>
      <c r="K2702" s="8">
        <v>7950148</v>
      </c>
      <c r="L2702" s="8">
        <v>378260</v>
      </c>
      <c r="M2702" s="8">
        <v>19</v>
      </c>
      <c r="N2702" s="8">
        <v>1</v>
      </c>
      <c r="O2702" s="8">
        <v>0.05</v>
      </c>
      <c r="P2702" s="8"/>
    </row>
    <row r="2703" spans="1:16" hidden="1" x14ac:dyDescent="0.25">
      <c r="A2703" s="7" t="s">
        <v>14</v>
      </c>
      <c r="B2703" s="7" t="s">
        <v>415</v>
      </c>
      <c r="C2703" s="8">
        <v>29597</v>
      </c>
      <c r="D2703" s="7" t="s">
        <v>322</v>
      </c>
      <c r="E2703" s="7" t="s">
        <v>323</v>
      </c>
      <c r="F2703" s="7" t="s">
        <v>422</v>
      </c>
      <c r="G2703" s="7" t="s">
        <v>18</v>
      </c>
      <c r="H2703" s="7" t="s">
        <v>689</v>
      </c>
      <c r="I2703" s="7" t="s">
        <v>712</v>
      </c>
      <c r="J2703" s="7" t="s">
        <v>712</v>
      </c>
      <c r="K2703" s="8">
        <v>7952709</v>
      </c>
      <c r="L2703" s="8">
        <v>371142</v>
      </c>
      <c r="M2703" s="8">
        <v>19</v>
      </c>
      <c r="N2703" s="8">
        <v>1</v>
      </c>
      <c r="O2703" s="8">
        <v>0.02</v>
      </c>
      <c r="P2703" s="8"/>
    </row>
    <row r="2704" spans="1:16" hidden="1" x14ac:dyDescent="0.25">
      <c r="A2704" s="7" t="s">
        <v>14</v>
      </c>
      <c r="B2704" s="7" t="s">
        <v>415</v>
      </c>
      <c r="C2704" s="8">
        <v>29598</v>
      </c>
      <c r="D2704" s="7" t="s">
        <v>322</v>
      </c>
      <c r="E2704" s="7" t="s">
        <v>323</v>
      </c>
      <c r="F2704" s="7" t="s">
        <v>422</v>
      </c>
      <c r="G2704" s="7" t="s">
        <v>18</v>
      </c>
      <c r="H2704" s="7" t="s">
        <v>689</v>
      </c>
      <c r="I2704" s="7" t="s">
        <v>712</v>
      </c>
      <c r="J2704" s="7" t="s">
        <v>712</v>
      </c>
      <c r="K2704" s="8">
        <v>7950072</v>
      </c>
      <c r="L2704" s="8">
        <v>378246</v>
      </c>
      <c r="M2704" s="8">
        <v>19</v>
      </c>
      <c r="N2704" s="8">
        <v>1</v>
      </c>
      <c r="O2704" s="8">
        <v>0</v>
      </c>
      <c r="P2704" s="8"/>
    </row>
    <row r="2705" spans="1:16" hidden="1" x14ac:dyDescent="0.25">
      <c r="A2705" s="7" t="s">
        <v>14</v>
      </c>
      <c r="B2705" s="7" t="s">
        <v>415</v>
      </c>
      <c r="C2705" s="8">
        <v>29599</v>
      </c>
      <c r="D2705" s="7" t="s">
        <v>322</v>
      </c>
      <c r="E2705" s="7" t="s">
        <v>323</v>
      </c>
      <c r="F2705" s="7" t="s">
        <v>422</v>
      </c>
      <c r="G2705" s="7" t="s">
        <v>18</v>
      </c>
      <c r="H2705" s="7" t="s">
        <v>689</v>
      </c>
      <c r="I2705" s="7" t="s">
        <v>712</v>
      </c>
      <c r="J2705" s="7" t="s">
        <v>712</v>
      </c>
      <c r="K2705" s="8">
        <v>7952716</v>
      </c>
      <c r="L2705" s="8">
        <v>371125</v>
      </c>
      <c r="M2705" s="8">
        <v>19</v>
      </c>
      <c r="N2705" s="8">
        <v>1</v>
      </c>
      <c r="O2705" s="8">
        <v>0.05</v>
      </c>
      <c r="P2705" s="8"/>
    </row>
    <row r="2706" spans="1:16" hidden="1" x14ac:dyDescent="0.25">
      <c r="A2706" s="7" t="s">
        <v>14</v>
      </c>
      <c r="B2706" s="7" t="s">
        <v>415</v>
      </c>
      <c r="C2706" s="8">
        <v>29600</v>
      </c>
      <c r="D2706" s="7" t="s">
        <v>322</v>
      </c>
      <c r="E2706" s="7" t="s">
        <v>323</v>
      </c>
      <c r="F2706" s="7" t="s">
        <v>422</v>
      </c>
      <c r="G2706" s="7" t="s">
        <v>18</v>
      </c>
      <c r="H2706" s="7" t="s">
        <v>689</v>
      </c>
      <c r="I2706" s="7" t="s">
        <v>712</v>
      </c>
      <c r="J2706" s="7" t="s">
        <v>712</v>
      </c>
      <c r="K2706" s="8">
        <v>7952720</v>
      </c>
      <c r="L2706" s="8">
        <v>371108</v>
      </c>
      <c r="M2706" s="8">
        <v>19</v>
      </c>
      <c r="N2706" s="8">
        <v>1</v>
      </c>
      <c r="O2706" s="8">
        <v>0.08</v>
      </c>
      <c r="P2706" s="8"/>
    </row>
    <row r="2707" spans="1:16" hidden="1" x14ac:dyDescent="0.25">
      <c r="A2707" s="7" t="s">
        <v>14</v>
      </c>
      <c r="B2707" s="7" t="s">
        <v>415</v>
      </c>
      <c r="C2707" s="8">
        <v>29601</v>
      </c>
      <c r="D2707" s="7" t="s">
        <v>322</v>
      </c>
      <c r="E2707" s="7" t="s">
        <v>323</v>
      </c>
      <c r="F2707" s="7" t="s">
        <v>422</v>
      </c>
      <c r="G2707" s="7" t="s">
        <v>18</v>
      </c>
      <c r="H2707" s="7" t="s">
        <v>689</v>
      </c>
      <c r="I2707" s="7" t="s">
        <v>712</v>
      </c>
      <c r="J2707" s="7" t="s">
        <v>712</v>
      </c>
      <c r="K2707" s="8">
        <v>7952727</v>
      </c>
      <c r="L2707" s="8">
        <v>371085</v>
      </c>
      <c r="M2707" s="8">
        <v>19</v>
      </c>
      <c r="N2707" s="8">
        <v>1</v>
      </c>
      <c r="O2707" s="8">
        <v>0.14000000000000001</v>
      </c>
      <c r="P2707" s="8"/>
    </row>
    <row r="2708" spans="1:16" hidden="1" x14ac:dyDescent="0.25">
      <c r="A2708" s="7" t="s">
        <v>14</v>
      </c>
      <c r="B2708" s="7" t="s">
        <v>415</v>
      </c>
      <c r="C2708" s="8">
        <v>29602</v>
      </c>
      <c r="D2708" s="7" t="s">
        <v>322</v>
      </c>
      <c r="E2708" s="7" t="s">
        <v>323</v>
      </c>
      <c r="F2708" s="7" t="s">
        <v>422</v>
      </c>
      <c r="G2708" s="7" t="s">
        <v>18</v>
      </c>
      <c r="H2708" s="7" t="s">
        <v>689</v>
      </c>
      <c r="I2708" s="7" t="s">
        <v>712</v>
      </c>
      <c r="J2708" s="7" t="s">
        <v>712</v>
      </c>
      <c r="K2708" s="8">
        <v>7952734</v>
      </c>
      <c r="L2708" s="8">
        <v>371087</v>
      </c>
      <c r="M2708" s="8">
        <v>19</v>
      </c>
      <c r="N2708" s="8">
        <v>1</v>
      </c>
      <c r="O2708" s="8">
        <v>0.06</v>
      </c>
      <c r="P2708" s="8"/>
    </row>
    <row r="2709" spans="1:16" hidden="1" x14ac:dyDescent="0.25">
      <c r="A2709" s="7" t="s">
        <v>14</v>
      </c>
      <c r="B2709" s="7" t="s">
        <v>415</v>
      </c>
      <c r="C2709" s="8">
        <v>29603</v>
      </c>
      <c r="D2709" s="7" t="s">
        <v>322</v>
      </c>
      <c r="E2709" s="7" t="s">
        <v>323</v>
      </c>
      <c r="F2709" s="7" t="s">
        <v>422</v>
      </c>
      <c r="G2709" s="7" t="s">
        <v>18</v>
      </c>
      <c r="H2709" s="7" t="s">
        <v>689</v>
      </c>
      <c r="I2709" s="7" t="s">
        <v>712</v>
      </c>
      <c r="J2709" s="7" t="s">
        <v>712</v>
      </c>
      <c r="K2709" s="8">
        <v>7949996</v>
      </c>
      <c r="L2709" s="8">
        <v>378447</v>
      </c>
      <c r="M2709" s="8">
        <v>19</v>
      </c>
      <c r="N2709" s="8">
        <v>1</v>
      </c>
      <c r="O2709" s="8">
        <v>0.28000000000000003</v>
      </c>
      <c r="P2709" s="8"/>
    </row>
    <row r="2710" spans="1:16" hidden="1" x14ac:dyDescent="0.25">
      <c r="A2710" s="7" t="s">
        <v>14</v>
      </c>
      <c r="B2710" s="7" t="s">
        <v>415</v>
      </c>
      <c r="C2710" s="8">
        <v>29604</v>
      </c>
      <c r="D2710" s="7" t="s">
        <v>322</v>
      </c>
      <c r="E2710" s="7" t="s">
        <v>323</v>
      </c>
      <c r="F2710" s="7" t="s">
        <v>422</v>
      </c>
      <c r="G2710" s="7" t="s">
        <v>18</v>
      </c>
      <c r="H2710" s="7" t="s">
        <v>689</v>
      </c>
      <c r="I2710" s="7" t="s">
        <v>712</v>
      </c>
      <c r="J2710" s="7" t="s">
        <v>712</v>
      </c>
      <c r="K2710" s="8">
        <v>7950014</v>
      </c>
      <c r="L2710" s="8">
        <v>378178</v>
      </c>
      <c r="M2710" s="8">
        <v>19</v>
      </c>
      <c r="N2710" s="8">
        <v>1</v>
      </c>
      <c r="O2710" s="8">
        <v>7.0000000000000007E-2</v>
      </c>
      <c r="P2710" s="8"/>
    </row>
    <row r="2711" spans="1:16" hidden="1" x14ac:dyDescent="0.25">
      <c r="A2711" s="7" t="s">
        <v>14</v>
      </c>
      <c r="B2711" s="7" t="s">
        <v>408</v>
      </c>
      <c r="C2711" s="8">
        <v>29605</v>
      </c>
      <c r="D2711" s="7" t="s">
        <v>28</v>
      </c>
      <c r="E2711" s="7" t="s">
        <v>393</v>
      </c>
      <c r="F2711" s="7" t="s">
        <v>393</v>
      </c>
      <c r="G2711" s="7" t="s">
        <v>43</v>
      </c>
      <c r="H2711" s="7" t="s">
        <v>689</v>
      </c>
      <c r="I2711" s="7" t="s">
        <v>712</v>
      </c>
      <c r="J2711" s="7" t="s">
        <v>712</v>
      </c>
      <c r="K2711" s="8">
        <v>6273205</v>
      </c>
      <c r="L2711" s="8">
        <v>317284</v>
      </c>
      <c r="M2711" s="8">
        <v>19</v>
      </c>
      <c r="N2711" s="8">
        <v>1</v>
      </c>
      <c r="O2711" s="8">
        <v>0.01</v>
      </c>
      <c r="P2711" s="8"/>
    </row>
    <row r="2712" spans="1:16" hidden="1" x14ac:dyDescent="0.25">
      <c r="A2712" s="7" t="s">
        <v>14</v>
      </c>
      <c r="B2712" s="7" t="s">
        <v>415</v>
      </c>
      <c r="C2712" s="8">
        <v>29620</v>
      </c>
      <c r="D2712" s="7" t="s">
        <v>322</v>
      </c>
      <c r="E2712" s="7" t="s">
        <v>323</v>
      </c>
      <c r="F2712" s="7" t="s">
        <v>422</v>
      </c>
      <c r="G2712" s="7" t="s">
        <v>18</v>
      </c>
      <c r="H2712" s="7" t="s">
        <v>689</v>
      </c>
      <c r="I2712" s="7" t="s">
        <v>712</v>
      </c>
      <c r="J2712" s="7" t="s">
        <v>712</v>
      </c>
      <c r="K2712" s="8">
        <v>7950107</v>
      </c>
      <c r="L2712" s="8">
        <v>378328</v>
      </c>
      <c r="M2712" s="8">
        <v>19</v>
      </c>
      <c r="N2712" s="8">
        <v>1</v>
      </c>
      <c r="O2712" s="8">
        <v>7.0000000000000007E-2</v>
      </c>
      <c r="P2712" s="8"/>
    </row>
    <row r="2713" spans="1:16" hidden="1" x14ac:dyDescent="0.25">
      <c r="A2713" s="7" t="s">
        <v>14</v>
      </c>
      <c r="B2713" s="7" t="s">
        <v>415</v>
      </c>
      <c r="C2713" s="8">
        <v>29621</v>
      </c>
      <c r="D2713" s="7" t="s">
        <v>322</v>
      </c>
      <c r="E2713" s="7" t="s">
        <v>323</v>
      </c>
      <c r="F2713" s="7" t="s">
        <v>422</v>
      </c>
      <c r="G2713" s="7" t="s">
        <v>18</v>
      </c>
      <c r="H2713" s="7" t="s">
        <v>689</v>
      </c>
      <c r="I2713" s="7" t="s">
        <v>712</v>
      </c>
      <c r="J2713" s="7" t="s">
        <v>712</v>
      </c>
      <c r="K2713" s="8">
        <v>7950107</v>
      </c>
      <c r="L2713" s="8">
        <v>378333</v>
      </c>
      <c r="M2713" s="8">
        <v>19</v>
      </c>
      <c r="N2713" s="8">
        <v>1</v>
      </c>
      <c r="O2713" s="8">
        <v>0.14000000000000001</v>
      </c>
      <c r="P2713" s="8"/>
    </row>
    <row r="2714" spans="1:16" hidden="1" x14ac:dyDescent="0.25">
      <c r="A2714" s="7" t="s">
        <v>14</v>
      </c>
      <c r="B2714" s="7" t="s">
        <v>415</v>
      </c>
      <c r="C2714" s="8">
        <v>29622</v>
      </c>
      <c r="D2714" s="7" t="s">
        <v>322</v>
      </c>
      <c r="E2714" s="7" t="s">
        <v>323</v>
      </c>
      <c r="F2714" s="7" t="s">
        <v>422</v>
      </c>
      <c r="G2714" s="7" t="s">
        <v>18</v>
      </c>
      <c r="H2714" s="7" t="s">
        <v>689</v>
      </c>
      <c r="I2714" s="7" t="s">
        <v>712</v>
      </c>
      <c r="J2714" s="7" t="s">
        <v>712</v>
      </c>
      <c r="K2714" s="8">
        <v>7952737</v>
      </c>
      <c r="L2714" s="8">
        <v>371059</v>
      </c>
      <c r="M2714" s="8">
        <v>19</v>
      </c>
      <c r="N2714" s="8">
        <v>1</v>
      </c>
      <c r="O2714" s="8">
        <v>0.14000000000000001</v>
      </c>
      <c r="P2714" s="8"/>
    </row>
    <row r="2715" spans="1:16" hidden="1" x14ac:dyDescent="0.25">
      <c r="A2715" s="7" t="s">
        <v>14</v>
      </c>
      <c r="B2715" s="7" t="s">
        <v>415</v>
      </c>
      <c r="C2715" s="8">
        <v>29623</v>
      </c>
      <c r="D2715" s="7" t="s">
        <v>322</v>
      </c>
      <c r="E2715" s="7" t="s">
        <v>323</v>
      </c>
      <c r="F2715" s="7" t="s">
        <v>422</v>
      </c>
      <c r="G2715" s="7" t="s">
        <v>18</v>
      </c>
      <c r="H2715" s="7" t="s">
        <v>689</v>
      </c>
      <c r="I2715" s="7" t="s">
        <v>712</v>
      </c>
      <c r="J2715" s="7" t="s">
        <v>712</v>
      </c>
      <c r="K2715" s="8">
        <v>7952528</v>
      </c>
      <c r="L2715" s="8">
        <v>371662</v>
      </c>
      <c r="M2715" s="8">
        <v>19</v>
      </c>
      <c r="N2715" s="8">
        <v>1</v>
      </c>
      <c r="O2715" s="8">
        <v>0.45</v>
      </c>
      <c r="P2715" s="8"/>
    </row>
    <row r="2716" spans="1:16" hidden="1" x14ac:dyDescent="0.25">
      <c r="A2716" s="7" t="s">
        <v>14</v>
      </c>
      <c r="B2716" s="7" t="s">
        <v>415</v>
      </c>
      <c r="C2716" s="8">
        <v>29624</v>
      </c>
      <c r="D2716" s="7" t="s">
        <v>322</v>
      </c>
      <c r="E2716" s="7" t="s">
        <v>323</v>
      </c>
      <c r="F2716" s="7" t="s">
        <v>422</v>
      </c>
      <c r="G2716" s="7" t="s">
        <v>18</v>
      </c>
      <c r="H2716" s="7" t="s">
        <v>689</v>
      </c>
      <c r="I2716" s="7" t="s">
        <v>712</v>
      </c>
      <c r="J2716" s="7" t="s">
        <v>712</v>
      </c>
      <c r="K2716" s="8">
        <v>7952528</v>
      </c>
      <c r="L2716" s="8">
        <v>371662</v>
      </c>
      <c r="M2716" s="8">
        <v>19</v>
      </c>
      <c r="N2716" s="8">
        <v>1</v>
      </c>
      <c r="O2716" s="8">
        <v>0.03</v>
      </c>
      <c r="P2716" s="8"/>
    </row>
    <row r="2717" spans="1:16" hidden="1" x14ac:dyDescent="0.25">
      <c r="A2717" s="7" t="s">
        <v>14</v>
      </c>
      <c r="B2717" s="7" t="s">
        <v>415</v>
      </c>
      <c r="C2717" s="8">
        <v>29625</v>
      </c>
      <c r="D2717" s="7" t="s">
        <v>322</v>
      </c>
      <c r="E2717" s="7" t="s">
        <v>323</v>
      </c>
      <c r="F2717" s="7" t="s">
        <v>422</v>
      </c>
      <c r="G2717" s="7" t="s">
        <v>18</v>
      </c>
      <c r="H2717" s="7" t="s">
        <v>689</v>
      </c>
      <c r="I2717" s="7" t="s">
        <v>712</v>
      </c>
      <c r="J2717" s="7" t="s">
        <v>712</v>
      </c>
      <c r="K2717" s="8">
        <v>7952531</v>
      </c>
      <c r="L2717" s="8">
        <v>371628</v>
      </c>
      <c r="M2717" s="8">
        <v>19</v>
      </c>
      <c r="N2717" s="8">
        <v>1</v>
      </c>
      <c r="O2717" s="8">
        <v>0.42</v>
      </c>
      <c r="P2717" s="8"/>
    </row>
    <row r="2718" spans="1:16" hidden="1" x14ac:dyDescent="0.25">
      <c r="A2718" s="7" t="s">
        <v>14</v>
      </c>
      <c r="B2718" s="7" t="s">
        <v>415</v>
      </c>
      <c r="C2718" s="8">
        <v>29626</v>
      </c>
      <c r="D2718" s="7" t="s">
        <v>322</v>
      </c>
      <c r="E2718" s="7" t="s">
        <v>323</v>
      </c>
      <c r="F2718" s="7" t="s">
        <v>422</v>
      </c>
      <c r="G2718" s="7" t="s">
        <v>18</v>
      </c>
      <c r="H2718" s="7" t="s">
        <v>689</v>
      </c>
      <c r="I2718" s="7" t="s">
        <v>712</v>
      </c>
      <c r="J2718" s="7" t="s">
        <v>712</v>
      </c>
      <c r="K2718" s="8">
        <v>7952746</v>
      </c>
      <c r="L2718" s="8">
        <v>371061</v>
      </c>
      <c r="M2718" s="8">
        <v>19</v>
      </c>
      <c r="N2718" s="8">
        <v>1</v>
      </c>
      <c r="O2718" s="8">
        <v>0.17</v>
      </c>
      <c r="P2718" s="8"/>
    </row>
    <row r="2719" spans="1:16" hidden="1" x14ac:dyDescent="0.25">
      <c r="A2719" s="7" t="s">
        <v>14</v>
      </c>
      <c r="B2719" s="7" t="s">
        <v>415</v>
      </c>
      <c r="C2719" s="8">
        <v>29627</v>
      </c>
      <c r="D2719" s="7" t="s">
        <v>322</v>
      </c>
      <c r="E2719" s="7" t="s">
        <v>323</v>
      </c>
      <c r="F2719" s="7" t="s">
        <v>422</v>
      </c>
      <c r="G2719" s="7" t="s">
        <v>18</v>
      </c>
      <c r="H2719" s="7" t="s">
        <v>689</v>
      </c>
      <c r="I2719" s="7" t="s">
        <v>712</v>
      </c>
      <c r="J2719" s="7" t="s">
        <v>712</v>
      </c>
      <c r="K2719" s="8">
        <v>7952743</v>
      </c>
      <c r="L2719" s="8">
        <v>371043</v>
      </c>
      <c r="M2719" s="8">
        <v>19</v>
      </c>
      <c r="N2719" s="8">
        <v>1</v>
      </c>
      <c r="O2719" s="8">
        <v>0.03</v>
      </c>
      <c r="P2719" s="8"/>
    </row>
    <row r="2720" spans="1:16" hidden="1" x14ac:dyDescent="0.25">
      <c r="A2720" s="7" t="s">
        <v>14</v>
      </c>
      <c r="B2720" s="7" t="s">
        <v>415</v>
      </c>
      <c r="C2720" s="8">
        <v>29636</v>
      </c>
      <c r="D2720" s="7" t="s">
        <v>322</v>
      </c>
      <c r="E2720" s="7" t="s">
        <v>323</v>
      </c>
      <c r="F2720" s="7" t="s">
        <v>422</v>
      </c>
      <c r="G2720" s="7" t="s">
        <v>65</v>
      </c>
      <c r="H2720" s="7" t="s">
        <v>689</v>
      </c>
      <c r="I2720" s="7" t="s">
        <v>712</v>
      </c>
      <c r="J2720" s="7" t="s">
        <v>712</v>
      </c>
      <c r="K2720" s="8">
        <v>7945548</v>
      </c>
      <c r="L2720" s="8">
        <v>378319</v>
      </c>
      <c r="M2720" s="8">
        <v>19</v>
      </c>
      <c r="N2720" s="8">
        <v>1</v>
      </c>
      <c r="O2720" s="8">
        <v>0.01</v>
      </c>
      <c r="P2720" s="8"/>
    </row>
    <row r="2721" spans="1:16" hidden="1" x14ac:dyDescent="0.25">
      <c r="A2721" s="7" t="s">
        <v>14</v>
      </c>
      <c r="B2721" s="7" t="s">
        <v>415</v>
      </c>
      <c r="C2721" s="8">
        <v>29637</v>
      </c>
      <c r="D2721" s="7" t="s">
        <v>322</v>
      </c>
      <c r="E2721" s="7" t="s">
        <v>323</v>
      </c>
      <c r="F2721" s="7" t="s">
        <v>422</v>
      </c>
      <c r="G2721" s="7" t="s">
        <v>18</v>
      </c>
      <c r="H2721" s="7" t="s">
        <v>689</v>
      </c>
      <c r="I2721" s="7" t="s">
        <v>712</v>
      </c>
      <c r="J2721" s="7" t="s">
        <v>712</v>
      </c>
      <c r="K2721" s="8">
        <v>7952752</v>
      </c>
      <c r="L2721" s="8">
        <v>371035</v>
      </c>
      <c r="M2721" s="8">
        <v>19</v>
      </c>
      <c r="N2721" s="8">
        <v>1</v>
      </c>
      <c r="O2721" s="8">
        <v>0.1</v>
      </c>
      <c r="P2721" s="8"/>
    </row>
    <row r="2722" spans="1:16" hidden="1" x14ac:dyDescent="0.25">
      <c r="A2722" s="7" t="s">
        <v>14</v>
      </c>
      <c r="B2722" s="7" t="s">
        <v>415</v>
      </c>
      <c r="C2722" s="8">
        <v>29638</v>
      </c>
      <c r="D2722" s="7" t="s">
        <v>322</v>
      </c>
      <c r="E2722" s="7" t="s">
        <v>323</v>
      </c>
      <c r="F2722" s="7" t="s">
        <v>422</v>
      </c>
      <c r="G2722" s="7" t="s">
        <v>18</v>
      </c>
      <c r="H2722" s="7" t="s">
        <v>689</v>
      </c>
      <c r="I2722" s="7" t="s">
        <v>712</v>
      </c>
      <c r="J2722" s="7" t="s">
        <v>712</v>
      </c>
      <c r="K2722" s="8">
        <v>7950211</v>
      </c>
      <c r="L2722" s="8">
        <v>378740</v>
      </c>
      <c r="M2722" s="8">
        <v>19</v>
      </c>
      <c r="N2722" s="8">
        <v>1</v>
      </c>
      <c r="O2722" s="8">
        <v>0.56000000000000005</v>
      </c>
      <c r="P2722" s="8"/>
    </row>
    <row r="2723" spans="1:16" hidden="1" x14ac:dyDescent="0.25">
      <c r="A2723" s="7" t="s">
        <v>14</v>
      </c>
      <c r="B2723" s="7" t="s">
        <v>415</v>
      </c>
      <c r="C2723" s="8">
        <v>29639</v>
      </c>
      <c r="D2723" s="7" t="s">
        <v>322</v>
      </c>
      <c r="E2723" s="7" t="s">
        <v>323</v>
      </c>
      <c r="F2723" s="7" t="s">
        <v>422</v>
      </c>
      <c r="G2723" s="7" t="s">
        <v>18</v>
      </c>
      <c r="H2723" s="7" t="s">
        <v>689</v>
      </c>
      <c r="I2723" s="7" t="s">
        <v>712</v>
      </c>
      <c r="J2723" s="7" t="s">
        <v>712</v>
      </c>
      <c r="K2723" s="8">
        <v>7952767</v>
      </c>
      <c r="L2723" s="8">
        <v>371023</v>
      </c>
      <c r="M2723" s="8">
        <v>19</v>
      </c>
      <c r="N2723" s="8">
        <v>1</v>
      </c>
      <c r="O2723" s="8">
        <v>0.04</v>
      </c>
      <c r="P2723" s="8"/>
    </row>
    <row r="2724" spans="1:16" hidden="1" x14ac:dyDescent="0.25">
      <c r="A2724" s="7" t="s">
        <v>14</v>
      </c>
      <c r="B2724" s="7" t="s">
        <v>415</v>
      </c>
      <c r="C2724" s="8">
        <v>29640</v>
      </c>
      <c r="D2724" s="7" t="s">
        <v>322</v>
      </c>
      <c r="E2724" s="7" t="s">
        <v>323</v>
      </c>
      <c r="F2724" s="7" t="s">
        <v>422</v>
      </c>
      <c r="G2724" s="7" t="s">
        <v>18</v>
      </c>
      <c r="H2724" s="7" t="s">
        <v>689</v>
      </c>
      <c r="I2724" s="7" t="s">
        <v>712</v>
      </c>
      <c r="J2724" s="7" t="s">
        <v>712</v>
      </c>
      <c r="K2724" s="8">
        <v>7952536</v>
      </c>
      <c r="L2724" s="8">
        <v>371588</v>
      </c>
      <c r="M2724" s="8">
        <v>19</v>
      </c>
      <c r="N2724" s="8">
        <v>1</v>
      </c>
      <c r="O2724" s="8">
        <v>0.04</v>
      </c>
      <c r="P2724" s="8"/>
    </row>
    <row r="2725" spans="1:16" hidden="1" x14ac:dyDescent="0.25">
      <c r="A2725" s="7" t="s">
        <v>14</v>
      </c>
      <c r="B2725" s="7" t="s">
        <v>415</v>
      </c>
      <c r="C2725" s="8">
        <v>29641</v>
      </c>
      <c r="D2725" s="7" t="s">
        <v>322</v>
      </c>
      <c r="E2725" s="7" t="s">
        <v>323</v>
      </c>
      <c r="F2725" s="7" t="s">
        <v>422</v>
      </c>
      <c r="G2725" s="7" t="s">
        <v>18</v>
      </c>
      <c r="H2725" s="7" t="s">
        <v>689</v>
      </c>
      <c r="I2725" s="7" t="s">
        <v>712</v>
      </c>
      <c r="J2725" s="7" t="s">
        <v>712</v>
      </c>
      <c r="K2725" s="8">
        <v>7952757</v>
      </c>
      <c r="L2725" s="8">
        <v>371048</v>
      </c>
      <c r="M2725" s="8">
        <v>19</v>
      </c>
      <c r="N2725" s="8">
        <v>1</v>
      </c>
      <c r="O2725" s="8">
        <v>0.1</v>
      </c>
      <c r="P2725" s="8"/>
    </row>
    <row r="2726" spans="1:16" hidden="1" x14ac:dyDescent="0.25">
      <c r="A2726" s="7" t="s">
        <v>14</v>
      </c>
      <c r="B2726" s="7" t="s">
        <v>415</v>
      </c>
      <c r="C2726" s="8">
        <v>29642</v>
      </c>
      <c r="D2726" s="7" t="s">
        <v>322</v>
      </c>
      <c r="E2726" s="7" t="s">
        <v>323</v>
      </c>
      <c r="F2726" s="7" t="s">
        <v>422</v>
      </c>
      <c r="G2726" s="7" t="s">
        <v>18</v>
      </c>
      <c r="H2726" s="7" t="s">
        <v>689</v>
      </c>
      <c r="I2726" s="7" t="s">
        <v>712</v>
      </c>
      <c r="J2726" s="7" t="s">
        <v>712</v>
      </c>
      <c r="K2726" s="8">
        <v>7950194</v>
      </c>
      <c r="L2726" s="8">
        <v>378627</v>
      </c>
      <c r="M2726" s="8">
        <v>19</v>
      </c>
      <c r="N2726" s="8">
        <v>1</v>
      </c>
      <c r="O2726" s="8">
        <v>0.04</v>
      </c>
      <c r="P2726" s="8"/>
    </row>
    <row r="2727" spans="1:16" hidden="1" x14ac:dyDescent="0.25">
      <c r="A2727" s="7" t="s">
        <v>14</v>
      </c>
      <c r="B2727" s="7" t="s">
        <v>415</v>
      </c>
      <c r="C2727" s="8">
        <v>29643</v>
      </c>
      <c r="D2727" s="7" t="s">
        <v>322</v>
      </c>
      <c r="E2727" s="7" t="s">
        <v>323</v>
      </c>
      <c r="F2727" s="7" t="s">
        <v>422</v>
      </c>
      <c r="G2727" s="7" t="s">
        <v>18</v>
      </c>
      <c r="H2727" s="7" t="s">
        <v>689</v>
      </c>
      <c r="I2727" s="7" t="s">
        <v>712</v>
      </c>
      <c r="J2727" s="7" t="s">
        <v>712</v>
      </c>
      <c r="K2727" s="8">
        <v>7952706</v>
      </c>
      <c r="L2727" s="8">
        <v>371078</v>
      </c>
      <c r="M2727" s="8">
        <v>19</v>
      </c>
      <c r="N2727" s="8">
        <v>1</v>
      </c>
      <c r="O2727" s="8">
        <v>0.04</v>
      </c>
      <c r="P2727" s="8"/>
    </row>
    <row r="2728" spans="1:16" hidden="1" x14ac:dyDescent="0.25">
      <c r="A2728" s="7" t="s">
        <v>14</v>
      </c>
      <c r="B2728" s="7" t="s">
        <v>415</v>
      </c>
      <c r="C2728" s="8">
        <v>29644</v>
      </c>
      <c r="D2728" s="7" t="s">
        <v>322</v>
      </c>
      <c r="E2728" s="7" t="s">
        <v>323</v>
      </c>
      <c r="F2728" s="7" t="s">
        <v>422</v>
      </c>
      <c r="G2728" s="7" t="s">
        <v>65</v>
      </c>
      <c r="H2728" s="7" t="s">
        <v>689</v>
      </c>
      <c r="I2728" s="7" t="s">
        <v>712</v>
      </c>
      <c r="J2728" s="7" t="s">
        <v>712</v>
      </c>
      <c r="K2728" s="8">
        <v>7949548</v>
      </c>
      <c r="L2728" s="8">
        <v>378319</v>
      </c>
      <c r="M2728" s="8">
        <v>19</v>
      </c>
      <c r="N2728" s="8">
        <v>1</v>
      </c>
      <c r="O2728" s="8">
        <v>0.01</v>
      </c>
      <c r="P2728" s="8"/>
    </row>
    <row r="2729" spans="1:16" hidden="1" x14ac:dyDescent="0.25">
      <c r="A2729" s="7" t="s">
        <v>14</v>
      </c>
      <c r="B2729" s="7" t="s">
        <v>415</v>
      </c>
      <c r="C2729" s="8">
        <v>29645</v>
      </c>
      <c r="D2729" s="7" t="s">
        <v>322</v>
      </c>
      <c r="E2729" s="7" t="s">
        <v>323</v>
      </c>
      <c r="F2729" s="7" t="s">
        <v>422</v>
      </c>
      <c r="G2729" s="7" t="s">
        <v>18</v>
      </c>
      <c r="H2729" s="7" t="s">
        <v>689</v>
      </c>
      <c r="I2729" s="7" t="s">
        <v>712</v>
      </c>
      <c r="J2729" s="7" t="s">
        <v>712</v>
      </c>
      <c r="K2729" s="8">
        <v>7952745</v>
      </c>
      <c r="L2729" s="8">
        <v>371049</v>
      </c>
      <c r="M2729" s="8">
        <v>19</v>
      </c>
      <c r="N2729" s="8">
        <v>1</v>
      </c>
      <c r="O2729" s="8">
        <v>0.06</v>
      </c>
      <c r="P2729" s="8"/>
    </row>
    <row r="2730" spans="1:16" hidden="1" x14ac:dyDescent="0.25">
      <c r="A2730" s="7" t="s">
        <v>14</v>
      </c>
      <c r="B2730" s="7" t="s">
        <v>415</v>
      </c>
      <c r="C2730" s="8">
        <v>29646</v>
      </c>
      <c r="D2730" s="7" t="s">
        <v>322</v>
      </c>
      <c r="E2730" s="7" t="s">
        <v>323</v>
      </c>
      <c r="F2730" s="7" t="s">
        <v>422</v>
      </c>
      <c r="G2730" s="7" t="s">
        <v>18</v>
      </c>
      <c r="H2730" s="7" t="s">
        <v>689</v>
      </c>
      <c r="I2730" s="7" t="s">
        <v>712</v>
      </c>
      <c r="J2730" s="7" t="s">
        <v>712</v>
      </c>
      <c r="K2730" s="8">
        <v>7949899</v>
      </c>
      <c r="L2730" s="8">
        <v>378247</v>
      </c>
      <c r="M2730" s="8">
        <v>19</v>
      </c>
      <c r="N2730" s="8">
        <v>1</v>
      </c>
      <c r="O2730" s="8">
        <v>0.3</v>
      </c>
      <c r="P2730" s="8"/>
    </row>
    <row r="2731" spans="1:16" hidden="1" x14ac:dyDescent="0.25">
      <c r="A2731" s="7" t="s">
        <v>14</v>
      </c>
      <c r="B2731" s="7" t="s">
        <v>415</v>
      </c>
      <c r="C2731" s="8">
        <v>29647</v>
      </c>
      <c r="D2731" s="7" t="s">
        <v>322</v>
      </c>
      <c r="E2731" s="7" t="s">
        <v>323</v>
      </c>
      <c r="F2731" s="7" t="s">
        <v>422</v>
      </c>
      <c r="G2731" s="7" t="s">
        <v>18</v>
      </c>
      <c r="H2731" s="7" t="s">
        <v>689</v>
      </c>
      <c r="I2731" s="7" t="s">
        <v>712</v>
      </c>
      <c r="J2731" s="7" t="s">
        <v>712</v>
      </c>
      <c r="K2731" s="8">
        <v>7949940</v>
      </c>
      <c r="L2731" s="8">
        <v>378265</v>
      </c>
      <c r="M2731" s="8">
        <v>19</v>
      </c>
      <c r="N2731" s="8">
        <v>1</v>
      </c>
      <c r="O2731" s="8">
        <v>0.22</v>
      </c>
      <c r="P2731" s="8"/>
    </row>
    <row r="2732" spans="1:16" hidden="1" x14ac:dyDescent="0.25">
      <c r="A2732" s="7" t="s">
        <v>14</v>
      </c>
      <c r="B2732" s="7" t="s">
        <v>415</v>
      </c>
      <c r="C2732" s="8">
        <v>29651</v>
      </c>
      <c r="D2732" s="7" t="s">
        <v>322</v>
      </c>
      <c r="E2732" s="7" t="s">
        <v>323</v>
      </c>
      <c r="F2732" s="7" t="s">
        <v>422</v>
      </c>
      <c r="G2732" s="7" t="s">
        <v>18</v>
      </c>
      <c r="H2732" s="7" t="s">
        <v>689</v>
      </c>
      <c r="I2732" s="7" t="s">
        <v>712</v>
      </c>
      <c r="J2732" s="7" t="s">
        <v>712</v>
      </c>
      <c r="K2732" s="8">
        <v>7952753</v>
      </c>
      <c r="L2732" s="8">
        <v>371050</v>
      </c>
      <c r="M2732" s="8">
        <v>19</v>
      </c>
      <c r="N2732" s="8">
        <v>1</v>
      </c>
      <c r="O2732" s="8">
        <v>0.01</v>
      </c>
      <c r="P2732" s="8"/>
    </row>
    <row r="2733" spans="1:16" hidden="1" x14ac:dyDescent="0.25">
      <c r="A2733" s="7" t="s">
        <v>14</v>
      </c>
      <c r="B2733" s="7" t="s">
        <v>415</v>
      </c>
      <c r="C2733" s="8">
        <v>29652</v>
      </c>
      <c r="D2733" s="7" t="s">
        <v>322</v>
      </c>
      <c r="E2733" s="7" t="s">
        <v>323</v>
      </c>
      <c r="F2733" s="7" t="s">
        <v>422</v>
      </c>
      <c r="G2733" s="7" t="s">
        <v>18</v>
      </c>
      <c r="H2733" s="7" t="s">
        <v>689</v>
      </c>
      <c r="I2733" s="7" t="s">
        <v>712</v>
      </c>
      <c r="J2733" s="7" t="s">
        <v>712</v>
      </c>
      <c r="K2733" s="8">
        <v>7949952</v>
      </c>
      <c r="L2733" s="8">
        <v>378264</v>
      </c>
      <c r="M2733" s="8">
        <v>19</v>
      </c>
      <c r="N2733" s="8">
        <v>1</v>
      </c>
      <c r="O2733" s="8">
        <v>0.1</v>
      </c>
      <c r="P2733" s="8"/>
    </row>
    <row r="2734" spans="1:16" hidden="1" x14ac:dyDescent="0.25">
      <c r="A2734" s="7" t="s">
        <v>14</v>
      </c>
      <c r="B2734" s="7" t="s">
        <v>415</v>
      </c>
      <c r="C2734" s="8">
        <v>29653</v>
      </c>
      <c r="D2734" s="7" t="s">
        <v>322</v>
      </c>
      <c r="E2734" s="7" t="s">
        <v>323</v>
      </c>
      <c r="F2734" s="7" t="s">
        <v>422</v>
      </c>
      <c r="G2734" s="7" t="s">
        <v>18</v>
      </c>
      <c r="H2734" s="7" t="s">
        <v>689</v>
      </c>
      <c r="I2734" s="7" t="s">
        <v>712</v>
      </c>
      <c r="J2734" s="7" t="s">
        <v>712</v>
      </c>
      <c r="K2734" s="8">
        <v>7949948</v>
      </c>
      <c r="L2734" s="8">
        <v>378271</v>
      </c>
      <c r="M2734" s="8">
        <v>19</v>
      </c>
      <c r="N2734" s="8">
        <v>1</v>
      </c>
      <c r="O2734" s="8">
        <v>0.1</v>
      </c>
      <c r="P2734" s="8"/>
    </row>
    <row r="2735" spans="1:16" hidden="1" x14ac:dyDescent="0.25">
      <c r="A2735" s="7" t="s">
        <v>14</v>
      </c>
      <c r="B2735" s="7" t="s">
        <v>415</v>
      </c>
      <c r="C2735" s="8">
        <v>29654</v>
      </c>
      <c r="D2735" s="7" t="s">
        <v>322</v>
      </c>
      <c r="E2735" s="7" t="s">
        <v>323</v>
      </c>
      <c r="F2735" s="7" t="s">
        <v>422</v>
      </c>
      <c r="G2735" s="7" t="s">
        <v>18</v>
      </c>
      <c r="H2735" s="7" t="s">
        <v>689</v>
      </c>
      <c r="I2735" s="7" t="s">
        <v>712</v>
      </c>
      <c r="J2735" s="7" t="s">
        <v>712</v>
      </c>
      <c r="K2735" s="8">
        <v>7949954</v>
      </c>
      <c r="L2735" s="8">
        <v>378278</v>
      </c>
      <c r="M2735" s="8">
        <v>19</v>
      </c>
      <c r="N2735" s="8">
        <v>1</v>
      </c>
      <c r="O2735" s="8">
        <v>0.24</v>
      </c>
      <c r="P2735" s="8"/>
    </row>
    <row r="2736" spans="1:16" hidden="1" x14ac:dyDescent="0.25">
      <c r="A2736" s="7" t="s">
        <v>14</v>
      </c>
      <c r="B2736" s="7" t="s">
        <v>415</v>
      </c>
      <c r="C2736" s="8">
        <v>29655</v>
      </c>
      <c r="D2736" s="7" t="s">
        <v>322</v>
      </c>
      <c r="E2736" s="7" t="s">
        <v>323</v>
      </c>
      <c r="F2736" s="7" t="s">
        <v>422</v>
      </c>
      <c r="G2736" s="7" t="s">
        <v>18</v>
      </c>
      <c r="H2736" s="7" t="s">
        <v>689</v>
      </c>
      <c r="I2736" s="7" t="s">
        <v>712</v>
      </c>
      <c r="J2736" s="7" t="s">
        <v>712</v>
      </c>
      <c r="K2736" s="8">
        <v>7949704</v>
      </c>
      <c r="L2736" s="8">
        <v>378180</v>
      </c>
      <c r="M2736" s="8">
        <v>19</v>
      </c>
      <c r="N2736" s="8">
        <v>1</v>
      </c>
      <c r="O2736" s="8">
        <v>0.14000000000000001</v>
      </c>
      <c r="P2736" s="8"/>
    </row>
    <row r="2737" spans="1:16" hidden="1" x14ac:dyDescent="0.25">
      <c r="A2737" s="7" t="s">
        <v>14</v>
      </c>
      <c r="B2737" s="7" t="s">
        <v>415</v>
      </c>
      <c r="C2737" s="8">
        <v>29656</v>
      </c>
      <c r="D2737" s="7" t="s">
        <v>322</v>
      </c>
      <c r="E2737" s="7" t="s">
        <v>323</v>
      </c>
      <c r="F2737" s="7" t="s">
        <v>422</v>
      </c>
      <c r="G2737" s="7" t="s">
        <v>18</v>
      </c>
      <c r="H2737" s="7" t="s">
        <v>689</v>
      </c>
      <c r="I2737" s="7" t="s">
        <v>712</v>
      </c>
      <c r="J2737" s="7" t="s">
        <v>712</v>
      </c>
      <c r="K2737" s="8">
        <v>7952751</v>
      </c>
      <c r="L2737" s="8">
        <v>371037</v>
      </c>
      <c r="M2737" s="8">
        <v>19</v>
      </c>
      <c r="N2737" s="8">
        <v>1</v>
      </c>
      <c r="O2737" s="8">
        <v>0.14000000000000001</v>
      </c>
      <c r="P2737" s="8"/>
    </row>
    <row r="2738" spans="1:16" hidden="1" x14ac:dyDescent="0.25">
      <c r="A2738" s="7" t="s">
        <v>14</v>
      </c>
      <c r="B2738" s="7" t="s">
        <v>415</v>
      </c>
      <c r="C2738" s="8">
        <v>29657</v>
      </c>
      <c r="D2738" s="7" t="s">
        <v>322</v>
      </c>
      <c r="E2738" s="7" t="s">
        <v>323</v>
      </c>
      <c r="F2738" s="7" t="s">
        <v>422</v>
      </c>
      <c r="G2738" s="7" t="s">
        <v>18</v>
      </c>
      <c r="H2738" s="7" t="s">
        <v>689</v>
      </c>
      <c r="I2738" s="7" t="s">
        <v>712</v>
      </c>
      <c r="J2738" s="7" t="s">
        <v>712</v>
      </c>
      <c r="K2738" s="8">
        <v>7950239</v>
      </c>
      <c r="L2738" s="8">
        <v>378432</v>
      </c>
      <c r="M2738" s="8">
        <v>19</v>
      </c>
      <c r="N2738" s="8">
        <v>1</v>
      </c>
      <c r="O2738" s="8">
        <v>0.04</v>
      </c>
      <c r="P2738" s="8"/>
    </row>
    <row r="2739" spans="1:16" hidden="1" x14ac:dyDescent="0.25">
      <c r="A2739" s="7" t="s">
        <v>14</v>
      </c>
      <c r="B2739" s="7" t="s">
        <v>415</v>
      </c>
      <c r="C2739" s="8">
        <v>29658</v>
      </c>
      <c r="D2739" s="7" t="s">
        <v>322</v>
      </c>
      <c r="E2739" s="7" t="s">
        <v>323</v>
      </c>
      <c r="F2739" s="7" t="s">
        <v>422</v>
      </c>
      <c r="G2739" s="7" t="s">
        <v>18</v>
      </c>
      <c r="H2739" s="7" t="s">
        <v>689</v>
      </c>
      <c r="I2739" s="7" t="s">
        <v>712</v>
      </c>
      <c r="J2739" s="7" t="s">
        <v>712</v>
      </c>
      <c r="K2739" s="8">
        <v>7949704</v>
      </c>
      <c r="L2739" s="8">
        <v>378180</v>
      </c>
      <c r="M2739" s="8">
        <v>19</v>
      </c>
      <c r="N2739" s="8">
        <v>1</v>
      </c>
      <c r="O2739" s="8">
        <v>0.12</v>
      </c>
      <c r="P2739" s="8"/>
    </row>
    <row r="2740" spans="1:16" hidden="1" x14ac:dyDescent="0.25">
      <c r="A2740" s="7" t="s">
        <v>14</v>
      </c>
      <c r="B2740" s="7" t="s">
        <v>415</v>
      </c>
      <c r="C2740" s="8">
        <v>29659</v>
      </c>
      <c r="D2740" s="7" t="s">
        <v>322</v>
      </c>
      <c r="E2740" s="7" t="s">
        <v>323</v>
      </c>
      <c r="F2740" s="7" t="s">
        <v>422</v>
      </c>
      <c r="G2740" s="7" t="s">
        <v>18</v>
      </c>
      <c r="H2740" s="7" t="s">
        <v>689</v>
      </c>
      <c r="I2740" s="7" t="s">
        <v>712</v>
      </c>
      <c r="J2740" s="7" t="s">
        <v>712</v>
      </c>
      <c r="K2740" s="8">
        <v>7950226</v>
      </c>
      <c r="L2740" s="8">
        <v>378674</v>
      </c>
      <c r="M2740" s="8">
        <v>19</v>
      </c>
      <c r="N2740" s="8">
        <v>1</v>
      </c>
      <c r="O2740" s="8">
        <v>0.02</v>
      </c>
      <c r="P2740" s="8"/>
    </row>
    <row r="2741" spans="1:16" hidden="1" x14ac:dyDescent="0.25">
      <c r="A2741" s="7" t="s">
        <v>14</v>
      </c>
      <c r="B2741" s="7" t="s">
        <v>415</v>
      </c>
      <c r="C2741" s="8">
        <v>29660</v>
      </c>
      <c r="D2741" s="7" t="s">
        <v>322</v>
      </c>
      <c r="E2741" s="7" t="s">
        <v>323</v>
      </c>
      <c r="F2741" s="7" t="s">
        <v>422</v>
      </c>
      <c r="G2741" s="7" t="s">
        <v>65</v>
      </c>
      <c r="H2741" s="7" t="s">
        <v>689</v>
      </c>
      <c r="I2741" s="7" t="s">
        <v>712</v>
      </c>
      <c r="J2741" s="7" t="s">
        <v>712</v>
      </c>
      <c r="K2741" s="8">
        <v>7949548</v>
      </c>
      <c r="L2741" s="8">
        <v>378319</v>
      </c>
      <c r="M2741" s="8">
        <v>19</v>
      </c>
      <c r="N2741" s="8">
        <v>1</v>
      </c>
      <c r="O2741" s="8">
        <v>0.01</v>
      </c>
      <c r="P2741" s="8"/>
    </row>
    <row r="2742" spans="1:16" hidden="1" x14ac:dyDescent="0.25">
      <c r="A2742" s="7" t="s">
        <v>14</v>
      </c>
      <c r="B2742" s="7" t="s">
        <v>415</v>
      </c>
      <c r="C2742" s="8">
        <v>29661</v>
      </c>
      <c r="D2742" s="7" t="s">
        <v>322</v>
      </c>
      <c r="E2742" s="7" t="s">
        <v>323</v>
      </c>
      <c r="F2742" s="7" t="s">
        <v>422</v>
      </c>
      <c r="G2742" s="7" t="s">
        <v>18</v>
      </c>
      <c r="H2742" s="7" t="s">
        <v>689</v>
      </c>
      <c r="I2742" s="7" t="s">
        <v>712</v>
      </c>
      <c r="J2742" s="7" t="s">
        <v>712</v>
      </c>
      <c r="K2742" s="8">
        <v>7950245</v>
      </c>
      <c r="L2742" s="8">
        <v>378426</v>
      </c>
      <c r="M2742" s="8">
        <v>19</v>
      </c>
      <c r="N2742" s="8">
        <v>1</v>
      </c>
      <c r="O2742" s="8">
        <v>0.16</v>
      </c>
      <c r="P2742" s="8"/>
    </row>
    <row r="2743" spans="1:16" hidden="1" x14ac:dyDescent="0.25">
      <c r="A2743" s="7" t="s">
        <v>14</v>
      </c>
      <c r="B2743" s="7" t="s">
        <v>270</v>
      </c>
      <c r="C2743" s="8">
        <v>29662</v>
      </c>
      <c r="D2743" s="7" t="s">
        <v>322</v>
      </c>
      <c r="E2743" s="7" t="s">
        <v>323</v>
      </c>
      <c r="F2743" s="7" t="s">
        <v>641</v>
      </c>
      <c r="G2743" s="7" t="s">
        <v>43</v>
      </c>
      <c r="H2743" s="7" t="s">
        <v>689</v>
      </c>
      <c r="I2743" s="7" t="s">
        <v>712</v>
      </c>
      <c r="J2743" s="7" t="s">
        <v>712</v>
      </c>
      <c r="K2743" s="8">
        <v>7953937</v>
      </c>
      <c r="L2743" s="8">
        <v>371158</v>
      </c>
      <c r="M2743" s="8">
        <v>19</v>
      </c>
      <c r="N2743" s="8">
        <v>1</v>
      </c>
      <c r="O2743" s="8">
        <v>0.43</v>
      </c>
      <c r="P2743" s="8"/>
    </row>
    <row r="2744" spans="1:16" hidden="1" x14ac:dyDescent="0.25">
      <c r="A2744" s="7" t="s">
        <v>14</v>
      </c>
      <c r="B2744" s="7" t="s">
        <v>415</v>
      </c>
      <c r="C2744" s="8">
        <v>29666</v>
      </c>
      <c r="D2744" s="7" t="s">
        <v>322</v>
      </c>
      <c r="E2744" s="7" t="s">
        <v>323</v>
      </c>
      <c r="F2744" s="7" t="s">
        <v>422</v>
      </c>
      <c r="G2744" s="7" t="s">
        <v>18</v>
      </c>
      <c r="H2744" s="7" t="s">
        <v>689</v>
      </c>
      <c r="I2744" s="7" t="s">
        <v>712</v>
      </c>
      <c r="J2744" s="7" t="s">
        <v>712</v>
      </c>
      <c r="K2744" s="8">
        <v>7949836</v>
      </c>
      <c r="L2744" s="8">
        <v>378192</v>
      </c>
      <c r="M2744" s="8">
        <v>19</v>
      </c>
      <c r="N2744" s="8">
        <v>1</v>
      </c>
      <c r="O2744" s="8">
        <v>0.33</v>
      </c>
      <c r="P2744" s="8"/>
    </row>
    <row r="2745" spans="1:16" hidden="1" x14ac:dyDescent="0.25">
      <c r="A2745" s="7" t="s">
        <v>14</v>
      </c>
      <c r="B2745" s="7" t="s">
        <v>415</v>
      </c>
      <c r="C2745" s="8">
        <v>29669</v>
      </c>
      <c r="D2745" s="7" t="s">
        <v>322</v>
      </c>
      <c r="E2745" s="7" t="s">
        <v>323</v>
      </c>
      <c r="F2745" s="7" t="s">
        <v>422</v>
      </c>
      <c r="G2745" s="7" t="s">
        <v>18</v>
      </c>
      <c r="H2745" s="7" t="s">
        <v>689</v>
      </c>
      <c r="I2745" s="7" t="s">
        <v>712</v>
      </c>
      <c r="J2745" s="7" t="s">
        <v>712</v>
      </c>
      <c r="K2745" s="8">
        <v>7950242</v>
      </c>
      <c r="L2745" s="8">
        <v>378423</v>
      </c>
      <c r="M2745" s="8">
        <v>19</v>
      </c>
      <c r="N2745" s="8">
        <v>1</v>
      </c>
      <c r="O2745" s="8">
        <v>0.23</v>
      </c>
      <c r="P2745" s="8"/>
    </row>
    <row r="2746" spans="1:16" hidden="1" x14ac:dyDescent="0.25">
      <c r="A2746" s="7" t="s">
        <v>14</v>
      </c>
      <c r="B2746" s="7" t="s">
        <v>415</v>
      </c>
      <c r="C2746" s="8">
        <v>29670</v>
      </c>
      <c r="D2746" s="7" t="s">
        <v>322</v>
      </c>
      <c r="E2746" s="7" t="s">
        <v>323</v>
      </c>
      <c r="F2746" s="7" t="s">
        <v>422</v>
      </c>
      <c r="G2746" s="7" t="s">
        <v>18</v>
      </c>
      <c r="H2746" s="7" t="s">
        <v>689</v>
      </c>
      <c r="I2746" s="7" t="s">
        <v>712</v>
      </c>
      <c r="J2746" s="7" t="s">
        <v>712</v>
      </c>
      <c r="K2746" s="8">
        <v>7950252</v>
      </c>
      <c r="L2746" s="8">
        <v>378418</v>
      </c>
      <c r="M2746" s="8">
        <v>19</v>
      </c>
      <c r="N2746" s="8">
        <v>1</v>
      </c>
      <c r="O2746" s="8">
        <v>0.13</v>
      </c>
      <c r="P2746" s="8"/>
    </row>
    <row r="2747" spans="1:16" hidden="1" x14ac:dyDescent="0.25">
      <c r="A2747" s="7" t="s">
        <v>14</v>
      </c>
      <c r="B2747" s="7" t="s">
        <v>415</v>
      </c>
      <c r="C2747" s="8">
        <v>29671</v>
      </c>
      <c r="D2747" s="7" t="s">
        <v>322</v>
      </c>
      <c r="E2747" s="7" t="s">
        <v>323</v>
      </c>
      <c r="F2747" s="7" t="s">
        <v>422</v>
      </c>
      <c r="G2747" s="7" t="s">
        <v>18</v>
      </c>
      <c r="H2747" s="7" t="s">
        <v>689</v>
      </c>
      <c r="I2747" s="7" t="s">
        <v>712</v>
      </c>
      <c r="J2747" s="7" t="s">
        <v>712</v>
      </c>
      <c r="K2747" s="8">
        <v>7950226</v>
      </c>
      <c r="L2747" s="8">
        <v>378674</v>
      </c>
      <c r="M2747" s="8">
        <v>19</v>
      </c>
      <c r="N2747" s="8">
        <v>1</v>
      </c>
      <c r="O2747" s="8">
        <v>0.03</v>
      </c>
      <c r="P2747" s="8"/>
    </row>
    <row r="2748" spans="1:16" hidden="1" x14ac:dyDescent="0.25">
      <c r="A2748" s="7" t="s">
        <v>14</v>
      </c>
      <c r="B2748" s="7" t="s">
        <v>415</v>
      </c>
      <c r="C2748" s="8">
        <v>29672</v>
      </c>
      <c r="D2748" s="7" t="s">
        <v>322</v>
      </c>
      <c r="E2748" s="7" t="s">
        <v>323</v>
      </c>
      <c r="F2748" s="7" t="s">
        <v>422</v>
      </c>
      <c r="G2748" s="7" t="s">
        <v>18</v>
      </c>
      <c r="H2748" s="7" t="s">
        <v>689</v>
      </c>
      <c r="I2748" s="7" t="s">
        <v>712</v>
      </c>
      <c r="J2748" s="7" t="s">
        <v>712</v>
      </c>
      <c r="K2748" s="8">
        <v>7950255</v>
      </c>
      <c r="L2748" s="8">
        <v>378408</v>
      </c>
      <c r="M2748" s="8">
        <v>19</v>
      </c>
      <c r="N2748" s="8">
        <v>1</v>
      </c>
      <c r="O2748" s="8">
        <v>0.1</v>
      </c>
      <c r="P2748" s="8"/>
    </row>
    <row r="2749" spans="1:16" hidden="1" x14ac:dyDescent="0.25">
      <c r="A2749" s="7" t="s">
        <v>14</v>
      </c>
      <c r="B2749" s="7" t="s">
        <v>415</v>
      </c>
      <c r="C2749" s="8">
        <v>29673</v>
      </c>
      <c r="D2749" s="7" t="s">
        <v>322</v>
      </c>
      <c r="E2749" s="7" t="s">
        <v>323</v>
      </c>
      <c r="F2749" s="7" t="s">
        <v>422</v>
      </c>
      <c r="G2749" s="7" t="s">
        <v>18</v>
      </c>
      <c r="H2749" s="7" t="s">
        <v>689</v>
      </c>
      <c r="I2749" s="7" t="s">
        <v>712</v>
      </c>
      <c r="J2749" s="7" t="s">
        <v>712</v>
      </c>
      <c r="K2749" s="8">
        <v>7950257</v>
      </c>
      <c r="L2749" s="8">
        <v>378405</v>
      </c>
      <c r="M2749" s="8">
        <v>19</v>
      </c>
      <c r="N2749" s="8">
        <v>1</v>
      </c>
      <c r="O2749" s="8">
        <v>0.1</v>
      </c>
      <c r="P2749" s="8"/>
    </row>
    <row r="2750" spans="1:16" hidden="1" x14ac:dyDescent="0.25">
      <c r="A2750" s="7" t="s">
        <v>14</v>
      </c>
      <c r="B2750" s="7" t="s">
        <v>415</v>
      </c>
      <c r="C2750" s="8">
        <v>29674</v>
      </c>
      <c r="D2750" s="7" t="s">
        <v>322</v>
      </c>
      <c r="E2750" s="7" t="s">
        <v>323</v>
      </c>
      <c r="F2750" s="7" t="s">
        <v>422</v>
      </c>
      <c r="G2750" s="7" t="s">
        <v>18</v>
      </c>
      <c r="H2750" s="7" t="s">
        <v>689</v>
      </c>
      <c r="I2750" s="7" t="s">
        <v>712</v>
      </c>
      <c r="J2750" s="7" t="s">
        <v>712</v>
      </c>
      <c r="K2750" s="8">
        <v>7950260</v>
      </c>
      <c r="L2750" s="8">
        <v>378405</v>
      </c>
      <c r="M2750" s="8">
        <v>19</v>
      </c>
      <c r="N2750" s="8">
        <v>1</v>
      </c>
      <c r="O2750" s="8">
        <v>7.0000000000000007E-2</v>
      </c>
      <c r="P2750" s="8"/>
    </row>
    <row r="2751" spans="1:16" hidden="1" x14ac:dyDescent="0.25">
      <c r="A2751" s="7" t="s">
        <v>14</v>
      </c>
      <c r="B2751" s="7" t="s">
        <v>415</v>
      </c>
      <c r="C2751" s="8">
        <v>29675</v>
      </c>
      <c r="D2751" s="7" t="s">
        <v>322</v>
      </c>
      <c r="E2751" s="7" t="s">
        <v>323</v>
      </c>
      <c r="F2751" s="7" t="s">
        <v>422</v>
      </c>
      <c r="G2751" s="7" t="s">
        <v>18</v>
      </c>
      <c r="H2751" s="7" t="s">
        <v>689</v>
      </c>
      <c r="I2751" s="7" t="s">
        <v>712</v>
      </c>
      <c r="J2751" s="7" t="s">
        <v>712</v>
      </c>
      <c r="K2751" s="8">
        <v>7950229</v>
      </c>
      <c r="L2751" s="8">
        <v>378699</v>
      </c>
      <c r="M2751" s="8">
        <v>19</v>
      </c>
      <c r="N2751" s="8">
        <v>1</v>
      </c>
      <c r="O2751" s="8">
        <v>0.21</v>
      </c>
      <c r="P2751" s="8"/>
    </row>
    <row r="2752" spans="1:16" hidden="1" x14ac:dyDescent="0.25">
      <c r="A2752" s="7" t="s">
        <v>14</v>
      </c>
      <c r="B2752" s="7" t="s">
        <v>415</v>
      </c>
      <c r="C2752" s="8">
        <v>29676</v>
      </c>
      <c r="D2752" s="7" t="s">
        <v>322</v>
      </c>
      <c r="E2752" s="7" t="s">
        <v>323</v>
      </c>
      <c r="F2752" s="7" t="s">
        <v>422</v>
      </c>
      <c r="G2752" s="7" t="s">
        <v>18</v>
      </c>
      <c r="H2752" s="7" t="s">
        <v>689</v>
      </c>
      <c r="I2752" s="7" t="s">
        <v>712</v>
      </c>
      <c r="J2752" s="7" t="s">
        <v>712</v>
      </c>
      <c r="K2752" s="8">
        <v>7950226</v>
      </c>
      <c r="L2752" s="8">
        <v>378674</v>
      </c>
      <c r="M2752" s="8">
        <v>19</v>
      </c>
      <c r="N2752" s="8">
        <v>1</v>
      </c>
      <c r="O2752" s="8">
        <v>0.01</v>
      </c>
      <c r="P2752" s="8"/>
    </row>
    <row r="2753" spans="1:16" hidden="1" x14ac:dyDescent="0.25">
      <c r="A2753" s="7" t="s">
        <v>14</v>
      </c>
      <c r="B2753" s="7" t="s">
        <v>415</v>
      </c>
      <c r="C2753" s="8">
        <v>29677</v>
      </c>
      <c r="D2753" s="7" t="s">
        <v>322</v>
      </c>
      <c r="E2753" s="7" t="s">
        <v>323</v>
      </c>
      <c r="F2753" s="7" t="s">
        <v>422</v>
      </c>
      <c r="G2753" s="7" t="s">
        <v>18</v>
      </c>
      <c r="H2753" s="7" t="s">
        <v>689</v>
      </c>
      <c r="I2753" s="7" t="s">
        <v>712</v>
      </c>
      <c r="J2753" s="7" t="s">
        <v>712</v>
      </c>
      <c r="K2753" s="8">
        <v>7949747</v>
      </c>
      <c r="L2753" s="8">
        <v>378188</v>
      </c>
      <c r="M2753" s="8">
        <v>19</v>
      </c>
      <c r="N2753" s="8">
        <v>1</v>
      </c>
      <c r="O2753" s="8">
        <v>0.08</v>
      </c>
      <c r="P2753" s="8"/>
    </row>
    <row r="2754" spans="1:16" x14ac:dyDescent="0.25">
      <c r="A2754" s="7" t="s">
        <v>14</v>
      </c>
      <c r="B2754" s="7" t="s">
        <v>713</v>
      </c>
      <c r="C2754" s="8">
        <v>29681</v>
      </c>
      <c r="D2754" s="7" t="s">
        <v>322</v>
      </c>
      <c r="E2754" s="7" t="s">
        <v>323</v>
      </c>
      <c r="F2754" s="7" t="s">
        <v>323</v>
      </c>
      <c r="G2754" s="7" t="s">
        <v>65</v>
      </c>
      <c r="H2754" s="7" t="s">
        <v>689</v>
      </c>
      <c r="I2754" s="7" t="s">
        <v>712</v>
      </c>
      <c r="J2754" s="7" t="s">
        <v>712</v>
      </c>
      <c r="K2754" s="8">
        <v>7949517</v>
      </c>
      <c r="L2754" s="8">
        <v>379793</v>
      </c>
      <c r="M2754" s="8">
        <v>19</v>
      </c>
      <c r="N2754" s="8">
        <v>1</v>
      </c>
      <c r="O2754" s="8">
        <v>0.01</v>
      </c>
      <c r="P2754" s="8"/>
    </row>
    <row r="2755" spans="1:16" hidden="1" x14ac:dyDescent="0.25">
      <c r="A2755" s="7" t="s">
        <v>14</v>
      </c>
      <c r="B2755" s="7" t="s">
        <v>415</v>
      </c>
      <c r="C2755" s="8">
        <v>29682</v>
      </c>
      <c r="D2755" s="7" t="s">
        <v>322</v>
      </c>
      <c r="E2755" s="7" t="s">
        <v>323</v>
      </c>
      <c r="F2755" s="7" t="s">
        <v>422</v>
      </c>
      <c r="G2755" s="7" t="s">
        <v>18</v>
      </c>
      <c r="H2755" s="7" t="s">
        <v>689</v>
      </c>
      <c r="I2755" s="7" t="s">
        <v>712</v>
      </c>
      <c r="J2755" s="7" t="s">
        <v>712</v>
      </c>
      <c r="K2755" s="8">
        <v>7950226</v>
      </c>
      <c r="L2755" s="8">
        <v>378674</v>
      </c>
      <c r="M2755" s="8">
        <v>19</v>
      </c>
      <c r="N2755" s="8">
        <v>1</v>
      </c>
      <c r="O2755" s="8">
        <v>7.0000000000000007E-2</v>
      </c>
      <c r="P2755" s="8"/>
    </row>
    <row r="2756" spans="1:16" hidden="1" x14ac:dyDescent="0.25">
      <c r="A2756" s="7" t="s">
        <v>14</v>
      </c>
      <c r="B2756" s="7" t="s">
        <v>415</v>
      </c>
      <c r="C2756" s="8">
        <v>29683</v>
      </c>
      <c r="D2756" s="7" t="s">
        <v>322</v>
      </c>
      <c r="E2756" s="7" t="s">
        <v>323</v>
      </c>
      <c r="F2756" s="7" t="s">
        <v>422</v>
      </c>
      <c r="G2756" s="7" t="s">
        <v>18</v>
      </c>
      <c r="H2756" s="7" t="s">
        <v>689</v>
      </c>
      <c r="I2756" s="7" t="s">
        <v>712</v>
      </c>
      <c r="J2756" s="7" t="s">
        <v>712</v>
      </c>
      <c r="K2756" s="8">
        <v>7902780</v>
      </c>
      <c r="L2756" s="8">
        <v>378389</v>
      </c>
      <c r="M2756" s="8">
        <v>19</v>
      </c>
      <c r="N2756" s="8">
        <v>1</v>
      </c>
      <c r="O2756" s="8">
        <v>0.1</v>
      </c>
      <c r="P2756" s="8"/>
    </row>
    <row r="2757" spans="1:16" hidden="1" x14ac:dyDescent="0.25">
      <c r="A2757" s="7" t="s">
        <v>14</v>
      </c>
      <c r="B2757" s="7" t="s">
        <v>415</v>
      </c>
      <c r="C2757" s="8">
        <v>29685</v>
      </c>
      <c r="D2757" s="7" t="s">
        <v>322</v>
      </c>
      <c r="E2757" s="7" t="s">
        <v>323</v>
      </c>
      <c r="F2757" s="7" t="s">
        <v>422</v>
      </c>
      <c r="G2757" s="7" t="s">
        <v>18</v>
      </c>
      <c r="H2757" s="7" t="s">
        <v>689</v>
      </c>
      <c r="I2757" s="7" t="s">
        <v>712</v>
      </c>
      <c r="J2757" s="7" t="s">
        <v>712</v>
      </c>
      <c r="K2757" s="8">
        <v>7950280</v>
      </c>
      <c r="L2757" s="8">
        <v>378368</v>
      </c>
      <c r="M2757" s="8">
        <v>19</v>
      </c>
      <c r="N2757" s="8">
        <v>1</v>
      </c>
      <c r="O2757" s="8">
        <v>0.2</v>
      </c>
      <c r="P2757" s="8"/>
    </row>
    <row r="2758" spans="1:16" x14ac:dyDescent="0.25">
      <c r="A2758" s="7" t="s">
        <v>14</v>
      </c>
      <c r="B2758" s="7" t="s">
        <v>713</v>
      </c>
      <c r="C2758" s="8">
        <v>29686</v>
      </c>
      <c r="D2758" s="7" t="s">
        <v>322</v>
      </c>
      <c r="E2758" s="7" t="s">
        <v>323</v>
      </c>
      <c r="F2758" s="7" t="s">
        <v>323</v>
      </c>
      <c r="G2758" s="7" t="s">
        <v>65</v>
      </c>
      <c r="H2758" s="7" t="s">
        <v>689</v>
      </c>
      <c r="I2758" s="7" t="s">
        <v>712</v>
      </c>
      <c r="J2758" s="7" t="s">
        <v>712</v>
      </c>
      <c r="K2758" s="8">
        <v>7949517</v>
      </c>
      <c r="L2758" s="8">
        <v>379793</v>
      </c>
      <c r="M2758" s="8">
        <v>19</v>
      </c>
      <c r="N2758" s="8">
        <v>1</v>
      </c>
      <c r="O2758" s="8">
        <v>0.01</v>
      </c>
      <c r="P2758" s="8"/>
    </row>
    <row r="2759" spans="1:16" hidden="1" x14ac:dyDescent="0.25">
      <c r="A2759" s="7" t="s">
        <v>14</v>
      </c>
      <c r="B2759" s="7" t="s">
        <v>415</v>
      </c>
      <c r="C2759" s="8">
        <v>29691</v>
      </c>
      <c r="D2759" s="7" t="s">
        <v>322</v>
      </c>
      <c r="E2759" s="7" t="s">
        <v>323</v>
      </c>
      <c r="F2759" s="7" t="s">
        <v>422</v>
      </c>
      <c r="G2759" s="7" t="s">
        <v>18</v>
      </c>
      <c r="H2759" s="7" t="s">
        <v>689</v>
      </c>
      <c r="I2759" s="7" t="s">
        <v>712</v>
      </c>
      <c r="J2759" s="7" t="s">
        <v>712</v>
      </c>
      <c r="K2759" s="8">
        <v>7950280</v>
      </c>
      <c r="L2759" s="8">
        <v>378366</v>
      </c>
      <c r="M2759" s="8">
        <v>19</v>
      </c>
      <c r="N2759" s="8">
        <v>1</v>
      </c>
      <c r="O2759" s="8">
        <v>0.1</v>
      </c>
      <c r="P2759" s="8"/>
    </row>
    <row r="2760" spans="1:16" hidden="1" x14ac:dyDescent="0.25">
      <c r="A2760" s="7" t="s">
        <v>14</v>
      </c>
      <c r="B2760" s="7" t="s">
        <v>415</v>
      </c>
      <c r="C2760" s="8">
        <v>29692</v>
      </c>
      <c r="D2760" s="7" t="s">
        <v>322</v>
      </c>
      <c r="E2760" s="7" t="s">
        <v>323</v>
      </c>
      <c r="F2760" s="7" t="s">
        <v>422</v>
      </c>
      <c r="G2760" s="7" t="s">
        <v>18</v>
      </c>
      <c r="H2760" s="7" t="s">
        <v>689</v>
      </c>
      <c r="I2760" s="7" t="s">
        <v>712</v>
      </c>
      <c r="J2760" s="7" t="s">
        <v>712</v>
      </c>
      <c r="K2760" s="8">
        <v>7950229</v>
      </c>
      <c r="L2760" s="8">
        <v>378699</v>
      </c>
      <c r="M2760" s="8">
        <v>19</v>
      </c>
      <c r="N2760" s="8">
        <v>1</v>
      </c>
      <c r="O2760" s="8">
        <v>0.1</v>
      </c>
      <c r="P2760" s="8"/>
    </row>
    <row r="2761" spans="1:16" hidden="1" x14ac:dyDescent="0.25">
      <c r="A2761" s="7" t="s">
        <v>14</v>
      </c>
      <c r="B2761" s="7" t="s">
        <v>415</v>
      </c>
      <c r="C2761" s="8">
        <v>29693</v>
      </c>
      <c r="D2761" s="7" t="s">
        <v>322</v>
      </c>
      <c r="E2761" s="7" t="s">
        <v>323</v>
      </c>
      <c r="F2761" s="7" t="s">
        <v>422</v>
      </c>
      <c r="G2761" s="7" t="s">
        <v>18</v>
      </c>
      <c r="H2761" s="7" t="s">
        <v>689</v>
      </c>
      <c r="I2761" s="7" t="s">
        <v>712</v>
      </c>
      <c r="J2761" s="7" t="s">
        <v>712</v>
      </c>
      <c r="K2761" s="8">
        <v>7949970</v>
      </c>
      <c r="L2761" s="8">
        <v>378294</v>
      </c>
      <c r="M2761" s="8">
        <v>19</v>
      </c>
      <c r="N2761" s="8">
        <v>1</v>
      </c>
      <c r="O2761" s="8">
        <v>0.04</v>
      </c>
      <c r="P2761" s="8"/>
    </row>
    <row r="2762" spans="1:16" hidden="1" x14ac:dyDescent="0.25">
      <c r="A2762" s="7" t="s">
        <v>14</v>
      </c>
      <c r="B2762" s="7" t="s">
        <v>415</v>
      </c>
      <c r="C2762" s="8">
        <v>29694</v>
      </c>
      <c r="D2762" s="7" t="s">
        <v>322</v>
      </c>
      <c r="E2762" s="7" t="s">
        <v>323</v>
      </c>
      <c r="F2762" s="7" t="s">
        <v>422</v>
      </c>
      <c r="G2762" s="7" t="s">
        <v>18</v>
      </c>
      <c r="H2762" s="7" t="s">
        <v>689</v>
      </c>
      <c r="I2762" s="7" t="s">
        <v>712</v>
      </c>
      <c r="J2762" s="7" t="s">
        <v>712</v>
      </c>
      <c r="K2762" s="8">
        <v>7949992</v>
      </c>
      <c r="L2762" s="8">
        <v>378314</v>
      </c>
      <c r="M2762" s="8">
        <v>19</v>
      </c>
      <c r="N2762" s="8">
        <v>1</v>
      </c>
      <c r="O2762" s="8">
        <v>0.05</v>
      </c>
      <c r="P2762" s="8"/>
    </row>
    <row r="2763" spans="1:16" hidden="1" x14ac:dyDescent="0.25">
      <c r="A2763" s="7" t="s">
        <v>14</v>
      </c>
      <c r="B2763" s="7" t="s">
        <v>415</v>
      </c>
      <c r="C2763" s="8">
        <v>29695</v>
      </c>
      <c r="D2763" s="7" t="s">
        <v>322</v>
      </c>
      <c r="E2763" s="7" t="s">
        <v>323</v>
      </c>
      <c r="F2763" s="7" t="s">
        <v>422</v>
      </c>
      <c r="G2763" s="7" t="s">
        <v>18</v>
      </c>
      <c r="H2763" s="7" t="s">
        <v>689</v>
      </c>
      <c r="I2763" s="7" t="s">
        <v>712</v>
      </c>
      <c r="J2763" s="7" t="s">
        <v>712</v>
      </c>
      <c r="K2763" s="8">
        <v>7950198</v>
      </c>
      <c r="L2763" s="8">
        <v>378645</v>
      </c>
      <c r="M2763" s="8">
        <v>19</v>
      </c>
      <c r="N2763" s="8">
        <v>1</v>
      </c>
      <c r="O2763" s="8">
        <v>0.01</v>
      </c>
      <c r="P2763" s="8"/>
    </row>
    <row r="2764" spans="1:16" hidden="1" x14ac:dyDescent="0.25">
      <c r="A2764" s="7" t="s">
        <v>14</v>
      </c>
      <c r="B2764" s="7" t="s">
        <v>415</v>
      </c>
      <c r="C2764" s="8">
        <v>29696</v>
      </c>
      <c r="D2764" s="7" t="s">
        <v>322</v>
      </c>
      <c r="E2764" s="7" t="s">
        <v>323</v>
      </c>
      <c r="F2764" s="7" t="s">
        <v>422</v>
      </c>
      <c r="G2764" s="7" t="s">
        <v>18</v>
      </c>
      <c r="H2764" s="7" t="s">
        <v>689</v>
      </c>
      <c r="I2764" s="7" t="s">
        <v>712</v>
      </c>
      <c r="J2764" s="7" t="s">
        <v>712</v>
      </c>
      <c r="K2764" s="8">
        <v>7950229</v>
      </c>
      <c r="L2764" s="8">
        <v>378699</v>
      </c>
      <c r="M2764" s="8">
        <v>19</v>
      </c>
      <c r="N2764" s="8">
        <v>1</v>
      </c>
      <c r="O2764" s="8">
        <v>0.2</v>
      </c>
      <c r="P2764" s="8"/>
    </row>
    <row r="2765" spans="1:16" hidden="1" x14ac:dyDescent="0.25">
      <c r="A2765" s="7" t="s">
        <v>14</v>
      </c>
      <c r="B2765" s="7" t="s">
        <v>415</v>
      </c>
      <c r="C2765" s="8">
        <v>29697</v>
      </c>
      <c r="D2765" s="7" t="s">
        <v>322</v>
      </c>
      <c r="E2765" s="7" t="s">
        <v>323</v>
      </c>
      <c r="F2765" s="7" t="s">
        <v>422</v>
      </c>
      <c r="G2765" s="7" t="s">
        <v>65</v>
      </c>
      <c r="H2765" s="7" t="s">
        <v>689</v>
      </c>
      <c r="I2765" s="7" t="s">
        <v>712</v>
      </c>
      <c r="J2765" s="7" t="s">
        <v>712</v>
      </c>
      <c r="K2765" s="8">
        <v>7949548</v>
      </c>
      <c r="L2765" s="8">
        <v>378319</v>
      </c>
      <c r="M2765" s="8">
        <v>19</v>
      </c>
      <c r="N2765" s="8">
        <v>1</v>
      </c>
      <c r="O2765" s="8">
        <v>0.01</v>
      </c>
      <c r="P2765" s="8"/>
    </row>
    <row r="2766" spans="1:16" hidden="1" x14ac:dyDescent="0.25">
      <c r="A2766" s="7" t="s">
        <v>14</v>
      </c>
      <c r="B2766" s="7" t="s">
        <v>415</v>
      </c>
      <c r="C2766" s="8">
        <v>29725</v>
      </c>
      <c r="D2766" s="7" t="s">
        <v>322</v>
      </c>
      <c r="E2766" s="7" t="s">
        <v>323</v>
      </c>
      <c r="F2766" s="7" t="s">
        <v>422</v>
      </c>
      <c r="G2766" s="7" t="s">
        <v>18</v>
      </c>
      <c r="H2766" s="7" t="s">
        <v>689</v>
      </c>
      <c r="I2766" s="7" t="s">
        <v>712</v>
      </c>
      <c r="J2766" s="7" t="s">
        <v>712</v>
      </c>
      <c r="K2766" s="8">
        <v>7950229</v>
      </c>
      <c r="L2766" s="8">
        <v>378699</v>
      </c>
      <c r="M2766" s="8">
        <v>19</v>
      </c>
      <c r="N2766" s="8">
        <v>1</v>
      </c>
      <c r="O2766" s="8">
        <v>0.26</v>
      </c>
      <c r="P2766" s="8"/>
    </row>
    <row r="2767" spans="1:16" hidden="1" x14ac:dyDescent="0.25">
      <c r="A2767" s="7" t="s">
        <v>14</v>
      </c>
      <c r="B2767" s="7" t="s">
        <v>415</v>
      </c>
      <c r="C2767" s="8">
        <v>29742</v>
      </c>
      <c r="D2767" s="7" t="s">
        <v>322</v>
      </c>
      <c r="E2767" s="7" t="s">
        <v>323</v>
      </c>
      <c r="F2767" s="7" t="s">
        <v>422</v>
      </c>
      <c r="G2767" s="7" t="s">
        <v>18</v>
      </c>
      <c r="H2767" s="7" t="s">
        <v>689</v>
      </c>
      <c r="I2767" s="7" t="s">
        <v>712</v>
      </c>
      <c r="J2767" s="7" t="s">
        <v>712</v>
      </c>
      <c r="K2767" s="8">
        <v>7949747</v>
      </c>
      <c r="L2767" s="8">
        <v>378188</v>
      </c>
      <c r="M2767" s="8">
        <v>19</v>
      </c>
      <c r="N2767" s="8">
        <v>1</v>
      </c>
      <c r="O2767" s="8">
        <v>0.04</v>
      </c>
      <c r="P2767" s="8"/>
    </row>
    <row r="2768" spans="1:16" hidden="1" x14ac:dyDescent="0.25">
      <c r="A2768" s="7" t="s">
        <v>14</v>
      </c>
      <c r="B2768" s="7" t="s">
        <v>415</v>
      </c>
      <c r="C2768" s="8">
        <v>29743</v>
      </c>
      <c r="D2768" s="7" t="s">
        <v>322</v>
      </c>
      <c r="E2768" s="7" t="s">
        <v>323</v>
      </c>
      <c r="F2768" s="7" t="s">
        <v>422</v>
      </c>
      <c r="G2768" s="7" t="s">
        <v>18</v>
      </c>
      <c r="H2768" s="7" t="s">
        <v>689</v>
      </c>
      <c r="I2768" s="7" t="s">
        <v>712</v>
      </c>
      <c r="J2768" s="7" t="s">
        <v>712</v>
      </c>
      <c r="K2768" s="8">
        <v>7952615</v>
      </c>
      <c r="L2768" s="8">
        <v>371269</v>
      </c>
      <c r="M2768" s="8">
        <v>19</v>
      </c>
      <c r="N2768" s="8">
        <v>1</v>
      </c>
      <c r="O2768" s="8">
        <v>0.66</v>
      </c>
      <c r="P2768" s="8"/>
    </row>
    <row r="2769" spans="1:16" hidden="1" x14ac:dyDescent="0.25">
      <c r="A2769" s="7" t="s">
        <v>14</v>
      </c>
      <c r="B2769" s="7" t="s">
        <v>415</v>
      </c>
      <c r="C2769" s="8">
        <v>29744</v>
      </c>
      <c r="D2769" s="7" t="s">
        <v>322</v>
      </c>
      <c r="E2769" s="7" t="s">
        <v>323</v>
      </c>
      <c r="F2769" s="7" t="s">
        <v>422</v>
      </c>
      <c r="G2769" s="7" t="s">
        <v>18</v>
      </c>
      <c r="H2769" s="7" t="s">
        <v>689</v>
      </c>
      <c r="I2769" s="7" t="s">
        <v>712</v>
      </c>
      <c r="J2769" s="7" t="s">
        <v>712</v>
      </c>
      <c r="K2769" s="8">
        <v>7952646</v>
      </c>
      <c r="L2769" s="8">
        <v>371199</v>
      </c>
      <c r="M2769" s="8">
        <v>19</v>
      </c>
      <c r="N2769" s="8">
        <v>1</v>
      </c>
      <c r="O2769" s="8">
        <v>0.09</v>
      </c>
      <c r="P2769" s="8"/>
    </row>
    <row r="2770" spans="1:16" hidden="1" x14ac:dyDescent="0.25">
      <c r="A2770" s="7" t="s">
        <v>14</v>
      </c>
      <c r="B2770" s="7" t="s">
        <v>415</v>
      </c>
      <c r="C2770" s="8">
        <v>29745</v>
      </c>
      <c r="D2770" s="7" t="s">
        <v>322</v>
      </c>
      <c r="E2770" s="7" t="s">
        <v>323</v>
      </c>
      <c r="F2770" s="7" t="s">
        <v>422</v>
      </c>
      <c r="G2770" s="7" t="s">
        <v>18</v>
      </c>
      <c r="H2770" s="7" t="s">
        <v>689</v>
      </c>
      <c r="I2770" s="7" t="s">
        <v>712</v>
      </c>
      <c r="J2770" s="7" t="s">
        <v>712</v>
      </c>
      <c r="K2770" s="8">
        <v>7950280</v>
      </c>
      <c r="L2770" s="8">
        <v>378358</v>
      </c>
      <c r="M2770" s="8">
        <v>19</v>
      </c>
      <c r="N2770" s="8">
        <v>1</v>
      </c>
      <c r="O2770" s="8">
        <v>0.35</v>
      </c>
      <c r="P2770" s="8"/>
    </row>
    <row r="2771" spans="1:16" hidden="1" x14ac:dyDescent="0.25">
      <c r="A2771" s="7" t="s">
        <v>14</v>
      </c>
      <c r="B2771" s="7" t="s">
        <v>415</v>
      </c>
      <c r="C2771" s="8">
        <v>29746</v>
      </c>
      <c r="D2771" s="7" t="s">
        <v>322</v>
      </c>
      <c r="E2771" s="7" t="s">
        <v>323</v>
      </c>
      <c r="F2771" s="7" t="s">
        <v>422</v>
      </c>
      <c r="G2771" s="7" t="s">
        <v>18</v>
      </c>
      <c r="H2771" s="7" t="s">
        <v>689</v>
      </c>
      <c r="I2771" s="7" t="s">
        <v>712</v>
      </c>
      <c r="J2771" s="7" t="s">
        <v>712</v>
      </c>
      <c r="K2771" s="8">
        <v>7950268</v>
      </c>
      <c r="L2771" s="8">
        <v>378364</v>
      </c>
      <c r="M2771" s="8">
        <v>19</v>
      </c>
      <c r="N2771" s="8">
        <v>1</v>
      </c>
      <c r="O2771" s="8">
        <v>0.25</v>
      </c>
      <c r="P2771" s="8"/>
    </row>
    <row r="2772" spans="1:16" hidden="1" x14ac:dyDescent="0.25">
      <c r="A2772" s="7" t="s">
        <v>14</v>
      </c>
      <c r="B2772" s="7" t="s">
        <v>415</v>
      </c>
      <c r="C2772" s="8">
        <v>29747</v>
      </c>
      <c r="D2772" s="7" t="s">
        <v>322</v>
      </c>
      <c r="E2772" s="7" t="s">
        <v>323</v>
      </c>
      <c r="F2772" s="7" t="s">
        <v>422</v>
      </c>
      <c r="G2772" s="7" t="s">
        <v>18</v>
      </c>
      <c r="H2772" s="7" t="s">
        <v>689</v>
      </c>
      <c r="I2772" s="7" t="s">
        <v>712</v>
      </c>
      <c r="J2772" s="7" t="s">
        <v>712</v>
      </c>
      <c r="K2772" s="8">
        <v>7952936</v>
      </c>
      <c r="L2772" s="8">
        <v>370980</v>
      </c>
      <c r="M2772" s="8">
        <v>19</v>
      </c>
      <c r="N2772" s="8">
        <v>1</v>
      </c>
      <c r="O2772" s="8">
        <v>0.15</v>
      </c>
      <c r="P2772" s="8"/>
    </row>
    <row r="2773" spans="1:16" hidden="1" x14ac:dyDescent="0.25">
      <c r="A2773" s="7" t="s">
        <v>14</v>
      </c>
      <c r="B2773" s="7" t="s">
        <v>415</v>
      </c>
      <c r="C2773" s="8">
        <v>29748</v>
      </c>
      <c r="D2773" s="7" t="s">
        <v>322</v>
      </c>
      <c r="E2773" s="7" t="s">
        <v>323</v>
      </c>
      <c r="F2773" s="7" t="s">
        <v>422</v>
      </c>
      <c r="G2773" s="7" t="s">
        <v>18</v>
      </c>
      <c r="H2773" s="7" t="s">
        <v>689</v>
      </c>
      <c r="I2773" s="7" t="s">
        <v>712</v>
      </c>
      <c r="J2773" s="7" t="s">
        <v>712</v>
      </c>
      <c r="K2773" s="8">
        <v>7952840</v>
      </c>
      <c r="L2773" s="8">
        <v>371058</v>
      </c>
      <c r="M2773" s="8">
        <v>19</v>
      </c>
      <c r="N2773" s="8">
        <v>1</v>
      </c>
      <c r="O2773" s="8">
        <v>0.05</v>
      </c>
      <c r="P2773" s="8"/>
    </row>
    <row r="2774" spans="1:16" hidden="1" x14ac:dyDescent="0.25">
      <c r="A2774" s="7" t="s">
        <v>14</v>
      </c>
      <c r="B2774" s="7" t="s">
        <v>415</v>
      </c>
      <c r="C2774" s="8">
        <v>29749</v>
      </c>
      <c r="D2774" s="7" t="s">
        <v>322</v>
      </c>
      <c r="E2774" s="7" t="s">
        <v>323</v>
      </c>
      <c r="F2774" s="7" t="s">
        <v>422</v>
      </c>
      <c r="G2774" s="7" t="s">
        <v>18</v>
      </c>
      <c r="H2774" s="7" t="s">
        <v>689</v>
      </c>
      <c r="I2774" s="7" t="s">
        <v>712</v>
      </c>
      <c r="J2774" s="7" t="s">
        <v>712</v>
      </c>
      <c r="K2774" s="8">
        <v>7949996</v>
      </c>
      <c r="L2774" s="8">
        <v>378447</v>
      </c>
      <c r="M2774" s="8">
        <v>19</v>
      </c>
      <c r="N2774" s="8">
        <v>1</v>
      </c>
      <c r="O2774" s="8">
        <v>0.05</v>
      </c>
      <c r="P2774" s="8"/>
    </row>
    <row r="2775" spans="1:16" hidden="1" x14ac:dyDescent="0.25">
      <c r="A2775" s="7" t="s">
        <v>14</v>
      </c>
      <c r="B2775" s="7" t="s">
        <v>415</v>
      </c>
      <c r="C2775" s="8">
        <v>29750</v>
      </c>
      <c r="D2775" s="7" t="s">
        <v>322</v>
      </c>
      <c r="E2775" s="7" t="s">
        <v>323</v>
      </c>
      <c r="F2775" s="7" t="s">
        <v>422</v>
      </c>
      <c r="G2775" s="7" t="s">
        <v>18</v>
      </c>
      <c r="H2775" s="7" t="s">
        <v>689</v>
      </c>
      <c r="I2775" s="7" t="s">
        <v>712</v>
      </c>
      <c r="J2775" s="7" t="s">
        <v>712</v>
      </c>
      <c r="K2775" s="8">
        <v>7950229</v>
      </c>
      <c r="L2775" s="8">
        <v>378699</v>
      </c>
      <c r="M2775" s="8">
        <v>19</v>
      </c>
      <c r="N2775" s="8">
        <v>1</v>
      </c>
      <c r="O2775" s="8">
        <v>0.18</v>
      </c>
      <c r="P2775" s="8"/>
    </row>
    <row r="2776" spans="1:16" hidden="1" x14ac:dyDescent="0.25">
      <c r="A2776" s="7" t="s">
        <v>14</v>
      </c>
      <c r="B2776" s="7" t="s">
        <v>415</v>
      </c>
      <c r="C2776" s="8">
        <v>29751</v>
      </c>
      <c r="D2776" s="7" t="s">
        <v>322</v>
      </c>
      <c r="E2776" s="7" t="s">
        <v>323</v>
      </c>
      <c r="F2776" s="7" t="s">
        <v>422</v>
      </c>
      <c r="G2776" s="7" t="s">
        <v>18</v>
      </c>
      <c r="H2776" s="7" t="s">
        <v>689</v>
      </c>
      <c r="I2776" s="7" t="s">
        <v>712</v>
      </c>
      <c r="J2776" s="7" t="s">
        <v>712</v>
      </c>
      <c r="K2776" s="8">
        <v>7950101</v>
      </c>
      <c r="L2776" s="8">
        <v>378347</v>
      </c>
      <c r="M2776" s="8">
        <v>19</v>
      </c>
      <c r="N2776" s="8">
        <v>1</v>
      </c>
      <c r="O2776" s="8">
        <v>0.3</v>
      </c>
      <c r="P2776" s="8"/>
    </row>
    <row r="2777" spans="1:16" hidden="1" x14ac:dyDescent="0.25">
      <c r="A2777" s="7" t="s">
        <v>14</v>
      </c>
      <c r="B2777" s="7" t="s">
        <v>415</v>
      </c>
      <c r="C2777" s="8">
        <v>29752</v>
      </c>
      <c r="D2777" s="7" t="s">
        <v>322</v>
      </c>
      <c r="E2777" s="7" t="s">
        <v>323</v>
      </c>
      <c r="F2777" s="7" t="s">
        <v>422</v>
      </c>
      <c r="G2777" s="7" t="s">
        <v>18</v>
      </c>
      <c r="H2777" s="7" t="s">
        <v>689</v>
      </c>
      <c r="I2777" s="7" t="s">
        <v>712</v>
      </c>
      <c r="J2777" s="7" t="s">
        <v>712</v>
      </c>
      <c r="K2777" s="8">
        <v>7949996</v>
      </c>
      <c r="L2777" s="8">
        <v>378447</v>
      </c>
      <c r="M2777" s="8">
        <v>19</v>
      </c>
      <c r="N2777" s="8">
        <v>1</v>
      </c>
      <c r="O2777" s="8">
        <v>0.1</v>
      </c>
      <c r="P2777" s="8"/>
    </row>
    <row r="2778" spans="1:16" hidden="1" x14ac:dyDescent="0.25">
      <c r="A2778" s="7" t="s">
        <v>14</v>
      </c>
      <c r="B2778" s="7" t="s">
        <v>415</v>
      </c>
      <c r="C2778" s="8">
        <v>29753</v>
      </c>
      <c r="D2778" s="7" t="s">
        <v>322</v>
      </c>
      <c r="E2778" s="7" t="s">
        <v>323</v>
      </c>
      <c r="F2778" s="7" t="s">
        <v>422</v>
      </c>
      <c r="G2778" s="7" t="s">
        <v>18</v>
      </c>
      <c r="H2778" s="7" t="s">
        <v>689</v>
      </c>
      <c r="I2778" s="7" t="s">
        <v>712</v>
      </c>
      <c r="J2778" s="7" t="s">
        <v>712</v>
      </c>
      <c r="K2778" s="8">
        <v>7950226</v>
      </c>
      <c r="L2778" s="8">
        <v>378674</v>
      </c>
      <c r="M2778" s="8">
        <v>19</v>
      </c>
      <c r="N2778" s="8">
        <v>1</v>
      </c>
      <c r="O2778" s="8">
        <v>7.0000000000000007E-2</v>
      </c>
      <c r="P2778" s="8"/>
    </row>
    <row r="2779" spans="1:16" hidden="1" x14ac:dyDescent="0.25">
      <c r="A2779" s="7" t="s">
        <v>14</v>
      </c>
      <c r="B2779" s="7" t="s">
        <v>415</v>
      </c>
      <c r="C2779" s="8">
        <v>29754</v>
      </c>
      <c r="D2779" s="7" t="s">
        <v>322</v>
      </c>
      <c r="E2779" s="7" t="s">
        <v>323</v>
      </c>
      <c r="F2779" s="7" t="s">
        <v>422</v>
      </c>
      <c r="G2779" s="7" t="s">
        <v>18</v>
      </c>
      <c r="H2779" s="7" t="s">
        <v>689</v>
      </c>
      <c r="I2779" s="7" t="s">
        <v>712</v>
      </c>
      <c r="J2779" s="7" t="s">
        <v>712</v>
      </c>
      <c r="K2779" s="8">
        <v>7950226</v>
      </c>
      <c r="L2779" s="8">
        <v>378674</v>
      </c>
      <c r="M2779" s="8">
        <v>19</v>
      </c>
      <c r="N2779" s="8">
        <v>1</v>
      </c>
      <c r="O2779" s="8">
        <v>0.01</v>
      </c>
      <c r="P2779" s="8"/>
    </row>
    <row r="2780" spans="1:16" hidden="1" x14ac:dyDescent="0.25">
      <c r="A2780" s="7" t="s">
        <v>14</v>
      </c>
      <c r="B2780" s="7" t="s">
        <v>415</v>
      </c>
      <c r="C2780" s="8">
        <v>29755</v>
      </c>
      <c r="D2780" s="7" t="s">
        <v>322</v>
      </c>
      <c r="E2780" s="7" t="s">
        <v>323</v>
      </c>
      <c r="F2780" s="7" t="s">
        <v>422</v>
      </c>
      <c r="G2780" s="7" t="s">
        <v>18</v>
      </c>
      <c r="H2780" s="7" t="s">
        <v>689</v>
      </c>
      <c r="I2780" s="7" t="s">
        <v>712</v>
      </c>
      <c r="J2780" s="7" t="s">
        <v>712</v>
      </c>
      <c r="K2780" s="8">
        <v>7949996</v>
      </c>
      <c r="L2780" s="8">
        <v>378447</v>
      </c>
      <c r="M2780" s="8">
        <v>19</v>
      </c>
      <c r="N2780" s="8">
        <v>1</v>
      </c>
      <c r="O2780" s="8">
        <v>0.03</v>
      </c>
      <c r="P2780" s="8"/>
    </row>
    <row r="2781" spans="1:16" hidden="1" x14ac:dyDescent="0.25">
      <c r="A2781" s="7" t="s">
        <v>14</v>
      </c>
      <c r="B2781" s="7" t="s">
        <v>415</v>
      </c>
      <c r="C2781" s="8">
        <v>29769</v>
      </c>
      <c r="D2781" s="7" t="s">
        <v>322</v>
      </c>
      <c r="E2781" s="7" t="s">
        <v>323</v>
      </c>
      <c r="F2781" s="7" t="s">
        <v>422</v>
      </c>
      <c r="G2781" s="7" t="s">
        <v>18</v>
      </c>
      <c r="H2781" s="7" t="s">
        <v>689</v>
      </c>
      <c r="I2781" s="7" t="s">
        <v>712</v>
      </c>
      <c r="J2781" s="7" t="s">
        <v>712</v>
      </c>
      <c r="K2781" s="8">
        <v>7949996</v>
      </c>
      <c r="L2781" s="8">
        <v>378447</v>
      </c>
      <c r="M2781" s="8">
        <v>19</v>
      </c>
      <c r="N2781" s="8">
        <v>1</v>
      </c>
      <c r="O2781" s="8">
        <v>0.02</v>
      </c>
      <c r="P2781" s="8"/>
    </row>
    <row r="2782" spans="1:16" hidden="1" x14ac:dyDescent="0.25">
      <c r="A2782" s="7" t="s">
        <v>14</v>
      </c>
      <c r="B2782" s="7" t="s">
        <v>415</v>
      </c>
      <c r="C2782" s="8">
        <v>29770</v>
      </c>
      <c r="D2782" s="7" t="s">
        <v>322</v>
      </c>
      <c r="E2782" s="7" t="s">
        <v>323</v>
      </c>
      <c r="F2782" s="7" t="s">
        <v>422</v>
      </c>
      <c r="G2782" s="7" t="s">
        <v>65</v>
      </c>
      <c r="H2782" s="7" t="s">
        <v>689</v>
      </c>
      <c r="I2782" s="7" t="s">
        <v>712</v>
      </c>
      <c r="J2782" s="7" t="s">
        <v>712</v>
      </c>
      <c r="K2782" s="8">
        <v>7949548</v>
      </c>
      <c r="L2782" s="8">
        <v>378319</v>
      </c>
      <c r="M2782" s="8">
        <v>19</v>
      </c>
      <c r="N2782" s="8">
        <v>1</v>
      </c>
      <c r="O2782" s="8">
        <v>0.01</v>
      </c>
      <c r="P2782" s="8"/>
    </row>
    <row r="2783" spans="1:16" hidden="1" x14ac:dyDescent="0.25">
      <c r="A2783" s="7" t="s">
        <v>14</v>
      </c>
      <c r="B2783" s="7" t="s">
        <v>415</v>
      </c>
      <c r="C2783" s="8">
        <v>29771</v>
      </c>
      <c r="D2783" s="7" t="s">
        <v>322</v>
      </c>
      <c r="E2783" s="7" t="s">
        <v>323</v>
      </c>
      <c r="F2783" s="7" t="s">
        <v>422</v>
      </c>
      <c r="G2783" s="7" t="s">
        <v>18</v>
      </c>
      <c r="H2783" s="7" t="s">
        <v>689</v>
      </c>
      <c r="I2783" s="7" t="s">
        <v>712</v>
      </c>
      <c r="J2783" s="7" t="s">
        <v>712</v>
      </c>
      <c r="K2783" s="8">
        <v>7950111</v>
      </c>
      <c r="L2783" s="8">
        <v>378332</v>
      </c>
      <c r="M2783" s="8">
        <v>19</v>
      </c>
      <c r="N2783" s="8">
        <v>1</v>
      </c>
      <c r="O2783" s="8">
        <v>0.2</v>
      </c>
      <c r="P2783" s="8"/>
    </row>
    <row r="2784" spans="1:16" x14ac:dyDescent="0.25">
      <c r="A2784" s="7" t="s">
        <v>14</v>
      </c>
      <c r="B2784" s="7" t="s">
        <v>713</v>
      </c>
      <c r="C2784" s="8">
        <v>29775</v>
      </c>
      <c r="D2784" s="7" t="s">
        <v>322</v>
      </c>
      <c r="E2784" s="7" t="s">
        <v>323</v>
      </c>
      <c r="F2784" s="7" t="s">
        <v>323</v>
      </c>
      <c r="G2784" s="7" t="s">
        <v>65</v>
      </c>
      <c r="H2784" s="7" t="s">
        <v>689</v>
      </c>
      <c r="I2784" s="7" t="s">
        <v>712</v>
      </c>
      <c r="J2784" s="7" t="s">
        <v>712</v>
      </c>
      <c r="K2784" s="8">
        <v>7949517</v>
      </c>
      <c r="L2784" s="8">
        <v>379794</v>
      </c>
      <c r="M2784" s="8">
        <v>19</v>
      </c>
      <c r="N2784" s="8">
        <v>1</v>
      </c>
      <c r="O2784" s="8">
        <v>0.02</v>
      </c>
      <c r="P2784" s="8"/>
    </row>
    <row r="2785" spans="1:16" hidden="1" x14ac:dyDescent="0.25">
      <c r="A2785" s="7" t="s">
        <v>14</v>
      </c>
      <c r="B2785" s="7" t="s">
        <v>415</v>
      </c>
      <c r="C2785" s="8">
        <v>29819</v>
      </c>
      <c r="D2785" s="7" t="s">
        <v>322</v>
      </c>
      <c r="E2785" s="7" t="s">
        <v>323</v>
      </c>
      <c r="F2785" s="7" t="s">
        <v>422</v>
      </c>
      <c r="G2785" s="7" t="s">
        <v>18</v>
      </c>
      <c r="H2785" s="7" t="s">
        <v>689</v>
      </c>
      <c r="I2785" s="7" t="s">
        <v>712</v>
      </c>
      <c r="J2785" s="7" t="s">
        <v>712</v>
      </c>
      <c r="K2785" s="8">
        <v>7952893</v>
      </c>
      <c r="L2785" s="8">
        <v>370971</v>
      </c>
      <c r="M2785" s="8">
        <v>19</v>
      </c>
      <c r="N2785" s="8">
        <v>1</v>
      </c>
      <c r="O2785" s="8">
        <v>0.16</v>
      </c>
      <c r="P2785" s="8"/>
    </row>
    <row r="2786" spans="1:16" hidden="1" x14ac:dyDescent="0.25">
      <c r="A2786" s="7" t="s">
        <v>14</v>
      </c>
      <c r="B2786" s="7" t="s">
        <v>415</v>
      </c>
      <c r="C2786" s="8">
        <v>29820</v>
      </c>
      <c r="D2786" s="7" t="s">
        <v>322</v>
      </c>
      <c r="E2786" s="7" t="s">
        <v>323</v>
      </c>
      <c r="F2786" s="7" t="s">
        <v>422</v>
      </c>
      <c r="G2786" s="7" t="s">
        <v>18</v>
      </c>
      <c r="H2786" s="7" t="s">
        <v>689</v>
      </c>
      <c r="I2786" s="7" t="s">
        <v>712</v>
      </c>
      <c r="J2786" s="7" t="s">
        <v>712</v>
      </c>
      <c r="K2786" s="8">
        <v>7949996</v>
      </c>
      <c r="L2786" s="8">
        <v>378447</v>
      </c>
      <c r="M2786" s="8">
        <v>19</v>
      </c>
      <c r="N2786" s="8">
        <v>1</v>
      </c>
      <c r="O2786" s="8">
        <v>0.11</v>
      </c>
      <c r="P2786" s="8"/>
    </row>
    <row r="2787" spans="1:16" hidden="1" x14ac:dyDescent="0.25">
      <c r="A2787" s="7" t="s">
        <v>14</v>
      </c>
      <c r="B2787" s="7" t="s">
        <v>415</v>
      </c>
      <c r="C2787" s="8">
        <v>29821</v>
      </c>
      <c r="D2787" s="7" t="s">
        <v>322</v>
      </c>
      <c r="E2787" s="7" t="s">
        <v>323</v>
      </c>
      <c r="F2787" s="7" t="s">
        <v>422</v>
      </c>
      <c r="G2787" s="7" t="s">
        <v>18</v>
      </c>
      <c r="H2787" s="7" t="s">
        <v>689</v>
      </c>
      <c r="I2787" s="7" t="s">
        <v>712</v>
      </c>
      <c r="J2787" s="7" t="s">
        <v>712</v>
      </c>
      <c r="K2787" s="8">
        <v>7952916</v>
      </c>
      <c r="L2787" s="8">
        <v>370964</v>
      </c>
      <c r="M2787" s="8">
        <v>19</v>
      </c>
      <c r="N2787" s="8">
        <v>1</v>
      </c>
      <c r="O2787" s="8">
        <v>0.04</v>
      </c>
      <c r="P2787" s="8"/>
    </row>
    <row r="2788" spans="1:16" hidden="1" x14ac:dyDescent="0.25">
      <c r="A2788" s="7" t="s">
        <v>14</v>
      </c>
      <c r="B2788" s="7" t="s">
        <v>415</v>
      </c>
      <c r="C2788" s="8">
        <v>29828</v>
      </c>
      <c r="D2788" s="7" t="s">
        <v>322</v>
      </c>
      <c r="E2788" s="7" t="s">
        <v>323</v>
      </c>
      <c r="F2788" s="7" t="s">
        <v>422</v>
      </c>
      <c r="G2788" s="7" t="s">
        <v>18</v>
      </c>
      <c r="H2788" s="7" t="s">
        <v>689</v>
      </c>
      <c r="I2788" s="7" t="s">
        <v>712</v>
      </c>
      <c r="J2788" s="7" t="s">
        <v>712</v>
      </c>
      <c r="K2788" s="8">
        <v>7949996</v>
      </c>
      <c r="L2788" s="8">
        <v>378447</v>
      </c>
      <c r="M2788" s="8">
        <v>19</v>
      </c>
      <c r="N2788" s="8">
        <v>1</v>
      </c>
      <c r="O2788" s="8">
        <v>0.02</v>
      </c>
      <c r="P2788" s="8"/>
    </row>
    <row r="2789" spans="1:16" hidden="1" x14ac:dyDescent="0.25">
      <c r="A2789" s="7" t="s">
        <v>14</v>
      </c>
      <c r="B2789" s="7" t="s">
        <v>415</v>
      </c>
      <c r="C2789" s="8">
        <v>29829</v>
      </c>
      <c r="D2789" s="7" t="s">
        <v>322</v>
      </c>
      <c r="E2789" s="7" t="s">
        <v>323</v>
      </c>
      <c r="F2789" s="7" t="s">
        <v>422</v>
      </c>
      <c r="G2789" s="7" t="s">
        <v>18</v>
      </c>
      <c r="H2789" s="7" t="s">
        <v>689</v>
      </c>
      <c r="I2789" s="7" t="s">
        <v>712</v>
      </c>
      <c r="J2789" s="7" t="s">
        <v>712</v>
      </c>
      <c r="K2789" s="8">
        <v>7950226</v>
      </c>
      <c r="L2789" s="8">
        <v>378674</v>
      </c>
      <c r="M2789" s="8">
        <v>19</v>
      </c>
      <c r="N2789" s="8">
        <v>1</v>
      </c>
      <c r="O2789" s="8">
        <v>0.15</v>
      </c>
      <c r="P2789" s="8"/>
    </row>
    <row r="2790" spans="1:16" hidden="1" x14ac:dyDescent="0.25">
      <c r="A2790" s="7" t="s">
        <v>14</v>
      </c>
      <c r="B2790" s="7" t="s">
        <v>415</v>
      </c>
      <c r="C2790" s="8">
        <v>29856</v>
      </c>
      <c r="D2790" s="7" t="s">
        <v>322</v>
      </c>
      <c r="E2790" s="7" t="s">
        <v>323</v>
      </c>
      <c r="F2790" s="7" t="s">
        <v>422</v>
      </c>
      <c r="G2790" s="7" t="s">
        <v>18</v>
      </c>
      <c r="H2790" s="7" t="s">
        <v>689</v>
      </c>
      <c r="I2790" s="7" t="s">
        <v>712</v>
      </c>
      <c r="J2790" s="7" t="s">
        <v>712</v>
      </c>
      <c r="K2790" s="8">
        <v>7950124</v>
      </c>
      <c r="L2790" s="8">
        <v>378300</v>
      </c>
      <c r="M2790" s="8">
        <v>19</v>
      </c>
      <c r="N2790" s="8">
        <v>1</v>
      </c>
      <c r="O2790" s="8">
        <v>0.59</v>
      </c>
      <c r="P2790" s="8"/>
    </row>
    <row r="2791" spans="1:16" hidden="1" x14ac:dyDescent="0.25">
      <c r="A2791" s="7" t="s">
        <v>14</v>
      </c>
      <c r="B2791" s="7" t="s">
        <v>415</v>
      </c>
      <c r="C2791" s="8">
        <v>29857</v>
      </c>
      <c r="D2791" s="7" t="s">
        <v>322</v>
      </c>
      <c r="E2791" s="7" t="s">
        <v>323</v>
      </c>
      <c r="F2791" s="7" t="s">
        <v>422</v>
      </c>
      <c r="G2791" s="7" t="s">
        <v>18</v>
      </c>
      <c r="H2791" s="7" t="s">
        <v>689</v>
      </c>
      <c r="I2791" s="7" t="s">
        <v>712</v>
      </c>
      <c r="J2791" s="7" t="s">
        <v>712</v>
      </c>
      <c r="K2791" s="8">
        <v>7949996</v>
      </c>
      <c r="L2791" s="8">
        <v>378447</v>
      </c>
      <c r="M2791" s="8">
        <v>19</v>
      </c>
      <c r="N2791" s="8">
        <v>1</v>
      </c>
      <c r="O2791" s="8">
        <v>7.0000000000000007E-2</v>
      </c>
      <c r="P2791" s="8"/>
    </row>
    <row r="2792" spans="1:16" hidden="1" x14ac:dyDescent="0.25">
      <c r="A2792" s="7" t="s">
        <v>14</v>
      </c>
      <c r="B2792" s="7" t="s">
        <v>415</v>
      </c>
      <c r="C2792" s="8">
        <v>29858</v>
      </c>
      <c r="D2792" s="7" t="s">
        <v>322</v>
      </c>
      <c r="E2792" s="7" t="s">
        <v>323</v>
      </c>
      <c r="F2792" s="7" t="s">
        <v>422</v>
      </c>
      <c r="G2792" s="7" t="s">
        <v>18</v>
      </c>
      <c r="H2792" s="7" t="s">
        <v>689</v>
      </c>
      <c r="I2792" s="7" t="s">
        <v>712</v>
      </c>
      <c r="J2792" s="7" t="s">
        <v>712</v>
      </c>
      <c r="K2792" s="8">
        <v>7950226</v>
      </c>
      <c r="L2792" s="8">
        <v>378674</v>
      </c>
      <c r="M2792" s="8">
        <v>19</v>
      </c>
      <c r="N2792" s="8">
        <v>1</v>
      </c>
      <c r="O2792" s="8">
        <v>0.1</v>
      </c>
      <c r="P2792" s="8"/>
    </row>
    <row r="2793" spans="1:16" hidden="1" x14ac:dyDescent="0.25">
      <c r="A2793" s="7" t="s">
        <v>14</v>
      </c>
      <c r="B2793" s="7" t="s">
        <v>415</v>
      </c>
      <c r="C2793" s="8">
        <v>29859</v>
      </c>
      <c r="D2793" s="7" t="s">
        <v>322</v>
      </c>
      <c r="E2793" s="7" t="s">
        <v>323</v>
      </c>
      <c r="F2793" s="7" t="s">
        <v>422</v>
      </c>
      <c r="G2793" s="7" t="s">
        <v>18</v>
      </c>
      <c r="H2793" s="7" t="s">
        <v>689</v>
      </c>
      <c r="I2793" s="7" t="s">
        <v>712</v>
      </c>
      <c r="J2793" s="7" t="s">
        <v>712</v>
      </c>
      <c r="K2793" s="8">
        <v>7950140</v>
      </c>
      <c r="L2793" s="8">
        <v>378265</v>
      </c>
      <c r="M2793" s="8">
        <v>19</v>
      </c>
      <c r="N2793" s="8">
        <v>1</v>
      </c>
      <c r="O2793" s="8">
        <v>7.0000000000000007E-2</v>
      </c>
      <c r="P2793" s="8"/>
    </row>
    <row r="2794" spans="1:16" hidden="1" x14ac:dyDescent="0.25">
      <c r="A2794" s="7" t="s">
        <v>14</v>
      </c>
      <c r="B2794" s="7" t="s">
        <v>415</v>
      </c>
      <c r="C2794" s="8">
        <v>29860</v>
      </c>
      <c r="D2794" s="7" t="s">
        <v>322</v>
      </c>
      <c r="E2794" s="7" t="s">
        <v>323</v>
      </c>
      <c r="F2794" s="7" t="s">
        <v>422</v>
      </c>
      <c r="G2794" s="7" t="s">
        <v>18</v>
      </c>
      <c r="H2794" s="7" t="s">
        <v>689</v>
      </c>
      <c r="I2794" s="7" t="s">
        <v>712</v>
      </c>
      <c r="J2794" s="7" t="s">
        <v>712</v>
      </c>
      <c r="K2794" s="8">
        <v>7952904</v>
      </c>
      <c r="L2794" s="8">
        <v>370958</v>
      </c>
      <c r="M2794" s="8">
        <v>19</v>
      </c>
      <c r="N2794" s="8">
        <v>1</v>
      </c>
      <c r="O2794" s="8">
        <v>0.01</v>
      </c>
      <c r="P2794" s="8"/>
    </row>
    <row r="2795" spans="1:16" hidden="1" x14ac:dyDescent="0.25">
      <c r="A2795" s="7" t="s">
        <v>14</v>
      </c>
      <c r="B2795" s="7" t="s">
        <v>415</v>
      </c>
      <c r="C2795" s="8">
        <v>29861</v>
      </c>
      <c r="D2795" s="7" t="s">
        <v>322</v>
      </c>
      <c r="E2795" s="7" t="s">
        <v>323</v>
      </c>
      <c r="F2795" s="7" t="s">
        <v>422</v>
      </c>
      <c r="G2795" s="7" t="s">
        <v>18</v>
      </c>
      <c r="H2795" s="7" t="s">
        <v>689</v>
      </c>
      <c r="I2795" s="7" t="s">
        <v>712</v>
      </c>
      <c r="J2795" s="7" t="s">
        <v>712</v>
      </c>
      <c r="K2795" s="8">
        <v>7952717</v>
      </c>
      <c r="L2795" s="8">
        <v>371129</v>
      </c>
      <c r="M2795" s="8">
        <v>19</v>
      </c>
      <c r="N2795" s="8">
        <v>1</v>
      </c>
      <c r="O2795" s="8">
        <v>0.3</v>
      </c>
      <c r="P2795" s="8"/>
    </row>
    <row r="2796" spans="1:16" hidden="1" x14ac:dyDescent="0.25">
      <c r="A2796" s="7" t="s">
        <v>14</v>
      </c>
      <c r="B2796" s="7" t="s">
        <v>415</v>
      </c>
      <c r="C2796" s="8">
        <v>29885</v>
      </c>
      <c r="D2796" s="7" t="s">
        <v>322</v>
      </c>
      <c r="E2796" s="7" t="s">
        <v>323</v>
      </c>
      <c r="F2796" s="7" t="s">
        <v>422</v>
      </c>
      <c r="G2796" s="7" t="s">
        <v>18</v>
      </c>
      <c r="H2796" s="7" t="s">
        <v>689</v>
      </c>
      <c r="I2796" s="7" t="s">
        <v>712</v>
      </c>
      <c r="J2796" s="7" t="s">
        <v>712</v>
      </c>
      <c r="K2796" s="8">
        <v>7949885</v>
      </c>
      <c r="L2796" s="8">
        <v>378192</v>
      </c>
      <c r="M2796" s="8">
        <v>19</v>
      </c>
      <c r="N2796" s="8">
        <v>1</v>
      </c>
      <c r="O2796" s="8">
        <v>0.08</v>
      </c>
      <c r="P2796" s="8"/>
    </row>
    <row r="2797" spans="1:16" hidden="1" x14ac:dyDescent="0.25">
      <c r="A2797" s="7" t="s">
        <v>14</v>
      </c>
      <c r="B2797" s="7" t="s">
        <v>415</v>
      </c>
      <c r="C2797" s="8">
        <v>29889</v>
      </c>
      <c r="D2797" s="7" t="s">
        <v>322</v>
      </c>
      <c r="E2797" s="7" t="s">
        <v>323</v>
      </c>
      <c r="F2797" s="7" t="s">
        <v>422</v>
      </c>
      <c r="G2797" s="7" t="s">
        <v>18</v>
      </c>
      <c r="H2797" s="7" t="s">
        <v>689</v>
      </c>
      <c r="I2797" s="7" t="s">
        <v>712</v>
      </c>
      <c r="J2797" s="7" t="s">
        <v>712</v>
      </c>
      <c r="K2797" s="8">
        <v>7953294</v>
      </c>
      <c r="L2797" s="8">
        <v>366227</v>
      </c>
      <c r="M2797" s="8">
        <v>19</v>
      </c>
      <c r="N2797" s="8">
        <v>1</v>
      </c>
      <c r="O2797" s="8">
        <v>0.13</v>
      </c>
      <c r="P2797" s="8"/>
    </row>
    <row r="2798" spans="1:16" hidden="1" x14ac:dyDescent="0.25">
      <c r="A2798" s="7" t="s">
        <v>14</v>
      </c>
      <c r="B2798" s="7" t="s">
        <v>415</v>
      </c>
      <c r="C2798" s="8">
        <v>29893</v>
      </c>
      <c r="D2798" s="7" t="s">
        <v>322</v>
      </c>
      <c r="E2798" s="7" t="s">
        <v>323</v>
      </c>
      <c r="F2798" s="7" t="s">
        <v>422</v>
      </c>
      <c r="G2798" s="7" t="s">
        <v>18</v>
      </c>
      <c r="H2798" s="7" t="s">
        <v>689</v>
      </c>
      <c r="I2798" s="7" t="s">
        <v>712</v>
      </c>
      <c r="J2798" s="7" t="s">
        <v>712</v>
      </c>
      <c r="K2798" s="8">
        <v>7952770</v>
      </c>
      <c r="L2798" s="8">
        <v>370950</v>
      </c>
      <c r="M2798" s="8">
        <v>19</v>
      </c>
      <c r="N2798" s="8">
        <v>1</v>
      </c>
      <c r="O2798" s="8">
        <v>0.01</v>
      </c>
      <c r="P2798" s="8"/>
    </row>
    <row r="2799" spans="1:16" hidden="1" x14ac:dyDescent="0.25">
      <c r="A2799" s="7" t="s">
        <v>14</v>
      </c>
      <c r="B2799" s="7" t="s">
        <v>415</v>
      </c>
      <c r="C2799" s="8">
        <v>29894</v>
      </c>
      <c r="D2799" s="7" t="s">
        <v>322</v>
      </c>
      <c r="E2799" s="7" t="s">
        <v>323</v>
      </c>
      <c r="F2799" s="7" t="s">
        <v>422</v>
      </c>
      <c r="G2799" s="7" t="s">
        <v>18</v>
      </c>
      <c r="H2799" s="7" t="s">
        <v>689</v>
      </c>
      <c r="I2799" s="7" t="s">
        <v>712</v>
      </c>
      <c r="J2799" s="7" t="s">
        <v>712</v>
      </c>
      <c r="K2799" s="8">
        <v>7952881</v>
      </c>
      <c r="L2799" s="8">
        <v>371011</v>
      </c>
      <c r="M2799" s="8">
        <v>19</v>
      </c>
      <c r="N2799" s="8">
        <v>1</v>
      </c>
      <c r="O2799" s="8">
        <v>0.1</v>
      </c>
      <c r="P2799" s="8"/>
    </row>
    <row r="2800" spans="1:16" hidden="1" x14ac:dyDescent="0.25">
      <c r="A2800" s="7" t="s">
        <v>14</v>
      </c>
      <c r="B2800" s="7" t="s">
        <v>415</v>
      </c>
      <c r="C2800" s="8">
        <v>29895</v>
      </c>
      <c r="D2800" s="7" t="s">
        <v>322</v>
      </c>
      <c r="E2800" s="7" t="s">
        <v>323</v>
      </c>
      <c r="F2800" s="7" t="s">
        <v>422</v>
      </c>
      <c r="G2800" s="7" t="s">
        <v>18</v>
      </c>
      <c r="H2800" s="7" t="s">
        <v>689</v>
      </c>
      <c r="I2800" s="7" t="s">
        <v>712</v>
      </c>
      <c r="J2800" s="7" t="s">
        <v>712</v>
      </c>
      <c r="K2800" s="8">
        <v>7952778</v>
      </c>
      <c r="L2800" s="8">
        <v>370991</v>
      </c>
      <c r="M2800" s="8">
        <v>19</v>
      </c>
      <c r="N2800" s="8">
        <v>1</v>
      </c>
      <c r="O2800" s="8">
        <v>0.09</v>
      </c>
      <c r="P2800" s="8"/>
    </row>
    <row r="2801" spans="1:16" hidden="1" x14ac:dyDescent="0.25">
      <c r="A2801" s="7" t="s">
        <v>14</v>
      </c>
      <c r="B2801" s="7" t="s">
        <v>415</v>
      </c>
      <c r="C2801" s="8">
        <v>29896</v>
      </c>
      <c r="D2801" s="7" t="s">
        <v>322</v>
      </c>
      <c r="E2801" s="7" t="s">
        <v>323</v>
      </c>
      <c r="F2801" s="7" t="s">
        <v>422</v>
      </c>
      <c r="G2801" s="7" t="s">
        <v>18</v>
      </c>
      <c r="H2801" s="7" t="s">
        <v>689</v>
      </c>
      <c r="I2801" s="7" t="s">
        <v>712</v>
      </c>
      <c r="J2801" s="7" t="s">
        <v>712</v>
      </c>
      <c r="K2801" s="8">
        <v>7952773</v>
      </c>
      <c r="L2801" s="8">
        <v>371019</v>
      </c>
      <c r="M2801" s="8">
        <v>19</v>
      </c>
      <c r="N2801" s="8">
        <v>1</v>
      </c>
      <c r="O2801" s="8">
        <v>0.23</v>
      </c>
      <c r="P2801" s="8"/>
    </row>
    <row r="2802" spans="1:16" hidden="1" x14ac:dyDescent="0.25">
      <c r="A2802" s="7" t="s">
        <v>14</v>
      </c>
      <c r="B2802" s="7" t="s">
        <v>415</v>
      </c>
      <c r="C2802" s="8">
        <v>29897</v>
      </c>
      <c r="D2802" s="7" t="s">
        <v>322</v>
      </c>
      <c r="E2802" s="7" t="s">
        <v>323</v>
      </c>
      <c r="F2802" s="7" t="s">
        <v>422</v>
      </c>
      <c r="G2802" s="7" t="s">
        <v>18</v>
      </c>
      <c r="H2802" s="7" t="s">
        <v>689</v>
      </c>
      <c r="I2802" s="7" t="s">
        <v>712</v>
      </c>
      <c r="J2802" s="7" t="s">
        <v>712</v>
      </c>
      <c r="K2802" s="8">
        <v>7952743</v>
      </c>
      <c r="L2802" s="8">
        <v>371066</v>
      </c>
      <c r="M2802" s="8">
        <v>19</v>
      </c>
      <c r="N2802" s="8">
        <v>1</v>
      </c>
      <c r="O2802" s="8">
        <v>0.04</v>
      </c>
      <c r="P2802" s="8"/>
    </row>
    <row r="2803" spans="1:16" hidden="1" x14ac:dyDescent="0.25">
      <c r="A2803" s="7" t="s">
        <v>14</v>
      </c>
      <c r="B2803" s="7" t="s">
        <v>415</v>
      </c>
      <c r="C2803" s="8">
        <v>29898</v>
      </c>
      <c r="D2803" s="7" t="s">
        <v>322</v>
      </c>
      <c r="E2803" s="7" t="s">
        <v>323</v>
      </c>
      <c r="F2803" s="7" t="s">
        <v>422</v>
      </c>
      <c r="G2803" s="7" t="s">
        <v>65</v>
      </c>
      <c r="H2803" s="7" t="s">
        <v>689</v>
      </c>
      <c r="I2803" s="7" t="s">
        <v>712</v>
      </c>
      <c r="J2803" s="7" t="s">
        <v>712</v>
      </c>
      <c r="K2803" s="8">
        <v>7949548</v>
      </c>
      <c r="L2803" s="8">
        <v>378319</v>
      </c>
      <c r="M2803" s="8">
        <v>19</v>
      </c>
      <c r="N2803" s="8">
        <v>1</v>
      </c>
      <c r="O2803" s="8">
        <v>0.01</v>
      </c>
      <c r="P2803" s="8"/>
    </row>
    <row r="2804" spans="1:16" hidden="1" x14ac:dyDescent="0.25">
      <c r="A2804" s="7" t="s">
        <v>14</v>
      </c>
      <c r="B2804" s="7" t="s">
        <v>415</v>
      </c>
      <c r="C2804" s="8">
        <v>29913</v>
      </c>
      <c r="D2804" s="7" t="s">
        <v>322</v>
      </c>
      <c r="E2804" s="7" t="s">
        <v>323</v>
      </c>
      <c r="F2804" s="7" t="s">
        <v>422</v>
      </c>
      <c r="G2804" s="7" t="s">
        <v>18</v>
      </c>
      <c r="H2804" s="7" t="s">
        <v>689</v>
      </c>
      <c r="I2804" s="7" t="s">
        <v>712</v>
      </c>
      <c r="J2804" s="7" t="s">
        <v>712</v>
      </c>
      <c r="K2804" s="8">
        <v>7952329</v>
      </c>
      <c r="L2804" s="8">
        <v>371520</v>
      </c>
      <c r="M2804" s="8">
        <v>19</v>
      </c>
      <c r="N2804" s="8">
        <v>1</v>
      </c>
      <c r="O2804" s="8">
        <v>0.01</v>
      </c>
      <c r="P2804" s="8"/>
    </row>
    <row r="2805" spans="1:16" hidden="1" x14ac:dyDescent="0.25">
      <c r="A2805" s="7" t="s">
        <v>14</v>
      </c>
      <c r="B2805" s="7" t="s">
        <v>415</v>
      </c>
      <c r="C2805" s="8">
        <v>29918</v>
      </c>
      <c r="D2805" s="7" t="s">
        <v>322</v>
      </c>
      <c r="E2805" s="7" t="s">
        <v>323</v>
      </c>
      <c r="F2805" s="7" t="s">
        <v>422</v>
      </c>
      <c r="G2805" s="7" t="s">
        <v>18</v>
      </c>
      <c r="H2805" s="7" t="s">
        <v>689</v>
      </c>
      <c r="I2805" s="7" t="s">
        <v>712</v>
      </c>
      <c r="J2805" s="7" t="s">
        <v>712</v>
      </c>
      <c r="K2805" s="8">
        <v>7952808</v>
      </c>
      <c r="L2805" s="8">
        <v>370947</v>
      </c>
      <c r="M2805" s="8">
        <v>19</v>
      </c>
      <c r="N2805" s="8">
        <v>1</v>
      </c>
      <c r="O2805" s="8">
        <v>0.37</v>
      </c>
      <c r="P2805" s="8"/>
    </row>
    <row r="2806" spans="1:16" hidden="1" x14ac:dyDescent="0.25">
      <c r="A2806" s="7" t="s">
        <v>14</v>
      </c>
      <c r="B2806" s="7" t="s">
        <v>415</v>
      </c>
      <c r="C2806" s="8">
        <v>29919</v>
      </c>
      <c r="D2806" s="7" t="s">
        <v>322</v>
      </c>
      <c r="E2806" s="7" t="s">
        <v>323</v>
      </c>
      <c r="F2806" s="7" t="s">
        <v>422</v>
      </c>
      <c r="G2806" s="7" t="s">
        <v>18</v>
      </c>
      <c r="H2806" s="7" t="s">
        <v>689</v>
      </c>
      <c r="I2806" s="7" t="s">
        <v>712</v>
      </c>
      <c r="J2806" s="7" t="s">
        <v>712</v>
      </c>
      <c r="K2806" s="8">
        <v>7952895</v>
      </c>
      <c r="L2806" s="8">
        <v>370953</v>
      </c>
      <c r="M2806" s="8">
        <v>19</v>
      </c>
      <c r="N2806" s="8">
        <v>1</v>
      </c>
      <c r="O2806" s="8">
        <v>0.03</v>
      </c>
      <c r="P2806" s="8"/>
    </row>
    <row r="2807" spans="1:16" hidden="1" x14ac:dyDescent="0.25">
      <c r="A2807" s="7" t="s">
        <v>14</v>
      </c>
      <c r="B2807" s="7" t="s">
        <v>415</v>
      </c>
      <c r="C2807" s="8">
        <v>29920</v>
      </c>
      <c r="D2807" s="7" t="s">
        <v>322</v>
      </c>
      <c r="E2807" s="7" t="s">
        <v>323</v>
      </c>
      <c r="F2807" s="7" t="s">
        <v>422</v>
      </c>
      <c r="G2807" s="7" t="s">
        <v>18</v>
      </c>
      <c r="H2807" s="7" t="s">
        <v>689</v>
      </c>
      <c r="I2807" s="7" t="s">
        <v>712</v>
      </c>
      <c r="J2807" s="7" t="s">
        <v>712</v>
      </c>
      <c r="K2807" s="8">
        <v>7952813</v>
      </c>
      <c r="L2807" s="8">
        <v>370937</v>
      </c>
      <c r="M2807" s="8">
        <v>19</v>
      </c>
      <c r="N2807" s="8">
        <v>1</v>
      </c>
      <c r="O2807" s="8">
        <v>0.03</v>
      </c>
      <c r="P2807" s="8"/>
    </row>
    <row r="2808" spans="1:16" hidden="1" x14ac:dyDescent="0.25">
      <c r="A2808" s="7" t="s">
        <v>14</v>
      </c>
      <c r="B2808" s="7" t="s">
        <v>415</v>
      </c>
      <c r="C2808" s="8">
        <v>29921</v>
      </c>
      <c r="D2808" s="7" t="s">
        <v>322</v>
      </c>
      <c r="E2808" s="7" t="s">
        <v>323</v>
      </c>
      <c r="F2808" s="7" t="s">
        <v>422</v>
      </c>
      <c r="G2808" s="7" t="s">
        <v>18</v>
      </c>
      <c r="H2808" s="7" t="s">
        <v>689</v>
      </c>
      <c r="I2808" s="7" t="s">
        <v>712</v>
      </c>
      <c r="J2808" s="7" t="s">
        <v>712</v>
      </c>
      <c r="K2808" s="8">
        <v>7952804</v>
      </c>
      <c r="L2808" s="8">
        <v>370955</v>
      </c>
      <c r="M2808" s="8">
        <v>19</v>
      </c>
      <c r="N2808" s="8">
        <v>1</v>
      </c>
      <c r="O2808" s="8">
        <v>0.03</v>
      </c>
      <c r="P2808" s="8"/>
    </row>
    <row r="2809" spans="1:16" hidden="1" x14ac:dyDescent="0.25">
      <c r="A2809" s="7" t="s">
        <v>14</v>
      </c>
      <c r="B2809" s="7" t="s">
        <v>415</v>
      </c>
      <c r="C2809" s="8">
        <v>29959</v>
      </c>
      <c r="D2809" s="7" t="s">
        <v>322</v>
      </c>
      <c r="E2809" s="7" t="s">
        <v>323</v>
      </c>
      <c r="F2809" s="7" t="s">
        <v>422</v>
      </c>
      <c r="G2809" s="7" t="s">
        <v>18</v>
      </c>
      <c r="H2809" s="7" t="s">
        <v>689</v>
      </c>
      <c r="I2809" s="7" t="s">
        <v>712</v>
      </c>
      <c r="J2809" s="7" t="s">
        <v>712</v>
      </c>
      <c r="K2809" s="8">
        <v>7952717</v>
      </c>
      <c r="L2809" s="8">
        <v>371018</v>
      </c>
      <c r="M2809" s="8">
        <v>19</v>
      </c>
      <c r="N2809" s="8">
        <v>1</v>
      </c>
      <c r="O2809" s="8">
        <v>0.42</v>
      </c>
      <c r="P2809" s="8"/>
    </row>
    <row r="2810" spans="1:16" hidden="1" x14ac:dyDescent="0.25">
      <c r="A2810" s="7" t="s">
        <v>14</v>
      </c>
      <c r="B2810" s="7" t="s">
        <v>415</v>
      </c>
      <c r="C2810" s="8">
        <v>29963</v>
      </c>
      <c r="D2810" s="7" t="s">
        <v>322</v>
      </c>
      <c r="E2810" s="7" t="s">
        <v>323</v>
      </c>
      <c r="F2810" s="7" t="s">
        <v>422</v>
      </c>
      <c r="G2810" s="7" t="s">
        <v>18</v>
      </c>
      <c r="H2810" s="7" t="s">
        <v>689</v>
      </c>
      <c r="I2810" s="7" t="s">
        <v>712</v>
      </c>
      <c r="J2810" s="7" t="s">
        <v>712</v>
      </c>
      <c r="K2810" s="8">
        <v>7952743</v>
      </c>
      <c r="L2810" s="8">
        <v>370958</v>
      </c>
      <c r="M2810" s="8">
        <v>19</v>
      </c>
      <c r="N2810" s="8">
        <v>1</v>
      </c>
      <c r="O2810" s="8">
        <v>0.02</v>
      </c>
      <c r="P2810" s="8"/>
    </row>
    <row r="2811" spans="1:16" hidden="1" x14ac:dyDescent="0.25">
      <c r="A2811" s="7" t="s">
        <v>14</v>
      </c>
      <c r="B2811" s="7" t="s">
        <v>415</v>
      </c>
      <c r="C2811" s="8">
        <v>29986</v>
      </c>
      <c r="D2811" s="7" t="s">
        <v>322</v>
      </c>
      <c r="E2811" s="7" t="s">
        <v>323</v>
      </c>
      <c r="F2811" s="7" t="s">
        <v>422</v>
      </c>
      <c r="G2811" s="7" t="s">
        <v>18</v>
      </c>
      <c r="H2811" s="7" t="s">
        <v>689</v>
      </c>
      <c r="I2811" s="7" t="s">
        <v>712</v>
      </c>
      <c r="J2811" s="7" t="s">
        <v>712</v>
      </c>
      <c r="K2811" s="8">
        <v>7953302</v>
      </c>
      <c r="L2811" s="8">
        <v>366197</v>
      </c>
      <c r="M2811" s="8">
        <v>19</v>
      </c>
      <c r="N2811" s="8">
        <v>1</v>
      </c>
      <c r="O2811" s="8">
        <v>0.09</v>
      </c>
      <c r="P2811" s="8"/>
    </row>
    <row r="2812" spans="1:16" hidden="1" x14ac:dyDescent="0.25">
      <c r="A2812" s="7" t="s">
        <v>14</v>
      </c>
      <c r="B2812" s="7" t="s">
        <v>415</v>
      </c>
      <c r="C2812" s="8">
        <v>29996</v>
      </c>
      <c r="D2812" s="7" t="s">
        <v>322</v>
      </c>
      <c r="E2812" s="7" t="s">
        <v>323</v>
      </c>
      <c r="F2812" s="7" t="s">
        <v>422</v>
      </c>
      <c r="G2812" s="7" t="s">
        <v>18</v>
      </c>
      <c r="H2812" s="7" t="s">
        <v>689</v>
      </c>
      <c r="I2812" s="7" t="s">
        <v>712</v>
      </c>
      <c r="J2812" s="7" t="s">
        <v>712</v>
      </c>
      <c r="K2812" s="8">
        <v>7952380</v>
      </c>
      <c r="L2812" s="8">
        <v>371505</v>
      </c>
      <c r="M2812" s="8">
        <v>19</v>
      </c>
      <c r="N2812" s="8">
        <v>1</v>
      </c>
      <c r="O2812" s="8">
        <v>0.08</v>
      </c>
      <c r="P2812" s="8"/>
    </row>
    <row r="2813" spans="1:16" hidden="1" x14ac:dyDescent="0.25">
      <c r="A2813" s="7" t="s">
        <v>14</v>
      </c>
      <c r="B2813" s="7" t="s">
        <v>415</v>
      </c>
      <c r="C2813" s="8">
        <v>29997</v>
      </c>
      <c r="D2813" s="7" t="s">
        <v>322</v>
      </c>
      <c r="E2813" s="7" t="s">
        <v>323</v>
      </c>
      <c r="F2813" s="7" t="s">
        <v>422</v>
      </c>
      <c r="G2813" s="7" t="s">
        <v>18</v>
      </c>
      <c r="H2813" s="7" t="s">
        <v>689</v>
      </c>
      <c r="I2813" s="7" t="s">
        <v>712</v>
      </c>
      <c r="J2813" s="7" t="s">
        <v>712</v>
      </c>
      <c r="K2813" s="8">
        <v>7953302</v>
      </c>
      <c r="L2813" s="8">
        <v>366197</v>
      </c>
      <c r="M2813" s="8">
        <v>19</v>
      </c>
      <c r="N2813" s="8">
        <v>1</v>
      </c>
      <c r="O2813" s="8">
        <v>0.06</v>
      </c>
      <c r="P2813" s="8"/>
    </row>
    <row r="2814" spans="1:16" x14ac:dyDescent="0.25">
      <c r="A2814" s="7" t="s">
        <v>14</v>
      </c>
      <c r="B2814" s="7" t="s">
        <v>713</v>
      </c>
      <c r="C2814" s="8">
        <v>30003</v>
      </c>
      <c r="D2814" s="7" t="s">
        <v>322</v>
      </c>
      <c r="E2814" s="7" t="s">
        <v>323</v>
      </c>
      <c r="F2814" s="7" t="s">
        <v>323</v>
      </c>
      <c r="G2814" s="7" t="s">
        <v>65</v>
      </c>
      <c r="H2814" s="7" t="s">
        <v>689</v>
      </c>
      <c r="I2814" s="7" t="s">
        <v>712</v>
      </c>
      <c r="J2814" s="7" t="s">
        <v>712</v>
      </c>
      <c r="K2814" s="8">
        <v>7949518</v>
      </c>
      <c r="L2814" s="8">
        <v>379794</v>
      </c>
      <c r="M2814" s="8">
        <v>19</v>
      </c>
      <c r="N2814" s="8">
        <v>1</v>
      </c>
      <c r="O2814" s="8">
        <v>0.02</v>
      </c>
      <c r="P2814" s="8"/>
    </row>
    <row r="2815" spans="1:16" hidden="1" x14ac:dyDescent="0.25">
      <c r="A2815" s="7" t="s">
        <v>14</v>
      </c>
      <c r="B2815" s="7" t="s">
        <v>415</v>
      </c>
      <c r="C2815" s="8">
        <v>30069</v>
      </c>
      <c r="D2815" s="7" t="s">
        <v>322</v>
      </c>
      <c r="E2815" s="7" t="s">
        <v>323</v>
      </c>
      <c r="F2815" s="7" t="s">
        <v>422</v>
      </c>
      <c r="G2815" s="7" t="s">
        <v>18</v>
      </c>
      <c r="H2815" s="7" t="s">
        <v>689</v>
      </c>
      <c r="I2815" s="7" t="s">
        <v>712</v>
      </c>
      <c r="J2815" s="7" t="s">
        <v>712</v>
      </c>
      <c r="K2815" s="8">
        <v>7952717</v>
      </c>
      <c r="L2815" s="8">
        <v>371125</v>
      </c>
      <c r="M2815" s="8">
        <v>19</v>
      </c>
      <c r="N2815" s="8">
        <v>1</v>
      </c>
      <c r="O2815" s="8">
        <v>0.05</v>
      </c>
      <c r="P2815" s="8"/>
    </row>
    <row r="2816" spans="1:16" hidden="1" x14ac:dyDescent="0.25">
      <c r="A2816" s="7" t="s">
        <v>14</v>
      </c>
      <c r="B2816" s="7" t="s">
        <v>415</v>
      </c>
      <c r="C2816" s="8">
        <v>30072</v>
      </c>
      <c r="D2816" s="7" t="s">
        <v>322</v>
      </c>
      <c r="E2816" s="7" t="s">
        <v>323</v>
      </c>
      <c r="F2816" s="7" t="s">
        <v>422</v>
      </c>
      <c r="G2816" s="7" t="s">
        <v>18</v>
      </c>
      <c r="H2816" s="7" t="s">
        <v>689</v>
      </c>
      <c r="I2816" s="7" t="s">
        <v>712</v>
      </c>
      <c r="J2816" s="7" t="s">
        <v>712</v>
      </c>
      <c r="K2816" s="8">
        <v>7952848</v>
      </c>
      <c r="L2816" s="8">
        <v>370878</v>
      </c>
      <c r="M2816" s="8">
        <v>19</v>
      </c>
      <c r="N2816" s="8">
        <v>1</v>
      </c>
      <c r="O2816" s="8">
        <v>0.11</v>
      </c>
      <c r="P2816" s="8"/>
    </row>
    <row r="2817" spans="1:16" hidden="1" x14ac:dyDescent="0.25">
      <c r="A2817" s="7" t="s">
        <v>14</v>
      </c>
      <c r="B2817" s="7" t="s">
        <v>415</v>
      </c>
      <c r="C2817" s="8">
        <v>30076</v>
      </c>
      <c r="D2817" s="7" t="s">
        <v>322</v>
      </c>
      <c r="E2817" s="7" t="s">
        <v>323</v>
      </c>
      <c r="F2817" s="7" t="s">
        <v>422</v>
      </c>
      <c r="G2817" s="7" t="s">
        <v>18</v>
      </c>
      <c r="H2817" s="7" t="s">
        <v>689</v>
      </c>
      <c r="I2817" s="7" t="s">
        <v>712</v>
      </c>
      <c r="J2817" s="7" t="s">
        <v>712</v>
      </c>
      <c r="K2817" s="8">
        <v>7952848</v>
      </c>
      <c r="L2817" s="8">
        <v>370878</v>
      </c>
      <c r="M2817" s="8">
        <v>19</v>
      </c>
      <c r="N2817" s="8">
        <v>1</v>
      </c>
      <c r="O2817" s="8">
        <v>0.11</v>
      </c>
      <c r="P2817" s="8"/>
    </row>
    <row r="2818" spans="1:16" hidden="1" x14ac:dyDescent="0.25">
      <c r="A2818" s="7" t="s">
        <v>14</v>
      </c>
      <c r="B2818" s="7" t="s">
        <v>415</v>
      </c>
      <c r="C2818" s="8">
        <v>30080</v>
      </c>
      <c r="D2818" s="7" t="s">
        <v>322</v>
      </c>
      <c r="E2818" s="7" t="s">
        <v>323</v>
      </c>
      <c r="F2818" s="7" t="s">
        <v>422</v>
      </c>
      <c r="G2818" s="7" t="s">
        <v>18</v>
      </c>
      <c r="H2818" s="7" t="s">
        <v>689</v>
      </c>
      <c r="I2818" s="7" t="s">
        <v>712</v>
      </c>
      <c r="J2818" s="7" t="s">
        <v>712</v>
      </c>
      <c r="K2818" s="8">
        <v>7952621</v>
      </c>
      <c r="L2818" s="8">
        <v>371120</v>
      </c>
      <c r="M2818" s="8">
        <v>19</v>
      </c>
      <c r="N2818" s="8">
        <v>1</v>
      </c>
      <c r="O2818" s="8">
        <v>0.01</v>
      </c>
      <c r="P2818" s="8"/>
    </row>
    <row r="2819" spans="1:16" hidden="1" x14ac:dyDescent="0.25">
      <c r="A2819" s="7" t="s">
        <v>14</v>
      </c>
      <c r="B2819" s="7" t="s">
        <v>415</v>
      </c>
      <c r="C2819" s="8">
        <v>30082</v>
      </c>
      <c r="D2819" s="7" t="s">
        <v>322</v>
      </c>
      <c r="E2819" s="7" t="s">
        <v>323</v>
      </c>
      <c r="F2819" s="7" t="s">
        <v>422</v>
      </c>
      <c r="G2819" s="7" t="s">
        <v>18</v>
      </c>
      <c r="H2819" s="7" t="s">
        <v>689</v>
      </c>
      <c r="I2819" s="7" t="s">
        <v>712</v>
      </c>
      <c r="J2819" s="7" t="s">
        <v>712</v>
      </c>
      <c r="K2819" s="8">
        <v>7952699</v>
      </c>
      <c r="L2819" s="8">
        <v>371145</v>
      </c>
      <c r="M2819" s="8">
        <v>19</v>
      </c>
      <c r="N2819" s="8">
        <v>1</v>
      </c>
      <c r="O2819" s="8">
        <v>0.01</v>
      </c>
      <c r="P2819" s="8"/>
    </row>
    <row r="2820" spans="1:16" hidden="1" x14ac:dyDescent="0.25">
      <c r="A2820" s="7" t="s">
        <v>14</v>
      </c>
      <c r="B2820" s="7" t="s">
        <v>415</v>
      </c>
      <c r="C2820" s="8">
        <v>30091</v>
      </c>
      <c r="D2820" s="7" t="s">
        <v>322</v>
      </c>
      <c r="E2820" s="7" t="s">
        <v>323</v>
      </c>
      <c r="F2820" s="7" t="s">
        <v>422</v>
      </c>
      <c r="G2820" s="7" t="s">
        <v>18</v>
      </c>
      <c r="H2820" s="7" t="s">
        <v>689</v>
      </c>
      <c r="I2820" s="7" t="s">
        <v>712</v>
      </c>
      <c r="J2820" s="7" t="s">
        <v>712</v>
      </c>
      <c r="K2820" s="8">
        <v>7952816</v>
      </c>
      <c r="L2820" s="8">
        <v>370929</v>
      </c>
      <c r="M2820" s="8">
        <v>19</v>
      </c>
      <c r="N2820" s="8">
        <v>1</v>
      </c>
      <c r="O2820" s="8">
        <v>0.04</v>
      </c>
      <c r="P2820" s="8"/>
    </row>
    <row r="2821" spans="1:16" hidden="1" x14ac:dyDescent="0.25">
      <c r="A2821" s="7" t="s">
        <v>14</v>
      </c>
      <c r="B2821" s="7" t="s">
        <v>415</v>
      </c>
      <c r="C2821" s="8">
        <v>30092</v>
      </c>
      <c r="D2821" s="7" t="s">
        <v>322</v>
      </c>
      <c r="E2821" s="7" t="s">
        <v>323</v>
      </c>
      <c r="F2821" s="7" t="s">
        <v>422</v>
      </c>
      <c r="G2821" s="7" t="s">
        <v>18</v>
      </c>
      <c r="H2821" s="7" t="s">
        <v>689</v>
      </c>
      <c r="I2821" s="7" t="s">
        <v>712</v>
      </c>
      <c r="J2821" s="7" t="s">
        <v>712</v>
      </c>
      <c r="K2821" s="8">
        <v>7952835</v>
      </c>
      <c r="L2821" s="8">
        <v>370888</v>
      </c>
      <c r="M2821" s="8">
        <v>19</v>
      </c>
      <c r="N2821" s="8">
        <v>1</v>
      </c>
      <c r="O2821" s="8">
        <v>0.01</v>
      </c>
      <c r="P2821" s="8"/>
    </row>
    <row r="2822" spans="1:16" hidden="1" x14ac:dyDescent="0.25">
      <c r="A2822" s="7" t="s">
        <v>14</v>
      </c>
      <c r="B2822" s="7" t="s">
        <v>415</v>
      </c>
      <c r="C2822" s="8">
        <v>30097</v>
      </c>
      <c r="D2822" s="7" t="s">
        <v>322</v>
      </c>
      <c r="E2822" s="7" t="s">
        <v>323</v>
      </c>
      <c r="F2822" s="7" t="s">
        <v>422</v>
      </c>
      <c r="G2822" s="7" t="s">
        <v>18</v>
      </c>
      <c r="H2822" s="7" t="s">
        <v>689</v>
      </c>
      <c r="I2822" s="7" t="s">
        <v>712</v>
      </c>
      <c r="J2822" s="7" t="s">
        <v>712</v>
      </c>
      <c r="K2822" s="8">
        <v>7952698</v>
      </c>
      <c r="L2822" s="8">
        <v>371155</v>
      </c>
      <c r="M2822" s="8">
        <v>19</v>
      </c>
      <c r="N2822" s="8">
        <v>1</v>
      </c>
      <c r="O2822" s="8">
        <v>0.16</v>
      </c>
      <c r="P2822" s="8"/>
    </row>
    <row r="2823" spans="1:16" hidden="1" x14ac:dyDescent="0.25">
      <c r="A2823" s="7" t="s">
        <v>14</v>
      </c>
      <c r="B2823" s="7" t="s">
        <v>415</v>
      </c>
      <c r="C2823" s="8">
        <v>30102</v>
      </c>
      <c r="D2823" s="7" t="s">
        <v>322</v>
      </c>
      <c r="E2823" s="7" t="s">
        <v>323</v>
      </c>
      <c r="F2823" s="7" t="s">
        <v>422</v>
      </c>
      <c r="G2823" s="7" t="s">
        <v>18</v>
      </c>
      <c r="H2823" s="7" t="s">
        <v>689</v>
      </c>
      <c r="I2823" s="7" t="s">
        <v>712</v>
      </c>
      <c r="J2823" s="7" t="s">
        <v>712</v>
      </c>
      <c r="K2823" s="8">
        <v>7952662</v>
      </c>
      <c r="L2823" s="8">
        <v>371074</v>
      </c>
      <c r="M2823" s="8">
        <v>19</v>
      </c>
      <c r="N2823" s="8">
        <v>1</v>
      </c>
      <c r="O2823" s="8">
        <v>0.06</v>
      </c>
      <c r="P2823" s="8"/>
    </row>
    <row r="2824" spans="1:16" hidden="1" x14ac:dyDescent="0.25">
      <c r="A2824" s="7" t="s">
        <v>14</v>
      </c>
      <c r="B2824" s="7" t="s">
        <v>415</v>
      </c>
      <c r="C2824" s="8">
        <v>30178</v>
      </c>
      <c r="D2824" s="7" t="s">
        <v>322</v>
      </c>
      <c r="E2824" s="7" t="s">
        <v>323</v>
      </c>
      <c r="F2824" s="7" t="s">
        <v>422</v>
      </c>
      <c r="G2824" s="7" t="s">
        <v>18</v>
      </c>
      <c r="H2824" s="7" t="s">
        <v>689</v>
      </c>
      <c r="I2824" s="7" t="s">
        <v>712</v>
      </c>
      <c r="J2824" s="7" t="s">
        <v>712</v>
      </c>
      <c r="K2824" s="8">
        <v>7952698</v>
      </c>
      <c r="L2824" s="8">
        <v>371135</v>
      </c>
      <c r="M2824" s="8">
        <v>19</v>
      </c>
      <c r="N2824" s="8">
        <v>1</v>
      </c>
      <c r="O2824" s="8">
        <v>0.08</v>
      </c>
      <c r="P2824" s="8"/>
    </row>
    <row r="2825" spans="1:16" hidden="1" x14ac:dyDescent="0.25">
      <c r="A2825" s="7" t="s">
        <v>14</v>
      </c>
      <c r="B2825" s="7" t="s">
        <v>415</v>
      </c>
      <c r="C2825" s="8">
        <v>30317</v>
      </c>
      <c r="D2825" s="7" t="s">
        <v>322</v>
      </c>
      <c r="E2825" s="7" t="s">
        <v>323</v>
      </c>
      <c r="F2825" s="7" t="s">
        <v>422</v>
      </c>
      <c r="G2825" s="7" t="s">
        <v>18</v>
      </c>
      <c r="H2825" s="7" t="s">
        <v>689</v>
      </c>
      <c r="I2825" s="7" t="s">
        <v>712</v>
      </c>
      <c r="J2825" s="7" t="s">
        <v>712</v>
      </c>
      <c r="K2825" s="8">
        <v>7952694</v>
      </c>
      <c r="L2825" s="8">
        <v>371143</v>
      </c>
      <c r="M2825" s="8">
        <v>19</v>
      </c>
      <c r="N2825" s="8">
        <v>1</v>
      </c>
      <c r="O2825" s="8">
        <v>0.02</v>
      </c>
      <c r="P2825" s="8"/>
    </row>
    <row r="2826" spans="1:16" hidden="1" x14ac:dyDescent="0.25">
      <c r="A2826" s="7" t="s">
        <v>14</v>
      </c>
      <c r="B2826" s="7" t="s">
        <v>415</v>
      </c>
      <c r="C2826" s="8">
        <v>30399</v>
      </c>
      <c r="D2826" s="7" t="s">
        <v>322</v>
      </c>
      <c r="E2826" s="7" t="s">
        <v>323</v>
      </c>
      <c r="F2826" s="7" t="s">
        <v>422</v>
      </c>
      <c r="G2826" s="7" t="s">
        <v>18</v>
      </c>
      <c r="H2826" s="7" t="s">
        <v>689</v>
      </c>
      <c r="I2826" s="7" t="s">
        <v>712</v>
      </c>
      <c r="J2826" s="7" t="s">
        <v>712</v>
      </c>
      <c r="K2826" s="8">
        <v>7952717</v>
      </c>
      <c r="L2826" s="8">
        <v>371018</v>
      </c>
      <c r="M2826" s="8">
        <v>19</v>
      </c>
      <c r="N2826" s="8">
        <v>1</v>
      </c>
      <c r="O2826" s="8">
        <v>7.0000000000000007E-2</v>
      </c>
      <c r="P2826" s="8"/>
    </row>
    <row r="2827" spans="1:16" hidden="1" x14ac:dyDescent="0.25">
      <c r="A2827" s="7" t="s">
        <v>14</v>
      </c>
      <c r="B2827" s="7" t="s">
        <v>415</v>
      </c>
      <c r="C2827" s="8">
        <v>30431</v>
      </c>
      <c r="D2827" s="7" t="s">
        <v>322</v>
      </c>
      <c r="E2827" s="7" t="s">
        <v>323</v>
      </c>
      <c r="F2827" s="7" t="s">
        <v>422</v>
      </c>
      <c r="G2827" s="7" t="s">
        <v>18</v>
      </c>
      <c r="H2827" s="7" t="s">
        <v>689</v>
      </c>
      <c r="I2827" s="7" t="s">
        <v>712</v>
      </c>
      <c r="J2827" s="7" t="s">
        <v>712</v>
      </c>
      <c r="K2827" s="8">
        <v>7952848</v>
      </c>
      <c r="L2827" s="8">
        <v>370878</v>
      </c>
      <c r="M2827" s="8">
        <v>19</v>
      </c>
      <c r="N2827" s="8">
        <v>1</v>
      </c>
      <c r="O2827" s="8">
        <v>0.01</v>
      </c>
      <c r="P2827" s="8"/>
    </row>
    <row r="2828" spans="1:16" hidden="1" x14ac:dyDescent="0.25">
      <c r="A2828" s="7" t="s">
        <v>14</v>
      </c>
      <c r="B2828" s="7" t="s">
        <v>415</v>
      </c>
      <c r="C2828" s="8">
        <v>30897</v>
      </c>
      <c r="D2828" s="7" t="s">
        <v>322</v>
      </c>
      <c r="E2828" s="7" t="s">
        <v>323</v>
      </c>
      <c r="F2828" s="7" t="s">
        <v>422</v>
      </c>
      <c r="G2828" s="7" t="s">
        <v>18</v>
      </c>
      <c r="H2828" s="7" t="s">
        <v>689</v>
      </c>
      <c r="I2828" s="7" t="s">
        <v>712</v>
      </c>
      <c r="J2828" s="7" t="s">
        <v>712</v>
      </c>
      <c r="K2828" s="8">
        <v>7952848</v>
      </c>
      <c r="L2828" s="8">
        <v>370878</v>
      </c>
      <c r="M2828" s="8">
        <v>19</v>
      </c>
      <c r="N2828" s="8">
        <v>1</v>
      </c>
      <c r="O2828" s="8">
        <v>0.01</v>
      </c>
      <c r="P2828" s="8"/>
    </row>
    <row r="2829" spans="1:16" hidden="1" x14ac:dyDescent="0.25">
      <c r="A2829" s="7" t="s">
        <v>14</v>
      </c>
      <c r="B2829" s="7" t="s">
        <v>415</v>
      </c>
      <c r="C2829" s="8">
        <v>30916</v>
      </c>
      <c r="D2829" s="7" t="s">
        <v>322</v>
      </c>
      <c r="E2829" s="7" t="s">
        <v>323</v>
      </c>
      <c r="F2829" s="7" t="s">
        <v>422</v>
      </c>
      <c r="G2829" s="7" t="s">
        <v>65</v>
      </c>
      <c r="H2829" s="7" t="s">
        <v>689</v>
      </c>
      <c r="I2829" s="7" t="s">
        <v>712</v>
      </c>
      <c r="J2829" s="7" t="s">
        <v>712</v>
      </c>
      <c r="K2829" s="8">
        <v>7949646</v>
      </c>
      <c r="L2829" s="8">
        <v>378317</v>
      </c>
      <c r="M2829" s="8">
        <v>19</v>
      </c>
      <c r="N2829" s="8">
        <v>3</v>
      </c>
      <c r="O2829" s="8">
        <v>0.03</v>
      </c>
      <c r="P2829" s="8"/>
    </row>
    <row r="2830" spans="1:16" hidden="1" x14ac:dyDescent="0.25">
      <c r="A2830" s="7" t="s">
        <v>14</v>
      </c>
      <c r="B2830" s="7" t="s">
        <v>415</v>
      </c>
      <c r="C2830" s="8">
        <v>30931</v>
      </c>
      <c r="D2830" s="7" t="s">
        <v>322</v>
      </c>
      <c r="E2830" s="7" t="s">
        <v>323</v>
      </c>
      <c r="F2830" s="7" t="s">
        <v>422</v>
      </c>
      <c r="G2830" s="7" t="s">
        <v>18</v>
      </c>
      <c r="H2830" s="7" t="s">
        <v>689</v>
      </c>
      <c r="I2830" s="7" t="s">
        <v>712</v>
      </c>
      <c r="J2830" s="7" t="s">
        <v>712</v>
      </c>
      <c r="K2830" s="8">
        <v>7952848</v>
      </c>
      <c r="L2830" s="8">
        <v>370878</v>
      </c>
      <c r="M2830" s="8">
        <v>19</v>
      </c>
      <c r="N2830" s="8">
        <v>1</v>
      </c>
      <c r="O2830" s="8">
        <v>0.02</v>
      </c>
      <c r="P2830" s="8"/>
    </row>
    <row r="2831" spans="1:16" hidden="1" x14ac:dyDescent="0.25">
      <c r="A2831" s="7" t="s">
        <v>14</v>
      </c>
      <c r="B2831" s="7" t="s">
        <v>415</v>
      </c>
      <c r="C2831" s="8">
        <v>33150</v>
      </c>
      <c r="D2831" s="7" t="s">
        <v>322</v>
      </c>
      <c r="E2831" s="7" t="s">
        <v>323</v>
      </c>
      <c r="F2831" s="7" t="s">
        <v>422</v>
      </c>
      <c r="G2831" s="7" t="s">
        <v>65</v>
      </c>
      <c r="H2831" s="7" t="s">
        <v>689</v>
      </c>
      <c r="I2831" s="7" t="s">
        <v>712</v>
      </c>
      <c r="J2831" s="7" t="s">
        <v>712</v>
      </c>
      <c r="K2831" s="8">
        <v>7949646</v>
      </c>
      <c r="L2831" s="8">
        <v>378317</v>
      </c>
      <c r="M2831" s="8">
        <v>19</v>
      </c>
      <c r="N2831" s="8">
        <v>3</v>
      </c>
      <c r="O2831" s="8">
        <v>0.03</v>
      </c>
      <c r="P2831" s="8"/>
    </row>
    <row r="2832" spans="1:16" hidden="1" x14ac:dyDescent="0.25">
      <c r="A2832" s="7" t="s">
        <v>14</v>
      </c>
      <c r="B2832" s="7" t="s">
        <v>243</v>
      </c>
      <c r="C2832" s="8">
        <v>39900</v>
      </c>
      <c r="D2832" s="7" t="s">
        <v>28</v>
      </c>
      <c r="E2832" s="7" t="s">
        <v>135</v>
      </c>
      <c r="F2832" s="7" t="s">
        <v>79</v>
      </c>
      <c r="G2832" s="7" t="s">
        <v>703</v>
      </c>
      <c r="H2832" s="7" t="s">
        <v>704</v>
      </c>
      <c r="I2832" s="7" t="s">
        <v>690</v>
      </c>
      <c r="J2832" s="7" t="s">
        <v>705</v>
      </c>
      <c r="K2832" s="8">
        <v>6284107</v>
      </c>
      <c r="L2832" s="8">
        <v>349529</v>
      </c>
      <c r="M2832" s="8">
        <v>19</v>
      </c>
      <c r="N2832" s="8">
        <v>1</v>
      </c>
      <c r="O2832" s="8">
        <v>1</v>
      </c>
      <c r="P2832" s="8"/>
    </row>
    <row r="2833" spans="1:10" x14ac:dyDescent="0.25">
      <c r="A2833" s="3"/>
      <c r="B2833" s="3"/>
      <c r="D2833" s="3"/>
      <c r="E2833" s="3"/>
      <c r="F2833" s="3"/>
      <c r="G2833" s="3"/>
      <c r="H2833" s="3"/>
      <c r="I2833" s="3"/>
      <c r="J2833" s="3"/>
    </row>
    <row r="2834" spans="1:10" ht="15" customHeight="1" x14ac:dyDescent="0.25">
      <c r="A2834" s="10" t="s">
        <v>687</v>
      </c>
      <c r="B2834" s="10"/>
      <c r="C2834" s="10"/>
      <c r="D2834" s="10"/>
      <c r="E2834" s="10"/>
      <c r="I2834" s="9" t="s">
        <v>706</v>
      </c>
    </row>
    <row r="2835" spans="1:10" x14ac:dyDescent="0.25">
      <c r="A2835" s="10"/>
      <c r="B2835" s="10"/>
      <c r="C2835" s="10"/>
      <c r="D2835" s="10"/>
      <c r="E2835" s="10"/>
    </row>
  </sheetData>
  <autoFilter ref="A6:P2832">
    <filterColumn colId="1">
      <filters>
        <filter val="SYT"/>
      </filters>
    </filterColumn>
  </autoFilter>
  <sortState ref="A7:R2870">
    <sortCondition ref="C7:C2870"/>
  </sortState>
  <mergeCells count="1">
    <mergeCell ref="A2834:E2835"/>
  </mergeCells>
  <pageMargins left="0.75" right="0.75" top="1" bottom="1" header="0.5" footer="0.5"/>
  <pageSetup orientation="portrait" r:id="rId1"/>
  <customProperties>
    <customPr name="DVSECTIONID" r:id="rId2"/>
  </customProperties>
  <drawing r:id="rId3"/>
  <legacyDrawing r:id="rId4"/>
  <controls>
    <mc:AlternateContent xmlns:mc="http://schemas.openxmlformats.org/markup-compatibility/2006">
      <mc:Choice Requires="x14">
        <control shapeId="1025" r:id="rId5" name="Control 1">
          <controlPr defaultSize="0" r:id="rId6">
            <anchor moveWithCells="1">
              <from>
                <xdr:col>0</xdr:col>
                <xdr:colOff>0</xdr:colOff>
                <xdr:row>0</xdr:row>
                <xdr:rowOff>0</xdr:rowOff>
              </from>
              <to>
                <xdr:col>0</xdr:col>
                <xdr:colOff>819150</xdr:colOff>
                <xdr:row>1</xdr:row>
                <xdr:rowOff>19050</xdr:rowOff>
              </to>
            </anchor>
          </controlPr>
        </control>
      </mc:Choice>
      <mc:Fallback>
        <control shapeId="1025" r:id="rId5" name="Control 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9:G119"/>
  <sheetViews>
    <sheetView workbookViewId="0">
      <selection activeCell="C6" sqref="C6"/>
    </sheetView>
  </sheetViews>
  <sheetFormatPr baseColWidth="10" defaultRowHeight="15" x14ac:dyDescent="0.25"/>
  <cols>
    <col min="1" max="1" width="12" bestFit="1" customWidth="1"/>
    <col min="2" max="2" width="16.28515625" bestFit="1" customWidth="1"/>
    <col min="3" max="3" width="12.28515625" bestFit="1" customWidth="1"/>
    <col min="4" max="4" width="57.85546875" bestFit="1" customWidth="1"/>
    <col min="5" max="5" width="21.28515625" bestFit="1" customWidth="1"/>
    <col min="6" max="6" width="28.42578125" bestFit="1" customWidth="1"/>
    <col min="7" max="7" width="67.85546875" bestFit="1" customWidth="1"/>
  </cols>
  <sheetData>
    <row r="9" spans="1:7" x14ac:dyDescent="0.25">
      <c r="A9" s="4" t="s">
        <v>660</v>
      </c>
      <c r="B9" s="4" t="s">
        <v>661</v>
      </c>
      <c r="C9" s="4" t="s">
        <v>693</v>
      </c>
      <c r="D9" s="4" t="s">
        <v>694</v>
      </c>
      <c r="E9" s="4" t="s">
        <v>662</v>
      </c>
      <c r="F9" s="4" t="s">
        <v>663</v>
      </c>
      <c r="G9" s="4" t="s">
        <v>664</v>
      </c>
    </row>
    <row r="10" spans="1:7" x14ac:dyDescent="0.25">
      <c r="A10" s="5">
        <v>29573</v>
      </c>
      <c r="B10" t="s">
        <v>18</v>
      </c>
      <c r="C10" t="s">
        <v>665</v>
      </c>
      <c r="D10" t="s">
        <v>695</v>
      </c>
      <c r="E10" t="s">
        <v>667</v>
      </c>
      <c r="F10" t="s">
        <v>139</v>
      </c>
      <c r="G10" t="s">
        <v>49</v>
      </c>
    </row>
    <row r="11" spans="1:7" x14ac:dyDescent="0.25">
      <c r="A11" s="5">
        <v>29573</v>
      </c>
      <c r="B11" t="s">
        <v>18</v>
      </c>
      <c r="C11" t="s">
        <v>665</v>
      </c>
      <c r="D11" t="s">
        <v>695</v>
      </c>
      <c r="E11" t="s">
        <v>667</v>
      </c>
      <c r="F11" t="s">
        <v>139</v>
      </c>
      <c r="G11" t="s">
        <v>40</v>
      </c>
    </row>
    <row r="12" spans="1:7" x14ac:dyDescent="0.25">
      <c r="A12" s="5">
        <v>29573</v>
      </c>
      <c r="B12" t="s">
        <v>18</v>
      </c>
      <c r="C12" t="s">
        <v>665</v>
      </c>
      <c r="D12" t="s">
        <v>695</v>
      </c>
      <c r="E12" t="s">
        <v>667</v>
      </c>
      <c r="F12" t="s">
        <v>139</v>
      </c>
      <c r="G12" t="s">
        <v>59</v>
      </c>
    </row>
    <row r="13" spans="1:7" x14ac:dyDescent="0.25">
      <c r="A13" s="5">
        <v>29540</v>
      </c>
      <c r="B13" t="s">
        <v>31</v>
      </c>
      <c r="C13" t="s">
        <v>665</v>
      </c>
      <c r="D13" t="s">
        <v>696</v>
      </c>
      <c r="E13" t="s">
        <v>668</v>
      </c>
      <c r="F13" t="s">
        <v>35</v>
      </c>
      <c r="G13" t="s">
        <v>669</v>
      </c>
    </row>
    <row r="14" spans="1:7" x14ac:dyDescent="0.25">
      <c r="A14" s="5">
        <v>29486</v>
      </c>
      <c r="B14" t="s">
        <v>43</v>
      </c>
      <c r="C14" t="s">
        <v>665</v>
      </c>
      <c r="D14" t="s">
        <v>198</v>
      </c>
      <c r="E14" t="s">
        <v>670</v>
      </c>
      <c r="F14" t="s">
        <v>240</v>
      </c>
      <c r="G14" t="s">
        <v>91</v>
      </c>
    </row>
    <row r="15" spans="1:7" x14ac:dyDescent="0.25">
      <c r="A15" s="5">
        <v>29485</v>
      </c>
      <c r="B15" t="s">
        <v>43</v>
      </c>
      <c r="C15" t="s">
        <v>665</v>
      </c>
      <c r="D15" t="s">
        <v>198</v>
      </c>
      <c r="E15" t="s">
        <v>670</v>
      </c>
      <c r="F15" t="s">
        <v>240</v>
      </c>
      <c r="G15" t="s">
        <v>91</v>
      </c>
    </row>
    <row r="16" spans="1:7" x14ac:dyDescent="0.25">
      <c r="A16" s="5">
        <v>29484</v>
      </c>
      <c r="B16" t="s">
        <v>31</v>
      </c>
      <c r="C16" t="s">
        <v>665</v>
      </c>
      <c r="D16" t="s">
        <v>696</v>
      </c>
      <c r="E16" t="s">
        <v>666</v>
      </c>
      <c r="F16" t="s">
        <v>32</v>
      </c>
      <c r="G16" t="s">
        <v>671</v>
      </c>
    </row>
    <row r="17" spans="1:7" x14ac:dyDescent="0.25">
      <c r="A17" s="5">
        <v>29346</v>
      </c>
      <c r="B17" t="s">
        <v>43</v>
      </c>
      <c r="C17" t="s">
        <v>665</v>
      </c>
      <c r="D17" t="s">
        <v>198</v>
      </c>
      <c r="E17" t="s">
        <v>670</v>
      </c>
      <c r="F17" t="s">
        <v>238</v>
      </c>
      <c r="G17" t="s">
        <v>91</v>
      </c>
    </row>
    <row r="18" spans="1:7" x14ac:dyDescent="0.25">
      <c r="A18" s="5">
        <v>29124</v>
      </c>
      <c r="B18" t="s">
        <v>18</v>
      </c>
      <c r="C18" t="s">
        <v>665</v>
      </c>
      <c r="D18" t="s">
        <v>697</v>
      </c>
      <c r="E18" t="s">
        <v>672</v>
      </c>
      <c r="F18" t="s">
        <v>253</v>
      </c>
      <c r="G18" t="s">
        <v>454</v>
      </c>
    </row>
    <row r="19" spans="1:7" x14ac:dyDescent="0.25">
      <c r="A19" s="5">
        <v>29124</v>
      </c>
      <c r="B19" t="s">
        <v>18</v>
      </c>
      <c r="C19" t="s">
        <v>665</v>
      </c>
      <c r="D19" t="s">
        <v>697</v>
      </c>
      <c r="E19" t="s">
        <v>672</v>
      </c>
      <c r="F19" t="s">
        <v>253</v>
      </c>
      <c r="G19" t="s">
        <v>126</v>
      </c>
    </row>
    <row r="20" spans="1:7" x14ac:dyDescent="0.25">
      <c r="A20" s="5">
        <v>29124</v>
      </c>
      <c r="B20" t="s">
        <v>18</v>
      </c>
      <c r="C20" t="s">
        <v>665</v>
      </c>
      <c r="D20" t="s">
        <v>697</v>
      </c>
      <c r="E20" t="s">
        <v>672</v>
      </c>
      <c r="F20" t="s">
        <v>253</v>
      </c>
      <c r="G20" t="s">
        <v>154</v>
      </c>
    </row>
    <row r="21" spans="1:7" x14ac:dyDescent="0.25">
      <c r="A21" s="5">
        <v>29124</v>
      </c>
      <c r="B21" t="s">
        <v>18</v>
      </c>
      <c r="C21" t="s">
        <v>665</v>
      </c>
      <c r="D21" t="s">
        <v>697</v>
      </c>
      <c r="E21" t="s">
        <v>672</v>
      </c>
      <c r="F21" t="s">
        <v>253</v>
      </c>
      <c r="G21" t="s">
        <v>310</v>
      </c>
    </row>
    <row r="22" spans="1:7" x14ac:dyDescent="0.25">
      <c r="A22" s="5">
        <v>29124</v>
      </c>
      <c r="B22" t="s">
        <v>18</v>
      </c>
      <c r="C22" t="s">
        <v>665</v>
      </c>
      <c r="D22" t="s">
        <v>697</v>
      </c>
      <c r="E22" t="s">
        <v>672</v>
      </c>
      <c r="F22" t="s">
        <v>253</v>
      </c>
      <c r="G22" t="s">
        <v>134</v>
      </c>
    </row>
    <row r="23" spans="1:7" x14ac:dyDescent="0.25">
      <c r="A23" s="5">
        <v>29124</v>
      </c>
      <c r="B23" t="s">
        <v>18</v>
      </c>
      <c r="C23" t="s">
        <v>665</v>
      </c>
      <c r="D23" t="s">
        <v>697</v>
      </c>
      <c r="E23" t="s">
        <v>672</v>
      </c>
      <c r="F23" t="s">
        <v>253</v>
      </c>
      <c r="G23" t="s">
        <v>129</v>
      </c>
    </row>
    <row r="24" spans="1:7" x14ac:dyDescent="0.25">
      <c r="A24" s="5">
        <v>29124</v>
      </c>
      <c r="B24" t="s">
        <v>18</v>
      </c>
      <c r="C24" t="s">
        <v>665</v>
      </c>
      <c r="D24" t="s">
        <v>697</v>
      </c>
      <c r="E24" t="s">
        <v>672</v>
      </c>
      <c r="F24" t="s">
        <v>253</v>
      </c>
      <c r="G24" t="s">
        <v>409</v>
      </c>
    </row>
    <row r="25" spans="1:7" x14ac:dyDescent="0.25">
      <c r="A25" s="5">
        <v>29124</v>
      </c>
      <c r="B25" t="s">
        <v>18</v>
      </c>
      <c r="C25" t="s">
        <v>665</v>
      </c>
      <c r="D25" t="s">
        <v>697</v>
      </c>
      <c r="E25" t="s">
        <v>672</v>
      </c>
      <c r="F25" t="s">
        <v>253</v>
      </c>
      <c r="G25" t="s">
        <v>311</v>
      </c>
    </row>
    <row r="26" spans="1:7" x14ac:dyDescent="0.25">
      <c r="A26" s="5">
        <v>29124</v>
      </c>
      <c r="B26" t="s">
        <v>18</v>
      </c>
      <c r="C26" t="s">
        <v>665</v>
      </c>
      <c r="D26" t="s">
        <v>697</v>
      </c>
      <c r="E26" t="s">
        <v>672</v>
      </c>
      <c r="F26" t="s">
        <v>253</v>
      </c>
      <c r="G26" t="s">
        <v>144</v>
      </c>
    </row>
    <row r="27" spans="1:7" x14ac:dyDescent="0.25">
      <c r="A27" s="5">
        <v>29124</v>
      </c>
      <c r="B27" t="s">
        <v>18</v>
      </c>
      <c r="C27" t="s">
        <v>665</v>
      </c>
      <c r="D27" t="s">
        <v>697</v>
      </c>
      <c r="E27" t="s">
        <v>672</v>
      </c>
      <c r="F27" t="s">
        <v>253</v>
      </c>
      <c r="G27" t="s">
        <v>673</v>
      </c>
    </row>
    <row r="28" spans="1:7" x14ac:dyDescent="0.25">
      <c r="A28" s="5">
        <v>29124</v>
      </c>
      <c r="B28" t="s">
        <v>18</v>
      </c>
      <c r="C28" t="s">
        <v>665</v>
      </c>
      <c r="D28" t="s">
        <v>697</v>
      </c>
      <c r="E28" t="s">
        <v>672</v>
      </c>
      <c r="F28" t="s">
        <v>253</v>
      </c>
      <c r="G28" t="s">
        <v>674</v>
      </c>
    </row>
    <row r="29" spans="1:7" x14ac:dyDescent="0.25">
      <c r="A29" s="5">
        <v>29124</v>
      </c>
      <c r="B29" t="s">
        <v>18</v>
      </c>
      <c r="C29" t="s">
        <v>665</v>
      </c>
      <c r="D29" t="s">
        <v>697</v>
      </c>
      <c r="E29" t="s">
        <v>672</v>
      </c>
      <c r="F29" t="s">
        <v>253</v>
      </c>
      <c r="G29" t="s">
        <v>675</v>
      </c>
    </row>
    <row r="30" spans="1:7" x14ac:dyDescent="0.25">
      <c r="A30" s="5">
        <v>29124</v>
      </c>
      <c r="B30" t="s">
        <v>18</v>
      </c>
      <c r="C30" t="s">
        <v>665</v>
      </c>
      <c r="D30" t="s">
        <v>697</v>
      </c>
      <c r="E30" t="s">
        <v>672</v>
      </c>
      <c r="F30" t="s">
        <v>253</v>
      </c>
      <c r="G30" t="s">
        <v>676</v>
      </c>
    </row>
    <row r="31" spans="1:7" x14ac:dyDescent="0.25">
      <c r="A31" s="5">
        <v>29124</v>
      </c>
      <c r="B31" t="s">
        <v>18</v>
      </c>
      <c r="C31" t="s">
        <v>665</v>
      </c>
      <c r="D31" t="s">
        <v>697</v>
      </c>
      <c r="E31" t="s">
        <v>672</v>
      </c>
      <c r="F31" t="s">
        <v>253</v>
      </c>
      <c r="G31" t="s">
        <v>677</v>
      </c>
    </row>
    <row r="32" spans="1:7" x14ac:dyDescent="0.25">
      <c r="A32" s="5">
        <v>29124</v>
      </c>
      <c r="B32" t="s">
        <v>18</v>
      </c>
      <c r="C32" t="s">
        <v>665</v>
      </c>
      <c r="D32" t="s">
        <v>697</v>
      </c>
      <c r="E32" t="s">
        <v>672</v>
      </c>
      <c r="F32" t="s">
        <v>253</v>
      </c>
      <c r="G32" t="s">
        <v>678</v>
      </c>
    </row>
    <row r="33" spans="1:7" x14ac:dyDescent="0.25">
      <c r="A33" s="5">
        <v>29124</v>
      </c>
      <c r="B33" t="s">
        <v>18</v>
      </c>
      <c r="C33" t="s">
        <v>665</v>
      </c>
      <c r="D33" t="s">
        <v>697</v>
      </c>
      <c r="E33" t="s">
        <v>672</v>
      </c>
      <c r="F33" t="s">
        <v>253</v>
      </c>
      <c r="G33" t="s">
        <v>679</v>
      </c>
    </row>
    <row r="34" spans="1:7" x14ac:dyDescent="0.25">
      <c r="A34" s="5">
        <v>29124</v>
      </c>
      <c r="B34" t="s">
        <v>18</v>
      </c>
      <c r="C34" t="s">
        <v>665</v>
      </c>
      <c r="D34" t="s">
        <v>697</v>
      </c>
      <c r="E34" t="s">
        <v>672</v>
      </c>
      <c r="F34" t="s">
        <v>253</v>
      </c>
      <c r="G34" t="s">
        <v>680</v>
      </c>
    </row>
    <row r="35" spans="1:7" x14ac:dyDescent="0.25">
      <c r="A35" s="5">
        <v>29124</v>
      </c>
      <c r="B35" t="s">
        <v>18</v>
      </c>
      <c r="C35" t="s">
        <v>665</v>
      </c>
      <c r="D35" t="s">
        <v>697</v>
      </c>
      <c r="E35" t="s">
        <v>672</v>
      </c>
      <c r="F35" t="s">
        <v>253</v>
      </c>
      <c r="G35" t="s">
        <v>681</v>
      </c>
    </row>
    <row r="36" spans="1:7" x14ac:dyDescent="0.25">
      <c r="A36" s="5">
        <v>29122</v>
      </c>
      <c r="B36" t="s">
        <v>65</v>
      </c>
      <c r="C36" t="s">
        <v>665</v>
      </c>
      <c r="D36" t="s">
        <v>697</v>
      </c>
      <c r="E36" t="s">
        <v>672</v>
      </c>
      <c r="F36" t="s">
        <v>251</v>
      </c>
      <c r="G36" t="s">
        <v>682</v>
      </c>
    </row>
    <row r="37" spans="1:7" x14ac:dyDescent="0.25">
      <c r="A37" s="5">
        <v>29121</v>
      </c>
      <c r="B37" t="s">
        <v>18</v>
      </c>
      <c r="C37" t="s">
        <v>665</v>
      </c>
      <c r="D37" t="s">
        <v>697</v>
      </c>
      <c r="E37" t="s">
        <v>672</v>
      </c>
      <c r="F37" t="s">
        <v>251</v>
      </c>
      <c r="G37" t="s">
        <v>126</v>
      </c>
    </row>
    <row r="38" spans="1:7" x14ac:dyDescent="0.25">
      <c r="A38" s="5">
        <v>29121</v>
      </c>
      <c r="B38" t="s">
        <v>18</v>
      </c>
      <c r="C38" t="s">
        <v>665</v>
      </c>
      <c r="D38" t="s">
        <v>697</v>
      </c>
      <c r="E38" t="s">
        <v>672</v>
      </c>
      <c r="F38" t="s">
        <v>251</v>
      </c>
      <c r="G38" t="s">
        <v>154</v>
      </c>
    </row>
    <row r="39" spans="1:7" x14ac:dyDescent="0.25">
      <c r="A39" s="5">
        <v>29121</v>
      </c>
      <c r="B39" t="s">
        <v>18</v>
      </c>
      <c r="C39" t="s">
        <v>665</v>
      </c>
      <c r="D39" t="s">
        <v>697</v>
      </c>
      <c r="E39" t="s">
        <v>672</v>
      </c>
      <c r="F39" t="s">
        <v>251</v>
      </c>
      <c r="G39" t="s">
        <v>129</v>
      </c>
    </row>
    <row r="40" spans="1:7" x14ac:dyDescent="0.25">
      <c r="A40" s="5">
        <v>29121</v>
      </c>
      <c r="B40" t="s">
        <v>18</v>
      </c>
      <c r="C40" t="s">
        <v>665</v>
      </c>
      <c r="D40" t="s">
        <v>697</v>
      </c>
      <c r="E40" t="s">
        <v>672</v>
      </c>
      <c r="F40" t="s">
        <v>251</v>
      </c>
      <c r="G40" t="s">
        <v>409</v>
      </c>
    </row>
    <row r="41" spans="1:7" x14ac:dyDescent="0.25">
      <c r="A41" s="5">
        <v>29121</v>
      </c>
      <c r="B41" t="s">
        <v>18</v>
      </c>
      <c r="C41" t="s">
        <v>665</v>
      </c>
      <c r="D41" t="s">
        <v>697</v>
      </c>
      <c r="E41" t="s">
        <v>672</v>
      </c>
      <c r="F41" t="s">
        <v>251</v>
      </c>
      <c r="G41" t="s">
        <v>131</v>
      </c>
    </row>
    <row r="42" spans="1:7" x14ac:dyDescent="0.25">
      <c r="A42" s="5">
        <v>29108</v>
      </c>
      <c r="B42" t="s">
        <v>43</v>
      </c>
      <c r="C42" t="s">
        <v>665</v>
      </c>
      <c r="D42" t="s">
        <v>698</v>
      </c>
      <c r="E42" t="s">
        <v>670</v>
      </c>
      <c r="F42" t="s">
        <v>406</v>
      </c>
      <c r="G42" t="s">
        <v>91</v>
      </c>
    </row>
    <row r="43" spans="1:7" x14ac:dyDescent="0.25">
      <c r="A43" s="5">
        <v>29107</v>
      </c>
      <c r="B43" t="s">
        <v>43</v>
      </c>
      <c r="C43" t="s">
        <v>665</v>
      </c>
      <c r="D43" t="s">
        <v>698</v>
      </c>
      <c r="E43" t="s">
        <v>670</v>
      </c>
      <c r="F43" t="s">
        <v>406</v>
      </c>
      <c r="G43" t="s">
        <v>91</v>
      </c>
    </row>
    <row r="44" spans="1:7" x14ac:dyDescent="0.25">
      <c r="A44" s="5">
        <v>29095</v>
      </c>
      <c r="B44" t="s">
        <v>43</v>
      </c>
      <c r="C44" t="s">
        <v>665</v>
      </c>
      <c r="D44" t="s">
        <v>698</v>
      </c>
      <c r="E44" t="s">
        <v>670</v>
      </c>
      <c r="F44" t="s">
        <v>406</v>
      </c>
      <c r="G44" t="s">
        <v>91</v>
      </c>
    </row>
    <row r="45" spans="1:7" x14ac:dyDescent="0.25">
      <c r="A45" s="5">
        <v>29081</v>
      </c>
      <c r="B45" t="s">
        <v>18</v>
      </c>
      <c r="C45" t="s">
        <v>665</v>
      </c>
      <c r="D45" t="s">
        <v>697</v>
      </c>
      <c r="E45" t="s">
        <v>672</v>
      </c>
      <c r="F45" t="s">
        <v>251</v>
      </c>
      <c r="G45" t="s">
        <v>154</v>
      </c>
    </row>
    <row r="46" spans="1:7" x14ac:dyDescent="0.25">
      <c r="A46" s="5">
        <v>29081</v>
      </c>
      <c r="B46" t="s">
        <v>18</v>
      </c>
      <c r="C46" t="s">
        <v>665</v>
      </c>
      <c r="D46" t="s">
        <v>697</v>
      </c>
      <c r="E46" t="s">
        <v>672</v>
      </c>
      <c r="F46" t="s">
        <v>251</v>
      </c>
      <c r="G46" t="s">
        <v>310</v>
      </c>
    </row>
    <row r="47" spans="1:7" x14ac:dyDescent="0.25">
      <c r="A47" s="5">
        <v>29081</v>
      </c>
      <c r="B47" t="s">
        <v>18</v>
      </c>
      <c r="C47" t="s">
        <v>665</v>
      </c>
      <c r="D47" t="s">
        <v>697</v>
      </c>
      <c r="E47" t="s">
        <v>672</v>
      </c>
      <c r="F47" t="s">
        <v>251</v>
      </c>
      <c r="G47" t="s">
        <v>134</v>
      </c>
    </row>
    <row r="48" spans="1:7" x14ac:dyDescent="0.25">
      <c r="A48" s="5">
        <v>29081</v>
      </c>
      <c r="B48" t="s">
        <v>18</v>
      </c>
      <c r="C48" t="s">
        <v>665</v>
      </c>
      <c r="D48" t="s">
        <v>697</v>
      </c>
      <c r="E48" t="s">
        <v>672</v>
      </c>
      <c r="F48" t="s">
        <v>251</v>
      </c>
      <c r="G48" t="s">
        <v>129</v>
      </c>
    </row>
    <row r="49" spans="1:7" x14ac:dyDescent="0.25">
      <c r="A49" s="5">
        <v>29081</v>
      </c>
      <c r="B49" t="s">
        <v>18</v>
      </c>
      <c r="C49" t="s">
        <v>665</v>
      </c>
      <c r="D49" t="s">
        <v>697</v>
      </c>
      <c r="E49" t="s">
        <v>672</v>
      </c>
      <c r="F49" t="s">
        <v>251</v>
      </c>
      <c r="G49" t="s">
        <v>150</v>
      </c>
    </row>
    <row r="50" spans="1:7" x14ac:dyDescent="0.25">
      <c r="A50" s="5">
        <v>29081</v>
      </c>
      <c r="B50" t="s">
        <v>18</v>
      </c>
      <c r="C50" t="s">
        <v>665</v>
      </c>
      <c r="D50" t="s">
        <v>697</v>
      </c>
      <c r="E50" t="s">
        <v>672</v>
      </c>
      <c r="F50" t="s">
        <v>251</v>
      </c>
      <c r="G50" t="s">
        <v>311</v>
      </c>
    </row>
    <row r="51" spans="1:7" x14ac:dyDescent="0.25">
      <c r="A51" s="5">
        <v>29013</v>
      </c>
      <c r="B51" t="s">
        <v>43</v>
      </c>
      <c r="C51" t="s">
        <v>665</v>
      </c>
      <c r="D51" t="s">
        <v>699</v>
      </c>
      <c r="E51" t="s">
        <v>670</v>
      </c>
      <c r="F51" t="s">
        <v>175</v>
      </c>
      <c r="G51" t="s">
        <v>91</v>
      </c>
    </row>
    <row r="52" spans="1:7" x14ac:dyDescent="0.25">
      <c r="A52" s="5">
        <v>29012</v>
      </c>
      <c r="B52" t="s">
        <v>43</v>
      </c>
      <c r="C52" t="s">
        <v>665</v>
      </c>
      <c r="D52" t="s">
        <v>699</v>
      </c>
      <c r="E52" t="s">
        <v>670</v>
      </c>
      <c r="F52" t="s">
        <v>225</v>
      </c>
      <c r="G52" t="s">
        <v>91</v>
      </c>
    </row>
    <row r="53" spans="1:7" x14ac:dyDescent="0.25">
      <c r="A53" s="5">
        <v>29011</v>
      </c>
      <c r="B53" t="s">
        <v>43</v>
      </c>
      <c r="C53" t="s">
        <v>665</v>
      </c>
      <c r="D53" t="s">
        <v>699</v>
      </c>
      <c r="E53" t="s">
        <v>670</v>
      </c>
      <c r="F53" t="s">
        <v>570</v>
      </c>
      <c r="G53" t="s">
        <v>91</v>
      </c>
    </row>
    <row r="54" spans="1:7" x14ac:dyDescent="0.25">
      <c r="A54" s="5">
        <v>29010</v>
      </c>
      <c r="B54" t="s">
        <v>43</v>
      </c>
      <c r="C54" t="s">
        <v>665</v>
      </c>
      <c r="D54" t="s">
        <v>699</v>
      </c>
      <c r="E54" t="s">
        <v>670</v>
      </c>
      <c r="F54" t="s">
        <v>575</v>
      </c>
      <c r="G54" t="s">
        <v>98</v>
      </c>
    </row>
    <row r="55" spans="1:7" x14ac:dyDescent="0.25">
      <c r="A55" s="5">
        <v>28960</v>
      </c>
      <c r="B55" t="s">
        <v>43</v>
      </c>
      <c r="C55" t="s">
        <v>665</v>
      </c>
      <c r="D55" t="s">
        <v>699</v>
      </c>
      <c r="E55" t="s">
        <v>670</v>
      </c>
      <c r="F55" t="s">
        <v>197</v>
      </c>
      <c r="G55" t="s">
        <v>98</v>
      </c>
    </row>
    <row r="56" spans="1:7" x14ac:dyDescent="0.25">
      <c r="A56" s="5">
        <v>28943</v>
      </c>
      <c r="B56" t="s">
        <v>43</v>
      </c>
      <c r="C56" t="s">
        <v>665</v>
      </c>
      <c r="D56" t="s">
        <v>198</v>
      </c>
      <c r="E56" t="s">
        <v>670</v>
      </c>
      <c r="F56" t="s">
        <v>197</v>
      </c>
      <c r="G56" t="s">
        <v>91</v>
      </c>
    </row>
    <row r="57" spans="1:7" x14ac:dyDescent="0.25">
      <c r="A57" s="5">
        <v>28892</v>
      </c>
      <c r="B57" t="s">
        <v>43</v>
      </c>
      <c r="C57" t="s">
        <v>665</v>
      </c>
      <c r="D57" t="s">
        <v>198</v>
      </c>
      <c r="E57" t="s">
        <v>670</v>
      </c>
      <c r="F57" t="s">
        <v>199</v>
      </c>
      <c r="G57" t="s">
        <v>91</v>
      </c>
    </row>
    <row r="58" spans="1:7" x14ac:dyDescent="0.25">
      <c r="A58" s="5">
        <v>28891</v>
      </c>
      <c r="B58" t="s">
        <v>43</v>
      </c>
      <c r="C58" t="s">
        <v>665</v>
      </c>
      <c r="D58" t="s">
        <v>198</v>
      </c>
      <c r="E58" t="s">
        <v>670</v>
      </c>
      <c r="F58" t="s">
        <v>199</v>
      </c>
      <c r="G58" t="s">
        <v>91</v>
      </c>
    </row>
    <row r="59" spans="1:7" x14ac:dyDescent="0.25">
      <c r="A59" s="5">
        <v>28890</v>
      </c>
      <c r="B59" t="s">
        <v>43</v>
      </c>
      <c r="C59" t="s">
        <v>665</v>
      </c>
      <c r="D59" t="s">
        <v>198</v>
      </c>
      <c r="E59" t="s">
        <v>670</v>
      </c>
      <c r="F59" t="s">
        <v>199</v>
      </c>
      <c r="G59" t="s">
        <v>91</v>
      </c>
    </row>
    <row r="60" spans="1:7" x14ac:dyDescent="0.25">
      <c r="A60" s="5">
        <v>28768</v>
      </c>
      <c r="B60" t="s">
        <v>31</v>
      </c>
      <c r="C60" t="s">
        <v>665</v>
      </c>
      <c r="D60" t="s">
        <v>696</v>
      </c>
      <c r="E60" t="s">
        <v>666</v>
      </c>
      <c r="F60" t="s">
        <v>29</v>
      </c>
      <c r="G60" t="s">
        <v>669</v>
      </c>
    </row>
    <row r="61" spans="1:7" x14ac:dyDescent="0.25">
      <c r="A61" s="5">
        <v>28719</v>
      </c>
      <c r="B61" t="s">
        <v>43</v>
      </c>
      <c r="C61" t="s">
        <v>665</v>
      </c>
      <c r="D61" t="s">
        <v>198</v>
      </c>
      <c r="E61" t="s">
        <v>670</v>
      </c>
      <c r="F61" t="s">
        <v>199</v>
      </c>
      <c r="G61" t="s">
        <v>91</v>
      </c>
    </row>
    <row r="62" spans="1:7" x14ac:dyDescent="0.25">
      <c r="A62" s="5">
        <v>28713</v>
      </c>
      <c r="B62" t="s">
        <v>18</v>
      </c>
      <c r="C62" t="s">
        <v>665</v>
      </c>
      <c r="D62" t="s">
        <v>700</v>
      </c>
      <c r="E62" t="s">
        <v>125</v>
      </c>
      <c r="F62" t="s">
        <v>17</v>
      </c>
      <c r="G62" t="s">
        <v>409</v>
      </c>
    </row>
    <row r="63" spans="1:7" x14ac:dyDescent="0.25">
      <c r="A63" s="5">
        <v>28704</v>
      </c>
      <c r="B63" t="s">
        <v>43</v>
      </c>
      <c r="C63" t="s">
        <v>665</v>
      </c>
      <c r="D63" t="s">
        <v>699</v>
      </c>
      <c r="E63" t="s">
        <v>670</v>
      </c>
      <c r="F63" t="s">
        <v>179</v>
      </c>
      <c r="G63" t="s">
        <v>91</v>
      </c>
    </row>
    <row r="64" spans="1:7" x14ac:dyDescent="0.25">
      <c r="A64" s="5">
        <v>28701</v>
      </c>
      <c r="B64" t="s">
        <v>43</v>
      </c>
      <c r="C64" t="s">
        <v>665</v>
      </c>
      <c r="D64" t="s">
        <v>699</v>
      </c>
      <c r="E64" t="s">
        <v>670</v>
      </c>
      <c r="F64" t="s">
        <v>574</v>
      </c>
      <c r="G64" t="s">
        <v>91</v>
      </c>
    </row>
    <row r="65" spans="1:7" x14ac:dyDescent="0.25">
      <c r="A65" s="5">
        <v>28642</v>
      </c>
      <c r="B65" t="s">
        <v>43</v>
      </c>
      <c r="C65" t="s">
        <v>665</v>
      </c>
      <c r="D65" t="s">
        <v>198</v>
      </c>
      <c r="E65" t="s">
        <v>670</v>
      </c>
      <c r="F65" t="s">
        <v>197</v>
      </c>
      <c r="G65" t="s">
        <v>91</v>
      </c>
    </row>
    <row r="66" spans="1:7" x14ac:dyDescent="0.25">
      <c r="A66" s="5">
        <v>28604</v>
      </c>
      <c r="B66" t="s">
        <v>18</v>
      </c>
      <c r="C66" t="s">
        <v>665</v>
      </c>
      <c r="D66" t="s">
        <v>701</v>
      </c>
      <c r="E66" t="s">
        <v>667</v>
      </c>
      <c r="F66" t="s">
        <v>139</v>
      </c>
      <c r="G66" t="s">
        <v>49</v>
      </c>
    </row>
    <row r="67" spans="1:7" x14ac:dyDescent="0.25">
      <c r="A67" s="5">
        <v>28604</v>
      </c>
      <c r="B67" t="s">
        <v>18</v>
      </c>
      <c r="C67" t="s">
        <v>665</v>
      </c>
      <c r="D67" t="s">
        <v>701</v>
      </c>
      <c r="E67" t="s">
        <v>667</v>
      </c>
      <c r="F67" t="s">
        <v>139</v>
      </c>
      <c r="G67" t="s">
        <v>40</v>
      </c>
    </row>
    <row r="68" spans="1:7" x14ac:dyDescent="0.25">
      <c r="A68" s="5">
        <v>28604</v>
      </c>
      <c r="B68" t="s">
        <v>18</v>
      </c>
      <c r="C68" t="s">
        <v>665</v>
      </c>
      <c r="D68" t="s">
        <v>701</v>
      </c>
      <c r="E68" t="s">
        <v>667</v>
      </c>
      <c r="F68" t="s">
        <v>139</v>
      </c>
      <c r="G68" t="s">
        <v>59</v>
      </c>
    </row>
    <row r="69" spans="1:7" x14ac:dyDescent="0.25">
      <c r="A69" s="5">
        <v>28552</v>
      </c>
      <c r="B69" t="s">
        <v>43</v>
      </c>
      <c r="C69" t="s">
        <v>665</v>
      </c>
      <c r="D69" t="s">
        <v>198</v>
      </c>
      <c r="E69" t="s">
        <v>670</v>
      </c>
      <c r="F69" t="s">
        <v>222</v>
      </c>
      <c r="G69" t="s">
        <v>91</v>
      </c>
    </row>
    <row r="70" spans="1:7" x14ac:dyDescent="0.25">
      <c r="A70" s="5">
        <v>28368</v>
      </c>
      <c r="B70" t="s">
        <v>43</v>
      </c>
      <c r="C70" t="s">
        <v>665</v>
      </c>
      <c r="D70" t="s">
        <v>699</v>
      </c>
      <c r="E70" t="s">
        <v>670</v>
      </c>
      <c r="F70" t="s">
        <v>179</v>
      </c>
      <c r="G70" t="s">
        <v>98</v>
      </c>
    </row>
    <row r="71" spans="1:7" x14ac:dyDescent="0.25">
      <c r="A71" s="5">
        <v>28341</v>
      </c>
      <c r="B71" t="s">
        <v>43</v>
      </c>
      <c r="C71" t="s">
        <v>665</v>
      </c>
      <c r="D71" t="s">
        <v>702</v>
      </c>
      <c r="E71" t="s">
        <v>670</v>
      </c>
      <c r="F71" t="s">
        <v>175</v>
      </c>
      <c r="G71" t="s">
        <v>91</v>
      </c>
    </row>
    <row r="72" spans="1:7" x14ac:dyDescent="0.25">
      <c r="A72" s="5">
        <v>28340</v>
      </c>
      <c r="B72" t="s">
        <v>43</v>
      </c>
      <c r="C72" t="s">
        <v>665</v>
      </c>
      <c r="D72" t="s">
        <v>702</v>
      </c>
      <c r="E72" t="s">
        <v>670</v>
      </c>
      <c r="F72" t="s">
        <v>175</v>
      </c>
      <c r="G72" t="s">
        <v>91</v>
      </c>
    </row>
    <row r="73" spans="1:7" x14ac:dyDescent="0.25">
      <c r="A73" s="5">
        <v>28339</v>
      </c>
      <c r="B73" t="s">
        <v>43</v>
      </c>
      <c r="C73" t="s">
        <v>665</v>
      </c>
      <c r="D73" t="s">
        <v>702</v>
      </c>
      <c r="E73" t="s">
        <v>670</v>
      </c>
      <c r="F73" t="s">
        <v>179</v>
      </c>
      <c r="G73" t="s">
        <v>91</v>
      </c>
    </row>
    <row r="74" spans="1:7" x14ac:dyDescent="0.25">
      <c r="A74" s="5">
        <v>28338</v>
      </c>
      <c r="B74" t="s">
        <v>43</v>
      </c>
      <c r="C74" t="s">
        <v>665</v>
      </c>
      <c r="D74" t="s">
        <v>702</v>
      </c>
      <c r="E74" t="s">
        <v>670</v>
      </c>
      <c r="F74" t="s">
        <v>175</v>
      </c>
      <c r="G74" t="s">
        <v>91</v>
      </c>
    </row>
    <row r="75" spans="1:7" x14ac:dyDescent="0.25">
      <c r="A75" s="5">
        <v>28337</v>
      </c>
      <c r="B75" t="s">
        <v>43</v>
      </c>
      <c r="C75" t="s">
        <v>665</v>
      </c>
      <c r="D75" t="s">
        <v>702</v>
      </c>
      <c r="E75" t="s">
        <v>670</v>
      </c>
      <c r="F75" t="s">
        <v>175</v>
      </c>
      <c r="G75" t="s">
        <v>91</v>
      </c>
    </row>
    <row r="76" spans="1:7" x14ac:dyDescent="0.25">
      <c r="A76" s="5">
        <v>28016</v>
      </c>
      <c r="B76" t="s">
        <v>43</v>
      </c>
      <c r="C76" t="s">
        <v>665</v>
      </c>
      <c r="D76" t="s">
        <v>198</v>
      </c>
      <c r="E76" t="s">
        <v>670</v>
      </c>
      <c r="F76" t="s">
        <v>199</v>
      </c>
      <c r="G76" t="s">
        <v>91</v>
      </c>
    </row>
    <row r="77" spans="1:7" x14ac:dyDescent="0.25">
      <c r="A77" s="5">
        <v>27882</v>
      </c>
      <c r="B77" t="s">
        <v>43</v>
      </c>
      <c r="C77" t="s">
        <v>665</v>
      </c>
      <c r="D77" t="s">
        <v>198</v>
      </c>
      <c r="E77" t="s">
        <v>670</v>
      </c>
      <c r="F77" t="s">
        <v>204</v>
      </c>
      <c r="G77" t="s">
        <v>91</v>
      </c>
    </row>
    <row r="78" spans="1:7" x14ac:dyDescent="0.25">
      <c r="A78" s="5">
        <v>27840</v>
      </c>
      <c r="B78" t="s">
        <v>43</v>
      </c>
      <c r="C78" t="s">
        <v>665</v>
      </c>
      <c r="D78" t="s">
        <v>198</v>
      </c>
      <c r="E78" t="s">
        <v>670</v>
      </c>
      <c r="F78" t="s">
        <v>204</v>
      </c>
      <c r="G78" t="s">
        <v>91</v>
      </c>
    </row>
    <row r="79" spans="1:7" x14ac:dyDescent="0.25">
      <c r="A79" s="5">
        <v>27632</v>
      </c>
      <c r="B79" t="s">
        <v>43</v>
      </c>
      <c r="C79" t="s">
        <v>665</v>
      </c>
      <c r="D79" t="s">
        <v>198</v>
      </c>
      <c r="E79" t="s">
        <v>670</v>
      </c>
      <c r="F79" t="s">
        <v>204</v>
      </c>
      <c r="G79" t="s">
        <v>91</v>
      </c>
    </row>
    <row r="80" spans="1:7" x14ac:dyDescent="0.25">
      <c r="A80" s="5">
        <v>27631</v>
      </c>
      <c r="B80" t="s">
        <v>43</v>
      </c>
      <c r="C80" t="s">
        <v>665</v>
      </c>
      <c r="D80" t="s">
        <v>198</v>
      </c>
      <c r="E80" t="s">
        <v>670</v>
      </c>
      <c r="F80" t="s">
        <v>179</v>
      </c>
      <c r="G80" t="s">
        <v>91</v>
      </c>
    </row>
    <row r="81" spans="1:7" x14ac:dyDescent="0.25">
      <c r="A81" s="5">
        <v>27630</v>
      </c>
      <c r="B81" t="s">
        <v>43</v>
      </c>
      <c r="C81" t="s">
        <v>665</v>
      </c>
      <c r="D81" t="s">
        <v>198</v>
      </c>
      <c r="E81" t="s">
        <v>670</v>
      </c>
      <c r="F81" t="s">
        <v>179</v>
      </c>
      <c r="G81" t="s">
        <v>91</v>
      </c>
    </row>
    <row r="82" spans="1:7" x14ac:dyDescent="0.25">
      <c r="A82" s="5">
        <v>27515</v>
      </c>
      <c r="B82" t="s">
        <v>43</v>
      </c>
      <c r="C82" t="s">
        <v>665</v>
      </c>
      <c r="D82" t="s">
        <v>198</v>
      </c>
      <c r="E82" t="s">
        <v>670</v>
      </c>
      <c r="F82" t="s">
        <v>179</v>
      </c>
      <c r="G82" t="s">
        <v>91</v>
      </c>
    </row>
    <row r="83" spans="1:7" x14ac:dyDescent="0.25">
      <c r="A83" s="5">
        <v>27514</v>
      </c>
      <c r="B83" t="s">
        <v>43</v>
      </c>
      <c r="C83" t="s">
        <v>665</v>
      </c>
      <c r="D83" t="s">
        <v>198</v>
      </c>
      <c r="E83" t="s">
        <v>670</v>
      </c>
      <c r="F83" t="s">
        <v>219</v>
      </c>
      <c r="G83" t="s">
        <v>91</v>
      </c>
    </row>
    <row r="84" spans="1:7" x14ac:dyDescent="0.25">
      <c r="A84" s="5">
        <v>27447</v>
      </c>
      <c r="B84" t="s">
        <v>43</v>
      </c>
      <c r="C84" t="s">
        <v>665</v>
      </c>
      <c r="D84" t="s">
        <v>198</v>
      </c>
      <c r="E84" t="s">
        <v>670</v>
      </c>
      <c r="F84" t="s">
        <v>216</v>
      </c>
      <c r="G84" t="s">
        <v>91</v>
      </c>
    </row>
    <row r="85" spans="1:7" x14ac:dyDescent="0.25">
      <c r="A85" s="5">
        <v>27440</v>
      </c>
      <c r="B85" t="s">
        <v>43</v>
      </c>
      <c r="C85" t="s">
        <v>665</v>
      </c>
      <c r="D85" t="s">
        <v>198</v>
      </c>
      <c r="E85" t="s">
        <v>670</v>
      </c>
      <c r="F85" t="s">
        <v>211</v>
      </c>
      <c r="G85" t="s">
        <v>91</v>
      </c>
    </row>
    <row r="86" spans="1:7" x14ac:dyDescent="0.25">
      <c r="A86" s="5">
        <v>27438</v>
      </c>
      <c r="B86" t="s">
        <v>43</v>
      </c>
      <c r="C86" t="s">
        <v>665</v>
      </c>
      <c r="D86" t="s">
        <v>198</v>
      </c>
      <c r="E86" t="s">
        <v>670</v>
      </c>
      <c r="F86" t="s">
        <v>196</v>
      </c>
      <c r="G86" t="s">
        <v>91</v>
      </c>
    </row>
    <row r="87" spans="1:7" x14ac:dyDescent="0.25">
      <c r="A87" s="5">
        <v>27436</v>
      </c>
      <c r="B87" t="s">
        <v>43</v>
      </c>
      <c r="C87" t="s">
        <v>665</v>
      </c>
      <c r="D87" t="s">
        <v>198</v>
      </c>
      <c r="E87" t="s">
        <v>670</v>
      </c>
      <c r="F87" t="s">
        <v>196</v>
      </c>
      <c r="G87" t="s">
        <v>91</v>
      </c>
    </row>
    <row r="88" spans="1:7" x14ac:dyDescent="0.25">
      <c r="A88" s="5">
        <v>27358</v>
      </c>
      <c r="B88" t="s">
        <v>43</v>
      </c>
      <c r="C88" t="s">
        <v>665</v>
      </c>
      <c r="D88" t="s">
        <v>702</v>
      </c>
      <c r="E88" t="s">
        <v>670</v>
      </c>
      <c r="F88" t="s">
        <v>175</v>
      </c>
      <c r="G88" t="s">
        <v>91</v>
      </c>
    </row>
    <row r="89" spans="1:7" x14ac:dyDescent="0.25">
      <c r="A89" s="5">
        <v>27357</v>
      </c>
      <c r="B89" t="s">
        <v>43</v>
      </c>
      <c r="C89" t="s">
        <v>665</v>
      </c>
      <c r="D89" t="s">
        <v>702</v>
      </c>
      <c r="E89" t="s">
        <v>670</v>
      </c>
      <c r="F89" t="s">
        <v>175</v>
      </c>
      <c r="G89" t="s">
        <v>91</v>
      </c>
    </row>
    <row r="90" spans="1:7" x14ac:dyDescent="0.25">
      <c r="A90" s="5">
        <v>27353</v>
      </c>
      <c r="B90" t="s">
        <v>43</v>
      </c>
      <c r="C90" t="s">
        <v>665</v>
      </c>
      <c r="D90" t="s">
        <v>702</v>
      </c>
      <c r="E90" t="s">
        <v>670</v>
      </c>
      <c r="F90" t="s">
        <v>175</v>
      </c>
      <c r="G90" t="s">
        <v>91</v>
      </c>
    </row>
    <row r="91" spans="1:7" x14ac:dyDescent="0.25">
      <c r="A91" s="5">
        <v>27351</v>
      </c>
      <c r="B91" t="s">
        <v>43</v>
      </c>
      <c r="C91" t="s">
        <v>665</v>
      </c>
      <c r="D91" t="s">
        <v>702</v>
      </c>
      <c r="E91" t="s">
        <v>670</v>
      </c>
      <c r="F91" t="s">
        <v>175</v>
      </c>
      <c r="G91" t="s">
        <v>98</v>
      </c>
    </row>
    <row r="92" spans="1:7" x14ac:dyDescent="0.25">
      <c r="A92" s="5">
        <v>27288</v>
      </c>
      <c r="B92" t="s">
        <v>43</v>
      </c>
      <c r="C92" t="s">
        <v>665</v>
      </c>
      <c r="D92" t="s">
        <v>699</v>
      </c>
      <c r="E92" t="s">
        <v>670</v>
      </c>
      <c r="F92" t="s">
        <v>175</v>
      </c>
      <c r="G92" t="s">
        <v>91</v>
      </c>
    </row>
    <row r="93" spans="1:7" x14ac:dyDescent="0.25">
      <c r="A93" s="5">
        <v>27053</v>
      </c>
      <c r="B93" t="s">
        <v>43</v>
      </c>
      <c r="C93" t="s">
        <v>665</v>
      </c>
      <c r="D93" t="s">
        <v>198</v>
      </c>
      <c r="E93" t="s">
        <v>670</v>
      </c>
      <c r="F93" t="s">
        <v>199</v>
      </c>
      <c r="G93" t="s">
        <v>91</v>
      </c>
    </row>
    <row r="94" spans="1:7" x14ac:dyDescent="0.25">
      <c r="A94" s="5">
        <v>27051</v>
      </c>
      <c r="B94" t="s">
        <v>43</v>
      </c>
      <c r="C94" t="s">
        <v>665</v>
      </c>
      <c r="D94" t="s">
        <v>42</v>
      </c>
      <c r="E94" t="s">
        <v>666</v>
      </c>
      <c r="F94" t="s">
        <v>56</v>
      </c>
      <c r="G94" t="s">
        <v>98</v>
      </c>
    </row>
    <row r="95" spans="1:7" x14ac:dyDescent="0.25">
      <c r="A95" s="5">
        <v>27051</v>
      </c>
      <c r="B95" t="s">
        <v>43</v>
      </c>
      <c r="C95" t="s">
        <v>665</v>
      </c>
      <c r="D95" t="s">
        <v>42</v>
      </c>
      <c r="E95" t="s">
        <v>666</v>
      </c>
      <c r="F95" t="s">
        <v>56</v>
      </c>
      <c r="G95" t="s">
        <v>683</v>
      </c>
    </row>
    <row r="96" spans="1:7" x14ac:dyDescent="0.25">
      <c r="A96" s="5">
        <v>27051</v>
      </c>
      <c r="B96" t="s">
        <v>43</v>
      </c>
      <c r="C96" t="s">
        <v>665</v>
      </c>
      <c r="D96" t="s">
        <v>42</v>
      </c>
      <c r="E96" t="s">
        <v>666</v>
      </c>
      <c r="F96" t="s">
        <v>56</v>
      </c>
      <c r="G96" t="s">
        <v>97</v>
      </c>
    </row>
    <row r="97" spans="1:7" x14ac:dyDescent="0.25">
      <c r="A97" s="5">
        <v>27051</v>
      </c>
      <c r="B97" t="s">
        <v>43</v>
      </c>
      <c r="C97" t="s">
        <v>665</v>
      </c>
      <c r="D97" t="s">
        <v>42</v>
      </c>
      <c r="E97" t="s">
        <v>666</v>
      </c>
      <c r="F97" t="s">
        <v>56</v>
      </c>
      <c r="G97" t="s">
        <v>91</v>
      </c>
    </row>
    <row r="98" spans="1:7" x14ac:dyDescent="0.25">
      <c r="A98" s="5">
        <v>27051</v>
      </c>
      <c r="B98" t="s">
        <v>43</v>
      </c>
      <c r="C98" t="s">
        <v>665</v>
      </c>
      <c r="D98" t="s">
        <v>42</v>
      </c>
      <c r="E98" t="s">
        <v>666</v>
      </c>
      <c r="F98" t="s">
        <v>56</v>
      </c>
      <c r="G98" t="s">
        <v>611</v>
      </c>
    </row>
    <row r="99" spans="1:7" x14ac:dyDescent="0.25">
      <c r="A99" s="5">
        <v>27044</v>
      </c>
      <c r="B99" t="s">
        <v>43</v>
      </c>
      <c r="C99" t="s">
        <v>665</v>
      </c>
      <c r="D99" t="s">
        <v>42</v>
      </c>
      <c r="E99" t="s">
        <v>666</v>
      </c>
      <c r="F99" t="s">
        <v>44</v>
      </c>
      <c r="G99" t="s">
        <v>91</v>
      </c>
    </row>
    <row r="100" spans="1:7" x14ac:dyDescent="0.25">
      <c r="A100" s="5">
        <v>27042</v>
      </c>
      <c r="B100" t="s">
        <v>43</v>
      </c>
      <c r="C100" t="s">
        <v>665</v>
      </c>
      <c r="D100" t="s">
        <v>42</v>
      </c>
      <c r="E100" t="s">
        <v>666</v>
      </c>
      <c r="F100" t="s">
        <v>44</v>
      </c>
      <c r="G100" t="s">
        <v>611</v>
      </c>
    </row>
    <row r="101" spans="1:7" x14ac:dyDescent="0.25">
      <c r="A101" s="5">
        <v>26371</v>
      </c>
      <c r="B101" t="s">
        <v>45</v>
      </c>
      <c r="C101" t="s">
        <v>665</v>
      </c>
      <c r="D101" t="s">
        <v>42</v>
      </c>
      <c r="E101" t="s">
        <v>666</v>
      </c>
      <c r="F101" t="s">
        <v>44</v>
      </c>
      <c r="G101" t="s">
        <v>684</v>
      </c>
    </row>
    <row r="102" spans="1:7" x14ac:dyDescent="0.25">
      <c r="A102" s="5">
        <v>26219</v>
      </c>
      <c r="B102" t="s">
        <v>43</v>
      </c>
      <c r="C102" t="s">
        <v>665</v>
      </c>
      <c r="D102" t="s">
        <v>198</v>
      </c>
      <c r="E102" t="s">
        <v>670</v>
      </c>
      <c r="F102" t="s">
        <v>211</v>
      </c>
      <c r="G102" t="s">
        <v>91</v>
      </c>
    </row>
    <row r="103" spans="1:7" x14ac:dyDescent="0.25">
      <c r="A103" s="5">
        <v>26218</v>
      </c>
      <c r="B103" t="s">
        <v>43</v>
      </c>
      <c r="C103" t="s">
        <v>665</v>
      </c>
      <c r="D103" t="s">
        <v>198</v>
      </c>
      <c r="E103" t="s">
        <v>670</v>
      </c>
      <c r="F103" t="s">
        <v>204</v>
      </c>
      <c r="G103" t="s">
        <v>91</v>
      </c>
    </row>
    <row r="104" spans="1:7" x14ac:dyDescent="0.25">
      <c r="A104" s="5">
        <v>26217</v>
      </c>
      <c r="B104" t="s">
        <v>43</v>
      </c>
      <c r="C104" t="s">
        <v>665</v>
      </c>
      <c r="D104" t="s">
        <v>198</v>
      </c>
      <c r="E104" t="s">
        <v>670</v>
      </c>
      <c r="F104" t="s">
        <v>204</v>
      </c>
      <c r="G104" t="s">
        <v>91</v>
      </c>
    </row>
    <row r="105" spans="1:7" x14ac:dyDescent="0.25">
      <c r="A105" s="5">
        <v>26200</v>
      </c>
      <c r="B105" t="s">
        <v>43</v>
      </c>
      <c r="C105" t="s">
        <v>665</v>
      </c>
      <c r="D105" t="s">
        <v>198</v>
      </c>
      <c r="E105" t="s">
        <v>670</v>
      </c>
      <c r="F105" t="s">
        <v>204</v>
      </c>
      <c r="G105" t="s">
        <v>91</v>
      </c>
    </row>
    <row r="106" spans="1:7" x14ac:dyDescent="0.25">
      <c r="A106" s="5">
        <v>26197</v>
      </c>
      <c r="B106" t="s">
        <v>43</v>
      </c>
      <c r="C106" t="s">
        <v>665</v>
      </c>
      <c r="D106" t="s">
        <v>198</v>
      </c>
      <c r="E106" t="s">
        <v>670</v>
      </c>
      <c r="F106" t="s">
        <v>204</v>
      </c>
      <c r="G106" t="s">
        <v>91</v>
      </c>
    </row>
    <row r="107" spans="1:7" x14ac:dyDescent="0.25">
      <c r="A107" s="5">
        <v>26148</v>
      </c>
      <c r="B107" t="s">
        <v>43</v>
      </c>
      <c r="C107" t="s">
        <v>665</v>
      </c>
      <c r="D107" t="s">
        <v>198</v>
      </c>
      <c r="E107" t="s">
        <v>670</v>
      </c>
      <c r="F107" t="s">
        <v>204</v>
      </c>
      <c r="G107" t="s">
        <v>91</v>
      </c>
    </row>
    <row r="108" spans="1:7" x14ac:dyDescent="0.25">
      <c r="A108" s="5">
        <v>26147</v>
      </c>
      <c r="B108" t="s">
        <v>43</v>
      </c>
      <c r="C108" t="s">
        <v>665</v>
      </c>
      <c r="D108" t="s">
        <v>198</v>
      </c>
      <c r="E108" t="s">
        <v>670</v>
      </c>
      <c r="F108" t="s">
        <v>204</v>
      </c>
      <c r="G108" t="s">
        <v>91</v>
      </c>
    </row>
    <row r="109" spans="1:7" x14ac:dyDescent="0.25">
      <c r="A109" s="5">
        <v>26119</v>
      </c>
      <c r="B109" t="s">
        <v>43</v>
      </c>
      <c r="C109" t="s">
        <v>665</v>
      </c>
      <c r="D109" t="s">
        <v>699</v>
      </c>
      <c r="E109" t="s">
        <v>670</v>
      </c>
      <c r="F109" t="s">
        <v>197</v>
      </c>
      <c r="G109" t="s">
        <v>91</v>
      </c>
    </row>
    <row r="110" spans="1:7" x14ac:dyDescent="0.25">
      <c r="A110" s="5">
        <v>26117</v>
      </c>
      <c r="B110" t="s">
        <v>43</v>
      </c>
      <c r="C110" t="s">
        <v>665</v>
      </c>
      <c r="D110" t="s">
        <v>42</v>
      </c>
      <c r="E110" t="s">
        <v>666</v>
      </c>
      <c r="F110" t="s">
        <v>29</v>
      </c>
      <c r="G110" t="s">
        <v>91</v>
      </c>
    </row>
    <row r="111" spans="1:7" x14ac:dyDescent="0.25">
      <c r="A111" s="5">
        <v>26117</v>
      </c>
      <c r="B111" t="s">
        <v>43</v>
      </c>
      <c r="C111" t="s">
        <v>665</v>
      </c>
      <c r="D111" t="s">
        <v>42</v>
      </c>
      <c r="E111" t="s">
        <v>666</v>
      </c>
      <c r="F111" t="s">
        <v>29</v>
      </c>
      <c r="G111" t="s">
        <v>611</v>
      </c>
    </row>
    <row r="112" spans="1:7" x14ac:dyDescent="0.25">
      <c r="A112" s="5">
        <v>25996</v>
      </c>
      <c r="B112" t="s">
        <v>43</v>
      </c>
      <c r="C112" t="s">
        <v>665</v>
      </c>
      <c r="D112" t="s">
        <v>198</v>
      </c>
      <c r="E112" t="s">
        <v>670</v>
      </c>
      <c r="F112" t="s">
        <v>199</v>
      </c>
      <c r="G112" t="s">
        <v>91</v>
      </c>
    </row>
    <row r="113" spans="1:7" x14ac:dyDescent="0.25">
      <c r="A113" s="5">
        <v>25994</v>
      </c>
      <c r="B113" t="s">
        <v>43</v>
      </c>
      <c r="C113" t="s">
        <v>665</v>
      </c>
      <c r="D113" t="s">
        <v>198</v>
      </c>
      <c r="E113" t="s">
        <v>670</v>
      </c>
      <c r="F113" t="s">
        <v>199</v>
      </c>
      <c r="G113" t="s">
        <v>91</v>
      </c>
    </row>
    <row r="114" spans="1:7" x14ac:dyDescent="0.25">
      <c r="A114" s="5">
        <v>25789</v>
      </c>
      <c r="B114" t="s">
        <v>43</v>
      </c>
      <c r="C114" t="s">
        <v>665</v>
      </c>
      <c r="D114" t="s">
        <v>699</v>
      </c>
      <c r="E114" t="s">
        <v>670</v>
      </c>
      <c r="F114" t="s">
        <v>175</v>
      </c>
      <c r="G114" t="s">
        <v>91</v>
      </c>
    </row>
    <row r="115" spans="1:7" x14ac:dyDescent="0.25">
      <c r="A115" s="5">
        <v>25604</v>
      </c>
      <c r="B115" t="s">
        <v>244</v>
      </c>
      <c r="C115" t="s">
        <v>665</v>
      </c>
      <c r="D115" t="s">
        <v>243</v>
      </c>
      <c r="E115" t="s">
        <v>670</v>
      </c>
      <c r="F115" t="s">
        <v>175</v>
      </c>
      <c r="G115" t="s">
        <v>685</v>
      </c>
    </row>
    <row r="116" spans="1:7" x14ac:dyDescent="0.25">
      <c r="A116" s="5">
        <v>39900</v>
      </c>
      <c r="B116" t="s">
        <v>703</v>
      </c>
      <c r="C116" t="s">
        <v>707</v>
      </c>
      <c r="D116" t="s">
        <v>243</v>
      </c>
      <c r="E116" t="s">
        <v>666</v>
      </c>
      <c r="F116" t="s">
        <v>135</v>
      </c>
      <c r="G116" t="s">
        <v>708</v>
      </c>
    </row>
    <row r="117" spans="1:7" x14ac:dyDescent="0.25">
      <c r="A117" s="5">
        <v>39900</v>
      </c>
      <c r="B117" t="s">
        <v>703</v>
      </c>
      <c r="C117" t="s">
        <v>707</v>
      </c>
      <c r="D117" t="s">
        <v>243</v>
      </c>
      <c r="E117" t="s">
        <v>666</v>
      </c>
      <c r="F117" t="s">
        <v>135</v>
      </c>
      <c r="G117" t="s">
        <v>709</v>
      </c>
    </row>
    <row r="118" spans="1:7" x14ac:dyDescent="0.25">
      <c r="A118" s="5">
        <v>39900</v>
      </c>
      <c r="B118" t="s">
        <v>703</v>
      </c>
      <c r="C118" t="s">
        <v>707</v>
      </c>
      <c r="D118" t="s">
        <v>243</v>
      </c>
      <c r="E118" t="s">
        <v>666</v>
      </c>
      <c r="F118" t="s">
        <v>135</v>
      </c>
      <c r="G118" t="s">
        <v>710</v>
      </c>
    </row>
    <row r="119" spans="1:7" x14ac:dyDescent="0.25">
      <c r="A119" s="5">
        <v>39900</v>
      </c>
      <c r="B119" t="s">
        <v>703</v>
      </c>
      <c r="C119" t="s">
        <v>707</v>
      </c>
      <c r="D119" t="s">
        <v>243</v>
      </c>
      <c r="E119" t="s">
        <v>666</v>
      </c>
      <c r="F119" t="s">
        <v>135</v>
      </c>
      <c r="G119" t="s">
        <v>711</v>
      </c>
    </row>
  </sheetData>
  <pageMargins left="0.7" right="0.7" top="0.75" bottom="0.75" header="0.3" footer="0.3"/>
  <customProperties>
    <customPr name="DVSECTIONID" r:id="rId1"/>
  </customProperti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IV193"/>
  <sheetViews>
    <sheetView workbookViewId="0"/>
  </sheetViews>
  <sheetFormatPr baseColWidth="10" defaultRowHeight="15" x14ac:dyDescent="0.25"/>
  <sheetData>
    <row r="1" spans="1:256" x14ac:dyDescent="0.25">
      <c r="A1">
        <f>IF('Planilla_General_29-11-2012_10_'!1:1,"AAAAAD+rygA=",0)</f>
        <v>0</v>
      </c>
      <c r="B1" t="e">
        <f>AND('Planilla_General_29-11-2012_10_'!A1,"AAAAAD+rygE=")</f>
        <v>#VALUE!</v>
      </c>
      <c r="C1" t="e">
        <f>AND('Planilla_General_29-11-2012_10_'!B1,"AAAAAD+rygI=")</f>
        <v>#VALUE!</v>
      </c>
      <c r="D1" t="e">
        <f>AND('Planilla_General_29-11-2012_10_'!C1,"AAAAAD+rygM=")</f>
        <v>#VALUE!</v>
      </c>
      <c r="E1" t="e">
        <f>AND('Planilla_General_29-11-2012_10_'!D1,"AAAAAD+rygQ=")</f>
        <v>#VALUE!</v>
      </c>
      <c r="F1" t="e">
        <f>AND('Planilla_General_29-11-2012_10_'!E1,"AAAAAD+rygU=")</f>
        <v>#VALUE!</v>
      </c>
      <c r="G1" t="e">
        <f>AND('Planilla_General_29-11-2012_10_'!F1,"AAAAAD+rygY=")</f>
        <v>#VALUE!</v>
      </c>
      <c r="H1" t="e">
        <f>AND('Planilla_General_29-11-2012_10_'!G1,"AAAAAD+rygc=")</f>
        <v>#VALUE!</v>
      </c>
      <c r="I1" t="e">
        <f>AND('Planilla_General_29-11-2012_10_'!H1,"AAAAAD+rygg=")</f>
        <v>#VALUE!</v>
      </c>
      <c r="J1" t="e">
        <f>AND('Planilla_General_29-11-2012_10_'!I1,"AAAAAD+rygk=")</f>
        <v>#VALUE!</v>
      </c>
      <c r="K1" t="e">
        <f>AND('Planilla_General_29-11-2012_10_'!J1,"AAAAAD+rygo=")</f>
        <v>#VALUE!</v>
      </c>
      <c r="L1" t="e">
        <f>AND('Planilla_General_29-11-2012_10_'!K1,"AAAAAD+rygs=")</f>
        <v>#VALUE!</v>
      </c>
      <c r="M1" t="e">
        <f>AND('Planilla_General_29-11-2012_10_'!L1,"AAAAAD+rygw=")</f>
        <v>#VALUE!</v>
      </c>
      <c r="N1" t="e">
        <f>AND('Planilla_General_29-11-2012_10_'!M1,"AAAAAD+ryg0=")</f>
        <v>#VALUE!</v>
      </c>
      <c r="O1" t="e">
        <f>AND('Planilla_General_29-11-2012_10_'!N1,"AAAAAD+ryg4=")</f>
        <v>#VALUE!</v>
      </c>
      <c r="P1" t="e">
        <f>AND('Planilla_General_29-11-2012_10_'!O1,"AAAAAD+ryg8=")</f>
        <v>#VALUE!</v>
      </c>
      <c r="Q1" t="e">
        <f>AND('Planilla_General_29-11-2012_10_'!P1,"AAAAAD+ryhA=")</f>
        <v>#VALUE!</v>
      </c>
      <c r="R1">
        <f>IF('Planilla_General_29-11-2012_10_'!2:2,"AAAAAD+ryhE=",0)</f>
        <v>0</v>
      </c>
      <c r="S1" t="e">
        <f>AND('Planilla_General_29-11-2012_10_'!A2,"AAAAAD+ryhI=")</f>
        <v>#VALUE!</v>
      </c>
      <c r="T1" t="e">
        <f>AND('Planilla_General_29-11-2012_10_'!B2,"AAAAAD+ryhM=")</f>
        <v>#VALUE!</v>
      </c>
      <c r="U1" t="e">
        <f>AND('Planilla_General_29-11-2012_10_'!C2,"AAAAAD+ryhQ=")</f>
        <v>#VALUE!</v>
      </c>
      <c r="V1" t="e">
        <f>AND('Planilla_General_29-11-2012_10_'!D2,"AAAAAD+ryhU=")</f>
        <v>#VALUE!</v>
      </c>
      <c r="W1" t="e">
        <f>AND('Planilla_General_29-11-2012_10_'!E2,"AAAAAD+ryhY=")</f>
        <v>#VALUE!</v>
      </c>
      <c r="X1" t="e">
        <f>AND('Planilla_General_29-11-2012_10_'!F2,"AAAAAD+ryhc=")</f>
        <v>#VALUE!</v>
      </c>
      <c r="Y1" t="e">
        <f>AND('Planilla_General_29-11-2012_10_'!G2,"AAAAAD+ryhg=")</f>
        <v>#VALUE!</v>
      </c>
      <c r="Z1" t="e">
        <f>AND('Planilla_General_29-11-2012_10_'!H2,"AAAAAD+ryhk=")</f>
        <v>#VALUE!</v>
      </c>
      <c r="AA1" t="e">
        <f>AND('Planilla_General_29-11-2012_10_'!I2,"AAAAAD+ryho=")</f>
        <v>#VALUE!</v>
      </c>
      <c r="AB1" t="e">
        <f>AND('Planilla_General_29-11-2012_10_'!J2,"AAAAAD+ryhs=")</f>
        <v>#VALUE!</v>
      </c>
      <c r="AC1" t="e">
        <f>AND('Planilla_General_29-11-2012_10_'!K2,"AAAAAD+ryhw=")</f>
        <v>#VALUE!</v>
      </c>
      <c r="AD1" t="e">
        <f>AND('Planilla_General_29-11-2012_10_'!L2,"AAAAAD+ryh0=")</f>
        <v>#VALUE!</v>
      </c>
      <c r="AE1" t="e">
        <f>AND('Planilla_General_29-11-2012_10_'!M2,"AAAAAD+ryh4=")</f>
        <v>#VALUE!</v>
      </c>
      <c r="AF1" t="e">
        <f>AND('Planilla_General_29-11-2012_10_'!N2,"AAAAAD+ryh8=")</f>
        <v>#VALUE!</v>
      </c>
      <c r="AG1" t="e">
        <f>AND('Planilla_General_29-11-2012_10_'!O2,"AAAAAD+ryiA=")</f>
        <v>#VALUE!</v>
      </c>
      <c r="AH1" t="e">
        <f>AND('Planilla_General_29-11-2012_10_'!P2,"AAAAAD+ryiE=")</f>
        <v>#VALUE!</v>
      </c>
      <c r="AI1">
        <f>IF('Planilla_General_29-11-2012_10_'!3:3,"AAAAAD+ryiI=",0)</f>
        <v>0</v>
      </c>
      <c r="AJ1" t="e">
        <f>AND('Planilla_General_29-11-2012_10_'!A3,"AAAAAD+ryiM=")</f>
        <v>#VALUE!</v>
      </c>
      <c r="AK1" t="e">
        <f>AND('Planilla_General_29-11-2012_10_'!B3,"AAAAAD+ryiQ=")</f>
        <v>#VALUE!</v>
      </c>
      <c r="AL1" t="e">
        <f>AND('Planilla_General_29-11-2012_10_'!C3,"AAAAAD+ryiU=")</f>
        <v>#VALUE!</v>
      </c>
      <c r="AM1" t="e">
        <f>AND('Planilla_General_29-11-2012_10_'!D3,"AAAAAD+ryiY=")</f>
        <v>#VALUE!</v>
      </c>
      <c r="AN1" t="e">
        <f>AND('Planilla_General_29-11-2012_10_'!E3,"AAAAAD+ryic=")</f>
        <v>#VALUE!</v>
      </c>
      <c r="AO1" t="e">
        <f>AND('Planilla_General_29-11-2012_10_'!F3,"AAAAAD+ryig=")</f>
        <v>#VALUE!</v>
      </c>
      <c r="AP1" t="e">
        <f>AND('Planilla_General_29-11-2012_10_'!G3,"AAAAAD+ryik=")</f>
        <v>#VALUE!</v>
      </c>
      <c r="AQ1" t="e">
        <f>AND('Planilla_General_29-11-2012_10_'!H3,"AAAAAD+ryio=")</f>
        <v>#VALUE!</v>
      </c>
      <c r="AR1" t="e">
        <f>AND('Planilla_General_29-11-2012_10_'!I3,"AAAAAD+ryis=")</f>
        <v>#VALUE!</v>
      </c>
      <c r="AS1" t="e">
        <f>AND('Planilla_General_29-11-2012_10_'!J3,"AAAAAD+ryiw=")</f>
        <v>#VALUE!</v>
      </c>
      <c r="AT1" t="e">
        <f>AND('Planilla_General_29-11-2012_10_'!K3,"AAAAAD+ryi0=")</f>
        <v>#VALUE!</v>
      </c>
      <c r="AU1" t="e">
        <f>AND('Planilla_General_29-11-2012_10_'!L3,"AAAAAD+ryi4=")</f>
        <v>#VALUE!</v>
      </c>
      <c r="AV1" t="e">
        <f>AND('Planilla_General_29-11-2012_10_'!M3,"AAAAAD+ryi8=")</f>
        <v>#VALUE!</v>
      </c>
      <c r="AW1" t="e">
        <f>AND('Planilla_General_29-11-2012_10_'!N3,"AAAAAD+ryjA=")</f>
        <v>#VALUE!</v>
      </c>
      <c r="AX1" t="e">
        <f>AND('Planilla_General_29-11-2012_10_'!O3,"AAAAAD+ryjE=")</f>
        <v>#VALUE!</v>
      </c>
      <c r="AY1" t="e">
        <f>AND('Planilla_General_29-11-2012_10_'!P3,"AAAAAD+ryjI=")</f>
        <v>#VALUE!</v>
      </c>
      <c r="AZ1">
        <f>IF('Planilla_General_29-11-2012_10_'!4:4,"AAAAAD+ryjM=",0)</f>
        <v>0</v>
      </c>
      <c r="BA1" t="e">
        <f>AND('Planilla_General_29-11-2012_10_'!A4,"AAAAAD+ryjQ=")</f>
        <v>#VALUE!</v>
      </c>
      <c r="BB1" t="e">
        <f>AND('Planilla_General_29-11-2012_10_'!B4,"AAAAAD+ryjU=")</f>
        <v>#VALUE!</v>
      </c>
      <c r="BC1" t="e">
        <f>AND('Planilla_General_29-11-2012_10_'!C4,"AAAAAD+ryjY=")</f>
        <v>#VALUE!</v>
      </c>
      <c r="BD1" t="e">
        <f>AND('Planilla_General_29-11-2012_10_'!D4,"AAAAAD+ryjc=")</f>
        <v>#VALUE!</v>
      </c>
      <c r="BE1" t="e">
        <f>AND('Planilla_General_29-11-2012_10_'!E4,"AAAAAD+ryjg=")</f>
        <v>#VALUE!</v>
      </c>
      <c r="BF1" t="e">
        <f>AND('Planilla_General_29-11-2012_10_'!F4,"AAAAAD+ryjk=")</f>
        <v>#VALUE!</v>
      </c>
      <c r="BG1" t="e">
        <f>AND('Planilla_General_29-11-2012_10_'!G4,"AAAAAD+ryjo=")</f>
        <v>#VALUE!</v>
      </c>
      <c r="BH1" t="e">
        <f>AND('Planilla_General_29-11-2012_10_'!H4,"AAAAAD+ryjs=")</f>
        <v>#VALUE!</v>
      </c>
      <c r="BI1" t="e">
        <f>AND('Planilla_General_29-11-2012_10_'!I4,"AAAAAD+ryjw=")</f>
        <v>#VALUE!</v>
      </c>
      <c r="BJ1" t="e">
        <f>AND('Planilla_General_29-11-2012_10_'!J4,"AAAAAD+ryj0=")</f>
        <v>#VALUE!</v>
      </c>
      <c r="BK1" t="e">
        <f>AND('Planilla_General_29-11-2012_10_'!K4,"AAAAAD+ryj4=")</f>
        <v>#VALUE!</v>
      </c>
      <c r="BL1" t="e">
        <f>AND('Planilla_General_29-11-2012_10_'!L4,"AAAAAD+ryj8=")</f>
        <v>#VALUE!</v>
      </c>
      <c r="BM1" t="e">
        <f>AND('Planilla_General_29-11-2012_10_'!M4,"AAAAAD+rykA=")</f>
        <v>#VALUE!</v>
      </c>
      <c r="BN1" t="e">
        <f>AND('Planilla_General_29-11-2012_10_'!N4,"AAAAAD+rykE=")</f>
        <v>#VALUE!</v>
      </c>
      <c r="BO1" t="e">
        <f>AND('Planilla_General_29-11-2012_10_'!O4,"AAAAAD+rykI=")</f>
        <v>#VALUE!</v>
      </c>
      <c r="BP1" t="e">
        <f>AND('Planilla_General_29-11-2012_10_'!P4,"AAAAAD+rykM=")</f>
        <v>#VALUE!</v>
      </c>
      <c r="BQ1">
        <f>IF('Planilla_General_29-11-2012_10_'!5:5,"AAAAAD+rykQ=",0)</f>
        <v>0</v>
      </c>
      <c r="BR1" t="e">
        <f>AND('Planilla_General_29-11-2012_10_'!A5,"AAAAAD+rykU=")</f>
        <v>#VALUE!</v>
      </c>
      <c r="BS1" t="e">
        <f>AND('Planilla_General_29-11-2012_10_'!B5,"AAAAAD+rykY=")</f>
        <v>#VALUE!</v>
      </c>
      <c r="BT1" t="e">
        <f>AND('Planilla_General_29-11-2012_10_'!C5,"AAAAAD+rykc=")</f>
        <v>#VALUE!</v>
      </c>
      <c r="BU1" t="e">
        <f>AND('Planilla_General_29-11-2012_10_'!D5,"AAAAAD+rykg=")</f>
        <v>#VALUE!</v>
      </c>
      <c r="BV1" t="e">
        <f>AND('Planilla_General_29-11-2012_10_'!E5,"AAAAAD+rykk=")</f>
        <v>#VALUE!</v>
      </c>
      <c r="BW1" t="e">
        <f>AND('Planilla_General_29-11-2012_10_'!F5,"AAAAAD+ryko=")</f>
        <v>#VALUE!</v>
      </c>
      <c r="BX1" t="e">
        <f>AND('Planilla_General_29-11-2012_10_'!G5,"AAAAAD+ryks=")</f>
        <v>#VALUE!</v>
      </c>
      <c r="BY1" t="e">
        <f>AND('Planilla_General_29-11-2012_10_'!H5,"AAAAAD+rykw=")</f>
        <v>#VALUE!</v>
      </c>
      <c r="BZ1" t="e">
        <f>AND('Planilla_General_29-11-2012_10_'!I5,"AAAAAD+ryk0=")</f>
        <v>#VALUE!</v>
      </c>
      <c r="CA1" t="e">
        <f>AND('Planilla_General_29-11-2012_10_'!J5,"AAAAAD+ryk4=")</f>
        <v>#VALUE!</v>
      </c>
      <c r="CB1" t="e">
        <f>AND('Planilla_General_29-11-2012_10_'!K5,"AAAAAD+ryk8=")</f>
        <v>#VALUE!</v>
      </c>
      <c r="CC1" t="e">
        <f>AND('Planilla_General_29-11-2012_10_'!L5,"AAAAAD+rylA=")</f>
        <v>#VALUE!</v>
      </c>
      <c r="CD1" t="e">
        <f>AND('Planilla_General_29-11-2012_10_'!M5,"AAAAAD+rylE=")</f>
        <v>#VALUE!</v>
      </c>
      <c r="CE1" t="e">
        <f>AND('Planilla_General_29-11-2012_10_'!N5,"AAAAAD+rylI=")</f>
        <v>#VALUE!</v>
      </c>
      <c r="CF1" t="e">
        <f>AND('Planilla_General_29-11-2012_10_'!O5,"AAAAAD+rylM=")</f>
        <v>#VALUE!</v>
      </c>
      <c r="CG1" t="e">
        <f>AND('Planilla_General_29-11-2012_10_'!P5,"AAAAAD+rylQ=")</f>
        <v>#VALUE!</v>
      </c>
      <c r="CH1">
        <f>IF('Planilla_General_29-11-2012_10_'!6:6,"AAAAAD+rylU=",0)</f>
        <v>0</v>
      </c>
      <c r="CI1" t="e">
        <f>AND('Planilla_General_29-11-2012_10_'!A6,"AAAAAD+rylY=")</f>
        <v>#VALUE!</v>
      </c>
      <c r="CJ1" t="e">
        <f>AND('Planilla_General_29-11-2012_10_'!B6,"AAAAAD+rylc=")</f>
        <v>#VALUE!</v>
      </c>
      <c r="CK1" t="e">
        <f>AND('Planilla_General_29-11-2012_10_'!C6,"AAAAAD+rylg=")</f>
        <v>#VALUE!</v>
      </c>
      <c r="CL1" t="e">
        <f>AND('Planilla_General_29-11-2012_10_'!D6,"AAAAAD+rylk=")</f>
        <v>#VALUE!</v>
      </c>
      <c r="CM1" t="e">
        <f>AND('Planilla_General_29-11-2012_10_'!E6,"AAAAAD+rylo=")</f>
        <v>#VALUE!</v>
      </c>
      <c r="CN1" t="e">
        <f>AND('Planilla_General_29-11-2012_10_'!F6,"AAAAAD+ryls=")</f>
        <v>#VALUE!</v>
      </c>
      <c r="CO1" t="e">
        <f>AND('Planilla_General_29-11-2012_10_'!G6,"AAAAAD+rylw=")</f>
        <v>#VALUE!</v>
      </c>
      <c r="CP1" t="e">
        <f>AND('Planilla_General_29-11-2012_10_'!H6,"AAAAAD+ryl0=")</f>
        <v>#VALUE!</v>
      </c>
      <c r="CQ1" t="e">
        <f>AND('Planilla_General_29-11-2012_10_'!I6,"AAAAAD+ryl4=")</f>
        <v>#VALUE!</v>
      </c>
      <c r="CR1" t="e">
        <f>AND('Planilla_General_29-11-2012_10_'!J6,"AAAAAD+ryl8=")</f>
        <v>#VALUE!</v>
      </c>
      <c r="CS1" t="e">
        <f>AND('Planilla_General_29-11-2012_10_'!K6,"AAAAAD+rymA=")</f>
        <v>#VALUE!</v>
      </c>
      <c r="CT1" t="e">
        <f>AND('Planilla_General_29-11-2012_10_'!L6,"AAAAAD+rymE=")</f>
        <v>#VALUE!</v>
      </c>
      <c r="CU1" t="e">
        <f>AND('Planilla_General_29-11-2012_10_'!M6,"AAAAAD+rymI=")</f>
        <v>#VALUE!</v>
      </c>
      <c r="CV1" t="e">
        <f>AND('Planilla_General_29-11-2012_10_'!N6,"AAAAAD+rymM=")</f>
        <v>#VALUE!</v>
      </c>
      <c r="CW1" t="e">
        <f>AND('Planilla_General_29-11-2012_10_'!O6,"AAAAAD+rymQ=")</f>
        <v>#VALUE!</v>
      </c>
      <c r="CX1" t="e">
        <f>AND('Planilla_General_29-11-2012_10_'!P6,"AAAAAD+rymU=")</f>
        <v>#VALUE!</v>
      </c>
      <c r="CY1">
        <f>IF('Planilla_General_29-11-2012_10_'!7:7,"AAAAAD+rymY=",0)</f>
        <v>0</v>
      </c>
      <c r="CZ1" t="e">
        <f>AND('Planilla_General_29-11-2012_10_'!A7,"AAAAAD+rymc=")</f>
        <v>#VALUE!</v>
      </c>
      <c r="DA1" t="e">
        <f>AND('Planilla_General_29-11-2012_10_'!B7,"AAAAAD+rymg=")</f>
        <v>#VALUE!</v>
      </c>
      <c r="DB1" t="e">
        <f>AND('Planilla_General_29-11-2012_10_'!C7,"AAAAAD+rymk=")</f>
        <v>#VALUE!</v>
      </c>
      <c r="DC1" t="e">
        <f>AND('Planilla_General_29-11-2012_10_'!D7,"AAAAAD+rymo=")</f>
        <v>#VALUE!</v>
      </c>
      <c r="DD1" t="e">
        <f>AND('Planilla_General_29-11-2012_10_'!E7,"AAAAAD+ryms=")</f>
        <v>#VALUE!</v>
      </c>
      <c r="DE1" t="e">
        <f>AND('Planilla_General_29-11-2012_10_'!F7,"AAAAAD+rymw=")</f>
        <v>#VALUE!</v>
      </c>
      <c r="DF1" t="e">
        <f>AND('Planilla_General_29-11-2012_10_'!G7,"AAAAAD+rym0=")</f>
        <v>#VALUE!</v>
      </c>
      <c r="DG1" t="e">
        <f>AND('Planilla_General_29-11-2012_10_'!H7,"AAAAAD+rym4=")</f>
        <v>#VALUE!</v>
      </c>
      <c r="DH1" t="e">
        <f>AND('Planilla_General_29-11-2012_10_'!I7,"AAAAAD+rym8=")</f>
        <v>#VALUE!</v>
      </c>
      <c r="DI1" t="e">
        <f>AND('Planilla_General_29-11-2012_10_'!J7,"AAAAAD+rynA=")</f>
        <v>#VALUE!</v>
      </c>
      <c r="DJ1" t="e">
        <f>AND('Planilla_General_29-11-2012_10_'!K7,"AAAAAD+rynE=")</f>
        <v>#VALUE!</v>
      </c>
      <c r="DK1" t="e">
        <f>AND('Planilla_General_29-11-2012_10_'!L7,"AAAAAD+rynI=")</f>
        <v>#VALUE!</v>
      </c>
      <c r="DL1" t="e">
        <f>AND('Planilla_General_29-11-2012_10_'!M7,"AAAAAD+rynM=")</f>
        <v>#VALUE!</v>
      </c>
      <c r="DM1" t="e">
        <f>AND('Planilla_General_29-11-2012_10_'!N7,"AAAAAD+rynQ=")</f>
        <v>#VALUE!</v>
      </c>
      <c r="DN1" t="e">
        <f>AND('Planilla_General_29-11-2012_10_'!O7,"AAAAAD+rynU=")</f>
        <v>#VALUE!</v>
      </c>
      <c r="DO1" t="e">
        <f>AND('Planilla_General_29-11-2012_10_'!P7,"AAAAAD+rynY=")</f>
        <v>#VALUE!</v>
      </c>
      <c r="DP1">
        <f>IF('Planilla_General_29-11-2012_10_'!8:8,"AAAAAD+rync=",0)</f>
        <v>0</v>
      </c>
      <c r="DQ1" t="e">
        <f>AND('Planilla_General_29-11-2012_10_'!A8,"AAAAAD+ryng=")</f>
        <v>#VALUE!</v>
      </c>
      <c r="DR1" t="e">
        <f>AND('Planilla_General_29-11-2012_10_'!B8,"AAAAAD+rynk=")</f>
        <v>#VALUE!</v>
      </c>
      <c r="DS1" t="e">
        <f>AND('Planilla_General_29-11-2012_10_'!C8,"AAAAAD+ryno=")</f>
        <v>#VALUE!</v>
      </c>
      <c r="DT1" t="e">
        <f>AND('Planilla_General_29-11-2012_10_'!D8,"AAAAAD+ryns=")</f>
        <v>#VALUE!</v>
      </c>
      <c r="DU1" t="e">
        <f>AND('Planilla_General_29-11-2012_10_'!E8,"AAAAAD+rynw=")</f>
        <v>#VALUE!</v>
      </c>
      <c r="DV1" t="e">
        <f>AND('Planilla_General_29-11-2012_10_'!F8,"AAAAAD+ryn0=")</f>
        <v>#VALUE!</v>
      </c>
      <c r="DW1" t="e">
        <f>AND('Planilla_General_29-11-2012_10_'!G8,"AAAAAD+ryn4=")</f>
        <v>#VALUE!</v>
      </c>
      <c r="DX1" t="e">
        <f>AND('Planilla_General_29-11-2012_10_'!H8,"AAAAAD+ryn8=")</f>
        <v>#VALUE!</v>
      </c>
      <c r="DY1" t="e">
        <f>AND('Planilla_General_29-11-2012_10_'!I8,"AAAAAD+ryoA=")</f>
        <v>#VALUE!</v>
      </c>
      <c r="DZ1" t="e">
        <f>AND('Planilla_General_29-11-2012_10_'!J8,"AAAAAD+ryoE=")</f>
        <v>#VALUE!</v>
      </c>
      <c r="EA1" t="e">
        <f>AND('Planilla_General_29-11-2012_10_'!K8,"AAAAAD+ryoI=")</f>
        <v>#VALUE!</v>
      </c>
      <c r="EB1" t="e">
        <f>AND('Planilla_General_29-11-2012_10_'!L8,"AAAAAD+ryoM=")</f>
        <v>#VALUE!</v>
      </c>
      <c r="EC1" t="e">
        <f>AND('Planilla_General_29-11-2012_10_'!M8,"AAAAAD+ryoQ=")</f>
        <v>#VALUE!</v>
      </c>
      <c r="ED1" t="e">
        <f>AND('Planilla_General_29-11-2012_10_'!N8,"AAAAAD+ryoU=")</f>
        <v>#VALUE!</v>
      </c>
      <c r="EE1" t="e">
        <f>AND('Planilla_General_29-11-2012_10_'!O8,"AAAAAD+ryoY=")</f>
        <v>#VALUE!</v>
      </c>
      <c r="EF1" t="e">
        <f>AND('Planilla_General_29-11-2012_10_'!P8,"AAAAAD+ryoc=")</f>
        <v>#VALUE!</v>
      </c>
      <c r="EG1">
        <f>IF('Planilla_General_29-11-2012_10_'!9:9,"AAAAAD+ryog=",0)</f>
        <v>0</v>
      </c>
      <c r="EH1" t="e">
        <f>AND('Planilla_General_29-11-2012_10_'!A9,"AAAAAD+ryok=")</f>
        <v>#VALUE!</v>
      </c>
      <c r="EI1" t="e">
        <f>AND('Planilla_General_29-11-2012_10_'!B9,"AAAAAD+ryoo=")</f>
        <v>#VALUE!</v>
      </c>
      <c r="EJ1" t="e">
        <f>AND('Planilla_General_29-11-2012_10_'!C9,"AAAAAD+ryos=")</f>
        <v>#VALUE!</v>
      </c>
      <c r="EK1" t="e">
        <f>AND('Planilla_General_29-11-2012_10_'!D9,"AAAAAD+ryow=")</f>
        <v>#VALUE!</v>
      </c>
      <c r="EL1" t="e">
        <f>AND('Planilla_General_29-11-2012_10_'!E9,"AAAAAD+ryo0=")</f>
        <v>#VALUE!</v>
      </c>
      <c r="EM1" t="e">
        <f>AND('Planilla_General_29-11-2012_10_'!F9,"AAAAAD+ryo4=")</f>
        <v>#VALUE!</v>
      </c>
      <c r="EN1" t="e">
        <f>AND('Planilla_General_29-11-2012_10_'!G9,"AAAAAD+ryo8=")</f>
        <v>#VALUE!</v>
      </c>
      <c r="EO1" t="e">
        <f>AND('Planilla_General_29-11-2012_10_'!H9,"AAAAAD+rypA=")</f>
        <v>#VALUE!</v>
      </c>
      <c r="EP1" t="e">
        <f>AND('Planilla_General_29-11-2012_10_'!I9,"AAAAAD+rypE=")</f>
        <v>#VALUE!</v>
      </c>
      <c r="EQ1" t="e">
        <f>AND('Planilla_General_29-11-2012_10_'!J9,"AAAAAD+rypI=")</f>
        <v>#VALUE!</v>
      </c>
      <c r="ER1" t="e">
        <f>AND('Planilla_General_29-11-2012_10_'!K9,"AAAAAD+rypM=")</f>
        <v>#VALUE!</v>
      </c>
      <c r="ES1" t="e">
        <f>AND('Planilla_General_29-11-2012_10_'!L9,"AAAAAD+rypQ=")</f>
        <v>#VALUE!</v>
      </c>
      <c r="ET1" t="e">
        <f>AND('Planilla_General_29-11-2012_10_'!M9,"AAAAAD+rypU=")</f>
        <v>#VALUE!</v>
      </c>
      <c r="EU1" t="e">
        <f>AND('Planilla_General_29-11-2012_10_'!N9,"AAAAAD+rypY=")</f>
        <v>#VALUE!</v>
      </c>
      <c r="EV1" t="e">
        <f>AND('Planilla_General_29-11-2012_10_'!O9,"AAAAAD+rypc=")</f>
        <v>#VALUE!</v>
      </c>
      <c r="EW1" t="e">
        <f>AND('Planilla_General_29-11-2012_10_'!P9,"AAAAAD+rypg=")</f>
        <v>#VALUE!</v>
      </c>
      <c r="EX1">
        <f>IF('Planilla_General_29-11-2012_10_'!10:10,"AAAAAD+rypk=",0)</f>
        <v>0</v>
      </c>
      <c r="EY1" t="e">
        <f>AND('Planilla_General_29-11-2012_10_'!A10,"AAAAAD+rypo=")</f>
        <v>#VALUE!</v>
      </c>
      <c r="EZ1" t="e">
        <f>AND('Planilla_General_29-11-2012_10_'!B10,"AAAAAD+ryps=")</f>
        <v>#VALUE!</v>
      </c>
      <c r="FA1" t="e">
        <f>AND('Planilla_General_29-11-2012_10_'!C10,"AAAAAD+rypw=")</f>
        <v>#VALUE!</v>
      </c>
      <c r="FB1" t="e">
        <f>AND('Planilla_General_29-11-2012_10_'!D10,"AAAAAD+ryp0=")</f>
        <v>#VALUE!</v>
      </c>
      <c r="FC1" t="e">
        <f>AND('Planilla_General_29-11-2012_10_'!E10,"AAAAAD+ryp4=")</f>
        <v>#VALUE!</v>
      </c>
      <c r="FD1" t="e">
        <f>AND('Planilla_General_29-11-2012_10_'!F10,"AAAAAD+ryp8=")</f>
        <v>#VALUE!</v>
      </c>
      <c r="FE1" t="e">
        <f>AND('Planilla_General_29-11-2012_10_'!G10,"AAAAAD+ryqA=")</f>
        <v>#VALUE!</v>
      </c>
      <c r="FF1" t="e">
        <f>AND('Planilla_General_29-11-2012_10_'!H10,"AAAAAD+ryqE=")</f>
        <v>#VALUE!</v>
      </c>
      <c r="FG1" t="e">
        <f>AND('Planilla_General_29-11-2012_10_'!I10,"AAAAAD+ryqI=")</f>
        <v>#VALUE!</v>
      </c>
      <c r="FH1" t="e">
        <f>AND('Planilla_General_29-11-2012_10_'!J10,"AAAAAD+ryqM=")</f>
        <v>#VALUE!</v>
      </c>
      <c r="FI1" t="e">
        <f>AND('Planilla_General_29-11-2012_10_'!K10,"AAAAAD+ryqQ=")</f>
        <v>#VALUE!</v>
      </c>
      <c r="FJ1" t="e">
        <f>AND('Planilla_General_29-11-2012_10_'!L10,"AAAAAD+ryqU=")</f>
        <v>#VALUE!</v>
      </c>
      <c r="FK1" t="e">
        <f>AND('Planilla_General_29-11-2012_10_'!M10,"AAAAAD+ryqY=")</f>
        <v>#VALUE!</v>
      </c>
      <c r="FL1" t="e">
        <f>AND('Planilla_General_29-11-2012_10_'!N10,"AAAAAD+ryqc=")</f>
        <v>#VALUE!</v>
      </c>
      <c r="FM1" t="e">
        <f>AND('Planilla_General_29-11-2012_10_'!O10,"AAAAAD+ryqg=")</f>
        <v>#VALUE!</v>
      </c>
      <c r="FN1" t="e">
        <f>AND('Planilla_General_29-11-2012_10_'!P10,"AAAAAD+ryqk=")</f>
        <v>#VALUE!</v>
      </c>
      <c r="FO1">
        <f>IF('Planilla_General_29-11-2012_10_'!11:11,"AAAAAD+ryqo=",0)</f>
        <v>0</v>
      </c>
      <c r="FP1" t="e">
        <f>AND('Planilla_General_29-11-2012_10_'!A11,"AAAAAD+ryqs=")</f>
        <v>#VALUE!</v>
      </c>
      <c r="FQ1" t="e">
        <f>AND('Planilla_General_29-11-2012_10_'!B11,"AAAAAD+ryqw=")</f>
        <v>#VALUE!</v>
      </c>
      <c r="FR1" t="e">
        <f>AND('Planilla_General_29-11-2012_10_'!C11,"AAAAAD+ryq0=")</f>
        <v>#VALUE!</v>
      </c>
      <c r="FS1" t="e">
        <f>AND('Planilla_General_29-11-2012_10_'!D11,"AAAAAD+ryq4=")</f>
        <v>#VALUE!</v>
      </c>
      <c r="FT1" t="e">
        <f>AND('Planilla_General_29-11-2012_10_'!E11,"AAAAAD+ryq8=")</f>
        <v>#VALUE!</v>
      </c>
      <c r="FU1" t="e">
        <f>AND('Planilla_General_29-11-2012_10_'!F11,"AAAAAD+ryrA=")</f>
        <v>#VALUE!</v>
      </c>
      <c r="FV1" t="e">
        <f>AND('Planilla_General_29-11-2012_10_'!G11,"AAAAAD+ryrE=")</f>
        <v>#VALUE!</v>
      </c>
      <c r="FW1" t="e">
        <f>AND('Planilla_General_29-11-2012_10_'!H11,"AAAAAD+ryrI=")</f>
        <v>#VALUE!</v>
      </c>
      <c r="FX1" t="e">
        <f>AND('Planilla_General_29-11-2012_10_'!I11,"AAAAAD+ryrM=")</f>
        <v>#VALUE!</v>
      </c>
      <c r="FY1" t="e">
        <f>AND('Planilla_General_29-11-2012_10_'!J11,"AAAAAD+ryrQ=")</f>
        <v>#VALUE!</v>
      </c>
      <c r="FZ1" t="e">
        <f>AND('Planilla_General_29-11-2012_10_'!K11,"AAAAAD+ryrU=")</f>
        <v>#VALUE!</v>
      </c>
      <c r="GA1" t="e">
        <f>AND('Planilla_General_29-11-2012_10_'!L11,"AAAAAD+ryrY=")</f>
        <v>#VALUE!</v>
      </c>
      <c r="GB1" t="e">
        <f>AND('Planilla_General_29-11-2012_10_'!M11,"AAAAAD+ryrc=")</f>
        <v>#VALUE!</v>
      </c>
      <c r="GC1" t="e">
        <f>AND('Planilla_General_29-11-2012_10_'!N11,"AAAAAD+ryrg=")</f>
        <v>#VALUE!</v>
      </c>
      <c r="GD1" t="e">
        <f>AND('Planilla_General_29-11-2012_10_'!O11,"AAAAAD+ryrk=")</f>
        <v>#VALUE!</v>
      </c>
      <c r="GE1" t="e">
        <f>AND('Planilla_General_29-11-2012_10_'!P11,"AAAAAD+ryro=")</f>
        <v>#VALUE!</v>
      </c>
      <c r="GF1">
        <f>IF('Planilla_General_29-11-2012_10_'!12:12,"AAAAAD+ryrs=",0)</f>
        <v>0</v>
      </c>
      <c r="GG1" t="e">
        <f>AND('Planilla_General_29-11-2012_10_'!A12,"AAAAAD+ryrw=")</f>
        <v>#VALUE!</v>
      </c>
      <c r="GH1" t="e">
        <f>AND('Planilla_General_29-11-2012_10_'!B12,"AAAAAD+ryr0=")</f>
        <v>#VALUE!</v>
      </c>
      <c r="GI1" t="e">
        <f>AND('Planilla_General_29-11-2012_10_'!C12,"AAAAAD+ryr4=")</f>
        <v>#VALUE!</v>
      </c>
      <c r="GJ1" t="e">
        <f>AND('Planilla_General_29-11-2012_10_'!D12,"AAAAAD+ryr8=")</f>
        <v>#VALUE!</v>
      </c>
      <c r="GK1" t="e">
        <f>AND('Planilla_General_29-11-2012_10_'!E12,"AAAAAD+rysA=")</f>
        <v>#VALUE!</v>
      </c>
      <c r="GL1" t="e">
        <f>AND('Planilla_General_29-11-2012_10_'!F12,"AAAAAD+rysE=")</f>
        <v>#VALUE!</v>
      </c>
      <c r="GM1" t="e">
        <f>AND('Planilla_General_29-11-2012_10_'!G12,"AAAAAD+rysI=")</f>
        <v>#VALUE!</v>
      </c>
      <c r="GN1" t="e">
        <f>AND('Planilla_General_29-11-2012_10_'!H12,"AAAAAD+rysM=")</f>
        <v>#VALUE!</v>
      </c>
      <c r="GO1" t="e">
        <f>AND('Planilla_General_29-11-2012_10_'!I12,"AAAAAD+rysQ=")</f>
        <v>#VALUE!</v>
      </c>
      <c r="GP1" t="e">
        <f>AND('Planilla_General_29-11-2012_10_'!J12,"AAAAAD+rysU=")</f>
        <v>#VALUE!</v>
      </c>
      <c r="GQ1" t="e">
        <f>AND('Planilla_General_29-11-2012_10_'!K12,"AAAAAD+rysY=")</f>
        <v>#VALUE!</v>
      </c>
      <c r="GR1" t="e">
        <f>AND('Planilla_General_29-11-2012_10_'!L12,"AAAAAD+rysc=")</f>
        <v>#VALUE!</v>
      </c>
      <c r="GS1" t="e">
        <f>AND('Planilla_General_29-11-2012_10_'!M12,"AAAAAD+rysg=")</f>
        <v>#VALUE!</v>
      </c>
      <c r="GT1" t="e">
        <f>AND('Planilla_General_29-11-2012_10_'!N12,"AAAAAD+rysk=")</f>
        <v>#VALUE!</v>
      </c>
      <c r="GU1" t="e">
        <f>AND('Planilla_General_29-11-2012_10_'!O12,"AAAAAD+ryso=")</f>
        <v>#VALUE!</v>
      </c>
      <c r="GV1" t="e">
        <f>AND('Planilla_General_29-11-2012_10_'!P12,"AAAAAD+ryss=")</f>
        <v>#VALUE!</v>
      </c>
      <c r="GW1">
        <f>IF('Planilla_General_29-11-2012_10_'!13:13,"AAAAAD+rysw=",0)</f>
        <v>0</v>
      </c>
      <c r="GX1" t="e">
        <f>AND('Planilla_General_29-11-2012_10_'!A13,"AAAAAD+rys0=")</f>
        <v>#VALUE!</v>
      </c>
      <c r="GY1" t="e">
        <f>AND('Planilla_General_29-11-2012_10_'!B13,"AAAAAD+rys4=")</f>
        <v>#VALUE!</v>
      </c>
      <c r="GZ1" t="e">
        <f>AND('Planilla_General_29-11-2012_10_'!C13,"AAAAAD+rys8=")</f>
        <v>#VALUE!</v>
      </c>
      <c r="HA1" t="e">
        <f>AND('Planilla_General_29-11-2012_10_'!D13,"AAAAAD+rytA=")</f>
        <v>#VALUE!</v>
      </c>
      <c r="HB1" t="e">
        <f>AND('Planilla_General_29-11-2012_10_'!E13,"AAAAAD+rytE=")</f>
        <v>#VALUE!</v>
      </c>
      <c r="HC1" t="e">
        <f>AND('Planilla_General_29-11-2012_10_'!F13,"AAAAAD+rytI=")</f>
        <v>#VALUE!</v>
      </c>
      <c r="HD1" t="e">
        <f>AND('Planilla_General_29-11-2012_10_'!G13,"AAAAAD+rytM=")</f>
        <v>#VALUE!</v>
      </c>
      <c r="HE1" t="e">
        <f>AND('Planilla_General_29-11-2012_10_'!H13,"AAAAAD+rytQ=")</f>
        <v>#VALUE!</v>
      </c>
      <c r="HF1" t="e">
        <f>AND('Planilla_General_29-11-2012_10_'!I13,"AAAAAD+rytU=")</f>
        <v>#VALUE!</v>
      </c>
      <c r="HG1" t="e">
        <f>AND('Planilla_General_29-11-2012_10_'!J13,"AAAAAD+rytY=")</f>
        <v>#VALUE!</v>
      </c>
      <c r="HH1" t="e">
        <f>AND('Planilla_General_29-11-2012_10_'!K13,"AAAAAD+rytc=")</f>
        <v>#VALUE!</v>
      </c>
      <c r="HI1" t="e">
        <f>AND('Planilla_General_29-11-2012_10_'!L13,"AAAAAD+rytg=")</f>
        <v>#VALUE!</v>
      </c>
      <c r="HJ1" t="e">
        <f>AND('Planilla_General_29-11-2012_10_'!M13,"AAAAAD+rytk=")</f>
        <v>#VALUE!</v>
      </c>
      <c r="HK1" t="e">
        <f>AND('Planilla_General_29-11-2012_10_'!N13,"AAAAAD+ryto=")</f>
        <v>#VALUE!</v>
      </c>
      <c r="HL1" t="e">
        <f>AND('Planilla_General_29-11-2012_10_'!O13,"AAAAAD+ryts=")</f>
        <v>#VALUE!</v>
      </c>
      <c r="HM1" t="e">
        <f>AND('Planilla_General_29-11-2012_10_'!P13,"AAAAAD+rytw=")</f>
        <v>#VALUE!</v>
      </c>
      <c r="HN1">
        <f>IF('Planilla_General_29-11-2012_10_'!14:14,"AAAAAD+ryt0=",0)</f>
        <v>0</v>
      </c>
      <c r="HO1" t="e">
        <f>AND('Planilla_General_29-11-2012_10_'!A14,"AAAAAD+ryt4=")</f>
        <v>#VALUE!</v>
      </c>
      <c r="HP1" t="e">
        <f>AND('Planilla_General_29-11-2012_10_'!B14,"AAAAAD+ryt8=")</f>
        <v>#VALUE!</v>
      </c>
      <c r="HQ1" t="e">
        <f>AND('Planilla_General_29-11-2012_10_'!C14,"AAAAAD+ryuA=")</f>
        <v>#VALUE!</v>
      </c>
      <c r="HR1" t="e">
        <f>AND('Planilla_General_29-11-2012_10_'!D14,"AAAAAD+ryuE=")</f>
        <v>#VALUE!</v>
      </c>
      <c r="HS1" t="e">
        <f>AND('Planilla_General_29-11-2012_10_'!E14,"AAAAAD+ryuI=")</f>
        <v>#VALUE!</v>
      </c>
      <c r="HT1" t="e">
        <f>AND('Planilla_General_29-11-2012_10_'!F14,"AAAAAD+ryuM=")</f>
        <v>#VALUE!</v>
      </c>
      <c r="HU1" t="e">
        <f>AND('Planilla_General_29-11-2012_10_'!G14,"AAAAAD+ryuQ=")</f>
        <v>#VALUE!</v>
      </c>
      <c r="HV1" t="e">
        <f>AND('Planilla_General_29-11-2012_10_'!H14,"AAAAAD+ryuU=")</f>
        <v>#VALUE!</v>
      </c>
      <c r="HW1" t="e">
        <f>AND('Planilla_General_29-11-2012_10_'!I14,"AAAAAD+ryuY=")</f>
        <v>#VALUE!</v>
      </c>
      <c r="HX1" t="e">
        <f>AND('Planilla_General_29-11-2012_10_'!J14,"AAAAAD+ryuc=")</f>
        <v>#VALUE!</v>
      </c>
      <c r="HY1" t="e">
        <f>AND('Planilla_General_29-11-2012_10_'!K14,"AAAAAD+ryug=")</f>
        <v>#VALUE!</v>
      </c>
      <c r="HZ1" t="e">
        <f>AND('Planilla_General_29-11-2012_10_'!L14,"AAAAAD+ryuk=")</f>
        <v>#VALUE!</v>
      </c>
      <c r="IA1" t="e">
        <f>AND('Planilla_General_29-11-2012_10_'!M14,"AAAAAD+ryuo=")</f>
        <v>#VALUE!</v>
      </c>
      <c r="IB1" t="e">
        <f>AND('Planilla_General_29-11-2012_10_'!N14,"AAAAAD+ryus=")</f>
        <v>#VALUE!</v>
      </c>
      <c r="IC1" t="e">
        <f>AND('Planilla_General_29-11-2012_10_'!O14,"AAAAAD+ryuw=")</f>
        <v>#VALUE!</v>
      </c>
      <c r="ID1" t="e">
        <f>AND('Planilla_General_29-11-2012_10_'!P14,"AAAAAD+ryu0=")</f>
        <v>#VALUE!</v>
      </c>
      <c r="IE1">
        <f>IF('Planilla_General_29-11-2012_10_'!15:15,"AAAAAD+ryu4=",0)</f>
        <v>0</v>
      </c>
      <c r="IF1" t="e">
        <f>AND('Planilla_General_29-11-2012_10_'!A15,"AAAAAD+ryu8=")</f>
        <v>#VALUE!</v>
      </c>
      <c r="IG1" t="e">
        <f>AND('Planilla_General_29-11-2012_10_'!B15,"AAAAAD+ryvA=")</f>
        <v>#VALUE!</v>
      </c>
      <c r="IH1" t="e">
        <f>AND('Planilla_General_29-11-2012_10_'!C15,"AAAAAD+ryvE=")</f>
        <v>#VALUE!</v>
      </c>
      <c r="II1" t="e">
        <f>AND('Planilla_General_29-11-2012_10_'!D15,"AAAAAD+ryvI=")</f>
        <v>#VALUE!</v>
      </c>
      <c r="IJ1" t="e">
        <f>AND('Planilla_General_29-11-2012_10_'!E15,"AAAAAD+ryvM=")</f>
        <v>#VALUE!</v>
      </c>
      <c r="IK1" t="e">
        <f>AND('Planilla_General_29-11-2012_10_'!F15,"AAAAAD+ryvQ=")</f>
        <v>#VALUE!</v>
      </c>
      <c r="IL1" t="e">
        <f>AND('Planilla_General_29-11-2012_10_'!G15,"AAAAAD+ryvU=")</f>
        <v>#VALUE!</v>
      </c>
      <c r="IM1" t="e">
        <f>AND('Planilla_General_29-11-2012_10_'!H15,"AAAAAD+ryvY=")</f>
        <v>#VALUE!</v>
      </c>
      <c r="IN1" t="e">
        <f>AND('Planilla_General_29-11-2012_10_'!I15,"AAAAAD+ryvc=")</f>
        <v>#VALUE!</v>
      </c>
      <c r="IO1" t="e">
        <f>AND('Planilla_General_29-11-2012_10_'!J15,"AAAAAD+ryvg=")</f>
        <v>#VALUE!</v>
      </c>
      <c r="IP1" t="e">
        <f>AND('Planilla_General_29-11-2012_10_'!K15,"AAAAAD+ryvk=")</f>
        <v>#VALUE!</v>
      </c>
      <c r="IQ1" t="e">
        <f>AND('Planilla_General_29-11-2012_10_'!L15,"AAAAAD+ryvo=")</f>
        <v>#VALUE!</v>
      </c>
      <c r="IR1" t="e">
        <f>AND('Planilla_General_29-11-2012_10_'!M15,"AAAAAD+ryvs=")</f>
        <v>#VALUE!</v>
      </c>
      <c r="IS1" t="e">
        <f>AND('Planilla_General_29-11-2012_10_'!N15,"AAAAAD+ryvw=")</f>
        <v>#VALUE!</v>
      </c>
      <c r="IT1" t="e">
        <f>AND('Planilla_General_29-11-2012_10_'!O15,"AAAAAD+ryv0=")</f>
        <v>#VALUE!</v>
      </c>
      <c r="IU1" t="e">
        <f>AND('Planilla_General_29-11-2012_10_'!P15,"AAAAAD+ryv4=")</f>
        <v>#VALUE!</v>
      </c>
      <c r="IV1">
        <f>IF('Planilla_General_29-11-2012_10_'!16:16,"AAAAAD+ryv8=",0)</f>
        <v>0</v>
      </c>
    </row>
    <row r="2" spans="1:256" x14ac:dyDescent="0.25">
      <c r="A2" t="e">
        <f>AND('Planilla_General_29-11-2012_10_'!A16,"AAAAAH/3lwA=")</f>
        <v>#VALUE!</v>
      </c>
      <c r="B2" t="e">
        <f>AND('Planilla_General_29-11-2012_10_'!B16,"AAAAAH/3lwE=")</f>
        <v>#VALUE!</v>
      </c>
      <c r="C2" t="e">
        <f>AND('Planilla_General_29-11-2012_10_'!C16,"AAAAAH/3lwI=")</f>
        <v>#VALUE!</v>
      </c>
      <c r="D2" t="e">
        <f>AND('Planilla_General_29-11-2012_10_'!D16,"AAAAAH/3lwM=")</f>
        <v>#VALUE!</v>
      </c>
      <c r="E2" t="e">
        <f>AND('Planilla_General_29-11-2012_10_'!E16,"AAAAAH/3lwQ=")</f>
        <v>#VALUE!</v>
      </c>
      <c r="F2" t="e">
        <f>AND('Planilla_General_29-11-2012_10_'!F16,"AAAAAH/3lwU=")</f>
        <v>#VALUE!</v>
      </c>
      <c r="G2" t="e">
        <f>AND('Planilla_General_29-11-2012_10_'!G16,"AAAAAH/3lwY=")</f>
        <v>#VALUE!</v>
      </c>
      <c r="H2" t="e">
        <f>AND('Planilla_General_29-11-2012_10_'!H16,"AAAAAH/3lwc=")</f>
        <v>#VALUE!</v>
      </c>
      <c r="I2" t="e">
        <f>AND('Planilla_General_29-11-2012_10_'!I16,"AAAAAH/3lwg=")</f>
        <v>#VALUE!</v>
      </c>
      <c r="J2" t="e">
        <f>AND('Planilla_General_29-11-2012_10_'!J16,"AAAAAH/3lwk=")</f>
        <v>#VALUE!</v>
      </c>
      <c r="K2" t="e">
        <f>AND('Planilla_General_29-11-2012_10_'!K16,"AAAAAH/3lwo=")</f>
        <v>#VALUE!</v>
      </c>
      <c r="L2" t="e">
        <f>AND('Planilla_General_29-11-2012_10_'!L16,"AAAAAH/3lws=")</f>
        <v>#VALUE!</v>
      </c>
      <c r="M2" t="e">
        <f>AND('Planilla_General_29-11-2012_10_'!M16,"AAAAAH/3lww=")</f>
        <v>#VALUE!</v>
      </c>
      <c r="N2" t="e">
        <f>AND('Planilla_General_29-11-2012_10_'!N16,"AAAAAH/3lw0=")</f>
        <v>#VALUE!</v>
      </c>
      <c r="O2" t="e">
        <f>AND('Planilla_General_29-11-2012_10_'!O16,"AAAAAH/3lw4=")</f>
        <v>#VALUE!</v>
      </c>
      <c r="P2" t="e">
        <f>AND('Planilla_General_29-11-2012_10_'!P16,"AAAAAH/3lw8=")</f>
        <v>#VALUE!</v>
      </c>
      <c r="Q2">
        <f>IF('Planilla_General_29-11-2012_10_'!17:17,"AAAAAH/3lxA=",0)</f>
        <v>0</v>
      </c>
      <c r="R2" t="e">
        <f>AND('Planilla_General_29-11-2012_10_'!A17,"AAAAAH/3lxE=")</f>
        <v>#VALUE!</v>
      </c>
      <c r="S2" t="e">
        <f>AND('Planilla_General_29-11-2012_10_'!B17,"AAAAAH/3lxI=")</f>
        <v>#VALUE!</v>
      </c>
      <c r="T2" t="e">
        <f>AND('Planilla_General_29-11-2012_10_'!C17,"AAAAAH/3lxM=")</f>
        <v>#VALUE!</v>
      </c>
      <c r="U2" t="e">
        <f>AND('Planilla_General_29-11-2012_10_'!D17,"AAAAAH/3lxQ=")</f>
        <v>#VALUE!</v>
      </c>
      <c r="V2" t="e">
        <f>AND('Planilla_General_29-11-2012_10_'!E17,"AAAAAH/3lxU=")</f>
        <v>#VALUE!</v>
      </c>
      <c r="W2" t="e">
        <f>AND('Planilla_General_29-11-2012_10_'!F17,"AAAAAH/3lxY=")</f>
        <v>#VALUE!</v>
      </c>
      <c r="X2" t="e">
        <f>AND('Planilla_General_29-11-2012_10_'!G17,"AAAAAH/3lxc=")</f>
        <v>#VALUE!</v>
      </c>
      <c r="Y2" t="e">
        <f>AND('Planilla_General_29-11-2012_10_'!H17,"AAAAAH/3lxg=")</f>
        <v>#VALUE!</v>
      </c>
      <c r="Z2" t="e">
        <f>AND('Planilla_General_29-11-2012_10_'!I17,"AAAAAH/3lxk=")</f>
        <v>#VALUE!</v>
      </c>
      <c r="AA2" t="e">
        <f>AND('Planilla_General_29-11-2012_10_'!J17,"AAAAAH/3lxo=")</f>
        <v>#VALUE!</v>
      </c>
      <c r="AB2" t="e">
        <f>AND('Planilla_General_29-11-2012_10_'!K17,"AAAAAH/3lxs=")</f>
        <v>#VALUE!</v>
      </c>
      <c r="AC2" t="e">
        <f>AND('Planilla_General_29-11-2012_10_'!L17,"AAAAAH/3lxw=")</f>
        <v>#VALUE!</v>
      </c>
      <c r="AD2" t="e">
        <f>AND('Planilla_General_29-11-2012_10_'!M17,"AAAAAH/3lx0=")</f>
        <v>#VALUE!</v>
      </c>
      <c r="AE2" t="e">
        <f>AND('Planilla_General_29-11-2012_10_'!N17,"AAAAAH/3lx4=")</f>
        <v>#VALUE!</v>
      </c>
      <c r="AF2" t="e">
        <f>AND('Planilla_General_29-11-2012_10_'!O17,"AAAAAH/3lx8=")</f>
        <v>#VALUE!</v>
      </c>
      <c r="AG2" t="e">
        <f>AND('Planilla_General_29-11-2012_10_'!P17,"AAAAAH/3lyA=")</f>
        <v>#VALUE!</v>
      </c>
      <c r="AH2">
        <f>IF('Planilla_General_29-11-2012_10_'!18:18,"AAAAAH/3lyE=",0)</f>
        <v>0</v>
      </c>
      <c r="AI2" t="e">
        <f>AND('Planilla_General_29-11-2012_10_'!A18,"AAAAAH/3lyI=")</f>
        <v>#VALUE!</v>
      </c>
      <c r="AJ2" t="e">
        <f>AND('Planilla_General_29-11-2012_10_'!B18,"AAAAAH/3lyM=")</f>
        <v>#VALUE!</v>
      </c>
      <c r="AK2" t="e">
        <f>AND('Planilla_General_29-11-2012_10_'!C18,"AAAAAH/3lyQ=")</f>
        <v>#VALUE!</v>
      </c>
      <c r="AL2" t="e">
        <f>AND('Planilla_General_29-11-2012_10_'!D18,"AAAAAH/3lyU=")</f>
        <v>#VALUE!</v>
      </c>
      <c r="AM2" t="e">
        <f>AND('Planilla_General_29-11-2012_10_'!E18,"AAAAAH/3lyY=")</f>
        <v>#VALUE!</v>
      </c>
      <c r="AN2" t="e">
        <f>AND('Planilla_General_29-11-2012_10_'!F18,"AAAAAH/3lyc=")</f>
        <v>#VALUE!</v>
      </c>
      <c r="AO2" t="e">
        <f>AND('Planilla_General_29-11-2012_10_'!G18,"AAAAAH/3lyg=")</f>
        <v>#VALUE!</v>
      </c>
      <c r="AP2" t="e">
        <f>AND('Planilla_General_29-11-2012_10_'!H18,"AAAAAH/3lyk=")</f>
        <v>#VALUE!</v>
      </c>
      <c r="AQ2" t="e">
        <f>AND('Planilla_General_29-11-2012_10_'!I18,"AAAAAH/3lyo=")</f>
        <v>#VALUE!</v>
      </c>
      <c r="AR2" t="e">
        <f>AND('Planilla_General_29-11-2012_10_'!J18,"AAAAAH/3lys=")</f>
        <v>#VALUE!</v>
      </c>
      <c r="AS2" t="e">
        <f>AND('Planilla_General_29-11-2012_10_'!K18,"AAAAAH/3lyw=")</f>
        <v>#VALUE!</v>
      </c>
      <c r="AT2" t="e">
        <f>AND('Planilla_General_29-11-2012_10_'!L18,"AAAAAH/3ly0=")</f>
        <v>#VALUE!</v>
      </c>
      <c r="AU2" t="e">
        <f>AND('Planilla_General_29-11-2012_10_'!M18,"AAAAAH/3ly4=")</f>
        <v>#VALUE!</v>
      </c>
      <c r="AV2" t="e">
        <f>AND('Planilla_General_29-11-2012_10_'!N18,"AAAAAH/3ly8=")</f>
        <v>#VALUE!</v>
      </c>
      <c r="AW2" t="e">
        <f>AND('Planilla_General_29-11-2012_10_'!O18,"AAAAAH/3lzA=")</f>
        <v>#VALUE!</v>
      </c>
      <c r="AX2" t="e">
        <f>AND('Planilla_General_29-11-2012_10_'!P18,"AAAAAH/3lzE=")</f>
        <v>#VALUE!</v>
      </c>
      <c r="AY2">
        <f>IF('Planilla_General_29-11-2012_10_'!19:19,"AAAAAH/3lzI=",0)</f>
        <v>0</v>
      </c>
      <c r="AZ2" t="e">
        <f>AND('Planilla_General_29-11-2012_10_'!A19,"AAAAAH/3lzM=")</f>
        <v>#VALUE!</v>
      </c>
      <c r="BA2" t="e">
        <f>AND('Planilla_General_29-11-2012_10_'!B19,"AAAAAH/3lzQ=")</f>
        <v>#VALUE!</v>
      </c>
      <c r="BB2" t="e">
        <f>AND('Planilla_General_29-11-2012_10_'!C19,"AAAAAH/3lzU=")</f>
        <v>#VALUE!</v>
      </c>
      <c r="BC2" t="e">
        <f>AND('Planilla_General_29-11-2012_10_'!D19,"AAAAAH/3lzY=")</f>
        <v>#VALUE!</v>
      </c>
      <c r="BD2" t="e">
        <f>AND('Planilla_General_29-11-2012_10_'!E19,"AAAAAH/3lzc=")</f>
        <v>#VALUE!</v>
      </c>
      <c r="BE2" t="e">
        <f>AND('Planilla_General_29-11-2012_10_'!F19,"AAAAAH/3lzg=")</f>
        <v>#VALUE!</v>
      </c>
      <c r="BF2" t="e">
        <f>AND('Planilla_General_29-11-2012_10_'!G19,"AAAAAH/3lzk=")</f>
        <v>#VALUE!</v>
      </c>
      <c r="BG2" t="e">
        <f>AND('Planilla_General_29-11-2012_10_'!H19,"AAAAAH/3lzo=")</f>
        <v>#VALUE!</v>
      </c>
      <c r="BH2" t="e">
        <f>AND('Planilla_General_29-11-2012_10_'!I19,"AAAAAH/3lzs=")</f>
        <v>#VALUE!</v>
      </c>
      <c r="BI2" t="e">
        <f>AND('Planilla_General_29-11-2012_10_'!J19,"AAAAAH/3lzw=")</f>
        <v>#VALUE!</v>
      </c>
      <c r="BJ2" t="e">
        <f>AND('Planilla_General_29-11-2012_10_'!K19,"AAAAAH/3lz0=")</f>
        <v>#VALUE!</v>
      </c>
      <c r="BK2" t="e">
        <f>AND('Planilla_General_29-11-2012_10_'!L19,"AAAAAH/3lz4=")</f>
        <v>#VALUE!</v>
      </c>
      <c r="BL2" t="e">
        <f>AND('Planilla_General_29-11-2012_10_'!M19,"AAAAAH/3lz8=")</f>
        <v>#VALUE!</v>
      </c>
      <c r="BM2" t="e">
        <f>AND('Planilla_General_29-11-2012_10_'!N19,"AAAAAH/3l0A=")</f>
        <v>#VALUE!</v>
      </c>
      <c r="BN2" t="e">
        <f>AND('Planilla_General_29-11-2012_10_'!O19,"AAAAAH/3l0E=")</f>
        <v>#VALUE!</v>
      </c>
      <c r="BO2" t="e">
        <f>AND('Planilla_General_29-11-2012_10_'!P19,"AAAAAH/3l0I=")</f>
        <v>#VALUE!</v>
      </c>
      <c r="BP2">
        <f>IF('Planilla_General_29-11-2012_10_'!20:20,"AAAAAH/3l0M=",0)</f>
        <v>0</v>
      </c>
      <c r="BQ2" t="e">
        <f>AND('Planilla_General_29-11-2012_10_'!A20,"AAAAAH/3l0Q=")</f>
        <v>#VALUE!</v>
      </c>
      <c r="BR2" t="e">
        <f>AND('Planilla_General_29-11-2012_10_'!B20,"AAAAAH/3l0U=")</f>
        <v>#VALUE!</v>
      </c>
      <c r="BS2" t="e">
        <f>AND('Planilla_General_29-11-2012_10_'!C20,"AAAAAH/3l0Y=")</f>
        <v>#VALUE!</v>
      </c>
      <c r="BT2" t="e">
        <f>AND('Planilla_General_29-11-2012_10_'!D20,"AAAAAH/3l0c=")</f>
        <v>#VALUE!</v>
      </c>
      <c r="BU2" t="e">
        <f>AND('Planilla_General_29-11-2012_10_'!E20,"AAAAAH/3l0g=")</f>
        <v>#VALUE!</v>
      </c>
      <c r="BV2" t="e">
        <f>AND('Planilla_General_29-11-2012_10_'!F20,"AAAAAH/3l0k=")</f>
        <v>#VALUE!</v>
      </c>
      <c r="BW2" t="e">
        <f>AND('Planilla_General_29-11-2012_10_'!G20,"AAAAAH/3l0o=")</f>
        <v>#VALUE!</v>
      </c>
      <c r="BX2" t="e">
        <f>AND('Planilla_General_29-11-2012_10_'!H20,"AAAAAH/3l0s=")</f>
        <v>#VALUE!</v>
      </c>
      <c r="BY2" t="e">
        <f>AND('Planilla_General_29-11-2012_10_'!I20,"AAAAAH/3l0w=")</f>
        <v>#VALUE!</v>
      </c>
      <c r="BZ2" t="e">
        <f>AND('Planilla_General_29-11-2012_10_'!J20,"AAAAAH/3l00=")</f>
        <v>#VALUE!</v>
      </c>
      <c r="CA2" t="e">
        <f>AND('Planilla_General_29-11-2012_10_'!K20,"AAAAAH/3l04=")</f>
        <v>#VALUE!</v>
      </c>
      <c r="CB2" t="e">
        <f>AND('Planilla_General_29-11-2012_10_'!L20,"AAAAAH/3l08=")</f>
        <v>#VALUE!</v>
      </c>
      <c r="CC2" t="e">
        <f>AND('Planilla_General_29-11-2012_10_'!M20,"AAAAAH/3l1A=")</f>
        <v>#VALUE!</v>
      </c>
      <c r="CD2" t="e">
        <f>AND('Planilla_General_29-11-2012_10_'!N20,"AAAAAH/3l1E=")</f>
        <v>#VALUE!</v>
      </c>
      <c r="CE2" t="e">
        <f>AND('Planilla_General_29-11-2012_10_'!O20,"AAAAAH/3l1I=")</f>
        <v>#VALUE!</v>
      </c>
      <c r="CF2" t="e">
        <f>AND('Planilla_General_29-11-2012_10_'!P20,"AAAAAH/3l1M=")</f>
        <v>#VALUE!</v>
      </c>
      <c r="CG2">
        <f>IF('Planilla_General_29-11-2012_10_'!21:21,"AAAAAH/3l1Q=",0)</f>
        <v>0</v>
      </c>
      <c r="CH2" t="e">
        <f>AND('Planilla_General_29-11-2012_10_'!A21,"AAAAAH/3l1U=")</f>
        <v>#VALUE!</v>
      </c>
      <c r="CI2" t="e">
        <f>AND('Planilla_General_29-11-2012_10_'!B21,"AAAAAH/3l1Y=")</f>
        <v>#VALUE!</v>
      </c>
      <c r="CJ2" t="e">
        <f>AND('Planilla_General_29-11-2012_10_'!C21,"AAAAAH/3l1c=")</f>
        <v>#VALUE!</v>
      </c>
      <c r="CK2" t="e">
        <f>AND('Planilla_General_29-11-2012_10_'!D21,"AAAAAH/3l1g=")</f>
        <v>#VALUE!</v>
      </c>
      <c r="CL2" t="e">
        <f>AND('Planilla_General_29-11-2012_10_'!E21,"AAAAAH/3l1k=")</f>
        <v>#VALUE!</v>
      </c>
      <c r="CM2" t="e">
        <f>AND('Planilla_General_29-11-2012_10_'!F21,"AAAAAH/3l1o=")</f>
        <v>#VALUE!</v>
      </c>
      <c r="CN2" t="e">
        <f>AND('Planilla_General_29-11-2012_10_'!G21,"AAAAAH/3l1s=")</f>
        <v>#VALUE!</v>
      </c>
      <c r="CO2" t="e">
        <f>AND('Planilla_General_29-11-2012_10_'!H21,"AAAAAH/3l1w=")</f>
        <v>#VALUE!</v>
      </c>
      <c r="CP2" t="e">
        <f>AND('Planilla_General_29-11-2012_10_'!I21,"AAAAAH/3l10=")</f>
        <v>#VALUE!</v>
      </c>
      <c r="CQ2" t="e">
        <f>AND('Planilla_General_29-11-2012_10_'!J21,"AAAAAH/3l14=")</f>
        <v>#VALUE!</v>
      </c>
      <c r="CR2" t="e">
        <f>AND('Planilla_General_29-11-2012_10_'!K21,"AAAAAH/3l18=")</f>
        <v>#VALUE!</v>
      </c>
      <c r="CS2" t="e">
        <f>AND('Planilla_General_29-11-2012_10_'!L21,"AAAAAH/3l2A=")</f>
        <v>#VALUE!</v>
      </c>
      <c r="CT2" t="e">
        <f>AND('Planilla_General_29-11-2012_10_'!M21,"AAAAAH/3l2E=")</f>
        <v>#VALUE!</v>
      </c>
      <c r="CU2" t="e">
        <f>AND('Planilla_General_29-11-2012_10_'!N21,"AAAAAH/3l2I=")</f>
        <v>#VALUE!</v>
      </c>
      <c r="CV2" t="e">
        <f>AND('Planilla_General_29-11-2012_10_'!O21,"AAAAAH/3l2M=")</f>
        <v>#VALUE!</v>
      </c>
      <c r="CW2" t="e">
        <f>AND('Planilla_General_29-11-2012_10_'!P21,"AAAAAH/3l2Q=")</f>
        <v>#VALUE!</v>
      </c>
      <c r="CX2">
        <f>IF('Planilla_General_29-11-2012_10_'!22:22,"AAAAAH/3l2U=",0)</f>
        <v>0</v>
      </c>
      <c r="CY2" t="e">
        <f>AND('Planilla_General_29-11-2012_10_'!A22,"AAAAAH/3l2Y=")</f>
        <v>#VALUE!</v>
      </c>
      <c r="CZ2" t="e">
        <f>AND('Planilla_General_29-11-2012_10_'!B22,"AAAAAH/3l2c=")</f>
        <v>#VALUE!</v>
      </c>
      <c r="DA2" t="e">
        <f>AND('Planilla_General_29-11-2012_10_'!C22,"AAAAAH/3l2g=")</f>
        <v>#VALUE!</v>
      </c>
      <c r="DB2" t="e">
        <f>AND('Planilla_General_29-11-2012_10_'!D22,"AAAAAH/3l2k=")</f>
        <v>#VALUE!</v>
      </c>
      <c r="DC2" t="e">
        <f>AND('Planilla_General_29-11-2012_10_'!E22,"AAAAAH/3l2o=")</f>
        <v>#VALUE!</v>
      </c>
      <c r="DD2" t="e">
        <f>AND('Planilla_General_29-11-2012_10_'!F22,"AAAAAH/3l2s=")</f>
        <v>#VALUE!</v>
      </c>
      <c r="DE2" t="e">
        <f>AND('Planilla_General_29-11-2012_10_'!G22,"AAAAAH/3l2w=")</f>
        <v>#VALUE!</v>
      </c>
      <c r="DF2" t="e">
        <f>AND('Planilla_General_29-11-2012_10_'!H22,"AAAAAH/3l20=")</f>
        <v>#VALUE!</v>
      </c>
      <c r="DG2" t="e">
        <f>AND('Planilla_General_29-11-2012_10_'!I22,"AAAAAH/3l24=")</f>
        <v>#VALUE!</v>
      </c>
      <c r="DH2" t="e">
        <f>AND('Planilla_General_29-11-2012_10_'!J22,"AAAAAH/3l28=")</f>
        <v>#VALUE!</v>
      </c>
      <c r="DI2" t="e">
        <f>AND('Planilla_General_29-11-2012_10_'!K22,"AAAAAH/3l3A=")</f>
        <v>#VALUE!</v>
      </c>
      <c r="DJ2" t="e">
        <f>AND('Planilla_General_29-11-2012_10_'!L22,"AAAAAH/3l3E=")</f>
        <v>#VALUE!</v>
      </c>
      <c r="DK2" t="e">
        <f>AND('Planilla_General_29-11-2012_10_'!M22,"AAAAAH/3l3I=")</f>
        <v>#VALUE!</v>
      </c>
      <c r="DL2" t="e">
        <f>AND('Planilla_General_29-11-2012_10_'!N22,"AAAAAH/3l3M=")</f>
        <v>#VALUE!</v>
      </c>
      <c r="DM2" t="e">
        <f>AND('Planilla_General_29-11-2012_10_'!O22,"AAAAAH/3l3Q=")</f>
        <v>#VALUE!</v>
      </c>
      <c r="DN2" t="e">
        <f>AND('Planilla_General_29-11-2012_10_'!P22,"AAAAAH/3l3U=")</f>
        <v>#VALUE!</v>
      </c>
      <c r="DO2">
        <f>IF('Planilla_General_29-11-2012_10_'!23:23,"AAAAAH/3l3Y=",0)</f>
        <v>0</v>
      </c>
      <c r="DP2" t="e">
        <f>AND('Planilla_General_29-11-2012_10_'!A23,"AAAAAH/3l3c=")</f>
        <v>#VALUE!</v>
      </c>
      <c r="DQ2" t="e">
        <f>AND('Planilla_General_29-11-2012_10_'!B23,"AAAAAH/3l3g=")</f>
        <v>#VALUE!</v>
      </c>
      <c r="DR2" t="e">
        <f>AND('Planilla_General_29-11-2012_10_'!C23,"AAAAAH/3l3k=")</f>
        <v>#VALUE!</v>
      </c>
      <c r="DS2" t="e">
        <f>AND('Planilla_General_29-11-2012_10_'!D23,"AAAAAH/3l3o=")</f>
        <v>#VALUE!</v>
      </c>
      <c r="DT2" t="e">
        <f>AND('Planilla_General_29-11-2012_10_'!E23,"AAAAAH/3l3s=")</f>
        <v>#VALUE!</v>
      </c>
      <c r="DU2" t="e">
        <f>AND('Planilla_General_29-11-2012_10_'!F23,"AAAAAH/3l3w=")</f>
        <v>#VALUE!</v>
      </c>
      <c r="DV2" t="e">
        <f>AND('Planilla_General_29-11-2012_10_'!G23,"AAAAAH/3l30=")</f>
        <v>#VALUE!</v>
      </c>
      <c r="DW2" t="e">
        <f>AND('Planilla_General_29-11-2012_10_'!H23,"AAAAAH/3l34=")</f>
        <v>#VALUE!</v>
      </c>
      <c r="DX2" t="e">
        <f>AND('Planilla_General_29-11-2012_10_'!I23,"AAAAAH/3l38=")</f>
        <v>#VALUE!</v>
      </c>
      <c r="DY2" t="e">
        <f>AND('Planilla_General_29-11-2012_10_'!J23,"AAAAAH/3l4A=")</f>
        <v>#VALUE!</v>
      </c>
      <c r="DZ2" t="e">
        <f>AND('Planilla_General_29-11-2012_10_'!K23,"AAAAAH/3l4E=")</f>
        <v>#VALUE!</v>
      </c>
      <c r="EA2" t="e">
        <f>AND('Planilla_General_29-11-2012_10_'!L23,"AAAAAH/3l4I=")</f>
        <v>#VALUE!</v>
      </c>
      <c r="EB2" t="e">
        <f>AND('Planilla_General_29-11-2012_10_'!M23,"AAAAAH/3l4M=")</f>
        <v>#VALUE!</v>
      </c>
      <c r="EC2" t="e">
        <f>AND('Planilla_General_29-11-2012_10_'!N23,"AAAAAH/3l4Q=")</f>
        <v>#VALUE!</v>
      </c>
      <c r="ED2" t="e">
        <f>AND('Planilla_General_29-11-2012_10_'!O23,"AAAAAH/3l4U=")</f>
        <v>#VALUE!</v>
      </c>
      <c r="EE2" t="e">
        <f>AND('Planilla_General_29-11-2012_10_'!P23,"AAAAAH/3l4Y=")</f>
        <v>#VALUE!</v>
      </c>
      <c r="EF2">
        <f>IF('Planilla_General_29-11-2012_10_'!24:24,"AAAAAH/3l4c=",0)</f>
        <v>0</v>
      </c>
      <c r="EG2" t="e">
        <f>AND('Planilla_General_29-11-2012_10_'!A24,"AAAAAH/3l4g=")</f>
        <v>#VALUE!</v>
      </c>
      <c r="EH2" t="e">
        <f>AND('Planilla_General_29-11-2012_10_'!B24,"AAAAAH/3l4k=")</f>
        <v>#VALUE!</v>
      </c>
      <c r="EI2" t="e">
        <f>AND('Planilla_General_29-11-2012_10_'!C24,"AAAAAH/3l4o=")</f>
        <v>#VALUE!</v>
      </c>
      <c r="EJ2" t="e">
        <f>AND('Planilla_General_29-11-2012_10_'!D24,"AAAAAH/3l4s=")</f>
        <v>#VALUE!</v>
      </c>
      <c r="EK2" t="e">
        <f>AND('Planilla_General_29-11-2012_10_'!E24,"AAAAAH/3l4w=")</f>
        <v>#VALUE!</v>
      </c>
      <c r="EL2" t="e">
        <f>AND('Planilla_General_29-11-2012_10_'!F24,"AAAAAH/3l40=")</f>
        <v>#VALUE!</v>
      </c>
      <c r="EM2" t="e">
        <f>AND('Planilla_General_29-11-2012_10_'!G24,"AAAAAH/3l44=")</f>
        <v>#VALUE!</v>
      </c>
      <c r="EN2" t="e">
        <f>AND('Planilla_General_29-11-2012_10_'!H24,"AAAAAH/3l48=")</f>
        <v>#VALUE!</v>
      </c>
      <c r="EO2" t="e">
        <f>AND('Planilla_General_29-11-2012_10_'!I24,"AAAAAH/3l5A=")</f>
        <v>#VALUE!</v>
      </c>
      <c r="EP2" t="e">
        <f>AND('Planilla_General_29-11-2012_10_'!J24,"AAAAAH/3l5E=")</f>
        <v>#VALUE!</v>
      </c>
      <c r="EQ2" t="e">
        <f>AND('Planilla_General_29-11-2012_10_'!K24,"AAAAAH/3l5I=")</f>
        <v>#VALUE!</v>
      </c>
      <c r="ER2" t="e">
        <f>AND('Planilla_General_29-11-2012_10_'!L24,"AAAAAH/3l5M=")</f>
        <v>#VALUE!</v>
      </c>
      <c r="ES2" t="e">
        <f>AND('Planilla_General_29-11-2012_10_'!M24,"AAAAAH/3l5Q=")</f>
        <v>#VALUE!</v>
      </c>
      <c r="ET2" t="e">
        <f>AND('Planilla_General_29-11-2012_10_'!N24,"AAAAAH/3l5U=")</f>
        <v>#VALUE!</v>
      </c>
      <c r="EU2" t="e">
        <f>AND('Planilla_General_29-11-2012_10_'!O24,"AAAAAH/3l5Y=")</f>
        <v>#VALUE!</v>
      </c>
      <c r="EV2" t="e">
        <f>AND('Planilla_General_29-11-2012_10_'!P24,"AAAAAH/3l5c=")</f>
        <v>#VALUE!</v>
      </c>
      <c r="EW2">
        <f>IF('Planilla_General_29-11-2012_10_'!25:25,"AAAAAH/3l5g=",0)</f>
        <v>0</v>
      </c>
      <c r="EX2" t="e">
        <f>AND('Planilla_General_29-11-2012_10_'!A25,"AAAAAH/3l5k=")</f>
        <v>#VALUE!</v>
      </c>
      <c r="EY2" t="e">
        <f>AND('Planilla_General_29-11-2012_10_'!B25,"AAAAAH/3l5o=")</f>
        <v>#VALUE!</v>
      </c>
      <c r="EZ2" t="e">
        <f>AND('Planilla_General_29-11-2012_10_'!C25,"AAAAAH/3l5s=")</f>
        <v>#VALUE!</v>
      </c>
      <c r="FA2" t="e">
        <f>AND('Planilla_General_29-11-2012_10_'!D25,"AAAAAH/3l5w=")</f>
        <v>#VALUE!</v>
      </c>
      <c r="FB2" t="e">
        <f>AND('Planilla_General_29-11-2012_10_'!E25,"AAAAAH/3l50=")</f>
        <v>#VALUE!</v>
      </c>
      <c r="FC2" t="e">
        <f>AND('Planilla_General_29-11-2012_10_'!F25,"AAAAAH/3l54=")</f>
        <v>#VALUE!</v>
      </c>
      <c r="FD2" t="e">
        <f>AND('Planilla_General_29-11-2012_10_'!G25,"AAAAAH/3l58=")</f>
        <v>#VALUE!</v>
      </c>
      <c r="FE2" t="e">
        <f>AND('Planilla_General_29-11-2012_10_'!H25,"AAAAAH/3l6A=")</f>
        <v>#VALUE!</v>
      </c>
      <c r="FF2" t="e">
        <f>AND('Planilla_General_29-11-2012_10_'!I25,"AAAAAH/3l6E=")</f>
        <v>#VALUE!</v>
      </c>
      <c r="FG2" t="e">
        <f>AND('Planilla_General_29-11-2012_10_'!J25,"AAAAAH/3l6I=")</f>
        <v>#VALUE!</v>
      </c>
      <c r="FH2" t="e">
        <f>AND('Planilla_General_29-11-2012_10_'!K25,"AAAAAH/3l6M=")</f>
        <v>#VALUE!</v>
      </c>
      <c r="FI2" t="e">
        <f>AND('Planilla_General_29-11-2012_10_'!L25,"AAAAAH/3l6Q=")</f>
        <v>#VALUE!</v>
      </c>
      <c r="FJ2" t="e">
        <f>AND('Planilla_General_29-11-2012_10_'!M25,"AAAAAH/3l6U=")</f>
        <v>#VALUE!</v>
      </c>
      <c r="FK2" t="e">
        <f>AND('Planilla_General_29-11-2012_10_'!N25,"AAAAAH/3l6Y=")</f>
        <v>#VALUE!</v>
      </c>
      <c r="FL2" t="e">
        <f>AND('Planilla_General_29-11-2012_10_'!O25,"AAAAAH/3l6c=")</f>
        <v>#VALUE!</v>
      </c>
      <c r="FM2" t="e">
        <f>AND('Planilla_General_29-11-2012_10_'!P25,"AAAAAH/3l6g=")</f>
        <v>#VALUE!</v>
      </c>
      <c r="FN2">
        <f>IF('Planilla_General_29-11-2012_10_'!26:26,"AAAAAH/3l6k=",0)</f>
        <v>0</v>
      </c>
      <c r="FO2" t="e">
        <f>AND('Planilla_General_29-11-2012_10_'!A26,"AAAAAH/3l6o=")</f>
        <v>#VALUE!</v>
      </c>
      <c r="FP2" t="e">
        <f>AND('Planilla_General_29-11-2012_10_'!B26,"AAAAAH/3l6s=")</f>
        <v>#VALUE!</v>
      </c>
      <c r="FQ2" t="e">
        <f>AND('Planilla_General_29-11-2012_10_'!C26,"AAAAAH/3l6w=")</f>
        <v>#VALUE!</v>
      </c>
      <c r="FR2" t="e">
        <f>AND('Planilla_General_29-11-2012_10_'!D26,"AAAAAH/3l60=")</f>
        <v>#VALUE!</v>
      </c>
      <c r="FS2" t="e">
        <f>AND('Planilla_General_29-11-2012_10_'!E26,"AAAAAH/3l64=")</f>
        <v>#VALUE!</v>
      </c>
      <c r="FT2" t="e">
        <f>AND('Planilla_General_29-11-2012_10_'!F26,"AAAAAH/3l68=")</f>
        <v>#VALUE!</v>
      </c>
      <c r="FU2" t="e">
        <f>AND('Planilla_General_29-11-2012_10_'!G26,"AAAAAH/3l7A=")</f>
        <v>#VALUE!</v>
      </c>
      <c r="FV2" t="e">
        <f>AND('Planilla_General_29-11-2012_10_'!H26,"AAAAAH/3l7E=")</f>
        <v>#VALUE!</v>
      </c>
      <c r="FW2" t="e">
        <f>AND('Planilla_General_29-11-2012_10_'!I26,"AAAAAH/3l7I=")</f>
        <v>#VALUE!</v>
      </c>
      <c r="FX2" t="e">
        <f>AND('Planilla_General_29-11-2012_10_'!J26,"AAAAAH/3l7M=")</f>
        <v>#VALUE!</v>
      </c>
      <c r="FY2" t="e">
        <f>AND('Planilla_General_29-11-2012_10_'!K26,"AAAAAH/3l7Q=")</f>
        <v>#VALUE!</v>
      </c>
      <c r="FZ2" t="e">
        <f>AND('Planilla_General_29-11-2012_10_'!L26,"AAAAAH/3l7U=")</f>
        <v>#VALUE!</v>
      </c>
      <c r="GA2" t="e">
        <f>AND('Planilla_General_29-11-2012_10_'!M26,"AAAAAH/3l7Y=")</f>
        <v>#VALUE!</v>
      </c>
      <c r="GB2" t="e">
        <f>AND('Planilla_General_29-11-2012_10_'!N26,"AAAAAH/3l7c=")</f>
        <v>#VALUE!</v>
      </c>
      <c r="GC2" t="e">
        <f>AND('Planilla_General_29-11-2012_10_'!O26,"AAAAAH/3l7g=")</f>
        <v>#VALUE!</v>
      </c>
      <c r="GD2" t="e">
        <f>AND('Planilla_General_29-11-2012_10_'!P26,"AAAAAH/3l7k=")</f>
        <v>#VALUE!</v>
      </c>
      <c r="GE2">
        <f>IF('Planilla_General_29-11-2012_10_'!27:27,"AAAAAH/3l7o=",0)</f>
        <v>0</v>
      </c>
      <c r="GF2" t="e">
        <f>AND('Planilla_General_29-11-2012_10_'!A27,"AAAAAH/3l7s=")</f>
        <v>#VALUE!</v>
      </c>
      <c r="GG2" t="e">
        <f>AND('Planilla_General_29-11-2012_10_'!B27,"AAAAAH/3l7w=")</f>
        <v>#VALUE!</v>
      </c>
      <c r="GH2" t="e">
        <f>AND('Planilla_General_29-11-2012_10_'!C27,"AAAAAH/3l70=")</f>
        <v>#VALUE!</v>
      </c>
      <c r="GI2" t="e">
        <f>AND('Planilla_General_29-11-2012_10_'!D27,"AAAAAH/3l74=")</f>
        <v>#VALUE!</v>
      </c>
      <c r="GJ2" t="e">
        <f>AND('Planilla_General_29-11-2012_10_'!E27,"AAAAAH/3l78=")</f>
        <v>#VALUE!</v>
      </c>
      <c r="GK2" t="e">
        <f>AND('Planilla_General_29-11-2012_10_'!F27,"AAAAAH/3l8A=")</f>
        <v>#VALUE!</v>
      </c>
      <c r="GL2" t="e">
        <f>AND('Planilla_General_29-11-2012_10_'!G27,"AAAAAH/3l8E=")</f>
        <v>#VALUE!</v>
      </c>
      <c r="GM2" t="e">
        <f>AND('Planilla_General_29-11-2012_10_'!H27,"AAAAAH/3l8I=")</f>
        <v>#VALUE!</v>
      </c>
      <c r="GN2" t="e">
        <f>AND('Planilla_General_29-11-2012_10_'!I27,"AAAAAH/3l8M=")</f>
        <v>#VALUE!</v>
      </c>
      <c r="GO2" t="e">
        <f>AND('Planilla_General_29-11-2012_10_'!J27,"AAAAAH/3l8Q=")</f>
        <v>#VALUE!</v>
      </c>
      <c r="GP2" t="e">
        <f>AND('Planilla_General_29-11-2012_10_'!K27,"AAAAAH/3l8U=")</f>
        <v>#VALUE!</v>
      </c>
      <c r="GQ2" t="e">
        <f>AND('Planilla_General_29-11-2012_10_'!L27,"AAAAAH/3l8Y=")</f>
        <v>#VALUE!</v>
      </c>
      <c r="GR2" t="e">
        <f>AND('Planilla_General_29-11-2012_10_'!M27,"AAAAAH/3l8c=")</f>
        <v>#VALUE!</v>
      </c>
      <c r="GS2" t="e">
        <f>AND('Planilla_General_29-11-2012_10_'!N27,"AAAAAH/3l8g=")</f>
        <v>#VALUE!</v>
      </c>
      <c r="GT2" t="e">
        <f>AND('Planilla_General_29-11-2012_10_'!O27,"AAAAAH/3l8k=")</f>
        <v>#VALUE!</v>
      </c>
      <c r="GU2" t="e">
        <f>AND('Planilla_General_29-11-2012_10_'!P27,"AAAAAH/3l8o=")</f>
        <v>#VALUE!</v>
      </c>
      <c r="GV2">
        <f>IF('Planilla_General_29-11-2012_10_'!28:28,"AAAAAH/3l8s=",0)</f>
        <v>0</v>
      </c>
      <c r="GW2" t="e">
        <f>AND('Planilla_General_29-11-2012_10_'!A28,"AAAAAH/3l8w=")</f>
        <v>#VALUE!</v>
      </c>
      <c r="GX2" t="e">
        <f>AND('Planilla_General_29-11-2012_10_'!B28,"AAAAAH/3l80=")</f>
        <v>#VALUE!</v>
      </c>
      <c r="GY2" t="e">
        <f>AND('Planilla_General_29-11-2012_10_'!C28,"AAAAAH/3l84=")</f>
        <v>#VALUE!</v>
      </c>
      <c r="GZ2" t="e">
        <f>AND('Planilla_General_29-11-2012_10_'!D28,"AAAAAH/3l88=")</f>
        <v>#VALUE!</v>
      </c>
      <c r="HA2" t="e">
        <f>AND('Planilla_General_29-11-2012_10_'!E28,"AAAAAH/3l9A=")</f>
        <v>#VALUE!</v>
      </c>
      <c r="HB2" t="e">
        <f>AND('Planilla_General_29-11-2012_10_'!F28,"AAAAAH/3l9E=")</f>
        <v>#VALUE!</v>
      </c>
      <c r="HC2" t="e">
        <f>AND('Planilla_General_29-11-2012_10_'!G28,"AAAAAH/3l9I=")</f>
        <v>#VALUE!</v>
      </c>
      <c r="HD2" t="e">
        <f>AND('Planilla_General_29-11-2012_10_'!H28,"AAAAAH/3l9M=")</f>
        <v>#VALUE!</v>
      </c>
      <c r="HE2" t="e">
        <f>AND('Planilla_General_29-11-2012_10_'!I28,"AAAAAH/3l9Q=")</f>
        <v>#VALUE!</v>
      </c>
      <c r="HF2" t="e">
        <f>AND('Planilla_General_29-11-2012_10_'!J28,"AAAAAH/3l9U=")</f>
        <v>#VALUE!</v>
      </c>
      <c r="HG2" t="e">
        <f>AND('Planilla_General_29-11-2012_10_'!K28,"AAAAAH/3l9Y=")</f>
        <v>#VALUE!</v>
      </c>
      <c r="HH2" t="e">
        <f>AND('Planilla_General_29-11-2012_10_'!L28,"AAAAAH/3l9c=")</f>
        <v>#VALUE!</v>
      </c>
      <c r="HI2" t="e">
        <f>AND('Planilla_General_29-11-2012_10_'!M28,"AAAAAH/3l9g=")</f>
        <v>#VALUE!</v>
      </c>
      <c r="HJ2" t="e">
        <f>AND('Planilla_General_29-11-2012_10_'!N28,"AAAAAH/3l9k=")</f>
        <v>#VALUE!</v>
      </c>
      <c r="HK2" t="e">
        <f>AND('Planilla_General_29-11-2012_10_'!O28,"AAAAAH/3l9o=")</f>
        <v>#VALUE!</v>
      </c>
      <c r="HL2" t="e">
        <f>AND('Planilla_General_29-11-2012_10_'!P28,"AAAAAH/3l9s=")</f>
        <v>#VALUE!</v>
      </c>
      <c r="HM2">
        <f>IF('Planilla_General_29-11-2012_10_'!29:29,"AAAAAH/3l9w=",0)</f>
        <v>0</v>
      </c>
      <c r="HN2" t="e">
        <f>AND('Planilla_General_29-11-2012_10_'!A29,"AAAAAH/3l90=")</f>
        <v>#VALUE!</v>
      </c>
      <c r="HO2" t="e">
        <f>AND('Planilla_General_29-11-2012_10_'!B29,"AAAAAH/3l94=")</f>
        <v>#VALUE!</v>
      </c>
      <c r="HP2" t="e">
        <f>AND('Planilla_General_29-11-2012_10_'!C29,"AAAAAH/3l98=")</f>
        <v>#VALUE!</v>
      </c>
      <c r="HQ2" t="e">
        <f>AND('Planilla_General_29-11-2012_10_'!D29,"AAAAAH/3l+A=")</f>
        <v>#VALUE!</v>
      </c>
      <c r="HR2" t="e">
        <f>AND('Planilla_General_29-11-2012_10_'!E29,"AAAAAH/3l+E=")</f>
        <v>#VALUE!</v>
      </c>
      <c r="HS2" t="e">
        <f>AND('Planilla_General_29-11-2012_10_'!F29,"AAAAAH/3l+I=")</f>
        <v>#VALUE!</v>
      </c>
      <c r="HT2" t="e">
        <f>AND('Planilla_General_29-11-2012_10_'!G29,"AAAAAH/3l+M=")</f>
        <v>#VALUE!</v>
      </c>
      <c r="HU2" t="e">
        <f>AND('Planilla_General_29-11-2012_10_'!H29,"AAAAAH/3l+Q=")</f>
        <v>#VALUE!</v>
      </c>
      <c r="HV2" t="e">
        <f>AND('Planilla_General_29-11-2012_10_'!I29,"AAAAAH/3l+U=")</f>
        <v>#VALUE!</v>
      </c>
      <c r="HW2" t="e">
        <f>AND('Planilla_General_29-11-2012_10_'!J29,"AAAAAH/3l+Y=")</f>
        <v>#VALUE!</v>
      </c>
      <c r="HX2" t="e">
        <f>AND('Planilla_General_29-11-2012_10_'!K29,"AAAAAH/3l+c=")</f>
        <v>#VALUE!</v>
      </c>
      <c r="HY2" t="e">
        <f>AND('Planilla_General_29-11-2012_10_'!L29,"AAAAAH/3l+g=")</f>
        <v>#VALUE!</v>
      </c>
      <c r="HZ2" t="e">
        <f>AND('Planilla_General_29-11-2012_10_'!M29,"AAAAAH/3l+k=")</f>
        <v>#VALUE!</v>
      </c>
      <c r="IA2" t="e">
        <f>AND('Planilla_General_29-11-2012_10_'!N29,"AAAAAH/3l+o=")</f>
        <v>#VALUE!</v>
      </c>
      <c r="IB2" t="e">
        <f>AND('Planilla_General_29-11-2012_10_'!O29,"AAAAAH/3l+s=")</f>
        <v>#VALUE!</v>
      </c>
      <c r="IC2" t="e">
        <f>AND('Planilla_General_29-11-2012_10_'!P29,"AAAAAH/3l+w=")</f>
        <v>#VALUE!</v>
      </c>
      <c r="ID2">
        <f>IF('Planilla_General_29-11-2012_10_'!30:30,"AAAAAH/3l+0=",0)</f>
        <v>0</v>
      </c>
      <c r="IE2" t="e">
        <f>AND('Planilla_General_29-11-2012_10_'!A30,"AAAAAH/3l+4=")</f>
        <v>#VALUE!</v>
      </c>
      <c r="IF2" t="e">
        <f>AND('Planilla_General_29-11-2012_10_'!B30,"AAAAAH/3l+8=")</f>
        <v>#VALUE!</v>
      </c>
      <c r="IG2" t="e">
        <f>AND('Planilla_General_29-11-2012_10_'!C30,"AAAAAH/3l/A=")</f>
        <v>#VALUE!</v>
      </c>
      <c r="IH2" t="e">
        <f>AND('Planilla_General_29-11-2012_10_'!D30,"AAAAAH/3l/E=")</f>
        <v>#VALUE!</v>
      </c>
      <c r="II2" t="e">
        <f>AND('Planilla_General_29-11-2012_10_'!E30,"AAAAAH/3l/I=")</f>
        <v>#VALUE!</v>
      </c>
      <c r="IJ2" t="e">
        <f>AND('Planilla_General_29-11-2012_10_'!F30,"AAAAAH/3l/M=")</f>
        <v>#VALUE!</v>
      </c>
      <c r="IK2" t="e">
        <f>AND('Planilla_General_29-11-2012_10_'!G30,"AAAAAH/3l/Q=")</f>
        <v>#VALUE!</v>
      </c>
      <c r="IL2" t="e">
        <f>AND('Planilla_General_29-11-2012_10_'!H30,"AAAAAH/3l/U=")</f>
        <v>#VALUE!</v>
      </c>
      <c r="IM2" t="e">
        <f>AND('Planilla_General_29-11-2012_10_'!I30,"AAAAAH/3l/Y=")</f>
        <v>#VALUE!</v>
      </c>
      <c r="IN2" t="e">
        <f>AND('Planilla_General_29-11-2012_10_'!J30,"AAAAAH/3l/c=")</f>
        <v>#VALUE!</v>
      </c>
      <c r="IO2" t="e">
        <f>AND('Planilla_General_29-11-2012_10_'!K30,"AAAAAH/3l/g=")</f>
        <v>#VALUE!</v>
      </c>
      <c r="IP2" t="e">
        <f>AND('Planilla_General_29-11-2012_10_'!L30,"AAAAAH/3l/k=")</f>
        <v>#VALUE!</v>
      </c>
      <c r="IQ2" t="e">
        <f>AND('Planilla_General_29-11-2012_10_'!M30,"AAAAAH/3l/o=")</f>
        <v>#VALUE!</v>
      </c>
      <c r="IR2" t="e">
        <f>AND('Planilla_General_29-11-2012_10_'!N30,"AAAAAH/3l/s=")</f>
        <v>#VALUE!</v>
      </c>
      <c r="IS2" t="e">
        <f>AND('Planilla_General_29-11-2012_10_'!O30,"AAAAAH/3l/w=")</f>
        <v>#VALUE!</v>
      </c>
      <c r="IT2" t="e">
        <f>AND('Planilla_General_29-11-2012_10_'!P30,"AAAAAH/3l/0=")</f>
        <v>#VALUE!</v>
      </c>
      <c r="IU2">
        <f>IF('Planilla_General_29-11-2012_10_'!31:31,"AAAAAH/3l/4=",0)</f>
        <v>0</v>
      </c>
      <c r="IV2" t="e">
        <f>AND('Planilla_General_29-11-2012_10_'!A31,"AAAAAH/3l/8=")</f>
        <v>#VALUE!</v>
      </c>
    </row>
    <row r="3" spans="1:256" x14ac:dyDescent="0.25">
      <c r="A3" t="e">
        <f>AND('Planilla_General_29-11-2012_10_'!B31,"AAAAAFr79wA=")</f>
        <v>#VALUE!</v>
      </c>
      <c r="B3" t="e">
        <f>AND('Planilla_General_29-11-2012_10_'!C31,"AAAAAFr79wE=")</f>
        <v>#VALUE!</v>
      </c>
      <c r="C3" t="e">
        <f>AND('Planilla_General_29-11-2012_10_'!D31,"AAAAAFr79wI=")</f>
        <v>#VALUE!</v>
      </c>
      <c r="D3" t="e">
        <f>AND('Planilla_General_29-11-2012_10_'!E31,"AAAAAFr79wM=")</f>
        <v>#VALUE!</v>
      </c>
      <c r="E3" t="e">
        <f>AND('Planilla_General_29-11-2012_10_'!F31,"AAAAAFr79wQ=")</f>
        <v>#VALUE!</v>
      </c>
      <c r="F3" t="e">
        <f>AND('Planilla_General_29-11-2012_10_'!G31,"AAAAAFr79wU=")</f>
        <v>#VALUE!</v>
      </c>
      <c r="G3" t="e">
        <f>AND('Planilla_General_29-11-2012_10_'!H31,"AAAAAFr79wY=")</f>
        <v>#VALUE!</v>
      </c>
      <c r="H3" t="e">
        <f>AND('Planilla_General_29-11-2012_10_'!I31,"AAAAAFr79wc=")</f>
        <v>#VALUE!</v>
      </c>
      <c r="I3" t="e">
        <f>AND('Planilla_General_29-11-2012_10_'!J31,"AAAAAFr79wg=")</f>
        <v>#VALUE!</v>
      </c>
      <c r="J3" t="e">
        <f>AND('Planilla_General_29-11-2012_10_'!K31,"AAAAAFr79wk=")</f>
        <v>#VALUE!</v>
      </c>
      <c r="K3" t="e">
        <f>AND('Planilla_General_29-11-2012_10_'!L31,"AAAAAFr79wo=")</f>
        <v>#VALUE!</v>
      </c>
      <c r="L3" t="e">
        <f>AND('Planilla_General_29-11-2012_10_'!M31,"AAAAAFr79ws=")</f>
        <v>#VALUE!</v>
      </c>
      <c r="M3" t="e">
        <f>AND('Planilla_General_29-11-2012_10_'!N31,"AAAAAFr79ww=")</f>
        <v>#VALUE!</v>
      </c>
      <c r="N3" t="e">
        <f>AND('Planilla_General_29-11-2012_10_'!O31,"AAAAAFr79w0=")</f>
        <v>#VALUE!</v>
      </c>
      <c r="O3" t="e">
        <f>AND('Planilla_General_29-11-2012_10_'!P31,"AAAAAFr79w4=")</f>
        <v>#VALUE!</v>
      </c>
      <c r="P3">
        <f>IF('Planilla_General_29-11-2012_10_'!32:32,"AAAAAFr79w8=",0)</f>
        <v>0</v>
      </c>
      <c r="Q3" t="e">
        <f>AND('Planilla_General_29-11-2012_10_'!A32,"AAAAAFr79xA=")</f>
        <v>#VALUE!</v>
      </c>
      <c r="R3" t="e">
        <f>AND('Planilla_General_29-11-2012_10_'!B32,"AAAAAFr79xE=")</f>
        <v>#VALUE!</v>
      </c>
      <c r="S3" t="e">
        <f>AND('Planilla_General_29-11-2012_10_'!C32,"AAAAAFr79xI=")</f>
        <v>#VALUE!</v>
      </c>
      <c r="T3" t="e">
        <f>AND('Planilla_General_29-11-2012_10_'!D32,"AAAAAFr79xM=")</f>
        <v>#VALUE!</v>
      </c>
      <c r="U3" t="e">
        <f>AND('Planilla_General_29-11-2012_10_'!E32,"AAAAAFr79xQ=")</f>
        <v>#VALUE!</v>
      </c>
      <c r="V3" t="e">
        <f>AND('Planilla_General_29-11-2012_10_'!F32,"AAAAAFr79xU=")</f>
        <v>#VALUE!</v>
      </c>
      <c r="W3" t="e">
        <f>AND('Planilla_General_29-11-2012_10_'!G32,"AAAAAFr79xY=")</f>
        <v>#VALUE!</v>
      </c>
      <c r="X3" t="e">
        <f>AND('Planilla_General_29-11-2012_10_'!H32,"AAAAAFr79xc=")</f>
        <v>#VALUE!</v>
      </c>
      <c r="Y3" t="e">
        <f>AND('Planilla_General_29-11-2012_10_'!I32,"AAAAAFr79xg=")</f>
        <v>#VALUE!</v>
      </c>
      <c r="Z3" t="e">
        <f>AND('Planilla_General_29-11-2012_10_'!J32,"AAAAAFr79xk=")</f>
        <v>#VALUE!</v>
      </c>
      <c r="AA3" t="e">
        <f>AND('Planilla_General_29-11-2012_10_'!K32,"AAAAAFr79xo=")</f>
        <v>#VALUE!</v>
      </c>
      <c r="AB3" t="e">
        <f>AND('Planilla_General_29-11-2012_10_'!L32,"AAAAAFr79xs=")</f>
        <v>#VALUE!</v>
      </c>
      <c r="AC3" t="e">
        <f>AND('Planilla_General_29-11-2012_10_'!M32,"AAAAAFr79xw=")</f>
        <v>#VALUE!</v>
      </c>
      <c r="AD3" t="e">
        <f>AND('Planilla_General_29-11-2012_10_'!N32,"AAAAAFr79x0=")</f>
        <v>#VALUE!</v>
      </c>
      <c r="AE3" t="e">
        <f>AND('Planilla_General_29-11-2012_10_'!O32,"AAAAAFr79x4=")</f>
        <v>#VALUE!</v>
      </c>
      <c r="AF3" t="e">
        <f>AND('Planilla_General_29-11-2012_10_'!P32,"AAAAAFr79x8=")</f>
        <v>#VALUE!</v>
      </c>
      <c r="AG3">
        <f>IF('Planilla_General_29-11-2012_10_'!33:33,"AAAAAFr79yA=",0)</f>
        <v>0</v>
      </c>
      <c r="AH3" t="e">
        <f>AND('Planilla_General_29-11-2012_10_'!A33,"AAAAAFr79yE=")</f>
        <v>#VALUE!</v>
      </c>
      <c r="AI3" t="e">
        <f>AND('Planilla_General_29-11-2012_10_'!B33,"AAAAAFr79yI=")</f>
        <v>#VALUE!</v>
      </c>
      <c r="AJ3" t="e">
        <f>AND('Planilla_General_29-11-2012_10_'!C33,"AAAAAFr79yM=")</f>
        <v>#VALUE!</v>
      </c>
      <c r="AK3" t="e">
        <f>AND('Planilla_General_29-11-2012_10_'!D33,"AAAAAFr79yQ=")</f>
        <v>#VALUE!</v>
      </c>
      <c r="AL3" t="e">
        <f>AND('Planilla_General_29-11-2012_10_'!E33,"AAAAAFr79yU=")</f>
        <v>#VALUE!</v>
      </c>
      <c r="AM3" t="e">
        <f>AND('Planilla_General_29-11-2012_10_'!F33,"AAAAAFr79yY=")</f>
        <v>#VALUE!</v>
      </c>
      <c r="AN3" t="e">
        <f>AND('Planilla_General_29-11-2012_10_'!G33,"AAAAAFr79yc=")</f>
        <v>#VALUE!</v>
      </c>
      <c r="AO3" t="e">
        <f>AND('Planilla_General_29-11-2012_10_'!H33,"AAAAAFr79yg=")</f>
        <v>#VALUE!</v>
      </c>
      <c r="AP3" t="e">
        <f>AND('Planilla_General_29-11-2012_10_'!I33,"AAAAAFr79yk=")</f>
        <v>#VALUE!</v>
      </c>
      <c r="AQ3" t="e">
        <f>AND('Planilla_General_29-11-2012_10_'!J33,"AAAAAFr79yo=")</f>
        <v>#VALUE!</v>
      </c>
      <c r="AR3" t="e">
        <f>AND('Planilla_General_29-11-2012_10_'!K33,"AAAAAFr79ys=")</f>
        <v>#VALUE!</v>
      </c>
      <c r="AS3" t="e">
        <f>AND('Planilla_General_29-11-2012_10_'!L33,"AAAAAFr79yw=")</f>
        <v>#VALUE!</v>
      </c>
      <c r="AT3" t="e">
        <f>AND('Planilla_General_29-11-2012_10_'!M33,"AAAAAFr79y0=")</f>
        <v>#VALUE!</v>
      </c>
      <c r="AU3" t="e">
        <f>AND('Planilla_General_29-11-2012_10_'!N33,"AAAAAFr79y4=")</f>
        <v>#VALUE!</v>
      </c>
      <c r="AV3" t="e">
        <f>AND('Planilla_General_29-11-2012_10_'!O33,"AAAAAFr79y8=")</f>
        <v>#VALUE!</v>
      </c>
      <c r="AW3" t="e">
        <f>AND('Planilla_General_29-11-2012_10_'!P33,"AAAAAFr79zA=")</f>
        <v>#VALUE!</v>
      </c>
      <c r="AX3">
        <f>IF('Planilla_General_29-11-2012_10_'!34:34,"AAAAAFr79zE=",0)</f>
        <v>0</v>
      </c>
      <c r="AY3" t="e">
        <f>AND('Planilla_General_29-11-2012_10_'!A34,"AAAAAFr79zI=")</f>
        <v>#VALUE!</v>
      </c>
      <c r="AZ3" t="e">
        <f>AND('Planilla_General_29-11-2012_10_'!B34,"AAAAAFr79zM=")</f>
        <v>#VALUE!</v>
      </c>
      <c r="BA3" t="e">
        <f>AND('Planilla_General_29-11-2012_10_'!C34,"AAAAAFr79zQ=")</f>
        <v>#VALUE!</v>
      </c>
      <c r="BB3" t="e">
        <f>AND('Planilla_General_29-11-2012_10_'!D34,"AAAAAFr79zU=")</f>
        <v>#VALUE!</v>
      </c>
      <c r="BC3" t="e">
        <f>AND('Planilla_General_29-11-2012_10_'!E34,"AAAAAFr79zY=")</f>
        <v>#VALUE!</v>
      </c>
      <c r="BD3" t="e">
        <f>AND('Planilla_General_29-11-2012_10_'!F34,"AAAAAFr79zc=")</f>
        <v>#VALUE!</v>
      </c>
      <c r="BE3" t="e">
        <f>AND('Planilla_General_29-11-2012_10_'!G34,"AAAAAFr79zg=")</f>
        <v>#VALUE!</v>
      </c>
      <c r="BF3" t="e">
        <f>AND('Planilla_General_29-11-2012_10_'!H34,"AAAAAFr79zk=")</f>
        <v>#VALUE!</v>
      </c>
      <c r="BG3" t="e">
        <f>AND('Planilla_General_29-11-2012_10_'!I34,"AAAAAFr79zo=")</f>
        <v>#VALUE!</v>
      </c>
      <c r="BH3" t="e">
        <f>AND('Planilla_General_29-11-2012_10_'!J34,"AAAAAFr79zs=")</f>
        <v>#VALUE!</v>
      </c>
      <c r="BI3" t="e">
        <f>AND('Planilla_General_29-11-2012_10_'!K34,"AAAAAFr79zw=")</f>
        <v>#VALUE!</v>
      </c>
      <c r="BJ3" t="e">
        <f>AND('Planilla_General_29-11-2012_10_'!L34,"AAAAAFr79z0=")</f>
        <v>#VALUE!</v>
      </c>
      <c r="BK3" t="e">
        <f>AND('Planilla_General_29-11-2012_10_'!M34,"AAAAAFr79z4=")</f>
        <v>#VALUE!</v>
      </c>
      <c r="BL3" t="e">
        <f>AND('Planilla_General_29-11-2012_10_'!N34,"AAAAAFr79z8=")</f>
        <v>#VALUE!</v>
      </c>
      <c r="BM3" t="e">
        <f>AND('Planilla_General_29-11-2012_10_'!O34,"AAAAAFr790A=")</f>
        <v>#VALUE!</v>
      </c>
      <c r="BN3" t="e">
        <f>AND('Planilla_General_29-11-2012_10_'!P34,"AAAAAFr790E=")</f>
        <v>#VALUE!</v>
      </c>
      <c r="BO3">
        <f>IF('Planilla_General_29-11-2012_10_'!35:35,"AAAAAFr790I=",0)</f>
        <v>0</v>
      </c>
      <c r="BP3" t="e">
        <f>AND('Planilla_General_29-11-2012_10_'!A35,"AAAAAFr790M=")</f>
        <v>#VALUE!</v>
      </c>
      <c r="BQ3" t="e">
        <f>AND('Planilla_General_29-11-2012_10_'!B35,"AAAAAFr790Q=")</f>
        <v>#VALUE!</v>
      </c>
      <c r="BR3" t="e">
        <f>AND('Planilla_General_29-11-2012_10_'!C35,"AAAAAFr790U=")</f>
        <v>#VALUE!</v>
      </c>
      <c r="BS3" t="e">
        <f>AND('Planilla_General_29-11-2012_10_'!D35,"AAAAAFr790Y=")</f>
        <v>#VALUE!</v>
      </c>
      <c r="BT3" t="e">
        <f>AND('Planilla_General_29-11-2012_10_'!E35,"AAAAAFr790c=")</f>
        <v>#VALUE!</v>
      </c>
      <c r="BU3" t="e">
        <f>AND('Planilla_General_29-11-2012_10_'!F35,"AAAAAFr790g=")</f>
        <v>#VALUE!</v>
      </c>
      <c r="BV3" t="e">
        <f>AND('Planilla_General_29-11-2012_10_'!G35,"AAAAAFr790k=")</f>
        <v>#VALUE!</v>
      </c>
      <c r="BW3" t="e">
        <f>AND('Planilla_General_29-11-2012_10_'!H35,"AAAAAFr790o=")</f>
        <v>#VALUE!</v>
      </c>
      <c r="BX3" t="e">
        <f>AND('Planilla_General_29-11-2012_10_'!I35,"AAAAAFr790s=")</f>
        <v>#VALUE!</v>
      </c>
      <c r="BY3" t="e">
        <f>AND('Planilla_General_29-11-2012_10_'!J35,"AAAAAFr790w=")</f>
        <v>#VALUE!</v>
      </c>
      <c r="BZ3" t="e">
        <f>AND('Planilla_General_29-11-2012_10_'!K35,"AAAAAFr7900=")</f>
        <v>#VALUE!</v>
      </c>
      <c r="CA3" t="e">
        <f>AND('Planilla_General_29-11-2012_10_'!L35,"AAAAAFr7904=")</f>
        <v>#VALUE!</v>
      </c>
      <c r="CB3" t="e">
        <f>AND('Planilla_General_29-11-2012_10_'!M35,"AAAAAFr7908=")</f>
        <v>#VALUE!</v>
      </c>
      <c r="CC3" t="e">
        <f>AND('Planilla_General_29-11-2012_10_'!N35,"AAAAAFr791A=")</f>
        <v>#VALUE!</v>
      </c>
      <c r="CD3" t="e">
        <f>AND('Planilla_General_29-11-2012_10_'!O35,"AAAAAFr791E=")</f>
        <v>#VALUE!</v>
      </c>
      <c r="CE3" t="e">
        <f>AND('Planilla_General_29-11-2012_10_'!P35,"AAAAAFr791I=")</f>
        <v>#VALUE!</v>
      </c>
      <c r="CF3">
        <f>IF('Planilla_General_29-11-2012_10_'!36:36,"AAAAAFr791M=",0)</f>
        <v>0</v>
      </c>
      <c r="CG3" t="e">
        <f>AND('Planilla_General_29-11-2012_10_'!A36,"AAAAAFr791Q=")</f>
        <v>#VALUE!</v>
      </c>
      <c r="CH3" t="e">
        <f>AND('Planilla_General_29-11-2012_10_'!B36,"AAAAAFr791U=")</f>
        <v>#VALUE!</v>
      </c>
      <c r="CI3" t="e">
        <f>AND('Planilla_General_29-11-2012_10_'!C36,"AAAAAFr791Y=")</f>
        <v>#VALUE!</v>
      </c>
      <c r="CJ3" t="e">
        <f>AND('Planilla_General_29-11-2012_10_'!D36,"AAAAAFr791c=")</f>
        <v>#VALUE!</v>
      </c>
      <c r="CK3" t="e">
        <f>AND('Planilla_General_29-11-2012_10_'!E36,"AAAAAFr791g=")</f>
        <v>#VALUE!</v>
      </c>
      <c r="CL3" t="e">
        <f>AND('Planilla_General_29-11-2012_10_'!F36,"AAAAAFr791k=")</f>
        <v>#VALUE!</v>
      </c>
      <c r="CM3" t="e">
        <f>AND('Planilla_General_29-11-2012_10_'!G36,"AAAAAFr791o=")</f>
        <v>#VALUE!</v>
      </c>
      <c r="CN3" t="e">
        <f>AND('Planilla_General_29-11-2012_10_'!H36,"AAAAAFr791s=")</f>
        <v>#VALUE!</v>
      </c>
      <c r="CO3" t="e">
        <f>AND('Planilla_General_29-11-2012_10_'!I36,"AAAAAFr791w=")</f>
        <v>#VALUE!</v>
      </c>
      <c r="CP3" t="e">
        <f>AND('Planilla_General_29-11-2012_10_'!J36,"AAAAAFr7910=")</f>
        <v>#VALUE!</v>
      </c>
      <c r="CQ3" t="e">
        <f>AND('Planilla_General_29-11-2012_10_'!K36,"AAAAAFr7914=")</f>
        <v>#VALUE!</v>
      </c>
      <c r="CR3" t="e">
        <f>AND('Planilla_General_29-11-2012_10_'!L36,"AAAAAFr7918=")</f>
        <v>#VALUE!</v>
      </c>
      <c r="CS3" t="e">
        <f>AND('Planilla_General_29-11-2012_10_'!M36,"AAAAAFr792A=")</f>
        <v>#VALUE!</v>
      </c>
      <c r="CT3" t="e">
        <f>AND('Planilla_General_29-11-2012_10_'!N36,"AAAAAFr792E=")</f>
        <v>#VALUE!</v>
      </c>
      <c r="CU3" t="e">
        <f>AND('Planilla_General_29-11-2012_10_'!O36,"AAAAAFr792I=")</f>
        <v>#VALUE!</v>
      </c>
      <c r="CV3" t="e">
        <f>AND('Planilla_General_29-11-2012_10_'!P36,"AAAAAFr792M=")</f>
        <v>#VALUE!</v>
      </c>
      <c r="CW3">
        <f>IF('Planilla_General_29-11-2012_10_'!37:37,"AAAAAFr792Q=",0)</f>
        <v>0</v>
      </c>
      <c r="CX3" t="e">
        <f>AND('Planilla_General_29-11-2012_10_'!A37,"AAAAAFr792U=")</f>
        <v>#VALUE!</v>
      </c>
      <c r="CY3" t="e">
        <f>AND('Planilla_General_29-11-2012_10_'!B37,"AAAAAFr792Y=")</f>
        <v>#VALUE!</v>
      </c>
      <c r="CZ3" t="e">
        <f>AND('Planilla_General_29-11-2012_10_'!C37,"AAAAAFr792c=")</f>
        <v>#VALUE!</v>
      </c>
      <c r="DA3" t="e">
        <f>AND('Planilla_General_29-11-2012_10_'!D37,"AAAAAFr792g=")</f>
        <v>#VALUE!</v>
      </c>
      <c r="DB3" t="e">
        <f>AND('Planilla_General_29-11-2012_10_'!E37,"AAAAAFr792k=")</f>
        <v>#VALUE!</v>
      </c>
      <c r="DC3" t="e">
        <f>AND('Planilla_General_29-11-2012_10_'!F37,"AAAAAFr792o=")</f>
        <v>#VALUE!</v>
      </c>
      <c r="DD3" t="e">
        <f>AND('Planilla_General_29-11-2012_10_'!G37,"AAAAAFr792s=")</f>
        <v>#VALUE!</v>
      </c>
      <c r="DE3" t="e">
        <f>AND('Planilla_General_29-11-2012_10_'!H37,"AAAAAFr792w=")</f>
        <v>#VALUE!</v>
      </c>
      <c r="DF3" t="e">
        <f>AND('Planilla_General_29-11-2012_10_'!I37,"AAAAAFr7920=")</f>
        <v>#VALUE!</v>
      </c>
      <c r="DG3" t="e">
        <f>AND('Planilla_General_29-11-2012_10_'!J37,"AAAAAFr7924=")</f>
        <v>#VALUE!</v>
      </c>
      <c r="DH3" t="e">
        <f>AND('Planilla_General_29-11-2012_10_'!K37,"AAAAAFr7928=")</f>
        <v>#VALUE!</v>
      </c>
      <c r="DI3" t="e">
        <f>AND('Planilla_General_29-11-2012_10_'!L37,"AAAAAFr793A=")</f>
        <v>#VALUE!</v>
      </c>
      <c r="DJ3" t="e">
        <f>AND('Planilla_General_29-11-2012_10_'!M37,"AAAAAFr793E=")</f>
        <v>#VALUE!</v>
      </c>
      <c r="DK3" t="e">
        <f>AND('Planilla_General_29-11-2012_10_'!N37,"AAAAAFr793I=")</f>
        <v>#VALUE!</v>
      </c>
      <c r="DL3" t="e">
        <f>AND('Planilla_General_29-11-2012_10_'!O37,"AAAAAFr793M=")</f>
        <v>#VALUE!</v>
      </c>
      <c r="DM3" t="e">
        <f>AND('Planilla_General_29-11-2012_10_'!P37,"AAAAAFr793Q=")</f>
        <v>#VALUE!</v>
      </c>
      <c r="DN3">
        <f>IF('Planilla_General_29-11-2012_10_'!38:38,"AAAAAFr793U=",0)</f>
        <v>0</v>
      </c>
      <c r="DO3" t="e">
        <f>AND('Planilla_General_29-11-2012_10_'!A38,"AAAAAFr793Y=")</f>
        <v>#VALUE!</v>
      </c>
      <c r="DP3" t="e">
        <f>AND('Planilla_General_29-11-2012_10_'!B38,"AAAAAFr793c=")</f>
        <v>#VALUE!</v>
      </c>
      <c r="DQ3" t="e">
        <f>AND('Planilla_General_29-11-2012_10_'!C38,"AAAAAFr793g=")</f>
        <v>#VALUE!</v>
      </c>
      <c r="DR3" t="e">
        <f>AND('Planilla_General_29-11-2012_10_'!D38,"AAAAAFr793k=")</f>
        <v>#VALUE!</v>
      </c>
      <c r="DS3" t="e">
        <f>AND('Planilla_General_29-11-2012_10_'!E38,"AAAAAFr793o=")</f>
        <v>#VALUE!</v>
      </c>
      <c r="DT3" t="e">
        <f>AND('Planilla_General_29-11-2012_10_'!F38,"AAAAAFr793s=")</f>
        <v>#VALUE!</v>
      </c>
      <c r="DU3" t="e">
        <f>AND('Planilla_General_29-11-2012_10_'!G38,"AAAAAFr793w=")</f>
        <v>#VALUE!</v>
      </c>
      <c r="DV3" t="e">
        <f>AND('Planilla_General_29-11-2012_10_'!H38,"AAAAAFr7930=")</f>
        <v>#VALUE!</v>
      </c>
      <c r="DW3" t="e">
        <f>AND('Planilla_General_29-11-2012_10_'!I38,"AAAAAFr7934=")</f>
        <v>#VALUE!</v>
      </c>
      <c r="DX3" t="e">
        <f>AND('Planilla_General_29-11-2012_10_'!J38,"AAAAAFr7938=")</f>
        <v>#VALUE!</v>
      </c>
      <c r="DY3" t="e">
        <f>AND('Planilla_General_29-11-2012_10_'!K38,"AAAAAFr794A=")</f>
        <v>#VALUE!</v>
      </c>
      <c r="DZ3" t="e">
        <f>AND('Planilla_General_29-11-2012_10_'!L38,"AAAAAFr794E=")</f>
        <v>#VALUE!</v>
      </c>
      <c r="EA3" t="e">
        <f>AND('Planilla_General_29-11-2012_10_'!M38,"AAAAAFr794I=")</f>
        <v>#VALUE!</v>
      </c>
      <c r="EB3" t="e">
        <f>AND('Planilla_General_29-11-2012_10_'!N38,"AAAAAFr794M=")</f>
        <v>#VALUE!</v>
      </c>
      <c r="EC3" t="e">
        <f>AND('Planilla_General_29-11-2012_10_'!O38,"AAAAAFr794Q=")</f>
        <v>#VALUE!</v>
      </c>
      <c r="ED3" t="e">
        <f>AND('Planilla_General_29-11-2012_10_'!P38,"AAAAAFr794U=")</f>
        <v>#VALUE!</v>
      </c>
      <c r="EE3">
        <f>IF('Planilla_General_29-11-2012_10_'!39:39,"AAAAAFr794Y=",0)</f>
        <v>0</v>
      </c>
      <c r="EF3" t="e">
        <f>AND('Planilla_General_29-11-2012_10_'!A39,"AAAAAFr794c=")</f>
        <v>#VALUE!</v>
      </c>
      <c r="EG3" t="e">
        <f>AND('Planilla_General_29-11-2012_10_'!B39,"AAAAAFr794g=")</f>
        <v>#VALUE!</v>
      </c>
      <c r="EH3" t="e">
        <f>AND('Planilla_General_29-11-2012_10_'!C39,"AAAAAFr794k=")</f>
        <v>#VALUE!</v>
      </c>
      <c r="EI3" t="e">
        <f>AND('Planilla_General_29-11-2012_10_'!D39,"AAAAAFr794o=")</f>
        <v>#VALUE!</v>
      </c>
      <c r="EJ3" t="e">
        <f>AND('Planilla_General_29-11-2012_10_'!E39,"AAAAAFr794s=")</f>
        <v>#VALUE!</v>
      </c>
      <c r="EK3" t="e">
        <f>AND('Planilla_General_29-11-2012_10_'!F39,"AAAAAFr794w=")</f>
        <v>#VALUE!</v>
      </c>
      <c r="EL3" t="e">
        <f>AND('Planilla_General_29-11-2012_10_'!G39,"AAAAAFr7940=")</f>
        <v>#VALUE!</v>
      </c>
      <c r="EM3" t="e">
        <f>AND('Planilla_General_29-11-2012_10_'!H39,"AAAAAFr7944=")</f>
        <v>#VALUE!</v>
      </c>
      <c r="EN3" t="e">
        <f>AND('Planilla_General_29-11-2012_10_'!I39,"AAAAAFr7948=")</f>
        <v>#VALUE!</v>
      </c>
      <c r="EO3" t="e">
        <f>AND('Planilla_General_29-11-2012_10_'!J39,"AAAAAFr795A=")</f>
        <v>#VALUE!</v>
      </c>
      <c r="EP3" t="e">
        <f>AND('Planilla_General_29-11-2012_10_'!K39,"AAAAAFr795E=")</f>
        <v>#VALUE!</v>
      </c>
      <c r="EQ3" t="e">
        <f>AND('Planilla_General_29-11-2012_10_'!L39,"AAAAAFr795I=")</f>
        <v>#VALUE!</v>
      </c>
      <c r="ER3" t="e">
        <f>AND('Planilla_General_29-11-2012_10_'!M39,"AAAAAFr795M=")</f>
        <v>#VALUE!</v>
      </c>
      <c r="ES3" t="e">
        <f>AND('Planilla_General_29-11-2012_10_'!N39,"AAAAAFr795Q=")</f>
        <v>#VALUE!</v>
      </c>
      <c r="ET3" t="e">
        <f>AND('Planilla_General_29-11-2012_10_'!O39,"AAAAAFr795U=")</f>
        <v>#VALUE!</v>
      </c>
      <c r="EU3" t="e">
        <f>AND('Planilla_General_29-11-2012_10_'!P39,"AAAAAFr795Y=")</f>
        <v>#VALUE!</v>
      </c>
      <c r="EV3">
        <f>IF('Planilla_General_29-11-2012_10_'!40:40,"AAAAAFr795c=",0)</f>
        <v>0</v>
      </c>
      <c r="EW3" t="e">
        <f>AND('Planilla_General_29-11-2012_10_'!A40,"AAAAAFr795g=")</f>
        <v>#VALUE!</v>
      </c>
      <c r="EX3" t="e">
        <f>AND('Planilla_General_29-11-2012_10_'!B40,"AAAAAFr795k=")</f>
        <v>#VALUE!</v>
      </c>
      <c r="EY3" t="e">
        <f>AND('Planilla_General_29-11-2012_10_'!C40,"AAAAAFr795o=")</f>
        <v>#VALUE!</v>
      </c>
      <c r="EZ3" t="e">
        <f>AND('Planilla_General_29-11-2012_10_'!D40,"AAAAAFr795s=")</f>
        <v>#VALUE!</v>
      </c>
      <c r="FA3" t="e">
        <f>AND('Planilla_General_29-11-2012_10_'!E40,"AAAAAFr795w=")</f>
        <v>#VALUE!</v>
      </c>
      <c r="FB3" t="e">
        <f>AND('Planilla_General_29-11-2012_10_'!F40,"AAAAAFr7950=")</f>
        <v>#VALUE!</v>
      </c>
      <c r="FC3" t="e">
        <f>AND('Planilla_General_29-11-2012_10_'!G40,"AAAAAFr7954=")</f>
        <v>#VALUE!</v>
      </c>
      <c r="FD3" t="e">
        <f>AND('Planilla_General_29-11-2012_10_'!H40,"AAAAAFr7958=")</f>
        <v>#VALUE!</v>
      </c>
      <c r="FE3" t="e">
        <f>AND('Planilla_General_29-11-2012_10_'!I40,"AAAAAFr796A=")</f>
        <v>#VALUE!</v>
      </c>
      <c r="FF3" t="e">
        <f>AND('Planilla_General_29-11-2012_10_'!J40,"AAAAAFr796E=")</f>
        <v>#VALUE!</v>
      </c>
      <c r="FG3" t="e">
        <f>AND('Planilla_General_29-11-2012_10_'!K40,"AAAAAFr796I=")</f>
        <v>#VALUE!</v>
      </c>
      <c r="FH3" t="e">
        <f>AND('Planilla_General_29-11-2012_10_'!L40,"AAAAAFr796M=")</f>
        <v>#VALUE!</v>
      </c>
      <c r="FI3" t="e">
        <f>AND('Planilla_General_29-11-2012_10_'!M40,"AAAAAFr796Q=")</f>
        <v>#VALUE!</v>
      </c>
      <c r="FJ3" t="e">
        <f>AND('Planilla_General_29-11-2012_10_'!N40,"AAAAAFr796U=")</f>
        <v>#VALUE!</v>
      </c>
      <c r="FK3" t="e">
        <f>AND('Planilla_General_29-11-2012_10_'!O40,"AAAAAFr796Y=")</f>
        <v>#VALUE!</v>
      </c>
      <c r="FL3" t="e">
        <f>AND('Planilla_General_29-11-2012_10_'!P40,"AAAAAFr796c=")</f>
        <v>#VALUE!</v>
      </c>
      <c r="FM3">
        <f>IF('Planilla_General_29-11-2012_10_'!41:41,"AAAAAFr796g=",0)</f>
        <v>0</v>
      </c>
      <c r="FN3" t="e">
        <f>AND('Planilla_General_29-11-2012_10_'!A41,"AAAAAFr796k=")</f>
        <v>#VALUE!</v>
      </c>
      <c r="FO3" t="e">
        <f>AND('Planilla_General_29-11-2012_10_'!B41,"AAAAAFr796o=")</f>
        <v>#VALUE!</v>
      </c>
      <c r="FP3" t="e">
        <f>AND('Planilla_General_29-11-2012_10_'!C41,"AAAAAFr796s=")</f>
        <v>#VALUE!</v>
      </c>
      <c r="FQ3" t="e">
        <f>AND('Planilla_General_29-11-2012_10_'!D41,"AAAAAFr796w=")</f>
        <v>#VALUE!</v>
      </c>
      <c r="FR3" t="e">
        <f>AND('Planilla_General_29-11-2012_10_'!E41,"AAAAAFr7960=")</f>
        <v>#VALUE!</v>
      </c>
      <c r="FS3" t="e">
        <f>AND('Planilla_General_29-11-2012_10_'!F41,"AAAAAFr7964=")</f>
        <v>#VALUE!</v>
      </c>
      <c r="FT3" t="e">
        <f>AND('Planilla_General_29-11-2012_10_'!G41,"AAAAAFr7968=")</f>
        <v>#VALUE!</v>
      </c>
      <c r="FU3" t="e">
        <f>AND('Planilla_General_29-11-2012_10_'!H41,"AAAAAFr797A=")</f>
        <v>#VALUE!</v>
      </c>
      <c r="FV3" t="e">
        <f>AND('Planilla_General_29-11-2012_10_'!I41,"AAAAAFr797E=")</f>
        <v>#VALUE!</v>
      </c>
      <c r="FW3" t="e">
        <f>AND('Planilla_General_29-11-2012_10_'!J41,"AAAAAFr797I=")</f>
        <v>#VALUE!</v>
      </c>
      <c r="FX3" t="e">
        <f>AND('Planilla_General_29-11-2012_10_'!K41,"AAAAAFr797M=")</f>
        <v>#VALUE!</v>
      </c>
      <c r="FY3" t="e">
        <f>AND('Planilla_General_29-11-2012_10_'!L41,"AAAAAFr797Q=")</f>
        <v>#VALUE!</v>
      </c>
      <c r="FZ3" t="e">
        <f>AND('Planilla_General_29-11-2012_10_'!M41,"AAAAAFr797U=")</f>
        <v>#VALUE!</v>
      </c>
      <c r="GA3" t="e">
        <f>AND('Planilla_General_29-11-2012_10_'!N41,"AAAAAFr797Y=")</f>
        <v>#VALUE!</v>
      </c>
      <c r="GB3" t="e">
        <f>AND('Planilla_General_29-11-2012_10_'!O41,"AAAAAFr797c=")</f>
        <v>#VALUE!</v>
      </c>
      <c r="GC3" t="e">
        <f>AND('Planilla_General_29-11-2012_10_'!P41,"AAAAAFr797g=")</f>
        <v>#VALUE!</v>
      </c>
      <c r="GD3">
        <f>IF('Planilla_General_29-11-2012_10_'!42:42,"AAAAAFr797k=",0)</f>
        <v>0</v>
      </c>
      <c r="GE3" t="e">
        <f>AND('Planilla_General_29-11-2012_10_'!A42,"AAAAAFr797o=")</f>
        <v>#VALUE!</v>
      </c>
      <c r="GF3" t="e">
        <f>AND('Planilla_General_29-11-2012_10_'!B42,"AAAAAFr797s=")</f>
        <v>#VALUE!</v>
      </c>
      <c r="GG3" t="e">
        <f>AND('Planilla_General_29-11-2012_10_'!C42,"AAAAAFr797w=")</f>
        <v>#VALUE!</v>
      </c>
      <c r="GH3" t="e">
        <f>AND('Planilla_General_29-11-2012_10_'!D42,"AAAAAFr7970=")</f>
        <v>#VALUE!</v>
      </c>
      <c r="GI3" t="e">
        <f>AND('Planilla_General_29-11-2012_10_'!E42,"AAAAAFr7974=")</f>
        <v>#VALUE!</v>
      </c>
      <c r="GJ3" t="e">
        <f>AND('Planilla_General_29-11-2012_10_'!F42,"AAAAAFr7978=")</f>
        <v>#VALUE!</v>
      </c>
      <c r="GK3" t="e">
        <f>AND('Planilla_General_29-11-2012_10_'!G42,"AAAAAFr798A=")</f>
        <v>#VALUE!</v>
      </c>
      <c r="GL3" t="e">
        <f>AND('Planilla_General_29-11-2012_10_'!H42,"AAAAAFr798E=")</f>
        <v>#VALUE!</v>
      </c>
      <c r="GM3" t="e">
        <f>AND('Planilla_General_29-11-2012_10_'!I42,"AAAAAFr798I=")</f>
        <v>#VALUE!</v>
      </c>
      <c r="GN3" t="e">
        <f>AND('Planilla_General_29-11-2012_10_'!J42,"AAAAAFr798M=")</f>
        <v>#VALUE!</v>
      </c>
      <c r="GO3" t="e">
        <f>AND('Planilla_General_29-11-2012_10_'!K42,"AAAAAFr798Q=")</f>
        <v>#VALUE!</v>
      </c>
      <c r="GP3" t="e">
        <f>AND('Planilla_General_29-11-2012_10_'!L42,"AAAAAFr798U=")</f>
        <v>#VALUE!</v>
      </c>
      <c r="GQ3" t="e">
        <f>AND('Planilla_General_29-11-2012_10_'!M42,"AAAAAFr798Y=")</f>
        <v>#VALUE!</v>
      </c>
      <c r="GR3" t="e">
        <f>AND('Planilla_General_29-11-2012_10_'!N42,"AAAAAFr798c=")</f>
        <v>#VALUE!</v>
      </c>
      <c r="GS3" t="e">
        <f>AND('Planilla_General_29-11-2012_10_'!O42,"AAAAAFr798g=")</f>
        <v>#VALUE!</v>
      </c>
      <c r="GT3" t="e">
        <f>AND('Planilla_General_29-11-2012_10_'!P42,"AAAAAFr798k=")</f>
        <v>#VALUE!</v>
      </c>
      <c r="GU3">
        <f>IF('Planilla_General_29-11-2012_10_'!43:43,"AAAAAFr798o=",0)</f>
        <v>0</v>
      </c>
      <c r="GV3" t="e">
        <f>AND('Planilla_General_29-11-2012_10_'!A43,"AAAAAFr798s=")</f>
        <v>#VALUE!</v>
      </c>
      <c r="GW3" t="e">
        <f>AND('Planilla_General_29-11-2012_10_'!B43,"AAAAAFr798w=")</f>
        <v>#VALUE!</v>
      </c>
      <c r="GX3" t="e">
        <f>AND('Planilla_General_29-11-2012_10_'!C43,"AAAAAFr7980=")</f>
        <v>#VALUE!</v>
      </c>
      <c r="GY3" t="e">
        <f>AND('Planilla_General_29-11-2012_10_'!D43,"AAAAAFr7984=")</f>
        <v>#VALUE!</v>
      </c>
      <c r="GZ3" t="e">
        <f>AND('Planilla_General_29-11-2012_10_'!E43,"AAAAAFr7988=")</f>
        <v>#VALUE!</v>
      </c>
      <c r="HA3" t="e">
        <f>AND('Planilla_General_29-11-2012_10_'!F43,"AAAAAFr799A=")</f>
        <v>#VALUE!</v>
      </c>
      <c r="HB3" t="e">
        <f>AND('Planilla_General_29-11-2012_10_'!G43,"AAAAAFr799E=")</f>
        <v>#VALUE!</v>
      </c>
      <c r="HC3" t="e">
        <f>AND('Planilla_General_29-11-2012_10_'!H43,"AAAAAFr799I=")</f>
        <v>#VALUE!</v>
      </c>
      <c r="HD3" t="e">
        <f>AND('Planilla_General_29-11-2012_10_'!I43,"AAAAAFr799M=")</f>
        <v>#VALUE!</v>
      </c>
      <c r="HE3" t="e">
        <f>AND('Planilla_General_29-11-2012_10_'!J43,"AAAAAFr799Q=")</f>
        <v>#VALUE!</v>
      </c>
      <c r="HF3" t="e">
        <f>AND('Planilla_General_29-11-2012_10_'!K43,"AAAAAFr799U=")</f>
        <v>#VALUE!</v>
      </c>
      <c r="HG3" t="e">
        <f>AND('Planilla_General_29-11-2012_10_'!L43,"AAAAAFr799Y=")</f>
        <v>#VALUE!</v>
      </c>
      <c r="HH3" t="e">
        <f>AND('Planilla_General_29-11-2012_10_'!M43,"AAAAAFr799c=")</f>
        <v>#VALUE!</v>
      </c>
      <c r="HI3" t="e">
        <f>AND('Planilla_General_29-11-2012_10_'!N43,"AAAAAFr799g=")</f>
        <v>#VALUE!</v>
      </c>
      <c r="HJ3" t="e">
        <f>AND('Planilla_General_29-11-2012_10_'!O43,"AAAAAFr799k=")</f>
        <v>#VALUE!</v>
      </c>
      <c r="HK3" t="e">
        <f>AND('Planilla_General_29-11-2012_10_'!P43,"AAAAAFr799o=")</f>
        <v>#VALUE!</v>
      </c>
      <c r="HL3">
        <f>IF('Planilla_General_29-11-2012_10_'!44:44,"AAAAAFr799s=",0)</f>
        <v>0</v>
      </c>
      <c r="HM3" t="e">
        <f>AND('Planilla_General_29-11-2012_10_'!A44,"AAAAAFr799w=")</f>
        <v>#VALUE!</v>
      </c>
      <c r="HN3" t="e">
        <f>AND('Planilla_General_29-11-2012_10_'!B44,"AAAAAFr7990=")</f>
        <v>#VALUE!</v>
      </c>
      <c r="HO3" t="e">
        <f>AND('Planilla_General_29-11-2012_10_'!C44,"AAAAAFr7994=")</f>
        <v>#VALUE!</v>
      </c>
      <c r="HP3" t="e">
        <f>AND('Planilla_General_29-11-2012_10_'!D44,"AAAAAFr7998=")</f>
        <v>#VALUE!</v>
      </c>
      <c r="HQ3" t="e">
        <f>AND('Planilla_General_29-11-2012_10_'!E44,"AAAAAFr79+A=")</f>
        <v>#VALUE!</v>
      </c>
      <c r="HR3" t="e">
        <f>AND('Planilla_General_29-11-2012_10_'!F44,"AAAAAFr79+E=")</f>
        <v>#VALUE!</v>
      </c>
      <c r="HS3" t="e">
        <f>AND('Planilla_General_29-11-2012_10_'!G44,"AAAAAFr79+I=")</f>
        <v>#VALUE!</v>
      </c>
      <c r="HT3" t="e">
        <f>AND('Planilla_General_29-11-2012_10_'!H44,"AAAAAFr79+M=")</f>
        <v>#VALUE!</v>
      </c>
      <c r="HU3" t="e">
        <f>AND('Planilla_General_29-11-2012_10_'!I44,"AAAAAFr79+Q=")</f>
        <v>#VALUE!</v>
      </c>
      <c r="HV3" t="e">
        <f>AND('Planilla_General_29-11-2012_10_'!J44,"AAAAAFr79+U=")</f>
        <v>#VALUE!</v>
      </c>
      <c r="HW3" t="e">
        <f>AND('Planilla_General_29-11-2012_10_'!K44,"AAAAAFr79+Y=")</f>
        <v>#VALUE!</v>
      </c>
      <c r="HX3" t="e">
        <f>AND('Planilla_General_29-11-2012_10_'!L44,"AAAAAFr79+c=")</f>
        <v>#VALUE!</v>
      </c>
      <c r="HY3" t="e">
        <f>AND('Planilla_General_29-11-2012_10_'!M44,"AAAAAFr79+g=")</f>
        <v>#VALUE!</v>
      </c>
      <c r="HZ3" t="e">
        <f>AND('Planilla_General_29-11-2012_10_'!N44,"AAAAAFr79+k=")</f>
        <v>#VALUE!</v>
      </c>
      <c r="IA3" t="e">
        <f>AND('Planilla_General_29-11-2012_10_'!O44,"AAAAAFr79+o=")</f>
        <v>#VALUE!</v>
      </c>
      <c r="IB3" t="e">
        <f>AND('Planilla_General_29-11-2012_10_'!P44,"AAAAAFr79+s=")</f>
        <v>#VALUE!</v>
      </c>
      <c r="IC3">
        <f>IF('Planilla_General_29-11-2012_10_'!45:45,"AAAAAFr79+w=",0)</f>
        <v>0</v>
      </c>
      <c r="ID3" t="e">
        <f>AND('Planilla_General_29-11-2012_10_'!A45,"AAAAAFr79+0=")</f>
        <v>#VALUE!</v>
      </c>
      <c r="IE3" t="e">
        <f>AND('Planilla_General_29-11-2012_10_'!B45,"AAAAAFr79+4=")</f>
        <v>#VALUE!</v>
      </c>
      <c r="IF3" t="e">
        <f>AND('Planilla_General_29-11-2012_10_'!C45,"AAAAAFr79+8=")</f>
        <v>#VALUE!</v>
      </c>
      <c r="IG3" t="e">
        <f>AND('Planilla_General_29-11-2012_10_'!D45,"AAAAAFr79/A=")</f>
        <v>#VALUE!</v>
      </c>
      <c r="IH3" t="e">
        <f>AND('Planilla_General_29-11-2012_10_'!E45,"AAAAAFr79/E=")</f>
        <v>#VALUE!</v>
      </c>
      <c r="II3" t="e">
        <f>AND('Planilla_General_29-11-2012_10_'!F45,"AAAAAFr79/I=")</f>
        <v>#VALUE!</v>
      </c>
      <c r="IJ3" t="e">
        <f>AND('Planilla_General_29-11-2012_10_'!G45,"AAAAAFr79/M=")</f>
        <v>#VALUE!</v>
      </c>
      <c r="IK3" t="e">
        <f>AND('Planilla_General_29-11-2012_10_'!H45,"AAAAAFr79/Q=")</f>
        <v>#VALUE!</v>
      </c>
      <c r="IL3" t="e">
        <f>AND('Planilla_General_29-11-2012_10_'!I45,"AAAAAFr79/U=")</f>
        <v>#VALUE!</v>
      </c>
      <c r="IM3" t="e">
        <f>AND('Planilla_General_29-11-2012_10_'!J45,"AAAAAFr79/Y=")</f>
        <v>#VALUE!</v>
      </c>
      <c r="IN3" t="e">
        <f>AND('Planilla_General_29-11-2012_10_'!K45,"AAAAAFr79/c=")</f>
        <v>#VALUE!</v>
      </c>
      <c r="IO3" t="e">
        <f>AND('Planilla_General_29-11-2012_10_'!L45,"AAAAAFr79/g=")</f>
        <v>#VALUE!</v>
      </c>
      <c r="IP3" t="e">
        <f>AND('Planilla_General_29-11-2012_10_'!M45,"AAAAAFr79/k=")</f>
        <v>#VALUE!</v>
      </c>
      <c r="IQ3" t="e">
        <f>AND('Planilla_General_29-11-2012_10_'!N45,"AAAAAFr79/o=")</f>
        <v>#VALUE!</v>
      </c>
      <c r="IR3" t="e">
        <f>AND('Planilla_General_29-11-2012_10_'!O45,"AAAAAFr79/s=")</f>
        <v>#VALUE!</v>
      </c>
      <c r="IS3" t="e">
        <f>AND('Planilla_General_29-11-2012_10_'!P45,"AAAAAFr79/w=")</f>
        <v>#VALUE!</v>
      </c>
      <c r="IT3">
        <f>IF('Planilla_General_29-11-2012_10_'!46:46,"AAAAAFr79/0=",0)</f>
        <v>0</v>
      </c>
      <c r="IU3" t="e">
        <f>AND('Planilla_General_29-11-2012_10_'!A46,"AAAAAFr79/4=")</f>
        <v>#VALUE!</v>
      </c>
      <c r="IV3" t="e">
        <f>AND('Planilla_General_29-11-2012_10_'!B46,"AAAAAFr79/8=")</f>
        <v>#VALUE!</v>
      </c>
    </row>
    <row r="4" spans="1:256" x14ac:dyDescent="0.25">
      <c r="A4" t="e">
        <f>AND('Planilla_General_29-11-2012_10_'!C46,"AAAAAHu/WwA=")</f>
        <v>#VALUE!</v>
      </c>
      <c r="B4" t="e">
        <f>AND('Planilla_General_29-11-2012_10_'!D46,"AAAAAHu/WwE=")</f>
        <v>#VALUE!</v>
      </c>
      <c r="C4" t="e">
        <f>AND('Planilla_General_29-11-2012_10_'!E46,"AAAAAHu/WwI=")</f>
        <v>#VALUE!</v>
      </c>
      <c r="D4" t="e">
        <f>AND('Planilla_General_29-11-2012_10_'!F46,"AAAAAHu/WwM=")</f>
        <v>#VALUE!</v>
      </c>
      <c r="E4" t="e">
        <f>AND('Planilla_General_29-11-2012_10_'!G46,"AAAAAHu/WwQ=")</f>
        <v>#VALUE!</v>
      </c>
      <c r="F4" t="e">
        <f>AND('Planilla_General_29-11-2012_10_'!H46,"AAAAAHu/WwU=")</f>
        <v>#VALUE!</v>
      </c>
      <c r="G4" t="e">
        <f>AND('Planilla_General_29-11-2012_10_'!I46,"AAAAAHu/WwY=")</f>
        <v>#VALUE!</v>
      </c>
      <c r="H4" t="e">
        <f>AND('Planilla_General_29-11-2012_10_'!J46,"AAAAAHu/Wwc=")</f>
        <v>#VALUE!</v>
      </c>
      <c r="I4" t="e">
        <f>AND('Planilla_General_29-11-2012_10_'!K46,"AAAAAHu/Wwg=")</f>
        <v>#VALUE!</v>
      </c>
      <c r="J4" t="e">
        <f>AND('Planilla_General_29-11-2012_10_'!L46,"AAAAAHu/Wwk=")</f>
        <v>#VALUE!</v>
      </c>
      <c r="K4" t="e">
        <f>AND('Planilla_General_29-11-2012_10_'!M46,"AAAAAHu/Wwo=")</f>
        <v>#VALUE!</v>
      </c>
      <c r="L4" t="e">
        <f>AND('Planilla_General_29-11-2012_10_'!N46,"AAAAAHu/Wws=")</f>
        <v>#VALUE!</v>
      </c>
      <c r="M4" t="e">
        <f>AND('Planilla_General_29-11-2012_10_'!O46,"AAAAAHu/Www=")</f>
        <v>#VALUE!</v>
      </c>
      <c r="N4" t="e">
        <f>AND('Planilla_General_29-11-2012_10_'!P46,"AAAAAHu/Ww0=")</f>
        <v>#VALUE!</v>
      </c>
      <c r="O4" t="str">
        <f>IF('Planilla_General_29-11-2012_10_'!47:47,"AAAAAHu/Ww4=",0)</f>
        <v>AAAAAHu/Ww4=</v>
      </c>
      <c r="P4" t="e">
        <f>AND('Planilla_General_29-11-2012_10_'!A47,"AAAAAHu/Ww8=")</f>
        <v>#VALUE!</v>
      </c>
      <c r="Q4" t="e">
        <f>AND('Planilla_General_29-11-2012_10_'!B47,"AAAAAHu/WxA=")</f>
        <v>#VALUE!</v>
      </c>
      <c r="R4" t="e">
        <f>AND('Planilla_General_29-11-2012_10_'!C47,"AAAAAHu/WxE=")</f>
        <v>#VALUE!</v>
      </c>
      <c r="S4" t="e">
        <f>AND('Planilla_General_29-11-2012_10_'!D47,"AAAAAHu/WxI=")</f>
        <v>#VALUE!</v>
      </c>
      <c r="T4" t="e">
        <f>AND('Planilla_General_29-11-2012_10_'!E47,"AAAAAHu/WxM=")</f>
        <v>#VALUE!</v>
      </c>
      <c r="U4" t="e">
        <f>AND('Planilla_General_29-11-2012_10_'!F47,"AAAAAHu/WxQ=")</f>
        <v>#VALUE!</v>
      </c>
      <c r="V4" t="e">
        <f>AND('Planilla_General_29-11-2012_10_'!G47,"AAAAAHu/WxU=")</f>
        <v>#VALUE!</v>
      </c>
      <c r="W4" t="e">
        <f>AND('Planilla_General_29-11-2012_10_'!H47,"AAAAAHu/WxY=")</f>
        <v>#VALUE!</v>
      </c>
      <c r="X4" t="e">
        <f>AND('Planilla_General_29-11-2012_10_'!I47,"AAAAAHu/Wxc=")</f>
        <v>#VALUE!</v>
      </c>
      <c r="Y4" t="e">
        <f>AND('Planilla_General_29-11-2012_10_'!J47,"AAAAAHu/Wxg=")</f>
        <v>#VALUE!</v>
      </c>
      <c r="Z4" t="e">
        <f>AND('Planilla_General_29-11-2012_10_'!K47,"AAAAAHu/Wxk=")</f>
        <v>#VALUE!</v>
      </c>
      <c r="AA4" t="e">
        <f>AND('Planilla_General_29-11-2012_10_'!L47,"AAAAAHu/Wxo=")</f>
        <v>#VALUE!</v>
      </c>
      <c r="AB4" t="e">
        <f>AND('Planilla_General_29-11-2012_10_'!M47,"AAAAAHu/Wxs=")</f>
        <v>#VALUE!</v>
      </c>
      <c r="AC4" t="e">
        <f>AND('Planilla_General_29-11-2012_10_'!N47,"AAAAAHu/Wxw=")</f>
        <v>#VALUE!</v>
      </c>
      <c r="AD4" t="e">
        <f>AND('Planilla_General_29-11-2012_10_'!O47,"AAAAAHu/Wx0=")</f>
        <v>#VALUE!</v>
      </c>
      <c r="AE4" t="e">
        <f>AND('Planilla_General_29-11-2012_10_'!P47,"AAAAAHu/Wx4=")</f>
        <v>#VALUE!</v>
      </c>
      <c r="AF4">
        <f>IF('Planilla_General_29-11-2012_10_'!48:48,"AAAAAHu/Wx8=",0)</f>
        <v>0</v>
      </c>
      <c r="AG4" t="e">
        <f>AND('Planilla_General_29-11-2012_10_'!A48,"AAAAAHu/WyA=")</f>
        <v>#VALUE!</v>
      </c>
      <c r="AH4" t="e">
        <f>AND('Planilla_General_29-11-2012_10_'!B48,"AAAAAHu/WyE=")</f>
        <v>#VALUE!</v>
      </c>
      <c r="AI4" t="e">
        <f>AND('Planilla_General_29-11-2012_10_'!C48,"AAAAAHu/WyI=")</f>
        <v>#VALUE!</v>
      </c>
      <c r="AJ4" t="e">
        <f>AND('Planilla_General_29-11-2012_10_'!D48,"AAAAAHu/WyM=")</f>
        <v>#VALUE!</v>
      </c>
      <c r="AK4" t="e">
        <f>AND('Planilla_General_29-11-2012_10_'!E48,"AAAAAHu/WyQ=")</f>
        <v>#VALUE!</v>
      </c>
      <c r="AL4" t="e">
        <f>AND('Planilla_General_29-11-2012_10_'!F48,"AAAAAHu/WyU=")</f>
        <v>#VALUE!</v>
      </c>
      <c r="AM4" t="e">
        <f>AND('Planilla_General_29-11-2012_10_'!G48,"AAAAAHu/WyY=")</f>
        <v>#VALUE!</v>
      </c>
      <c r="AN4" t="e">
        <f>AND('Planilla_General_29-11-2012_10_'!H48,"AAAAAHu/Wyc=")</f>
        <v>#VALUE!</v>
      </c>
      <c r="AO4" t="e">
        <f>AND('Planilla_General_29-11-2012_10_'!I48,"AAAAAHu/Wyg=")</f>
        <v>#VALUE!</v>
      </c>
      <c r="AP4" t="e">
        <f>AND('Planilla_General_29-11-2012_10_'!J48,"AAAAAHu/Wyk=")</f>
        <v>#VALUE!</v>
      </c>
      <c r="AQ4" t="e">
        <f>AND('Planilla_General_29-11-2012_10_'!K48,"AAAAAHu/Wyo=")</f>
        <v>#VALUE!</v>
      </c>
      <c r="AR4" t="e">
        <f>AND('Planilla_General_29-11-2012_10_'!L48,"AAAAAHu/Wys=")</f>
        <v>#VALUE!</v>
      </c>
      <c r="AS4" t="e">
        <f>AND('Planilla_General_29-11-2012_10_'!M48,"AAAAAHu/Wyw=")</f>
        <v>#VALUE!</v>
      </c>
      <c r="AT4" t="e">
        <f>AND('Planilla_General_29-11-2012_10_'!N48,"AAAAAHu/Wy0=")</f>
        <v>#VALUE!</v>
      </c>
      <c r="AU4" t="e">
        <f>AND('Planilla_General_29-11-2012_10_'!O48,"AAAAAHu/Wy4=")</f>
        <v>#VALUE!</v>
      </c>
      <c r="AV4" t="e">
        <f>AND('Planilla_General_29-11-2012_10_'!P48,"AAAAAHu/Wy8=")</f>
        <v>#VALUE!</v>
      </c>
      <c r="AW4">
        <f>IF('Planilla_General_29-11-2012_10_'!49:49,"AAAAAHu/WzA=",0)</f>
        <v>0</v>
      </c>
      <c r="AX4" t="e">
        <f>AND('Planilla_General_29-11-2012_10_'!A49,"AAAAAHu/WzE=")</f>
        <v>#VALUE!</v>
      </c>
      <c r="AY4" t="e">
        <f>AND('Planilla_General_29-11-2012_10_'!B49,"AAAAAHu/WzI=")</f>
        <v>#VALUE!</v>
      </c>
      <c r="AZ4" t="e">
        <f>AND('Planilla_General_29-11-2012_10_'!C49,"AAAAAHu/WzM=")</f>
        <v>#VALUE!</v>
      </c>
      <c r="BA4" t="e">
        <f>AND('Planilla_General_29-11-2012_10_'!D49,"AAAAAHu/WzQ=")</f>
        <v>#VALUE!</v>
      </c>
      <c r="BB4" t="e">
        <f>AND('Planilla_General_29-11-2012_10_'!E49,"AAAAAHu/WzU=")</f>
        <v>#VALUE!</v>
      </c>
      <c r="BC4" t="e">
        <f>AND('Planilla_General_29-11-2012_10_'!F49,"AAAAAHu/WzY=")</f>
        <v>#VALUE!</v>
      </c>
      <c r="BD4" t="e">
        <f>AND('Planilla_General_29-11-2012_10_'!G49,"AAAAAHu/Wzc=")</f>
        <v>#VALUE!</v>
      </c>
      <c r="BE4" t="e">
        <f>AND('Planilla_General_29-11-2012_10_'!H49,"AAAAAHu/Wzg=")</f>
        <v>#VALUE!</v>
      </c>
      <c r="BF4" t="e">
        <f>AND('Planilla_General_29-11-2012_10_'!I49,"AAAAAHu/Wzk=")</f>
        <v>#VALUE!</v>
      </c>
      <c r="BG4" t="e">
        <f>AND('Planilla_General_29-11-2012_10_'!J49,"AAAAAHu/Wzo=")</f>
        <v>#VALUE!</v>
      </c>
      <c r="BH4" t="e">
        <f>AND('Planilla_General_29-11-2012_10_'!K49,"AAAAAHu/Wzs=")</f>
        <v>#VALUE!</v>
      </c>
      <c r="BI4" t="e">
        <f>AND('Planilla_General_29-11-2012_10_'!L49,"AAAAAHu/Wzw=")</f>
        <v>#VALUE!</v>
      </c>
      <c r="BJ4" t="e">
        <f>AND('Planilla_General_29-11-2012_10_'!M49,"AAAAAHu/Wz0=")</f>
        <v>#VALUE!</v>
      </c>
      <c r="BK4" t="e">
        <f>AND('Planilla_General_29-11-2012_10_'!N49,"AAAAAHu/Wz4=")</f>
        <v>#VALUE!</v>
      </c>
      <c r="BL4" t="e">
        <f>AND('Planilla_General_29-11-2012_10_'!O49,"AAAAAHu/Wz8=")</f>
        <v>#VALUE!</v>
      </c>
      <c r="BM4" t="e">
        <f>AND('Planilla_General_29-11-2012_10_'!P49,"AAAAAHu/W0A=")</f>
        <v>#VALUE!</v>
      </c>
      <c r="BN4">
        <f>IF('Planilla_General_29-11-2012_10_'!50:50,"AAAAAHu/W0E=",0)</f>
        <v>0</v>
      </c>
      <c r="BO4" t="e">
        <f>AND('Planilla_General_29-11-2012_10_'!A50,"AAAAAHu/W0I=")</f>
        <v>#VALUE!</v>
      </c>
      <c r="BP4" t="e">
        <f>AND('Planilla_General_29-11-2012_10_'!B50,"AAAAAHu/W0M=")</f>
        <v>#VALUE!</v>
      </c>
      <c r="BQ4" t="e">
        <f>AND('Planilla_General_29-11-2012_10_'!C50,"AAAAAHu/W0Q=")</f>
        <v>#VALUE!</v>
      </c>
      <c r="BR4" t="e">
        <f>AND('Planilla_General_29-11-2012_10_'!D50,"AAAAAHu/W0U=")</f>
        <v>#VALUE!</v>
      </c>
      <c r="BS4" t="e">
        <f>AND('Planilla_General_29-11-2012_10_'!E50,"AAAAAHu/W0Y=")</f>
        <v>#VALUE!</v>
      </c>
      <c r="BT4" t="e">
        <f>AND('Planilla_General_29-11-2012_10_'!F50,"AAAAAHu/W0c=")</f>
        <v>#VALUE!</v>
      </c>
      <c r="BU4" t="e">
        <f>AND('Planilla_General_29-11-2012_10_'!G50,"AAAAAHu/W0g=")</f>
        <v>#VALUE!</v>
      </c>
      <c r="BV4" t="e">
        <f>AND('Planilla_General_29-11-2012_10_'!H50,"AAAAAHu/W0k=")</f>
        <v>#VALUE!</v>
      </c>
      <c r="BW4" t="e">
        <f>AND('Planilla_General_29-11-2012_10_'!I50,"AAAAAHu/W0o=")</f>
        <v>#VALUE!</v>
      </c>
      <c r="BX4" t="e">
        <f>AND('Planilla_General_29-11-2012_10_'!J50,"AAAAAHu/W0s=")</f>
        <v>#VALUE!</v>
      </c>
      <c r="BY4" t="e">
        <f>AND('Planilla_General_29-11-2012_10_'!K50,"AAAAAHu/W0w=")</f>
        <v>#VALUE!</v>
      </c>
      <c r="BZ4" t="e">
        <f>AND('Planilla_General_29-11-2012_10_'!L50,"AAAAAHu/W00=")</f>
        <v>#VALUE!</v>
      </c>
      <c r="CA4" t="e">
        <f>AND('Planilla_General_29-11-2012_10_'!M50,"AAAAAHu/W04=")</f>
        <v>#VALUE!</v>
      </c>
      <c r="CB4" t="e">
        <f>AND('Planilla_General_29-11-2012_10_'!N50,"AAAAAHu/W08=")</f>
        <v>#VALUE!</v>
      </c>
      <c r="CC4" t="e">
        <f>AND('Planilla_General_29-11-2012_10_'!O50,"AAAAAHu/W1A=")</f>
        <v>#VALUE!</v>
      </c>
      <c r="CD4" t="e">
        <f>AND('Planilla_General_29-11-2012_10_'!P50,"AAAAAHu/W1E=")</f>
        <v>#VALUE!</v>
      </c>
      <c r="CE4">
        <f>IF('Planilla_General_29-11-2012_10_'!51:51,"AAAAAHu/W1I=",0)</f>
        <v>0</v>
      </c>
      <c r="CF4" t="e">
        <f>AND('Planilla_General_29-11-2012_10_'!A51,"AAAAAHu/W1M=")</f>
        <v>#VALUE!</v>
      </c>
      <c r="CG4" t="e">
        <f>AND('Planilla_General_29-11-2012_10_'!B51,"AAAAAHu/W1Q=")</f>
        <v>#VALUE!</v>
      </c>
      <c r="CH4" t="e">
        <f>AND('Planilla_General_29-11-2012_10_'!C51,"AAAAAHu/W1U=")</f>
        <v>#VALUE!</v>
      </c>
      <c r="CI4" t="e">
        <f>AND('Planilla_General_29-11-2012_10_'!D51,"AAAAAHu/W1Y=")</f>
        <v>#VALUE!</v>
      </c>
      <c r="CJ4" t="e">
        <f>AND('Planilla_General_29-11-2012_10_'!E51,"AAAAAHu/W1c=")</f>
        <v>#VALUE!</v>
      </c>
      <c r="CK4" t="e">
        <f>AND('Planilla_General_29-11-2012_10_'!F51,"AAAAAHu/W1g=")</f>
        <v>#VALUE!</v>
      </c>
      <c r="CL4" t="e">
        <f>AND('Planilla_General_29-11-2012_10_'!G51,"AAAAAHu/W1k=")</f>
        <v>#VALUE!</v>
      </c>
      <c r="CM4" t="e">
        <f>AND('Planilla_General_29-11-2012_10_'!H51,"AAAAAHu/W1o=")</f>
        <v>#VALUE!</v>
      </c>
      <c r="CN4" t="e">
        <f>AND('Planilla_General_29-11-2012_10_'!I51,"AAAAAHu/W1s=")</f>
        <v>#VALUE!</v>
      </c>
      <c r="CO4" t="e">
        <f>AND('Planilla_General_29-11-2012_10_'!J51,"AAAAAHu/W1w=")</f>
        <v>#VALUE!</v>
      </c>
      <c r="CP4" t="e">
        <f>AND('Planilla_General_29-11-2012_10_'!K51,"AAAAAHu/W10=")</f>
        <v>#VALUE!</v>
      </c>
      <c r="CQ4" t="e">
        <f>AND('Planilla_General_29-11-2012_10_'!L51,"AAAAAHu/W14=")</f>
        <v>#VALUE!</v>
      </c>
      <c r="CR4" t="e">
        <f>AND('Planilla_General_29-11-2012_10_'!M51,"AAAAAHu/W18=")</f>
        <v>#VALUE!</v>
      </c>
      <c r="CS4" t="e">
        <f>AND('Planilla_General_29-11-2012_10_'!N51,"AAAAAHu/W2A=")</f>
        <v>#VALUE!</v>
      </c>
      <c r="CT4" t="e">
        <f>AND('Planilla_General_29-11-2012_10_'!O51,"AAAAAHu/W2E=")</f>
        <v>#VALUE!</v>
      </c>
      <c r="CU4" t="e">
        <f>AND('Planilla_General_29-11-2012_10_'!P51,"AAAAAHu/W2I=")</f>
        <v>#VALUE!</v>
      </c>
      <c r="CV4">
        <f>IF('Planilla_General_29-11-2012_10_'!52:52,"AAAAAHu/W2M=",0)</f>
        <v>0</v>
      </c>
      <c r="CW4" t="e">
        <f>AND('Planilla_General_29-11-2012_10_'!A52,"AAAAAHu/W2Q=")</f>
        <v>#VALUE!</v>
      </c>
      <c r="CX4" t="e">
        <f>AND('Planilla_General_29-11-2012_10_'!B52,"AAAAAHu/W2U=")</f>
        <v>#VALUE!</v>
      </c>
      <c r="CY4" t="e">
        <f>AND('Planilla_General_29-11-2012_10_'!C52,"AAAAAHu/W2Y=")</f>
        <v>#VALUE!</v>
      </c>
      <c r="CZ4" t="e">
        <f>AND('Planilla_General_29-11-2012_10_'!D52,"AAAAAHu/W2c=")</f>
        <v>#VALUE!</v>
      </c>
      <c r="DA4" t="e">
        <f>AND('Planilla_General_29-11-2012_10_'!E52,"AAAAAHu/W2g=")</f>
        <v>#VALUE!</v>
      </c>
      <c r="DB4" t="e">
        <f>AND('Planilla_General_29-11-2012_10_'!F52,"AAAAAHu/W2k=")</f>
        <v>#VALUE!</v>
      </c>
      <c r="DC4" t="e">
        <f>AND('Planilla_General_29-11-2012_10_'!G52,"AAAAAHu/W2o=")</f>
        <v>#VALUE!</v>
      </c>
      <c r="DD4" t="e">
        <f>AND('Planilla_General_29-11-2012_10_'!H52,"AAAAAHu/W2s=")</f>
        <v>#VALUE!</v>
      </c>
      <c r="DE4" t="e">
        <f>AND('Planilla_General_29-11-2012_10_'!I52,"AAAAAHu/W2w=")</f>
        <v>#VALUE!</v>
      </c>
      <c r="DF4" t="e">
        <f>AND('Planilla_General_29-11-2012_10_'!J52,"AAAAAHu/W20=")</f>
        <v>#VALUE!</v>
      </c>
      <c r="DG4" t="e">
        <f>AND('Planilla_General_29-11-2012_10_'!K52,"AAAAAHu/W24=")</f>
        <v>#VALUE!</v>
      </c>
      <c r="DH4" t="e">
        <f>AND('Planilla_General_29-11-2012_10_'!L52,"AAAAAHu/W28=")</f>
        <v>#VALUE!</v>
      </c>
      <c r="DI4" t="e">
        <f>AND('Planilla_General_29-11-2012_10_'!M52,"AAAAAHu/W3A=")</f>
        <v>#VALUE!</v>
      </c>
      <c r="DJ4" t="e">
        <f>AND('Planilla_General_29-11-2012_10_'!N52,"AAAAAHu/W3E=")</f>
        <v>#VALUE!</v>
      </c>
      <c r="DK4" t="e">
        <f>AND('Planilla_General_29-11-2012_10_'!O52,"AAAAAHu/W3I=")</f>
        <v>#VALUE!</v>
      </c>
      <c r="DL4" t="e">
        <f>AND('Planilla_General_29-11-2012_10_'!P52,"AAAAAHu/W3M=")</f>
        <v>#VALUE!</v>
      </c>
      <c r="DM4">
        <f>IF('Planilla_General_29-11-2012_10_'!53:53,"AAAAAHu/W3Q=",0)</f>
        <v>0</v>
      </c>
      <c r="DN4" t="e">
        <f>AND('Planilla_General_29-11-2012_10_'!A53,"AAAAAHu/W3U=")</f>
        <v>#VALUE!</v>
      </c>
      <c r="DO4" t="e">
        <f>AND('Planilla_General_29-11-2012_10_'!B53,"AAAAAHu/W3Y=")</f>
        <v>#VALUE!</v>
      </c>
      <c r="DP4" t="e">
        <f>AND('Planilla_General_29-11-2012_10_'!C53,"AAAAAHu/W3c=")</f>
        <v>#VALUE!</v>
      </c>
      <c r="DQ4" t="e">
        <f>AND('Planilla_General_29-11-2012_10_'!D53,"AAAAAHu/W3g=")</f>
        <v>#VALUE!</v>
      </c>
      <c r="DR4" t="e">
        <f>AND('Planilla_General_29-11-2012_10_'!E53,"AAAAAHu/W3k=")</f>
        <v>#VALUE!</v>
      </c>
      <c r="DS4" t="e">
        <f>AND('Planilla_General_29-11-2012_10_'!F53,"AAAAAHu/W3o=")</f>
        <v>#VALUE!</v>
      </c>
      <c r="DT4" t="e">
        <f>AND('Planilla_General_29-11-2012_10_'!G53,"AAAAAHu/W3s=")</f>
        <v>#VALUE!</v>
      </c>
      <c r="DU4" t="e">
        <f>AND('Planilla_General_29-11-2012_10_'!H53,"AAAAAHu/W3w=")</f>
        <v>#VALUE!</v>
      </c>
      <c r="DV4" t="e">
        <f>AND('Planilla_General_29-11-2012_10_'!I53,"AAAAAHu/W30=")</f>
        <v>#VALUE!</v>
      </c>
      <c r="DW4" t="e">
        <f>AND('Planilla_General_29-11-2012_10_'!J53,"AAAAAHu/W34=")</f>
        <v>#VALUE!</v>
      </c>
      <c r="DX4" t="e">
        <f>AND('Planilla_General_29-11-2012_10_'!K53,"AAAAAHu/W38=")</f>
        <v>#VALUE!</v>
      </c>
      <c r="DY4" t="e">
        <f>AND('Planilla_General_29-11-2012_10_'!L53,"AAAAAHu/W4A=")</f>
        <v>#VALUE!</v>
      </c>
      <c r="DZ4" t="e">
        <f>AND('Planilla_General_29-11-2012_10_'!M53,"AAAAAHu/W4E=")</f>
        <v>#VALUE!</v>
      </c>
      <c r="EA4" t="e">
        <f>AND('Planilla_General_29-11-2012_10_'!N53,"AAAAAHu/W4I=")</f>
        <v>#VALUE!</v>
      </c>
      <c r="EB4" t="e">
        <f>AND('Planilla_General_29-11-2012_10_'!O53,"AAAAAHu/W4M=")</f>
        <v>#VALUE!</v>
      </c>
      <c r="EC4" t="e">
        <f>AND('Planilla_General_29-11-2012_10_'!P53,"AAAAAHu/W4Q=")</f>
        <v>#VALUE!</v>
      </c>
      <c r="ED4">
        <f>IF('Planilla_General_29-11-2012_10_'!54:54,"AAAAAHu/W4U=",0)</f>
        <v>0</v>
      </c>
      <c r="EE4" t="e">
        <f>AND('Planilla_General_29-11-2012_10_'!A54,"AAAAAHu/W4Y=")</f>
        <v>#VALUE!</v>
      </c>
      <c r="EF4" t="e">
        <f>AND('Planilla_General_29-11-2012_10_'!B54,"AAAAAHu/W4c=")</f>
        <v>#VALUE!</v>
      </c>
      <c r="EG4" t="e">
        <f>AND('Planilla_General_29-11-2012_10_'!C54,"AAAAAHu/W4g=")</f>
        <v>#VALUE!</v>
      </c>
      <c r="EH4" t="e">
        <f>AND('Planilla_General_29-11-2012_10_'!D54,"AAAAAHu/W4k=")</f>
        <v>#VALUE!</v>
      </c>
      <c r="EI4" t="e">
        <f>AND('Planilla_General_29-11-2012_10_'!E54,"AAAAAHu/W4o=")</f>
        <v>#VALUE!</v>
      </c>
      <c r="EJ4" t="e">
        <f>AND('Planilla_General_29-11-2012_10_'!F54,"AAAAAHu/W4s=")</f>
        <v>#VALUE!</v>
      </c>
      <c r="EK4" t="e">
        <f>AND('Planilla_General_29-11-2012_10_'!G54,"AAAAAHu/W4w=")</f>
        <v>#VALUE!</v>
      </c>
      <c r="EL4" t="e">
        <f>AND('Planilla_General_29-11-2012_10_'!H54,"AAAAAHu/W40=")</f>
        <v>#VALUE!</v>
      </c>
      <c r="EM4" t="e">
        <f>AND('Planilla_General_29-11-2012_10_'!I54,"AAAAAHu/W44=")</f>
        <v>#VALUE!</v>
      </c>
      <c r="EN4" t="e">
        <f>AND('Planilla_General_29-11-2012_10_'!J54,"AAAAAHu/W48=")</f>
        <v>#VALUE!</v>
      </c>
      <c r="EO4" t="e">
        <f>AND('Planilla_General_29-11-2012_10_'!K54,"AAAAAHu/W5A=")</f>
        <v>#VALUE!</v>
      </c>
      <c r="EP4" t="e">
        <f>AND('Planilla_General_29-11-2012_10_'!L54,"AAAAAHu/W5E=")</f>
        <v>#VALUE!</v>
      </c>
      <c r="EQ4" t="e">
        <f>AND('Planilla_General_29-11-2012_10_'!M54,"AAAAAHu/W5I=")</f>
        <v>#VALUE!</v>
      </c>
      <c r="ER4" t="e">
        <f>AND('Planilla_General_29-11-2012_10_'!N54,"AAAAAHu/W5M=")</f>
        <v>#VALUE!</v>
      </c>
      <c r="ES4" t="e">
        <f>AND('Planilla_General_29-11-2012_10_'!O54,"AAAAAHu/W5Q=")</f>
        <v>#VALUE!</v>
      </c>
      <c r="ET4" t="e">
        <f>AND('Planilla_General_29-11-2012_10_'!P54,"AAAAAHu/W5U=")</f>
        <v>#VALUE!</v>
      </c>
      <c r="EU4">
        <f>IF('Planilla_General_29-11-2012_10_'!55:55,"AAAAAHu/W5Y=",0)</f>
        <v>0</v>
      </c>
      <c r="EV4" t="e">
        <f>AND('Planilla_General_29-11-2012_10_'!A55,"AAAAAHu/W5c=")</f>
        <v>#VALUE!</v>
      </c>
      <c r="EW4" t="e">
        <f>AND('Planilla_General_29-11-2012_10_'!B55,"AAAAAHu/W5g=")</f>
        <v>#VALUE!</v>
      </c>
      <c r="EX4" t="e">
        <f>AND('Planilla_General_29-11-2012_10_'!C55,"AAAAAHu/W5k=")</f>
        <v>#VALUE!</v>
      </c>
      <c r="EY4" t="e">
        <f>AND('Planilla_General_29-11-2012_10_'!D55,"AAAAAHu/W5o=")</f>
        <v>#VALUE!</v>
      </c>
      <c r="EZ4" t="e">
        <f>AND('Planilla_General_29-11-2012_10_'!E55,"AAAAAHu/W5s=")</f>
        <v>#VALUE!</v>
      </c>
      <c r="FA4" t="e">
        <f>AND('Planilla_General_29-11-2012_10_'!F55,"AAAAAHu/W5w=")</f>
        <v>#VALUE!</v>
      </c>
      <c r="FB4" t="e">
        <f>AND('Planilla_General_29-11-2012_10_'!G55,"AAAAAHu/W50=")</f>
        <v>#VALUE!</v>
      </c>
      <c r="FC4" t="e">
        <f>AND('Planilla_General_29-11-2012_10_'!H55,"AAAAAHu/W54=")</f>
        <v>#VALUE!</v>
      </c>
      <c r="FD4" t="e">
        <f>AND('Planilla_General_29-11-2012_10_'!I55,"AAAAAHu/W58=")</f>
        <v>#VALUE!</v>
      </c>
      <c r="FE4" t="e">
        <f>AND('Planilla_General_29-11-2012_10_'!J55,"AAAAAHu/W6A=")</f>
        <v>#VALUE!</v>
      </c>
      <c r="FF4" t="e">
        <f>AND('Planilla_General_29-11-2012_10_'!K55,"AAAAAHu/W6E=")</f>
        <v>#VALUE!</v>
      </c>
      <c r="FG4" t="e">
        <f>AND('Planilla_General_29-11-2012_10_'!L55,"AAAAAHu/W6I=")</f>
        <v>#VALUE!</v>
      </c>
      <c r="FH4" t="e">
        <f>AND('Planilla_General_29-11-2012_10_'!M55,"AAAAAHu/W6M=")</f>
        <v>#VALUE!</v>
      </c>
      <c r="FI4" t="e">
        <f>AND('Planilla_General_29-11-2012_10_'!N55,"AAAAAHu/W6Q=")</f>
        <v>#VALUE!</v>
      </c>
      <c r="FJ4" t="e">
        <f>AND('Planilla_General_29-11-2012_10_'!O55,"AAAAAHu/W6U=")</f>
        <v>#VALUE!</v>
      </c>
      <c r="FK4" t="e">
        <f>AND('Planilla_General_29-11-2012_10_'!P55,"AAAAAHu/W6Y=")</f>
        <v>#VALUE!</v>
      </c>
      <c r="FL4">
        <f>IF('Planilla_General_29-11-2012_10_'!56:56,"AAAAAHu/W6c=",0)</f>
        <v>0</v>
      </c>
      <c r="FM4" t="e">
        <f>AND('Planilla_General_29-11-2012_10_'!A56,"AAAAAHu/W6g=")</f>
        <v>#VALUE!</v>
      </c>
      <c r="FN4" t="e">
        <f>AND('Planilla_General_29-11-2012_10_'!B56,"AAAAAHu/W6k=")</f>
        <v>#VALUE!</v>
      </c>
      <c r="FO4" t="e">
        <f>AND('Planilla_General_29-11-2012_10_'!C56,"AAAAAHu/W6o=")</f>
        <v>#VALUE!</v>
      </c>
      <c r="FP4" t="e">
        <f>AND('Planilla_General_29-11-2012_10_'!D56,"AAAAAHu/W6s=")</f>
        <v>#VALUE!</v>
      </c>
      <c r="FQ4" t="e">
        <f>AND('Planilla_General_29-11-2012_10_'!E56,"AAAAAHu/W6w=")</f>
        <v>#VALUE!</v>
      </c>
      <c r="FR4" t="e">
        <f>AND('Planilla_General_29-11-2012_10_'!F56,"AAAAAHu/W60=")</f>
        <v>#VALUE!</v>
      </c>
      <c r="FS4" t="e">
        <f>AND('Planilla_General_29-11-2012_10_'!G56,"AAAAAHu/W64=")</f>
        <v>#VALUE!</v>
      </c>
      <c r="FT4" t="e">
        <f>AND('Planilla_General_29-11-2012_10_'!H56,"AAAAAHu/W68=")</f>
        <v>#VALUE!</v>
      </c>
      <c r="FU4" t="e">
        <f>AND('Planilla_General_29-11-2012_10_'!I56,"AAAAAHu/W7A=")</f>
        <v>#VALUE!</v>
      </c>
      <c r="FV4" t="e">
        <f>AND('Planilla_General_29-11-2012_10_'!J56,"AAAAAHu/W7E=")</f>
        <v>#VALUE!</v>
      </c>
      <c r="FW4" t="e">
        <f>AND('Planilla_General_29-11-2012_10_'!K56,"AAAAAHu/W7I=")</f>
        <v>#VALUE!</v>
      </c>
      <c r="FX4" t="e">
        <f>AND('Planilla_General_29-11-2012_10_'!L56,"AAAAAHu/W7M=")</f>
        <v>#VALUE!</v>
      </c>
      <c r="FY4" t="e">
        <f>AND('Planilla_General_29-11-2012_10_'!M56,"AAAAAHu/W7Q=")</f>
        <v>#VALUE!</v>
      </c>
      <c r="FZ4" t="e">
        <f>AND('Planilla_General_29-11-2012_10_'!N56,"AAAAAHu/W7U=")</f>
        <v>#VALUE!</v>
      </c>
      <c r="GA4" t="e">
        <f>AND('Planilla_General_29-11-2012_10_'!O56,"AAAAAHu/W7Y=")</f>
        <v>#VALUE!</v>
      </c>
      <c r="GB4" t="e">
        <f>AND('Planilla_General_29-11-2012_10_'!P56,"AAAAAHu/W7c=")</f>
        <v>#VALUE!</v>
      </c>
      <c r="GC4">
        <f>IF('Planilla_General_29-11-2012_10_'!57:57,"AAAAAHu/W7g=",0)</f>
        <v>0</v>
      </c>
      <c r="GD4" t="e">
        <f>AND('Planilla_General_29-11-2012_10_'!A57,"AAAAAHu/W7k=")</f>
        <v>#VALUE!</v>
      </c>
      <c r="GE4" t="e">
        <f>AND('Planilla_General_29-11-2012_10_'!B57,"AAAAAHu/W7o=")</f>
        <v>#VALUE!</v>
      </c>
      <c r="GF4" t="e">
        <f>AND('Planilla_General_29-11-2012_10_'!C57,"AAAAAHu/W7s=")</f>
        <v>#VALUE!</v>
      </c>
      <c r="GG4" t="e">
        <f>AND('Planilla_General_29-11-2012_10_'!D57,"AAAAAHu/W7w=")</f>
        <v>#VALUE!</v>
      </c>
      <c r="GH4" t="e">
        <f>AND('Planilla_General_29-11-2012_10_'!E57,"AAAAAHu/W70=")</f>
        <v>#VALUE!</v>
      </c>
      <c r="GI4" t="e">
        <f>AND('Planilla_General_29-11-2012_10_'!F57,"AAAAAHu/W74=")</f>
        <v>#VALUE!</v>
      </c>
      <c r="GJ4" t="e">
        <f>AND('Planilla_General_29-11-2012_10_'!G57,"AAAAAHu/W78=")</f>
        <v>#VALUE!</v>
      </c>
      <c r="GK4" t="e">
        <f>AND('Planilla_General_29-11-2012_10_'!H57,"AAAAAHu/W8A=")</f>
        <v>#VALUE!</v>
      </c>
      <c r="GL4" t="e">
        <f>AND('Planilla_General_29-11-2012_10_'!I57,"AAAAAHu/W8E=")</f>
        <v>#VALUE!</v>
      </c>
      <c r="GM4" t="e">
        <f>AND('Planilla_General_29-11-2012_10_'!J57,"AAAAAHu/W8I=")</f>
        <v>#VALUE!</v>
      </c>
      <c r="GN4" t="e">
        <f>AND('Planilla_General_29-11-2012_10_'!K57,"AAAAAHu/W8M=")</f>
        <v>#VALUE!</v>
      </c>
      <c r="GO4" t="e">
        <f>AND('Planilla_General_29-11-2012_10_'!L57,"AAAAAHu/W8Q=")</f>
        <v>#VALUE!</v>
      </c>
      <c r="GP4" t="e">
        <f>AND('Planilla_General_29-11-2012_10_'!M57,"AAAAAHu/W8U=")</f>
        <v>#VALUE!</v>
      </c>
      <c r="GQ4" t="e">
        <f>AND('Planilla_General_29-11-2012_10_'!N57,"AAAAAHu/W8Y=")</f>
        <v>#VALUE!</v>
      </c>
      <c r="GR4" t="e">
        <f>AND('Planilla_General_29-11-2012_10_'!O57,"AAAAAHu/W8c=")</f>
        <v>#VALUE!</v>
      </c>
      <c r="GS4" t="e">
        <f>AND('Planilla_General_29-11-2012_10_'!P57,"AAAAAHu/W8g=")</f>
        <v>#VALUE!</v>
      </c>
      <c r="GT4">
        <f>IF('Planilla_General_29-11-2012_10_'!58:58,"AAAAAHu/W8k=",0)</f>
        <v>0</v>
      </c>
      <c r="GU4" t="e">
        <f>AND('Planilla_General_29-11-2012_10_'!A58,"AAAAAHu/W8o=")</f>
        <v>#VALUE!</v>
      </c>
      <c r="GV4" t="e">
        <f>AND('Planilla_General_29-11-2012_10_'!B58,"AAAAAHu/W8s=")</f>
        <v>#VALUE!</v>
      </c>
      <c r="GW4" t="e">
        <f>AND('Planilla_General_29-11-2012_10_'!C58,"AAAAAHu/W8w=")</f>
        <v>#VALUE!</v>
      </c>
      <c r="GX4" t="e">
        <f>AND('Planilla_General_29-11-2012_10_'!D58,"AAAAAHu/W80=")</f>
        <v>#VALUE!</v>
      </c>
      <c r="GY4" t="e">
        <f>AND('Planilla_General_29-11-2012_10_'!E58,"AAAAAHu/W84=")</f>
        <v>#VALUE!</v>
      </c>
      <c r="GZ4" t="e">
        <f>AND('Planilla_General_29-11-2012_10_'!F58,"AAAAAHu/W88=")</f>
        <v>#VALUE!</v>
      </c>
      <c r="HA4" t="e">
        <f>AND('Planilla_General_29-11-2012_10_'!G58,"AAAAAHu/W9A=")</f>
        <v>#VALUE!</v>
      </c>
      <c r="HB4" t="e">
        <f>AND('Planilla_General_29-11-2012_10_'!H58,"AAAAAHu/W9E=")</f>
        <v>#VALUE!</v>
      </c>
      <c r="HC4" t="e">
        <f>AND('Planilla_General_29-11-2012_10_'!I58,"AAAAAHu/W9I=")</f>
        <v>#VALUE!</v>
      </c>
      <c r="HD4" t="e">
        <f>AND('Planilla_General_29-11-2012_10_'!J58,"AAAAAHu/W9M=")</f>
        <v>#VALUE!</v>
      </c>
      <c r="HE4" t="e">
        <f>AND('Planilla_General_29-11-2012_10_'!K58,"AAAAAHu/W9Q=")</f>
        <v>#VALUE!</v>
      </c>
      <c r="HF4" t="e">
        <f>AND('Planilla_General_29-11-2012_10_'!L58,"AAAAAHu/W9U=")</f>
        <v>#VALUE!</v>
      </c>
      <c r="HG4" t="e">
        <f>AND('Planilla_General_29-11-2012_10_'!M58,"AAAAAHu/W9Y=")</f>
        <v>#VALUE!</v>
      </c>
      <c r="HH4" t="e">
        <f>AND('Planilla_General_29-11-2012_10_'!N58,"AAAAAHu/W9c=")</f>
        <v>#VALUE!</v>
      </c>
      <c r="HI4" t="e">
        <f>AND('Planilla_General_29-11-2012_10_'!O58,"AAAAAHu/W9g=")</f>
        <v>#VALUE!</v>
      </c>
      <c r="HJ4" t="e">
        <f>AND('Planilla_General_29-11-2012_10_'!P58,"AAAAAHu/W9k=")</f>
        <v>#VALUE!</v>
      </c>
      <c r="HK4">
        <f>IF('Planilla_General_29-11-2012_10_'!59:59,"AAAAAHu/W9o=",0)</f>
        <v>0</v>
      </c>
      <c r="HL4" t="e">
        <f>AND('Planilla_General_29-11-2012_10_'!A59,"AAAAAHu/W9s=")</f>
        <v>#VALUE!</v>
      </c>
      <c r="HM4" t="e">
        <f>AND('Planilla_General_29-11-2012_10_'!B59,"AAAAAHu/W9w=")</f>
        <v>#VALUE!</v>
      </c>
      <c r="HN4" t="e">
        <f>AND('Planilla_General_29-11-2012_10_'!C59,"AAAAAHu/W90=")</f>
        <v>#VALUE!</v>
      </c>
      <c r="HO4" t="e">
        <f>AND('Planilla_General_29-11-2012_10_'!D59,"AAAAAHu/W94=")</f>
        <v>#VALUE!</v>
      </c>
      <c r="HP4" t="e">
        <f>AND('Planilla_General_29-11-2012_10_'!E59,"AAAAAHu/W98=")</f>
        <v>#VALUE!</v>
      </c>
      <c r="HQ4" t="e">
        <f>AND('Planilla_General_29-11-2012_10_'!F59,"AAAAAHu/W+A=")</f>
        <v>#VALUE!</v>
      </c>
      <c r="HR4" t="e">
        <f>AND('Planilla_General_29-11-2012_10_'!G59,"AAAAAHu/W+E=")</f>
        <v>#VALUE!</v>
      </c>
      <c r="HS4" t="e">
        <f>AND('Planilla_General_29-11-2012_10_'!H59,"AAAAAHu/W+I=")</f>
        <v>#VALUE!</v>
      </c>
      <c r="HT4" t="e">
        <f>AND('Planilla_General_29-11-2012_10_'!I59,"AAAAAHu/W+M=")</f>
        <v>#VALUE!</v>
      </c>
      <c r="HU4" t="e">
        <f>AND('Planilla_General_29-11-2012_10_'!J59,"AAAAAHu/W+Q=")</f>
        <v>#VALUE!</v>
      </c>
      <c r="HV4" t="e">
        <f>AND('Planilla_General_29-11-2012_10_'!K59,"AAAAAHu/W+U=")</f>
        <v>#VALUE!</v>
      </c>
      <c r="HW4" t="e">
        <f>AND('Planilla_General_29-11-2012_10_'!L59,"AAAAAHu/W+Y=")</f>
        <v>#VALUE!</v>
      </c>
      <c r="HX4" t="e">
        <f>AND('Planilla_General_29-11-2012_10_'!M59,"AAAAAHu/W+c=")</f>
        <v>#VALUE!</v>
      </c>
      <c r="HY4" t="e">
        <f>AND('Planilla_General_29-11-2012_10_'!N59,"AAAAAHu/W+g=")</f>
        <v>#VALUE!</v>
      </c>
      <c r="HZ4" t="e">
        <f>AND('Planilla_General_29-11-2012_10_'!O59,"AAAAAHu/W+k=")</f>
        <v>#VALUE!</v>
      </c>
      <c r="IA4" t="e">
        <f>AND('Planilla_General_29-11-2012_10_'!P59,"AAAAAHu/W+o=")</f>
        <v>#VALUE!</v>
      </c>
      <c r="IB4">
        <f>IF('Planilla_General_29-11-2012_10_'!60:60,"AAAAAHu/W+s=",0)</f>
        <v>0</v>
      </c>
      <c r="IC4" t="e">
        <f>AND('Planilla_General_29-11-2012_10_'!A60,"AAAAAHu/W+w=")</f>
        <v>#VALUE!</v>
      </c>
      <c r="ID4" t="e">
        <f>AND('Planilla_General_29-11-2012_10_'!B60,"AAAAAHu/W+0=")</f>
        <v>#VALUE!</v>
      </c>
      <c r="IE4" t="e">
        <f>AND('Planilla_General_29-11-2012_10_'!C60,"AAAAAHu/W+4=")</f>
        <v>#VALUE!</v>
      </c>
      <c r="IF4" t="e">
        <f>AND('Planilla_General_29-11-2012_10_'!D60,"AAAAAHu/W+8=")</f>
        <v>#VALUE!</v>
      </c>
      <c r="IG4" t="e">
        <f>AND('Planilla_General_29-11-2012_10_'!E60,"AAAAAHu/W/A=")</f>
        <v>#VALUE!</v>
      </c>
      <c r="IH4" t="e">
        <f>AND('Planilla_General_29-11-2012_10_'!F60,"AAAAAHu/W/E=")</f>
        <v>#VALUE!</v>
      </c>
      <c r="II4" t="e">
        <f>AND('Planilla_General_29-11-2012_10_'!G60,"AAAAAHu/W/I=")</f>
        <v>#VALUE!</v>
      </c>
      <c r="IJ4" t="e">
        <f>AND('Planilla_General_29-11-2012_10_'!H60,"AAAAAHu/W/M=")</f>
        <v>#VALUE!</v>
      </c>
      <c r="IK4" t="e">
        <f>AND('Planilla_General_29-11-2012_10_'!I60,"AAAAAHu/W/Q=")</f>
        <v>#VALUE!</v>
      </c>
      <c r="IL4" t="e">
        <f>AND('Planilla_General_29-11-2012_10_'!J60,"AAAAAHu/W/U=")</f>
        <v>#VALUE!</v>
      </c>
      <c r="IM4" t="e">
        <f>AND('Planilla_General_29-11-2012_10_'!K60,"AAAAAHu/W/Y=")</f>
        <v>#VALUE!</v>
      </c>
      <c r="IN4" t="e">
        <f>AND('Planilla_General_29-11-2012_10_'!L60,"AAAAAHu/W/c=")</f>
        <v>#VALUE!</v>
      </c>
      <c r="IO4" t="e">
        <f>AND('Planilla_General_29-11-2012_10_'!M60,"AAAAAHu/W/g=")</f>
        <v>#VALUE!</v>
      </c>
      <c r="IP4" t="e">
        <f>AND('Planilla_General_29-11-2012_10_'!N60,"AAAAAHu/W/k=")</f>
        <v>#VALUE!</v>
      </c>
      <c r="IQ4" t="e">
        <f>AND('Planilla_General_29-11-2012_10_'!O60,"AAAAAHu/W/o=")</f>
        <v>#VALUE!</v>
      </c>
      <c r="IR4" t="e">
        <f>AND('Planilla_General_29-11-2012_10_'!P60,"AAAAAHu/W/s=")</f>
        <v>#VALUE!</v>
      </c>
      <c r="IS4">
        <f>IF('Planilla_General_29-11-2012_10_'!61:61,"AAAAAHu/W/w=",0)</f>
        <v>0</v>
      </c>
      <c r="IT4" t="e">
        <f>AND('Planilla_General_29-11-2012_10_'!A61,"AAAAAHu/W/0=")</f>
        <v>#VALUE!</v>
      </c>
      <c r="IU4" t="e">
        <f>AND('Planilla_General_29-11-2012_10_'!B61,"AAAAAHu/W/4=")</f>
        <v>#VALUE!</v>
      </c>
      <c r="IV4" t="e">
        <f>AND('Planilla_General_29-11-2012_10_'!C61,"AAAAAHu/W/8=")</f>
        <v>#VALUE!</v>
      </c>
    </row>
    <row r="5" spans="1:256" x14ac:dyDescent="0.25">
      <c r="A5" t="e">
        <f>AND('Planilla_General_29-11-2012_10_'!D61,"AAAAAH77/AA=")</f>
        <v>#VALUE!</v>
      </c>
      <c r="B5" t="e">
        <f>AND('Planilla_General_29-11-2012_10_'!E61,"AAAAAH77/AE=")</f>
        <v>#VALUE!</v>
      </c>
      <c r="C5" t="e">
        <f>AND('Planilla_General_29-11-2012_10_'!F61,"AAAAAH77/AI=")</f>
        <v>#VALUE!</v>
      </c>
      <c r="D5" t="e">
        <f>AND('Planilla_General_29-11-2012_10_'!G61,"AAAAAH77/AM=")</f>
        <v>#VALUE!</v>
      </c>
      <c r="E5" t="e">
        <f>AND('Planilla_General_29-11-2012_10_'!H61,"AAAAAH77/AQ=")</f>
        <v>#VALUE!</v>
      </c>
      <c r="F5" t="e">
        <f>AND('Planilla_General_29-11-2012_10_'!I61,"AAAAAH77/AU=")</f>
        <v>#VALUE!</v>
      </c>
      <c r="G5" t="e">
        <f>AND('Planilla_General_29-11-2012_10_'!J61,"AAAAAH77/AY=")</f>
        <v>#VALUE!</v>
      </c>
      <c r="H5" t="e">
        <f>AND('Planilla_General_29-11-2012_10_'!K61,"AAAAAH77/Ac=")</f>
        <v>#VALUE!</v>
      </c>
      <c r="I5" t="e">
        <f>AND('Planilla_General_29-11-2012_10_'!L61,"AAAAAH77/Ag=")</f>
        <v>#VALUE!</v>
      </c>
      <c r="J5" t="e">
        <f>AND('Planilla_General_29-11-2012_10_'!M61,"AAAAAH77/Ak=")</f>
        <v>#VALUE!</v>
      </c>
      <c r="K5" t="e">
        <f>AND('Planilla_General_29-11-2012_10_'!N61,"AAAAAH77/Ao=")</f>
        <v>#VALUE!</v>
      </c>
      <c r="L5" t="e">
        <f>AND('Planilla_General_29-11-2012_10_'!O61,"AAAAAH77/As=")</f>
        <v>#VALUE!</v>
      </c>
      <c r="M5" t="e">
        <f>AND('Planilla_General_29-11-2012_10_'!P61,"AAAAAH77/Aw=")</f>
        <v>#VALUE!</v>
      </c>
      <c r="N5" t="str">
        <f>IF('Planilla_General_29-11-2012_10_'!62:62,"AAAAAH77/A0=",0)</f>
        <v>AAAAAH77/A0=</v>
      </c>
      <c r="O5" t="e">
        <f>AND('Planilla_General_29-11-2012_10_'!A62,"AAAAAH77/A4=")</f>
        <v>#VALUE!</v>
      </c>
      <c r="P5" t="e">
        <f>AND('Planilla_General_29-11-2012_10_'!B62,"AAAAAH77/A8=")</f>
        <v>#VALUE!</v>
      </c>
      <c r="Q5" t="e">
        <f>AND('Planilla_General_29-11-2012_10_'!C62,"AAAAAH77/BA=")</f>
        <v>#VALUE!</v>
      </c>
      <c r="R5" t="e">
        <f>AND('Planilla_General_29-11-2012_10_'!D62,"AAAAAH77/BE=")</f>
        <v>#VALUE!</v>
      </c>
      <c r="S5" t="e">
        <f>AND('Planilla_General_29-11-2012_10_'!E62,"AAAAAH77/BI=")</f>
        <v>#VALUE!</v>
      </c>
      <c r="T5" t="e">
        <f>AND('Planilla_General_29-11-2012_10_'!F62,"AAAAAH77/BM=")</f>
        <v>#VALUE!</v>
      </c>
      <c r="U5" t="e">
        <f>AND('Planilla_General_29-11-2012_10_'!G62,"AAAAAH77/BQ=")</f>
        <v>#VALUE!</v>
      </c>
      <c r="V5" t="e">
        <f>AND('Planilla_General_29-11-2012_10_'!H62,"AAAAAH77/BU=")</f>
        <v>#VALUE!</v>
      </c>
      <c r="W5" t="e">
        <f>AND('Planilla_General_29-11-2012_10_'!I62,"AAAAAH77/BY=")</f>
        <v>#VALUE!</v>
      </c>
      <c r="X5" t="e">
        <f>AND('Planilla_General_29-11-2012_10_'!J62,"AAAAAH77/Bc=")</f>
        <v>#VALUE!</v>
      </c>
      <c r="Y5" t="e">
        <f>AND('Planilla_General_29-11-2012_10_'!K62,"AAAAAH77/Bg=")</f>
        <v>#VALUE!</v>
      </c>
      <c r="Z5" t="e">
        <f>AND('Planilla_General_29-11-2012_10_'!L62,"AAAAAH77/Bk=")</f>
        <v>#VALUE!</v>
      </c>
      <c r="AA5" t="e">
        <f>AND('Planilla_General_29-11-2012_10_'!M62,"AAAAAH77/Bo=")</f>
        <v>#VALUE!</v>
      </c>
      <c r="AB5" t="e">
        <f>AND('Planilla_General_29-11-2012_10_'!N62,"AAAAAH77/Bs=")</f>
        <v>#VALUE!</v>
      </c>
      <c r="AC5" t="e">
        <f>AND('Planilla_General_29-11-2012_10_'!O62,"AAAAAH77/Bw=")</f>
        <v>#VALUE!</v>
      </c>
      <c r="AD5" t="e">
        <f>AND('Planilla_General_29-11-2012_10_'!P62,"AAAAAH77/B0=")</f>
        <v>#VALUE!</v>
      </c>
      <c r="AE5">
        <f>IF('Planilla_General_29-11-2012_10_'!63:63,"AAAAAH77/B4=",0)</f>
        <v>0</v>
      </c>
      <c r="AF5" t="e">
        <f>AND('Planilla_General_29-11-2012_10_'!A63,"AAAAAH77/B8=")</f>
        <v>#VALUE!</v>
      </c>
      <c r="AG5" t="e">
        <f>AND('Planilla_General_29-11-2012_10_'!B63,"AAAAAH77/CA=")</f>
        <v>#VALUE!</v>
      </c>
      <c r="AH5" t="e">
        <f>AND('Planilla_General_29-11-2012_10_'!C63,"AAAAAH77/CE=")</f>
        <v>#VALUE!</v>
      </c>
      <c r="AI5" t="e">
        <f>AND('Planilla_General_29-11-2012_10_'!D63,"AAAAAH77/CI=")</f>
        <v>#VALUE!</v>
      </c>
      <c r="AJ5" t="e">
        <f>AND('Planilla_General_29-11-2012_10_'!E63,"AAAAAH77/CM=")</f>
        <v>#VALUE!</v>
      </c>
      <c r="AK5" t="e">
        <f>AND('Planilla_General_29-11-2012_10_'!F63,"AAAAAH77/CQ=")</f>
        <v>#VALUE!</v>
      </c>
      <c r="AL5" t="e">
        <f>AND('Planilla_General_29-11-2012_10_'!G63,"AAAAAH77/CU=")</f>
        <v>#VALUE!</v>
      </c>
      <c r="AM5" t="e">
        <f>AND('Planilla_General_29-11-2012_10_'!H63,"AAAAAH77/CY=")</f>
        <v>#VALUE!</v>
      </c>
      <c r="AN5" t="e">
        <f>AND('Planilla_General_29-11-2012_10_'!I63,"AAAAAH77/Cc=")</f>
        <v>#VALUE!</v>
      </c>
      <c r="AO5" t="e">
        <f>AND('Planilla_General_29-11-2012_10_'!J63,"AAAAAH77/Cg=")</f>
        <v>#VALUE!</v>
      </c>
      <c r="AP5" t="e">
        <f>AND('Planilla_General_29-11-2012_10_'!K63,"AAAAAH77/Ck=")</f>
        <v>#VALUE!</v>
      </c>
      <c r="AQ5" t="e">
        <f>AND('Planilla_General_29-11-2012_10_'!L63,"AAAAAH77/Co=")</f>
        <v>#VALUE!</v>
      </c>
      <c r="AR5" t="e">
        <f>AND('Planilla_General_29-11-2012_10_'!M63,"AAAAAH77/Cs=")</f>
        <v>#VALUE!</v>
      </c>
      <c r="AS5" t="e">
        <f>AND('Planilla_General_29-11-2012_10_'!N63,"AAAAAH77/Cw=")</f>
        <v>#VALUE!</v>
      </c>
      <c r="AT5" t="e">
        <f>AND('Planilla_General_29-11-2012_10_'!O63,"AAAAAH77/C0=")</f>
        <v>#VALUE!</v>
      </c>
      <c r="AU5" t="e">
        <f>AND('Planilla_General_29-11-2012_10_'!P63,"AAAAAH77/C4=")</f>
        <v>#VALUE!</v>
      </c>
      <c r="AV5">
        <f>IF('Planilla_General_29-11-2012_10_'!64:64,"AAAAAH77/C8=",0)</f>
        <v>0</v>
      </c>
      <c r="AW5" t="e">
        <f>AND('Planilla_General_29-11-2012_10_'!A64,"AAAAAH77/DA=")</f>
        <v>#VALUE!</v>
      </c>
      <c r="AX5" t="e">
        <f>AND('Planilla_General_29-11-2012_10_'!B64,"AAAAAH77/DE=")</f>
        <v>#VALUE!</v>
      </c>
      <c r="AY5" t="e">
        <f>AND('Planilla_General_29-11-2012_10_'!C64,"AAAAAH77/DI=")</f>
        <v>#VALUE!</v>
      </c>
      <c r="AZ5" t="e">
        <f>AND('Planilla_General_29-11-2012_10_'!D64,"AAAAAH77/DM=")</f>
        <v>#VALUE!</v>
      </c>
      <c r="BA5" t="e">
        <f>AND('Planilla_General_29-11-2012_10_'!E64,"AAAAAH77/DQ=")</f>
        <v>#VALUE!</v>
      </c>
      <c r="BB5" t="e">
        <f>AND('Planilla_General_29-11-2012_10_'!F64,"AAAAAH77/DU=")</f>
        <v>#VALUE!</v>
      </c>
      <c r="BC5" t="e">
        <f>AND('Planilla_General_29-11-2012_10_'!G64,"AAAAAH77/DY=")</f>
        <v>#VALUE!</v>
      </c>
      <c r="BD5" t="e">
        <f>AND('Planilla_General_29-11-2012_10_'!H64,"AAAAAH77/Dc=")</f>
        <v>#VALUE!</v>
      </c>
      <c r="BE5" t="e">
        <f>AND('Planilla_General_29-11-2012_10_'!I64,"AAAAAH77/Dg=")</f>
        <v>#VALUE!</v>
      </c>
      <c r="BF5" t="e">
        <f>AND('Planilla_General_29-11-2012_10_'!J64,"AAAAAH77/Dk=")</f>
        <v>#VALUE!</v>
      </c>
      <c r="BG5" t="e">
        <f>AND('Planilla_General_29-11-2012_10_'!K64,"AAAAAH77/Do=")</f>
        <v>#VALUE!</v>
      </c>
      <c r="BH5" t="e">
        <f>AND('Planilla_General_29-11-2012_10_'!L64,"AAAAAH77/Ds=")</f>
        <v>#VALUE!</v>
      </c>
      <c r="BI5" t="e">
        <f>AND('Planilla_General_29-11-2012_10_'!M64,"AAAAAH77/Dw=")</f>
        <v>#VALUE!</v>
      </c>
      <c r="BJ5" t="e">
        <f>AND('Planilla_General_29-11-2012_10_'!N64,"AAAAAH77/D0=")</f>
        <v>#VALUE!</v>
      </c>
      <c r="BK5" t="e">
        <f>AND('Planilla_General_29-11-2012_10_'!O64,"AAAAAH77/D4=")</f>
        <v>#VALUE!</v>
      </c>
      <c r="BL5" t="e">
        <f>AND('Planilla_General_29-11-2012_10_'!P64,"AAAAAH77/D8=")</f>
        <v>#VALUE!</v>
      </c>
      <c r="BM5">
        <f>IF('Planilla_General_29-11-2012_10_'!65:65,"AAAAAH77/EA=",0)</f>
        <v>0</v>
      </c>
      <c r="BN5" t="e">
        <f>AND('Planilla_General_29-11-2012_10_'!A65,"AAAAAH77/EE=")</f>
        <v>#VALUE!</v>
      </c>
      <c r="BO5" t="e">
        <f>AND('Planilla_General_29-11-2012_10_'!B65,"AAAAAH77/EI=")</f>
        <v>#VALUE!</v>
      </c>
      <c r="BP5" t="e">
        <f>AND('Planilla_General_29-11-2012_10_'!C65,"AAAAAH77/EM=")</f>
        <v>#VALUE!</v>
      </c>
      <c r="BQ5" t="e">
        <f>AND('Planilla_General_29-11-2012_10_'!D65,"AAAAAH77/EQ=")</f>
        <v>#VALUE!</v>
      </c>
      <c r="BR5" t="e">
        <f>AND('Planilla_General_29-11-2012_10_'!E65,"AAAAAH77/EU=")</f>
        <v>#VALUE!</v>
      </c>
      <c r="BS5" t="e">
        <f>AND('Planilla_General_29-11-2012_10_'!F65,"AAAAAH77/EY=")</f>
        <v>#VALUE!</v>
      </c>
      <c r="BT5" t="e">
        <f>AND('Planilla_General_29-11-2012_10_'!G65,"AAAAAH77/Ec=")</f>
        <v>#VALUE!</v>
      </c>
      <c r="BU5" t="e">
        <f>AND('Planilla_General_29-11-2012_10_'!H65,"AAAAAH77/Eg=")</f>
        <v>#VALUE!</v>
      </c>
      <c r="BV5" t="e">
        <f>AND('Planilla_General_29-11-2012_10_'!I65,"AAAAAH77/Ek=")</f>
        <v>#VALUE!</v>
      </c>
      <c r="BW5" t="e">
        <f>AND('Planilla_General_29-11-2012_10_'!J65,"AAAAAH77/Eo=")</f>
        <v>#VALUE!</v>
      </c>
      <c r="BX5" t="e">
        <f>AND('Planilla_General_29-11-2012_10_'!K65,"AAAAAH77/Es=")</f>
        <v>#VALUE!</v>
      </c>
      <c r="BY5" t="e">
        <f>AND('Planilla_General_29-11-2012_10_'!L65,"AAAAAH77/Ew=")</f>
        <v>#VALUE!</v>
      </c>
      <c r="BZ5" t="e">
        <f>AND('Planilla_General_29-11-2012_10_'!M65,"AAAAAH77/E0=")</f>
        <v>#VALUE!</v>
      </c>
      <c r="CA5" t="e">
        <f>AND('Planilla_General_29-11-2012_10_'!N65,"AAAAAH77/E4=")</f>
        <v>#VALUE!</v>
      </c>
      <c r="CB5" t="e">
        <f>AND('Planilla_General_29-11-2012_10_'!O65,"AAAAAH77/E8=")</f>
        <v>#VALUE!</v>
      </c>
      <c r="CC5" t="e">
        <f>AND('Planilla_General_29-11-2012_10_'!P65,"AAAAAH77/FA=")</f>
        <v>#VALUE!</v>
      </c>
      <c r="CD5">
        <f>IF('Planilla_General_29-11-2012_10_'!66:66,"AAAAAH77/FE=",0)</f>
        <v>0</v>
      </c>
      <c r="CE5" t="e">
        <f>AND('Planilla_General_29-11-2012_10_'!A66,"AAAAAH77/FI=")</f>
        <v>#VALUE!</v>
      </c>
      <c r="CF5" t="e">
        <f>AND('Planilla_General_29-11-2012_10_'!B66,"AAAAAH77/FM=")</f>
        <v>#VALUE!</v>
      </c>
      <c r="CG5" t="e">
        <f>AND('Planilla_General_29-11-2012_10_'!C66,"AAAAAH77/FQ=")</f>
        <v>#VALUE!</v>
      </c>
      <c r="CH5" t="e">
        <f>AND('Planilla_General_29-11-2012_10_'!D66,"AAAAAH77/FU=")</f>
        <v>#VALUE!</v>
      </c>
      <c r="CI5" t="e">
        <f>AND('Planilla_General_29-11-2012_10_'!E66,"AAAAAH77/FY=")</f>
        <v>#VALUE!</v>
      </c>
      <c r="CJ5" t="e">
        <f>AND('Planilla_General_29-11-2012_10_'!F66,"AAAAAH77/Fc=")</f>
        <v>#VALUE!</v>
      </c>
      <c r="CK5" t="e">
        <f>AND('Planilla_General_29-11-2012_10_'!G66,"AAAAAH77/Fg=")</f>
        <v>#VALUE!</v>
      </c>
      <c r="CL5" t="e">
        <f>AND('Planilla_General_29-11-2012_10_'!H66,"AAAAAH77/Fk=")</f>
        <v>#VALUE!</v>
      </c>
      <c r="CM5" t="e">
        <f>AND('Planilla_General_29-11-2012_10_'!I66,"AAAAAH77/Fo=")</f>
        <v>#VALUE!</v>
      </c>
      <c r="CN5" t="e">
        <f>AND('Planilla_General_29-11-2012_10_'!J66,"AAAAAH77/Fs=")</f>
        <v>#VALUE!</v>
      </c>
      <c r="CO5" t="e">
        <f>AND('Planilla_General_29-11-2012_10_'!K66,"AAAAAH77/Fw=")</f>
        <v>#VALUE!</v>
      </c>
      <c r="CP5" t="e">
        <f>AND('Planilla_General_29-11-2012_10_'!L66,"AAAAAH77/F0=")</f>
        <v>#VALUE!</v>
      </c>
      <c r="CQ5" t="e">
        <f>AND('Planilla_General_29-11-2012_10_'!M66,"AAAAAH77/F4=")</f>
        <v>#VALUE!</v>
      </c>
      <c r="CR5" t="e">
        <f>AND('Planilla_General_29-11-2012_10_'!N66,"AAAAAH77/F8=")</f>
        <v>#VALUE!</v>
      </c>
      <c r="CS5" t="e">
        <f>AND('Planilla_General_29-11-2012_10_'!O66,"AAAAAH77/GA=")</f>
        <v>#VALUE!</v>
      </c>
      <c r="CT5" t="e">
        <f>AND('Planilla_General_29-11-2012_10_'!P66,"AAAAAH77/GE=")</f>
        <v>#VALUE!</v>
      </c>
      <c r="CU5">
        <f>IF('Planilla_General_29-11-2012_10_'!67:67,"AAAAAH77/GI=",0)</f>
        <v>0</v>
      </c>
      <c r="CV5" t="e">
        <f>AND('Planilla_General_29-11-2012_10_'!A67,"AAAAAH77/GM=")</f>
        <v>#VALUE!</v>
      </c>
      <c r="CW5" t="e">
        <f>AND('Planilla_General_29-11-2012_10_'!B67,"AAAAAH77/GQ=")</f>
        <v>#VALUE!</v>
      </c>
      <c r="CX5" t="e">
        <f>AND('Planilla_General_29-11-2012_10_'!C67,"AAAAAH77/GU=")</f>
        <v>#VALUE!</v>
      </c>
      <c r="CY5" t="e">
        <f>AND('Planilla_General_29-11-2012_10_'!D67,"AAAAAH77/GY=")</f>
        <v>#VALUE!</v>
      </c>
      <c r="CZ5" t="e">
        <f>AND('Planilla_General_29-11-2012_10_'!E67,"AAAAAH77/Gc=")</f>
        <v>#VALUE!</v>
      </c>
      <c r="DA5" t="e">
        <f>AND('Planilla_General_29-11-2012_10_'!F67,"AAAAAH77/Gg=")</f>
        <v>#VALUE!</v>
      </c>
      <c r="DB5" t="e">
        <f>AND('Planilla_General_29-11-2012_10_'!G67,"AAAAAH77/Gk=")</f>
        <v>#VALUE!</v>
      </c>
      <c r="DC5" t="e">
        <f>AND('Planilla_General_29-11-2012_10_'!H67,"AAAAAH77/Go=")</f>
        <v>#VALUE!</v>
      </c>
      <c r="DD5" t="e">
        <f>AND('Planilla_General_29-11-2012_10_'!I67,"AAAAAH77/Gs=")</f>
        <v>#VALUE!</v>
      </c>
      <c r="DE5" t="e">
        <f>AND('Planilla_General_29-11-2012_10_'!J67,"AAAAAH77/Gw=")</f>
        <v>#VALUE!</v>
      </c>
      <c r="DF5" t="e">
        <f>AND('Planilla_General_29-11-2012_10_'!K67,"AAAAAH77/G0=")</f>
        <v>#VALUE!</v>
      </c>
      <c r="DG5" t="e">
        <f>AND('Planilla_General_29-11-2012_10_'!L67,"AAAAAH77/G4=")</f>
        <v>#VALUE!</v>
      </c>
      <c r="DH5" t="e">
        <f>AND('Planilla_General_29-11-2012_10_'!M67,"AAAAAH77/G8=")</f>
        <v>#VALUE!</v>
      </c>
      <c r="DI5" t="e">
        <f>AND('Planilla_General_29-11-2012_10_'!N67,"AAAAAH77/HA=")</f>
        <v>#VALUE!</v>
      </c>
      <c r="DJ5" t="e">
        <f>AND('Planilla_General_29-11-2012_10_'!O67,"AAAAAH77/HE=")</f>
        <v>#VALUE!</v>
      </c>
      <c r="DK5" t="e">
        <f>AND('Planilla_General_29-11-2012_10_'!P67,"AAAAAH77/HI=")</f>
        <v>#VALUE!</v>
      </c>
      <c r="DL5">
        <f>IF('Planilla_General_29-11-2012_10_'!68:68,"AAAAAH77/HM=",0)</f>
        <v>0</v>
      </c>
      <c r="DM5" t="e">
        <f>AND('Planilla_General_29-11-2012_10_'!A68,"AAAAAH77/HQ=")</f>
        <v>#VALUE!</v>
      </c>
      <c r="DN5" t="e">
        <f>AND('Planilla_General_29-11-2012_10_'!B68,"AAAAAH77/HU=")</f>
        <v>#VALUE!</v>
      </c>
      <c r="DO5" t="e">
        <f>AND('Planilla_General_29-11-2012_10_'!C68,"AAAAAH77/HY=")</f>
        <v>#VALUE!</v>
      </c>
      <c r="DP5" t="e">
        <f>AND('Planilla_General_29-11-2012_10_'!D68,"AAAAAH77/Hc=")</f>
        <v>#VALUE!</v>
      </c>
      <c r="DQ5" t="e">
        <f>AND('Planilla_General_29-11-2012_10_'!E68,"AAAAAH77/Hg=")</f>
        <v>#VALUE!</v>
      </c>
      <c r="DR5" t="e">
        <f>AND('Planilla_General_29-11-2012_10_'!F68,"AAAAAH77/Hk=")</f>
        <v>#VALUE!</v>
      </c>
      <c r="DS5" t="e">
        <f>AND('Planilla_General_29-11-2012_10_'!G68,"AAAAAH77/Ho=")</f>
        <v>#VALUE!</v>
      </c>
      <c r="DT5" t="e">
        <f>AND('Planilla_General_29-11-2012_10_'!H68,"AAAAAH77/Hs=")</f>
        <v>#VALUE!</v>
      </c>
      <c r="DU5" t="e">
        <f>AND('Planilla_General_29-11-2012_10_'!I68,"AAAAAH77/Hw=")</f>
        <v>#VALUE!</v>
      </c>
      <c r="DV5" t="e">
        <f>AND('Planilla_General_29-11-2012_10_'!J68,"AAAAAH77/H0=")</f>
        <v>#VALUE!</v>
      </c>
      <c r="DW5" t="e">
        <f>AND('Planilla_General_29-11-2012_10_'!K68,"AAAAAH77/H4=")</f>
        <v>#VALUE!</v>
      </c>
      <c r="DX5" t="e">
        <f>AND('Planilla_General_29-11-2012_10_'!L68,"AAAAAH77/H8=")</f>
        <v>#VALUE!</v>
      </c>
      <c r="DY5" t="e">
        <f>AND('Planilla_General_29-11-2012_10_'!M68,"AAAAAH77/IA=")</f>
        <v>#VALUE!</v>
      </c>
      <c r="DZ5" t="e">
        <f>AND('Planilla_General_29-11-2012_10_'!N68,"AAAAAH77/IE=")</f>
        <v>#VALUE!</v>
      </c>
      <c r="EA5" t="e">
        <f>AND('Planilla_General_29-11-2012_10_'!O68,"AAAAAH77/II=")</f>
        <v>#VALUE!</v>
      </c>
      <c r="EB5" t="e">
        <f>AND('Planilla_General_29-11-2012_10_'!P68,"AAAAAH77/IM=")</f>
        <v>#VALUE!</v>
      </c>
      <c r="EC5">
        <f>IF('Planilla_General_29-11-2012_10_'!69:69,"AAAAAH77/IQ=",0)</f>
        <v>0</v>
      </c>
      <c r="ED5" t="e">
        <f>AND('Planilla_General_29-11-2012_10_'!A69,"AAAAAH77/IU=")</f>
        <v>#VALUE!</v>
      </c>
      <c r="EE5" t="e">
        <f>AND('Planilla_General_29-11-2012_10_'!B69,"AAAAAH77/IY=")</f>
        <v>#VALUE!</v>
      </c>
      <c r="EF5" t="e">
        <f>AND('Planilla_General_29-11-2012_10_'!C69,"AAAAAH77/Ic=")</f>
        <v>#VALUE!</v>
      </c>
      <c r="EG5" t="e">
        <f>AND('Planilla_General_29-11-2012_10_'!D69,"AAAAAH77/Ig=")</f>
        <v>#VALUE!</v>
      </c>
      <c r="EH5" t="e">
        <f>AND('Planilla_General_29-11-2012_10_'!E69,"AAAAAH77/Ik=")</f>
        <v>#VALUE!</v>
      </c>
      <c r="EI5" t="e">
        <f>AND('Planilla_General_29-11-2012_10_'!F69,"AAAAAH77/Io=")</f>
        <v>#VALUE!</v>
      </c>
      <c r="EJ5" t="e">
        <f>AND('Planilla_General_29-11-2012_10_'!G69,"AAAAAH77/Is=")</f>
        <v>#VALUE!</v>
      </c>
      <c r="EK5" t="e">
        <f>AND('Planilla_General_29-11-2012_10_'!H69,"AAAAAH77/Iw=")</f>
        <v>#VALUE!</v>
      </c>
      <c r="EL5" t="e">
        <f>AND('Planilla_General_29-11-2012_10_'!I69,"AAAAAH77/I0=")</f>
        <v>#VALUE!</v>
      </c>
      <c r="EM5" t="e">
        <f>AND('Planilla_General_29-11-2012_10_'!J69,"AAAAAH77/I4=")</f>
        <v>#VALUE!</v>
      </c>
      <c r="EN5" t="e">
        <f>AND('Planilla_General_29-11-2012_10_'!K69,"AAAAAH77/I8=")</f>
        <v>#VALUE!</v>
      </c>
      <c r="EO5" t="e">
        <f>AND('Planilla_General_29-11-2012_10_'!L69,"AAAAAH77/JA=")</f>
        <v>#VALUE!</v>
      </c>
      <c r="EP5" t="e">
        <f>AND('Planilla_General_29-11-2012_10_'!M69,"AAAAAH77/JE=")</f>
        <v>#VALUE!</v>
      </c>
      <c r="EQ5" t="e">
        <f>AND('Planilla_General_29-11-2012_10_'!N69,"AAAAAH77/JI=")</f>
        <v>#VALUE!</v>
      </c>
      <c r="ER5" t="e">
        <f>AND('Planilla_General_29-11-2012_10_'!O69,"AAAAAH77/JM=")</f>
        <v>#VALUE!</v>
      </c>
      <c r="ES5" t="e">
        <f>AND('Planilla_General_29-11-2012_10_'!P69,"AAAAAH77/JQ=")</f>
        <v>#VALUE!</v>
      </c>
      <c r="ET5">
        <f>IF('Planilla_General_29-11-2012_10_'!70:70,"AAAAAH77/JU=",0)</f>
        <v>0</v>
      </c>
      <c r="EU5" t="e">
        <f>AND('Planilla_General_29-11-2012_10_'!A70,"AAAAAH77/JY=")</f>
        <v>#VALUE!</v>
      </c>
      <c r="EV5" t="e">
        <f>AND('Planilla_General_29-11-2012_10_'!B70,"AAAAAH77/Jc=")</f>
        <v>#VALUE!</v>
      </c>
      <c r="EW5" t="e">
        <f>AND('Planilla_General_29-11-2012_10_'!C70,"AAAAAH77/Jg=")</f>
        <v>#VALUE!</v>
      </c>
      <c r="EX5" t="e">
        <f>AND('Planilla_General_29-11-2012_10_'!D70,"AAAAAH77/Jk=")</f>
        <v>#VALUE!</v>
      </c>
      <c r="EY5" t="e">
        <f>AND('Planilla_General_29-11-2012_10_'!E70,"AAAAAH77/Jo=")</f>
        <v>#VALUE!</v>
      </c>
      <c r="EZ5" t="e">
        <f>AND('Planilla_General_29-11-2012_10_'!F70,"AAAAAH77/Js=")</f>
        <v>#VALUE!</v>
      </c>
      <c r="FA5" t="e">
        <f>AND('Planilla_General_29-11-2012_10_'!G70,"AAAAAH77/Jw=")</f>
        <v>#VALUE!</v>
      </c>
      <c r="FB5" t="e">
        <f>AND('Planilla_General_29-11-2012_10_'!H70,"AAAAAH77/J0=")</f>
        <v>#VALUE!</v>
      </c>
      <c r="FC5" t="e">
        <f>AND('Planilla_General_29-11-2012_10_'!I70,"AAAAAH77/J4=")</f>
        <v>#VALUE!</v>
      </c>
      <c r="FD5" t="e">
        <f>AND('Planilla_General_29-11-2012_10_'!J70,"AAAAAH77/J8=")</f>
        <v>#VALUE!</v>
      </c>
      <c r="FE5" t="e">
        <f>AND('Planilla_General_29-11-2012_10_'!K70,"AAAAAH77/KA=")</f>
        <v>#VALUE!</v>
      </c>
      <c r="FF5" t="e">
        <f>AND('Planilla_General_29-11-2012_10_'!L70,"AAAAAH77/KE=")</f>
        <v>#VALUE!</v>
      </c>
      <c r="FG5" t="e">
        <f>AND('Planilla_General_29-11-2012_10_'!M70,"AAAAAH77/KI=")</f>
        <v>#VALUE!</v>
      </c>
      <c r="FH5" t="e">
        <f>AND('Planilla_General_29-11-2012_10_'!N70,"AAAAAH77/KM=")</f>
        <v>#VALUE!</v>
      </c>
      <c r="FI5" t="e">
        <f>AND('Planilla_General_29-11-2012_10_'!O70,"AAAAAH77/KQ=")</f>
        <v>#VALUE!</v>
      </c>
      <c r="FJ5" t="e">
        <f>AND('Planilla_General_29-11-2012_10_'!P70,"AAAAAH77/KU=")</f>
        <v>#VALUE!</v>
      </c>
      <c r="FK5">
        <f>IF('Planilla_General_29-11-2012_10_'!71:71,"AAAAAH77/KY=",0)</f>
        <v>0</v>
      </c>
      <c r="FL5" t="e">
        <f>AND('Planilla_General_29-11-2012_10_'!A71,"AAAAAH77/Kc=")</f>
        <v>#VALUE!</v>
      </c>
      <c r="FM5" t="e">
        <f>AND('Planilla_General_29-11-2012_10_'!B71,"AAAAAH77/Kg=")</f>
        <v>#VALUE!</v>
      </c>
      <c r="FN5" t="e">
        <f>AND('Planilla_General_29-11-2012_10_'!C71,"AAAAAH77/Kk=")</f>
        <v>#VALUE!</v>
      </c>
      <c r="FO5" t="e">
        <f>AND('Planilla_General_29-11-2012_10_'!D71,"AAAAAH77/Ko=")</f>
        <v>#VALUE!</v>
      </c>
      <c r="FP5" t="e">
        <f>AND('Planilla_General_29-11-2012_10_'!E71,"AAAAAH77/Ks=")</f>
        <v>#VALUE!</v>
      </c>
      <c r="FQ5" t="e">
        <f>AND('Planilla_General_29-11-2012_10_'!F71,"AAAAAH77/Kw=")</f>
        <v>#VALUE!</v>
      </c>
      <c r="FR5" t="e">
        <f>AND('Planilla_General_29-11-2012_10_'!G71,"AAAAAH77/K0=")</f>
        <v>#VALUE!</v>
      </c>
      <c r="FS5" t="e">
        <f>AND('Planilla_General_29-11-2012_10_'!H71,"AAAAAH77/K4=")</f>
        <v>#VALUE!</v>
      </c>
      <c r="FT5" t="e">
        <f>AND('Planilla_General_29-11-2012_10_'!I71,"AAAAAH77/K8=")</f>
        <v>#VALUE!</v>
      </c>
      <c r="FU5" t="e">
        <f>AND('Planilla_General_29-11-2012_10_'!J71,"AAAAAH77/LA=")</f>
        <v>#VALUE!</v>
      </c>
      <c r="FV5" t="e">
        <f>AND('Planilla_General_29-11-2012_10_'!K71,"AAAAAH77/LE=")</f>
        <v>#VALUE!</v>
      </c>
      <c r="FW5" t="e">
        <f>AND('Planilla_General_29-11-2012_10_'!L71,"AAAAAH77/LI=")</f>
        <v>#VALUE!</v>
      </c>
      <c r="FX5" t="e">
        <f>AND('Planilla_General_29-11-2012_10_'!M71,"AAAAAH77/LM=")</f>
        <v>#VALUE!</v>
      </c>
      <c r="FY5" t="e">
        <f>AND('Planilla_General_29-11-2012_10_'!N71,"AAAAAH77/LQ=")</f>
        <v>#VALUE!</v>
      </c>
      <c r="FZ5" t="e">
        <f>AND('Planilla_General_29-11-2012_10_'!O71,"AAAAAH77/LU=")</f>
        <v>#VALUE!</v>
      </c>
      <c r="GA5" t="e">
        <f>AND('Planilla_General_29-11-2012_10_'!P71,"AAAAAH77/LY=")</f>
        <v>#VALUE!</v>
      </c>
      <c r="GB5">
        <f>IF('Planilla_General_29-11-2012_10_'!72:72,"AAAAAH77/Lc=",0)</f>
        <v>0</v>
      </c>
      <c r="GC5" t="e">
        <f>AND('Planilla_General_29-11-2012_10_'!A72,"AAAAAH77/Lg=")</f>
        <v>#VALUE!</v>
      </c>
      <c r="GD5" t="e">
        <f>AND('Planilla_General_29-11-2012_10_'!B72,"AAAAAH77/Lk=")</f>
        <v>#VALUE!</v>
      </c>
      <c r="GE5" t="e">
        <f>AND('Planilla_General_29-11-2012_10_'!C72,"AAAAAH77/Lo=")</f>
        <v>#VALUE!</v>
      </c>
      <c r="GF5" t="e">
        <f>AND('Planilla_General_29-11-2012_10_'!D72,"AAAAAH77/Ls=")</f>
        <v>#VALUE!</v>
      </c>
      <c r="GG5" t="e">
        <f>AND('Planilla_General_29-11-2012_10_'!E72,"AAAAAH77/Lw=")</f>
        <v>#VALUE!</v>
      </c>
      <c r="GH5" t="e">
        <f>AND('Planilla_General_29-11-2012_10_'!F72,"AAAAAH77/L0=")</f>
        <v>#VALUE!</v>
      </c>
      <c r="GI5" t="e">
        <f>AND('Planilla_General_29-11-2012_10_'!G72,"AAAAAH77/L4=")</f>
        <v>#VALUE!</v>
      </c>
      <c r="GJ5" t="e">
        <f>AND('Planilla_General_29-11-2012_10_'!H72,"AAAAAH77/L8=")</f>
        <v>#VALUE!</v>
      </c>
      <c r="GK5" t="e">
        <f>AND('Planilla_General_29-11-2012_10_'!I72,"AAAAAH77/MA=")</f>
        <v>#VALUE!</v>
      </c>
      <c r="GL5" t="e">
        <f>AND('Planilla_General_29-11-2012_10_'!J72,"AAAAAH77/ME=")</f>
        <v>#VALUE!</v>
      </c>
      <c r="GM5" t="e">
        <f>AND('Planilla_General_29-11-2012_10_'!K72,"AAAAAH77/MI=")</f>
        <v>#VALUE!</v>
      </c>
      <c r="GN5" t="e">
        <f>AND('Planilla_General_29-11-2012_10_'!L72,"AAAAAH77/MM=")</f>
        <v>#VALUE!</v>
      </c>
      <c r="GO5" t="e">
        <f>AND('Planilla_General_29-11-2012_10_'!M72,"AAAAAH77/MQ=")</f>
        <v>#VALUE!</v>
      </c>
      <c r="GP5" t="e">
        <f>AND('Planilla_General_29-11-2012_10_'!N72,"AAAAAH77/MU=")</f>
        <v>#VALUE!</v>
      </c>
      <c r="GQ5" t="e">
        <f>AND('Planilla_General_29-11-2012_10_'!O72,"AAAAAH77/MY=")</f>
        <v>#VALUE!</v>
      </c>
      <c r="GR5" t="e">
        <f>AND('Planilla_General_29-11-2012_10_'!P72,"AAAAAH77/Mc=")</f>
        <v>#VALUE!</v>
      </c>
      <c r="GS5">
        <f>IF('Planilla_General_29-11-2012_10_'!73:73,"AAAAAH77/Mg=",0)</f>
        <v>0</v>
      </c>
      <c r="GT5" t="e">
        <f>AND('Planilla_General_29-11-2012_10_'!A73,"AAAAAH77/Mk=")</f>
        <v>#VALUE!</v>
      </c>
      <c r="GU5" t="e">
        <f>AND('Planilla_General_29-11-2012_10_'!B73,"AAAAAH77/Mo=")</f>
        <v>#VALUE!</v>
      </c>
      <c r="GV5" t="e">
        <f>AND('Planilla_General_29-11-2012_10_'!C73,"AAAAAH77/Ms=")</f>
        <v>#VALUE!</v>
      </c>
      <c r="GW5" t="e">
        <f>AND('Planilla_General_29-11-2012_10_'!D73,"AAAAAH77/Mw=")</f>
        <v>#VALUE!</v>
      </c>
      <c r="GX5" t="e">
        <f>AND('Planilla_General_29-11-2012_10_'!E73,"AAAAAH77/M0=")</f>
        <v>#VALUE!</v>
      </c>
      <c r="GY5" t="e">
        <f>AND('Planilla_General_29-11-2012_10_'!F73,"AAAAAH77/M4=")</f>
        <v>#VALUE!</v>
      </c>
      <c r="GZ5" t="e">
        <f>AND('Planilla_General_29-11-2012_10_'!G73,"AAAAAH77/M8=")</f>
        <v>#VALUE!</v>
      </c>
      <c r="HA5" t="e">
        <f>AND('Planilla_General_29-11-2012_10_'!H73,"AAAAAH77/NA=")</f>
        <v>#VALUE!</v>
      </c>
      <c r="HB5" t="e">
        <f>AND('Planilla_General_29-11-2012_10_'!I73,"AAAAAH77/NE=")</f>
        <v>#VALUE!</v>
      </c>
      <c r="HC5" t="e">
        <f>AND('Planilla_General_29-11-2012_10_'!J73,"AAAAAH77/NI=")</f>
        <v>#VALUE!</v>
      </c>
      <c r="HD5" t="e">
        <f>AND('Planilla_General_29-11-2012_10_'!K73,"AAAAAH77/NM=")</f>
        <v>#VALUE!</v>
      </c>
      <c r="HE5" t="e">
        <f>AND('Planilla_General_29-11-2012_10_'!L73,"AAAAAH77/NQ=")</f>
        <v>#VALUE!</v>
      </c>
      <c r="HF5" t="e">
        <f>AND('Planilla_General_29-11-2012_10_'!M73,"AAAAAH77/NU=")</f>
        <v>#VALUE!</v>
      </c>
      <c r="HG5" t="e">
        <f>AND('Planilla_General_29-11-2012_10_'!N73,"AAAAAH77/NY=")</f>
        <v>#VALUE!</v>
      </c>
      <c r="HH5" t="e">
        <f>AND('Planilla_General_29-11-2012_10_'!O73,"AAAAAH77/Nc=")</f>
        <v>#VALUE!</v>
      </c>
      <c r="HI5" t="e">
        <f>AND('Planilla_General_29-11-2012_10_'!P73,"AAAAAH77/Ng=")</f>
        <v>#VALUE!</v>
      </c>
      <c r="HJ5">
        <f>IF('Planilla_General_29-11-2012_10_'!74:74,"AAAAAH77/Nk=",0)</f>
        <v>0</v>
      </c>
      <c r="HK5" t="e">
        <f>AND('Planilla_General_29-11-2012_10_'!A74,"AAAAAH77/No=")</f>
        <v>#VALUE!</v>
      </c>
      <c r="HL5" t="e">
        <f>AND('Planilla_General_29-11-2012_10_'!B74,"AAAAAH77/Ns=")</f>
        <v>#VALUE!</v>
      </c>
      <c r="HM5" t="e">
        <f>AND('Planilla_General_29-11-2012_10_'!C74,"AAAAAH77/Nw=")</f>
        <v>#VALUE!</v>
      </c>
      <c r="HN5" t="e">
        <f>AND('Planilla_General_29-11-2012_10_'!D74,"AAAAAH77/N0=")</f>
        <v>#VALUE!</v>
      </c>
      <c r="HO5" t="e">
        <f>AND('Planilla_General_29-11-2012_10_'!E74,"AAAAAH77/N4=")</f>
        <v>#VALUE!</v>
      </c>
      <c r="HP5" t="e">
        <f>AND('Planilla_General_29-11-2012_10_'!F74,"AAAAAH77/N8=")</f>
        <v>#VALUE!</v>
      </c>
      <c r="HQ5" t="e">
        <f>AND('Planilla_General_29-11-2012_10_'!G74,"AAAAAH77/OA=")</f>
        <v>#VALUE!</v>
      </c>
      <c r="HR5" t="e">
        <f>AND('Planilla_General_29-11-2012_10_'!H74,"AAAAAH77/OE=")</f>
        <v>#VALUE!</v>
      </c>
      <c r="HS5" t="e">
        <f>AND('Planilla_General_29-11-2012_10_'!I74,"AAAAAH77/OI=")</f>
        <v>#VALUE!</v>
      </c>
      <c r="HT5" t="e">
        <f>AND('Planilla_General_29-11-2012_10_'!J74,"AAAAAH77/OM=")</f>
        <v>#VALUE!</v>
      </c>
      <c r="HU5" t="e">
        <f>AND('Planilla_General_29-11-2012_10_'!K74,"AAAAAH77/OQ=")</f>
        <v>#VALUE!</v>
      </c>
      <c r="HV5" t="e">
        <f>AND('Planilla_General_29-11-2012_10_'!L74,"AAAAAH77/OU=")</f>
        <v>#VALUE!</v>
      </c>
      <c r="HW5" t="e">
        <f>AND('Planilla_General_29-11-2012_10_'!M74,"AAAAAH77/OY=")</f>
        <v>#VALUE!</v>
      </c>
      <c r="HX5" t="e">
        <f>AND('Planilla_General_29-11-2012_10_'!N74,"AAAAAH77/Oc=")</f>
        <v>#VALUE!</v>
      </c>
      <c r="HY5" t="e">
        <f>AND('Planilla_General_29-11-2012_10_'!O74,"AAAAAH77/Og=")</f>
        <v>#VALUE!</v>
      </c>
      <c r="HZ5" t="e">
        <f>AND('Planilla_General_29-11-2012_10_'!P74,"AAAAAH77/Ok=")</f>
        <v>#VALUE!</v>
      </c>
      <c r="IA5">
        <f>IF('Planilla_General_29-11-2012_10_'!75:75,"AAAAAH77/Oo=",0)</f>
        <v>0</v>
      </c>
      <c r="IB5" t="e">
        <f>AND('Planilla_General_29-11-2012_10_'!A75,"AAAAAH77/Os=")</f>
        <v>#VALUE!</v>
      </c>
      <c r="IC5" t="e">
        <f>AND('Planilla_General_29-11-2012_10_'!B75,"AAAAAH77/Ow=")</f>
        <v>#VALUE!</v>
      </c>
      <c r="ID5" t="e">
        <f>AND('Planilla_General_29-11-2012_10_'!C75,"AAAAAH77/O0=")</f>
        <v>#VALUE!</v>
      </c>
      <c r="IE5" t="e">
        <f>AND('Planilla_General_29-11-2012_10_'!D75,"AAAAAH77/O4=")</f>
        <v>#VALUE!</v>
      </c>
      <c r="IF5" t="e">
        <f>AND('Planilla_General_29-11-2012_10_'!E75,"AAAAAH77/O8=")</f>
        <v>#VALUE!</v>
      </c>
      <c r="IG5" t="e">
        <f>AND('Planilla_General_29-11-2012_10_'!F75,"AAAAAH77/PA=")</f>
        <v>#VALUE!</v>
      </c>
      <c r="IH5" t="e">
        <f>AND('Planilla_General_29-11-2012_10_'!G75,"AAAAAH77/PE=")</f>
        <v>#VALUE!</v>
      </c>
      <c r="II5" t="e">
        <f>AND('Planilla_General_29-11-2012_10_'!H75,"AAAAAH77/PI=")</f>
        <v>#VALUE!</v>
      </c>
      <c r="IJ5" t="e">
        <f>AND('Planilla_General_29-11-2012_10_'!I75,"AAAAAH77/PM=")</f>
        <v>#VALUE!</v>
      </c>
      <c r="IK5" t="e">
        <f>AND('Planilla_General_29-11-2012_10_'!J75,"AAAAAH77/PQ=")</f>
        <v>#VALUE!</v>
      </c>
      <c r="IL5" t="e">
        <f>AND('Planilla_General_29-11-2012_10_'!K75,"AAAAAH77/PU=")</f>
        <v>#VALUE!</v>
      </c>
      <c r="IM5" t="e">
        <f>AND('Planilla_General_29-11-2012_10_'!L75,"AAAAAH77/PY=")</f>
        <v>#VALUE!</v>
      </c>
      <c r="IN5" t="e">
        <f>AND('Planilla_General_29-11-2012_10_'!M75,"AAAAAH77/Pc=")</f>
        <v>#VALUE!</v>
      </c>
      <c r="IO5" t="e">
        <f>AND('Planilla_General_29-11-2012_10_'!N75,"AAAAAH77/Pg=")</f>
        <v>#VALUE!</v>
      </c>
      <c r="IP5" t="e">
        <f>AND('Planilla_General_29-11-2012_10_'!O75,"AAAAAH77/Pk=")</f>
        <v>#VALUE!</v>
      </c>
      <c r="IQ5" t="e">
        <f>AND('Planilla_General_29-11-2012_10_'!P75,"AAAAAH77/Po=")</f>
        <v>#VALUE!</v>
      </c>
      <c r="IR5">
        <f>IF('Planilla_General_29-11-2012_10_'!76:76,"AAAAAH77/Ps=",0)</f>
        <v>0</v>
      </c>
      <c r="IS5" t="e">
        <f>AND('Planilla_General_29-11-2012_10_'!A76,"AAAAAH77/Pw=")</f>
        <v>#VALUE!</v>
      </c>
      <c r="IT5" t="e">
        <f>AND('Planilla_General_29-11-2012_10_'!B76,"AAAAAH77/P0=")</f>
        <v>#VALUE!</v>
      </c>
      <c r="IU5" t="e">
        <f>AND('Planilla_General_29-11-2012_10_'!C76,"AAAAAH77/P4=")</f>
        <v>#VALUE!</v>
      </c>
      <c r="IV5" t="e">
        <f>AND('Planilla_General_29-11-2012_10_'!D76,"AAAAAH77/P8=")</f>
        <v>#VALUE!</v>
      </c>
    </row>
    <row r="6" spans="1:256" x14ac:dyDescent="0.25">
      <c r="A6" t="e">
        <f>AND('Planilla_General_29-11-2012_10_'!E76,"AAAAAH7v2wA=")</f>
        <v>#VALUE!</v>
      </c>
      <c r="B6" t="e">
        <f>AND('Planilla_General_29-11-2012_10_'!F76,"AAAAAH7v2wE=")</f>
        <v>#VALUE!</v>
      </c>
      <c r="C6" t="e">
        <f>AND('Planilla_General_29-11-2012_10_'!G76,"AAAAAH7v2wI=")</f>
        <v>#VALUE!</v>
      </c>
      <c r="D6" t="e">
        <f>AND('Planilla_General_29-11-2012_10_'!H76,"AAAAAH7v2wM=")</f>
        <v>#VALUE!</v>
      </c>
      <c r="E6" t="e">
        <f>AND('Planilla_General_29-11-2012_10_'!I76,"AAAAAH7v2wQ=")</f>
        <v>#VALUE!</v>
      </c>
      <c r="F6" t="e">
        <f>AND('Planilla_General_29-11-2012_10_'!J76,"AAAAAH7v2wU=")</f>
        <v>#VALUE!</v>
      </c>
      <c r="G6" t="e">
        <f>AND('Planilla_General_29-11-2012_10_'!K76,"AAAAAH7v2wY=")</f>
        <v>#VALUE!</v>
      </c>
      <c r="H6" t="e">
        <f>AND('Planilla_General_29-11-2012_10_'!L76,"AAAAAH7v2wc=")</f>
        <v>#VALUE!</v>
      </c>
      <c r="I6" t="e">
        <f>AND('Planilla_General_29-11-2012_10_'!M76,"AAAAAH7v2wg=")</f>
        <v>#VALUE!</v>
      </c>
      <c r="J6" t="e">
        <f>AND('Planilla_General_29-11-2012_10_'!N76,"AAAAAH7v2wk=")</f>
        <v>#VALUE!</v>
      </c>
      <c r="K6" t="e">
        <f>AND('Planilla_General_29-11-2012_10_'!O76,"AAAAAH7v2wo=")</f>
        <v>#VALUE!</v>
      </c>
      <c r="L6" t="e">
        <f>AND('Planilla_General_29-11-2012_10_'!P76,"AAAAAH7v2ws=")</f>
        <v>#VALUE!</v>
      </c>
      <c r="M6" t="str">
        <f>IF('Planilla_General_29-11-2012_10_'!77:77,"AAAAAH7v2ww=",0)</f>
        <v>AAAAAH7v2ww=</v>
      </c>
      <c r="N6" t="e">
        <f>AND('Planilla_General_29-11-2012_10_'!A77,"AAAAAH7v2w0=")</f>
        <v>#VALUE!</v>
      </c>
      <c r="O6" t="e">
        <f>AND('Planilla_General_29-11-2012_10_'!B77,"AAAAAH7v2w4=")</f>
        <v>#VALUE!</v>
      </c>
      <c r="P6" t="e">
        <f>AND('Planilla_General_29-11-2012_10_'!C77,"AAAAAH7v2w8=")</f>
        <v>#VALUE!</v>
      </c>
      <c r="Q6" t="e">
        <f>AND('Planilla_General_29-11-2012_10_'!D77,"AAAAAH7v2xA=")</f>
        <v>#VALUE!</v>
      </c>
      <c r="R6" t="e">
        <f>AND('Planilla_General_29-11-2012_10_'!E77,"AAAAAH7v2xE=")</f>
        <v>#VALUE!</v>
      </c>
      <c r="S6" t="e">
        <f>AND('Planilla_General_29-11-2012_10_'!F77,"AAAAAH7v2xI=")</f>
        <v>#VALUE!</v>
      </c>
      <c r="T6" t="e">
        <f>AND('Planilla_General_29-11-2012_10_'!G77,"AAAAAH7v2xM=")</f>
        <v>#VALUE!</v>
      </c>
      <c r="U6" t="e">
        <f>AND('Planilla_General_29-11-2012_10_'!H77,"AAAAAH7v2xQ=")</f>
        <v>#VALUE!</v>
      </c>
      <c r="V6" t="e">
        <f>AND('Planilla_General_29-11-2012_10_'!I77,"AAAAAH7v2xU=")</f>
        <v>#VALUE!</v>
      </c>
      <c r="W6" t="e">
        <f>AND('Planilla_General_29-11-2012_10_'!J77,"AAAAAH7v2xY=")</f>
        <v>#VALUE!</v>
      </c>
      <c r="X6" t="e">
        <f>AND('Planilla_General_29-11-2012_10_'!K77,"AAAAAH7v2xc=")</f>
        <v>#VALUE!</v>
      </c>
      <c r="Y6" t="e">
        <f>AND('Planilla_General_29-11-2012_10_'!L77,"AAAAAH7v2xg=")</f>
        <v>#VALUE!</v>
      </c>
      <c r="Z6" t="e">
        <f>AND('Planilla_General_29-11-2012_10_'!M77,"AAAAAH7v2xk=")</f>
        <v>#VALUE!</v>
      </c>
      <c r="AA6" t="e">
        <f>AND('Planilla_General_29-11-2012_10_'!N77,"AAAAAH7v2xo=")</f>
        <v>#VALUE!</v>
      </c>
      <c r="AB6" t="e">
        <f>AND('Planilla_General_29-11-2012_10_'!O77,"AAAAAH7v2xs=")</f>
        <v>#VALUE!</v>
      </c>
      <c r="AC6" t="e">
        <f>AND('Planilla_General_29-11-2012_10_'!P77,"AAAAAH7v2xw=")</f>
        <v>#VALUE!</v>
      </c>
      <c r="AD6">
        <f>IF('Planilla_General_29-11-2012_10_'!78:78,"AAAAAH7v2x0=",0)</f>
        <v>0</v>
      </c>
      <c r="AE6" t="e">
        <f>AND('Planilla_General_29-11-2012_10_'!A78,"AAAAAH7v2x4=")</f>
        <v>#VALUE!</v>
      </c>
      <c r="AF6" t="e">
        <f>AND('Planilla_General_29-11-2012_10_'!B78,"AAAAAH7v2x8=")</f>
        <v>#VALUE!</v>
      </c>
      <c r="AG6" t="e">
        <f>AND('Planilla_General_29-11-2012_10_'!C78,"AAAAAH7v2yA=")</f>
        <v>#VALUE!</v>
      </c>
      <c r="AH6" t="e">
        <f>AND('Planilla_General_29-11-2012_10_'!D78,"AAAAAH7v2yE=")</f>
        <v>#VALUE!</v>
      </c>
      <c r="AI6" t="e">
        <f>AND('Planilla_General_29-11-2012_10_'!E78,"AAAAAH7v2yI=")</f>
        <v>#VALUE!</v>
      </c>
      <c r="AJ6" t="e">
        <f>AND('Planilla_General_29-11-2012_10_'!F78,"AAAAAH7v2yM=")</f>
        <v>#VALUE!</v>
      </c>
      <c r="AK6" t="e">
        <f>AND('Planilla_General_29-11-2012_10_'!G78,"AAAAAH7v2yQ=")</f>
        <v>#VALUE!</v>
      </c>
      <c r="AL6" t="e">
        <f>AND('Planilla_General_29-11-2012_10_'!H78,"AAAAAH7v2yU=")</f>
        <v>#VALUE!</v>
      </c>
      <c r="AM6" t="e">
        <f>AND('Planilla_General_29-11-2012_10_'!I78,"AAAAAH7v2yY=")</f>
        <v>#VALUE!</v>
      </c>
      <c r="AN6" t="e">
        <f>AND('Planilla_General_29-11-2012_10_'!J78,"AAAAAH7v2yc=")</f>
        <v>#VALUE!</v>
      </c>
      <c r="AO6" t="e">
        <f>AND('Planilla_General_29-11-2012_10_'!K78,"AAAAAH7v2yg=")</f>
        <v>#VALUE!</v>
      </c>
      <c r="AP6" t="e">
        <f>AND('Planilla_General_29-11-2012_10_'!L78,"AAAAAH7v2yk=")</f>
        <v>#VALUE!</v>
      </c>
      <c r="AQ6" t="e">
        <f>AND('Planilla_General_29-11-2012_10_'!M78,"AAAAAH7v2yo=")</f>
        <v>#VALUE!</v>
      </c>
      <c r="AR6" t="e">
        <f>AND('Planilla_General_29-11-2012_10_'!N78,"AAAAAH7v2ys=")</f>
        <v>#VALUE!</v>
      </c>
      <c r="AS6" t="e">
        <f>AND('Planilla_General_29-11-2012_10_'!O78,"AAAAAH7v2yw=")</f>
        <v>#VALUE!</v>
      </c>
      <c r="AT6" t="e">
        <f>AND('Planilla_General_29-11-2012_10_'!P78,"AAAAAH7v2y0=")</f>
        <v>#VALUE!</v>
      </c>
      <c r="AU6">
        <f>IF('Planilla_General_29-11-2012_10_'!79:79,"AAAAAH7v2y4=",0)</f>
        <v>0</v>
      </c>
      <c r="AV6" t="e">
        <f>AND('Planilla_General_29-11-2012_10_'!A79,"AAAAAH7v2y8=")</f>
        <v>#VALUE!</v>
      </c>
      <c r="AW6" t="e">
        <f>AND('Planilla_General_29-11-2012_10_'!B79,"AAAAAH7v2zA=")</f>
        <v>#VALUE!</v>
      </c>
      <c r="AX6" t="e">
        <f>AND('Planilla_General_29-11-2012_10_'!C79,"AAAAAH7v2zE=")</f>
        <v>#VALUE!</v>
      </c>
      <c r="AY6" t="e">
        <f>AND('Planilla_General_29-11-2012_10_'!D79,"AAAAAH7v2zI=")</f>
        <v>#VALUE!</v>
      </c>
      <c r="AZ6" t="e">
        <f>AND('Planilla_General_29-11-2012_10_'!E79,"AAAAAH7v2zM=")</f>
        <v>#VALUE!</v>
      </c>
      <c r="BA6" t="e">
        <f>AND('Planilla_General_29-11-2012_10_'!F79,"AAAAAH7v2zQ=")</f>
        <v>#VALUE!</v>
      </c>
      <c r="BB6" t="e">
        <f>AND('Planilla_General_29-11-2012_10_'!G79,"AAAAAH7v2zU=")</f>
        <v>#VALUE!</v>
      </c>
      <c r="BC6" t="e">
        <f>AND('Planilla_General_29-11-2012_10_'!H79,"AAAAAH7v2zY=")</f>
        <v>#VALUE!</v>
      </c>
      <c r="BD6" t="e">
        <f>AND('Planilla_General_29-11-2012_10_'!I79,"AAAAAH7v2zc=")</f>
        <v>#VALUE!</v>
      </c>
      <c r="BE6" t="e">
        <f>AND('Planilla_General_29-11-2012_10_'!J79,"AAAAAH7v2zg=")</f>
        <v>#VALUE!</v>
      </c>
      <c r="BF6" t="e">
        <f>AND('Planilla_General_29-11-2012_10_'!K79,"AAAAAH7v2zk=")</f>
        <v>#VALUE!</v>
      </c>
      <c r="BG6" t="e">
        <f>AND('Planilla_General_29-11-2012_10_'!L79,"AAAAAH7v2zo=")</f>
        <v>#VALUE!</v>
      </c>
      <c r="BH6" t="e">
        <f>AND('Planilla_General_29-11-2012_10_'!M79,"AAAAAH7v2zs=")</f>
        <v>#VALUE!</v>
      </c>
      <c r="BI6" t="e">
        <f>AND('Planilla_General_29-11-2012_10_'!N79,"AAAAAH7v2zw=")</f>
        <v>#VALUE!</v>
      </c>
      <c r="BJ6" t="e">
        <f>AND('Planilla_General_29-11-2012_10_'!O79,"AAAAAH7v2z0=")</f>
        <v>#VALUE!</v>
      </c>
      <c r="BK6" t="e">
        <f>AND('Planilla_General_29-11-2012_10_'!P79,"AAAAAH7v2z4=")</f>
        <v>#VALUE!</v>
      </c>
      <c r="BL6">
        <f>IF('Planilla_General_29-11-2012_10_'!80:80,"AAAAAH7v2z8=",0)</f>
        <v>0</v>
      </c>
      <c r="BM6" t="e">
        <f>AND('Planilla_General_29-11-2012_10_'!A80,"AAAAAH7v20A=")</f>
        <v>#VALUE!</v>
      </c>
      <c r="BN6" t="e">
        <f>AND('Planilla_General_29-11-2012_10_'!B80,"AAAAAH7v20E=")</f>
        <v>#VALUE!</v>
      </c>
      <c r="BO6" t="e">
        <f>AND('Planilla_General_29-11-2012_10_'!C80,"AAAAAH7v20I=")</f>
        <v>#VALUE!</v>
      </c>
      <c r="BP6" t="e">
        <f>AND('Planilla_General_29-11-2012_10_'!D80,"AAAAAH7v20M=")</f>
        <v>#VALUE!</v>
      </c>
      <c r="BQ6" t="e">
        <f>AND('Planilla_General_29-11-2012_10_'!E80,"AAAAAH7v20Q=")</f>
        <v>#VALUE!</v>
      </c>
      <c r="BR6" t="e">
        <f>AND('Planilla_General_29-11-2012_10_'!F80,"AAAAAH7v20U=")</f>
        <v>#VALUE!</v>
      </c>
      <c r="BS6" t="e">
        <f>AND('Planilla_General_29-11-2012_10_'!G80,"AAAAAH7v20Y=")</f>
        <v>#VALUE!</v>
      </c>
      <c r="BT6" t="e">
        <f>AND('Planilla_General_29-11-2012_10_'!H80,"AAAAAH7v20c=")</f>
        <v>#VALUE!</v>
      </c>
      <c r="BU6" t="e">
        <f>AND('Planilla_General_29-11-2012_10_'!I80,"AAAAAH7v20g=")</f>
        <v>#VALUE!</v>
      </c>
      <c r="BV6" t="e">
        <f>AND('Planilla_General_29-11-2012_10_'!J80,"AAAAAH7v20k=")</f>
        <v>#VALUE!</v>
      </c>
      <c r="BW6" t="e">
        <f>AND('Planilla_General_29-11-2012_10_'!K80,"AAAAAH7v20o=")</f>
        <v>#VALUE!</v>
      </c>
      <c r="BX6" t="e">
        <f>AND('Planilla_General_29-11-2012_10_'!L80,"AAAAAH7v20s=")</f>
        <v>#VALUE!</v>
      </c>
      <c r="BY6" t="e">
        <f>AND('Planilla_General_29-11-2012_10_'!M80,"AAAAAH7v20w=")</f>
        <v>#VALUE!</v>
      </c>
      <c r="BZ6" t="e">
        <f>AND('Planilla_General_29-11-2012_10_'!N80,"AAAAAH7v200=")</f>
        <v>#VALUE!</v>
      </c>
      <c r="CA6" t="e">
        <f>AND('Planilla_General_29-11-2012_10_'!O80,"AAAAAH7v204=")</f>
        <v>#VALUE!</v>
      </c>
      <c r="CB6" t="e">
        <f>AND('Planilla_General_29-11-2012_10_'!P80,"AAAAAH7v208=")</f>
        <v>#VALUE!</v>
      </c>
      <c r="CC6">
        <f>IF('Planilla_General_29-11-2012_10_'!81:81,"AAAAAH7v21A=",0)</f>
        <v>0</v>
      </c>
      <c r="CD6" t="e">
        <f>AND('Planilla_General_29-11-2012_10_'!A81,"AAAAAH7v21E=")</f>
        <v>#VALUE!</v>
      </c>
      <c r="CE6" t="e">
        <f>AND('Planilla_General_29-11-2012_10_'!B81,"AAAAAH7v21I=")</f>
        <v>#VALUE!</v>
      </c>
      <c r="CF6" t="e">
        <f>AND('Planilla_General_29-11-2012_10_'!C81,"AAAAAH7v21M=")</f>
        <v>#VALUE!</v>
      </c>
      <c r="CG6" t="e">
        <f>AND('Planilla_General_29-11-2012_10_'!D81,"AAAAAH7v21Q=")</f>
        <v>#VALUE!</v>
      </c>
      <c r="CH6" t="e">
        <f>AND('Planilla_General_29-11-2012_10_'!E81,"AAAAAH7v21U=")</f>
        <v>#VALUE!</v>
      </c>
      <c r="CI6" t="e">
        <f>AND('Planilla_General_29-11-2012_10_'!F81,"AAAAAH7v21Y=")</f>
        <v>#VALUE!</v>
      </c>
      <c r="CJ6" t="e">
        <f>AND('Planilla_General_29-11-2012_10_'!G81,"AAAAAH7v21c=")</f>
        <v>#VALUE!</v>
      </c>
      <c r="CK6" t="e">
        <f>AND('Planilla_General_29-11-2012_10_'!H81,"AAAAAH7v21g=")</f>
        <v>#VALUE!</v>
      </c>
      <c r="CL6" t="e">
        <f>AND('Planilla_General_29-11-2012_10_'!I81,"AAAAAH7v21k=")</f>
        <v>#VALUE!</v>
      </c>
      <c r="CM6" t="e">
        <f>AND('Planilla_General_29-11-2012_10_'!J81,"AAAAAH7v21o=")</f>
        <v>#VALUE!</v>
      </c>
      <c r="CN6" t="e">
        <f>AND('Planilla_General_29-11-2012_10_'!K81,"AAAAAH7v21s=")</f>
        <v>#VALUE!</v>
      </c>
      <c r="CO6" t="e">
        <f>AND('Planilla_General_29-11-2012_10_'!L81,"AAAAAH7v21w=")</f>
        <v>#VALUE!</v>
      </c>
      <c r="CP6" t="e">
        <f>AND('Planilla_General_29-11-2012_10_'!M81,"AAAAAH7v210=")</f>
        <v>#VALUE!</v>
      </c>
      <c r="CQ6" t="e">
        <f>AND('Planilla_General_29-11-2012_10_'!N81,"AAAAAH7v214=")</f>
        <v>#VALUE!</v>
      </c>
      <c r="CR6" t="e">
        <f>AND('Planilla_General_29-11-2012_10_'!O81,"AAAAAH7v218=")</f>
        <v>#VALUE!</v>
      </c>
      <c r="CS6" t="e">
        <f>AND('Planilla_General_29-11-2012_10_'!P81,"AAAAAH7v22A=")</f>
        <v>#VALUE!</v>
      </c>
      <c r="CT6">
        <f>IF('Planilla_General_29-11-2012_10_'!82:82,"AAAAAH7v22E=",0)</f>
        <v>0</v>
      </c>
      <c r="CU6" t="e">
        <f>AND('Planilla_General_29-11-2012_10_'!A82,"AAAAAH7v22I=")</f>
        <v>#VALUE!</v>
      </c>
      <c r="CV6" t="e">
        <f>AND('Planilla_General_29-11-2012_10_'!B82,"AAAAAH7v22M=")</f>
        <v>#VALUE!</v>
      </c>
      <c r="CW6" t="e">
        <f>AND('Planilla_General_29-11-2012_10_'!C82,"AAAAAH7v22Q=")</f>
        <v>#VALUE!</v>
      </c>
      <c r="CX6" t="e">
        <f>AND('Planilla_General_29-11-2012_10_'!D82,"AAAAAH7v22U=")</f>
        <v>#VALUE!</v>
      </c>
      <c r="CY6" t="e">
        <f>AND('Planilla_General_29-11-2012_10_'!E82,"AAAAAH7v22Y=")</f>
        <v>#VALUE!</v>
      </c>
      <c r="CZ6" t="e">
        <f>AND('Planilla_General_29-11-2012_10_'!F82,"AAAAAH7v22c=")</f>
        <v>#VALUE!</v>
      </c>
      <c r="DA6" t="e">
        <f>AND('Planilla_General_29-11-2012_10_'!G82,"AAAAAH7v22g=")</f>
        <v>#VALUE!</v>
      </c>
      <c r="DB6" t="e">
        <f>AND('Planilla_General_29-11-2012_10_'!H82,"AAAAAH7v22k=")</f>
        <v>#VALUE!</v>
      </c>
      <c r="DC6" t="e">
        <f>AND('Planilla_General_29-11-2012_10_'!I82,"AAAAAH7v22o=")</f>
        <v>#VALUE!</v>
      </c>
      <c r="DD6" t="e">
        <f>AND('Planilla_General_29-11-2012_10_'!J82,"AAAAAH7v22s=")</f>
        <v>#VALUE!</v>
      </c>
      <c r="DE6" t="e">
        <f>AND('Planilla_General_29-11-2012_10_'!K82,"AAAAAH7v22w=")</f>
        <v>#VALUE!</v>
      </c>
      <c r="DF6" t="e">
        <f>AND('Planilla_General_29-11-2012_10_'!L82,"AAAAAH7v220=")</f>
        <v>#VALUE!</v>
      </c>
      <c r="DG6" t="e">
        <f>AND('Planilla_General_29-11-2012_10_'!M82,"AAAAAH7v224=")</f>
        <v>#VALUE!</v>
      </c>
      <c r="DH6" t="e">
        <f>AND('Planilla_General_29-11-2012_10_'!N82,"AAAAAH7v228=")</f>
        <v>#VALUE!</v>
      </c>
      <c r="DI6" t="e">
        <f>AND('Planilla_General_29-11-2012_10_'!O82,"AAAAAH7v23A=")</f>
        <v>#VALUE!</v>
      </c>
      <c r="DJ6" t="e">
        <f>AND('Planilla_General_29-11-2012_10_'!P82,"AAAAAH7v23E=")</f>
        <v>#VALUE!</v>
      </c>
      <c r="DK6">
        <f>IF('Planilla_General_29-11-2012_10_'!83:83,"AAAAAH7v23I=",0)</f>
        <v>0</v>
      </c>
      <c r="DL6" t="e">
        <f>AND('Planilla_General_29-11-2012_10_'!A83,"AAAAAH7v23M=")</f>
        <v>#VALUE!</v>
      </c>
      <c r="DM6" t="e">
        <f>AND('Planilla_General_29-11-2012_10_'!B83,"AAAAAH7v23Q=")</f>
        <v>#VALUE!</v>
      </c>
      <c r="DN6" t="e">
        <f>AND('Planilla_General_29-11-2012_10_'!C83,"AAAAAH7v23U=")</f>
        <v>#VALUE!</v>
      </c>
      <c r="DO6" t="e">
        <f>AND('Planilla_General_29-11-2012_10_'!D83,"AAAAAH7v23Y=")</f>
        <v>#VALUE!</v>
      </c>
      <c r="DP6" t="e">
        <f>AND('Planilla_General_29-11-2012_10_'!E83,"AAAAAH7v23c=")</f>
        <v>#VALUE!</v>
      </c>
      <c r="DQ6" t="e">
        <f>AND('Planilla_General_29-11-2012_10_'!F83,"AAAAAH7v23g=")</f>
        <v>#VALUE!</v>
      </c>
      <c r="DR6" t="e">
        <f>AND('Planilla_General_29-11-2012_10_'!G83,"AAAAAH7v23k=")</f>
        <v>#VALUE!</v>
      </c>
      <c r="DS6" t="e">
        <f>AND('Planilla_General_29-11-2012_10_'!H83,"AAAAAH7v23o=")</f>
        <v>#VALUE!</v>
      </c>
      <c r="DT6" t="e">
        <f>AND('Planilla_General_29-11-2012_10_'!I83,"AAAAAH7v23s=")</f>
        <v>#VALUE!</v>
      </c>
      <c r="DU6" t="e">
        <f>AND('Planilla_General_29-11-2012_10_'!J83,"AAAAAH7v23w=")</f>
        <v>#VALUE!</v>
      </c>
      <c r="DV6" t="e">
        <f>AND('Planilla_General_29-11-2012_10_'!K83,"AAAAAH7v230=")</f>
        <v>#VALUE!</v>
      </c>
      <c r="DW6" t="e">
        <f>AND('Planilla_General_29-11-2012_10_'!L83,"AAAAAH7v234=")</f>
        <v>#VALUE!</v>
      </c>
      <c r="DX6" t="e">
        <f>AND('Planilla_General_29-11-2012_10_'!M83,"AAAAAH7v238=")</f>
        <v>#VALUE!</v>
      </c>
      <c r="DY6" t="e">
        <f>AND('Planilla_General_29-11-2012_10_'!N83,"AAAAAH7v24A=")</f>
        <v>#VALUE!</v>
      </c>
      <c r="DZ6" t="e">
        <f>AND('Planilla_General_29-11-2012_10_'!O83,"AAAAAH7v24E=")</f>
        <v>#VALUE!</v>
      </c>
      <c r="EA6" t="e">
        <f>AND('Planilla_General_29-11-2012_10_'!P83,"AAAAAH7v24I=")</f>
        <v>#VALUE!</v>
      </c>
      <c r="EB6">
        <f>IF('Planilla_General_29-11-2012_10_'!84:84,"AAAAAH7v24M=",0)</f>
        <v>0</v>
      </c>
      <c r="EC6" t="e">
        <f>AND('Planilla_General_29-11-2012_10_'!A84,"AAAAAH7v24Q=")</f>
        <v>#VALUE!</v>
      </c>
      <c r="ED6" t="e">
        <f>AND('Planilla_General_29-11-2012_10_'!B84,"AAAAAH7v24U=")</f>
        <v>#VALUE!</v>
      </c>
      <c r="EE6" t="e">
        <f>AND('Planilla_General_29-11-2012_10_'!C84,"AAAAAH7v24Y=")</f>
        <v>#VALUE!</v>
      </c>
      <c r="EF6" t="e">
        <f>AND('Planilla_General_29-11-2012_10_'!D84,"AAAAAH7v24c=")</f>
        <v>#VALUE!</v>
      </c>
      <c r="EG6" t="e">
        <f>AND('Planilla_General_29-11-2012_10_'!E84,"AAAAAH7v24g=")</f>
        <v>#VALUE!</v>
      </c>
      <c r="EH6" t="e">
        <f>AND('Planilla_General_29-11-2012_10_'!F84,"AAAAAH7v24k=")</f>
        <v>#VALUE!</v>
      </c>
      <c r="EI6" t="e">
        <f>AND('Planilla_General_29-11-2012_10_'!G84,"AAAAAH7v24o=")</f>
        <v>#VALUE!</v>
      </c>
      <c r="EJ6" t="e">
        <f>AND('Planilla_General_29-11-2012_10_'!H84,"AAAAAH7v24s=")</f>
        <v>#VALUE!</v>
      </c>
      <c r="EK6" t="e">
        <f>AND('Planilla_General_29-11-2012_10_'!I84,"AAAAAH7v24w=")</f>
        <v>#VALUE!</v>
      </c>
      <c r="EL6" t="e">
        <f>AND('Planilla_General_29-11-2012_10_'!J84,"AAAAAH7v240=")</f>
        <v>#VALUE!</v>
      </c>
      <c r="EM6" t="e">
        <f>AND('Planilla_General_29-11-2012_10_'!K84,"AAAAAH7v244=")</f>
        <v>#VALUE!</v>
      </c>
      <c r="EN6" t="e">
        <f>AND('Planilla_General_29-11-2012_10_'!L84,"AAAAAH7v248=")</f>
        <v>#VALUE!</v>
      </c>
      <c r="EO6" t="e">
        <f>AND('Planilla_General_29-11-2012_10_'!M84,"AAAAAH7v25A=")</f>
        <v>#VALUE!</v>
      </c>
      <c r="EP6" t="e">
        <f>AND('Planilla_General_29-11-2012_10_'!N84,"AAAAAH7v25E=")</f>
        <v>#VALUE!</v>
      </c>
      <c r="EQ6" t="e">
        <f>AND('Planilla_General_29-11-2012_10_'!O84,"AAAAAH7v25I=")</f>
        <v>#VALUE!</v>
      </c>
      <c r="ER6" t="e">
        <f>AND('Planilla_General_29-11-2012_10_'!P84,"AAAAAH7v25M=")</f>
        <v>#VALUE!</v>
      </c>
      <c r="ES6">
        <f>IF('Planilla_General_29-11-2012_10_'!85:85,"AAAAAH7v25Q=",0)</f>
        <v>0</v>
      </c>
      <c r="ET6" t="e">
        <f>AND('Planilla_General_29-11-2012_10_'!A85,"AAAAAH7v25U=")</f>
        <v>#VALUE!</v>
      </c>
      <c r="EU6" t="e">
        <f>AND('Planilla_General_29-11-2012_10_'!B85,"AAAAAH7v25Y=")</f>
        <v>#VALUE!</v>
      </c>
      <c r="EV6" t="e">
        <f>AND('Planilla_General_29-11-2012_10_'!C85,"AAAAAH7v25c=")</f>
        <v>#VALUE!</v>
      </c>
      <c r="EW6" t="e">
        <f>AND('Planilla_General_29-11-2012_10_'!D85,"AAAAAH7v25g=")</f>
        <v>#VALUE!</v>
      </c>
      <c r="EX6" t="e">
        <f>AND('Planilla_General_29-11-2012_10_'!E85,"AAAAAH7v25k=")</f>
        <v>#VALUE!</v>
      </c>
      <c r="EY6" t="e">
        <f>AND('Planilla_General_29-11-2012_10_'!F85,"AAAAAH7v25o=")</f>
        <v>#VALUE!</v>
      </c>
      <c r="EZ6" t="e">
        <f>AND('Planilla_General_29-11-2012_10_'!G85,"AAAAAH7v25s=")</f>
        <v>#VALUE!</v>
      </c>
      <c r="FA6" t="e">
        <f>AND('Planilla_General_29-11-2012_10_'!H85,"AAAAAH7v25w=")</f>
        <v>#VALUE!</v>
      </c>
      <c r="FB6" t="e">
        <f>AND('Planilla_General_29-11-2012_10_'!I85,"AAAAAH7v250=")</f>
        <v>#VALUE!</v>
      </c>
      <c r="FC6" t="e">
        <f>AND('Planilla_General_29-11-2012_10_'!J85,"AAAAAH7v254=")</f>
        <v>#VALUE!</v>
      </c>
      <c r="FD6" t="e">
        <f>AND('Planilla_General_29-11-2012_10_'!K85,"AAAAAH7v258=")</f>
        <v>#VALUE!</v>
      </c>
      <c r="FE6" t="e">
        <f>AND('Planilla_General_29-11-2012_10_'!L85,"AAAAAH7v26A=")</f>
        <v>#VALUE!</v>
      </c>
      <c r="FF6" t="e">
        <f>AND('Planilla_General_29-11-2012_10_'!M85,"AAAAAH7v26E=")</f>
        <v>#VALUE!</v>
      </c>
      <c r="FG6" t="e">
        <f>AND('Planilla_General_29-11-2012_10_'!N85,"AAAAAH7v26I=")</f>
        <v>#VALUE!</v>
      </c>
      <c r="FH6" t="e">
        <f>AND('Planilla_General_29-11-2012_10_'!O85,"AAAAAH7v26M=")</f>
        <v>#VALUE!</v>
      </c>
      <c r="FI6" t="e">
        <f>AND('Planilla_General_29-11-2012_10_'!P85,"AAAAAH7v26Q=")</f>
        <v>#VALUE!</v>
      </c>
      <c r="FJ6">
        <f>IF('Planilla_General_29-11-2012_10_'!86:86,"AAAAAH7v26U=",0)</f>
        <v>0</v>
      </c>
      <c r="FK6" t="e">
        <f>AND('Planilla_General_29-11-2012_10_'!A86,"AAAAAH7v26Y=")</f>
        <v>#VALUE!</v>
      </c>
      <c r="FL6" t="e">
        <f>AND('Planilla_General_29-11-2012_10_'!B86,"AAAAAH7v26c=")</f>
        <v>#VALUE!</v>
      </c>
      <c r="FM6" t="e">
        <f>AND('Planilla_General_29-11-2012_10_'!C86,"AAAAAH7v26g=")</f>
        <v>#VALUE!</v>
      </c>
      <c r="FN6" t="e">
        <f>AND('Planilla_General_29-11-2012_10_'!D86,"AAAAAH7v26k=")</f>
        <v>#VALUE!</v>
      </c>
      <c r="FO6" t="e">
        <f>AND('Planilla_General_29-11-2012_10_'!E86,"AAAAAH7v26o=")</f>
        <v>#VALUE!</v>
      </c>
      <c r="FP6" t="e">
        <f>AND('Planilla_General_29-11-2012_10_'!F86,"AAAAAH7v26s=")</f>
        <v>#VALUE!</v>
      </c>
      <c r="FQ6" t="e">
        <f>AND('Planilla_General_29-11-2012_10_'!G86,"AAAAAH7v26w=")</f>
        <v>#VALUE!</v>
      </c>
      <c r="FR6" t="e">
        <f>AND('Planilla_General_29-11-2012_10_'!H86,"AAAAAH7v260=")</f>
        <v>#VALUE!</v>
      </c>
      <c r="FS6" t="e">
        <f>AND('Planilla_General_29-11-2012_10_'!I86,"AAAAAH7v264=")</f>
        <v>#VALUE!</v>
      </c>
      <c r="FT6" t="e">
        <f>AND('Planilla_General_29-11-2012_10_'!J86,"AAAAAH7v268=")</f>
        <v>#VALUE!</v>
      </c>
      <c r="FU6" t="e">
        <f>AND('Planilla_General_29-11-2012_10_'!K86,"AAAAAH7v27A=")</f>
        <v>#VALUE!</v>
      </c>
      <c r="FV6" t="e">
        <f>AND('Planilla_General_29-11-2012_10_'!L86,"AAAAAH7v27E=")</f>
        <v>#VALUE!</v>
      </c>
      <c r="FW6" t="e">
        <f>AND('Planilla_General_29-11-2012_10_'!M86,"AAAAAH7v27I=")</f>
        <v>#VALUE!</v>
      </c>
      <c r="FX6" t="e">
        <f>AND('Planilla_General_29-11-2012_10_'!N86,"AAAAAH7v27M=")</f>
        <v>#VALUE!</v>
      </c>
      <c r="FY6" t="e">
        <f>AND('Planilla_General_29-11-2012_10_'!O86,"AAAAAH7v27Q=")</f>
        <v>#VALUE!</v>
      </c>
      <c r="FZ6" t="e">
        <f>AND('Planilla_General_29-11-2012_10_'!P86,"AAAAAH7v27U=")</f>
        <v>#VALUE!</v>
      </c>
      <c r="GA6">
        <f>IF('Planilla_General_29-11-2012_10_'!87:87,"AAAAAH7v27Y=",0)</f>
        <v>0</v>
      </c>
      <c r="GB6" t="e">
        <f>AND('Planilla_General_29-11-2012_10_'!A87,"AAAAAH7v27c=")</f>
        <v>#VALUE!</v>
      </c>
      <c r="GC6" t="e">
        <f>AND('Planilla_General_29-11-2012_10_'!B87,"AAAAAH7v27g=")</f>
        <v>#VALUE!</v>
      </c>
      <c r="GD6" t="e">
        <f>AND('Planilla_General_29-11-2012_10_'!C87,"AAAAAH7v27k=")</f>
        <v>#VALUE!</v>
      </c>
      <c r="GE6" t="e">
        <f>AND('Planilla_General_29-11-2012_10_'!D87,"AAAAAH7v27o=")</f>
        <v>#VALUE!</v>
      </c>
      <c r="GF6" t="e">
        <f>AND('Planilla_General_29-11-2012_10_'!E87,"AAAAAH7v27s=")</f>
        <v>#VALUE!</v>
      </c>
      <c r="GG6" t="e">
        <f>AND('Planilla_General_29-11-2012_10_'!F87,"AAAAAH7v27w=")</f>
        <v>#VALUE!</v>
      </c>
      <c r="GH6" t="e">
        <f>AND('Planilla_General_29-11-2012_10_'!G87,"AAAAAH7v270=")</f>
        <v>#VALUE!</v>
      </c>
      <c r="GI6" t="e">
        <f>AND('Planilla_General_29-11-2012_10_'!H87,"AAAAAH7v274=")</f>
        <v>#VALUE!</v>
      </c>
      <c r="GJ6" t="e">
        <f>AND('Planilla_General_29-11-2012_10_'!I87,"AAAAAH7v278=")</f>
        <v>#VALUE!</v>
      </c>
      <c r="GK6" t="e">
        <f>AND('Planilla_General_29-11-2012_10_'!J87,"AAAAAH7v28A=")</f>
        <v>#VALUE!</v>
      </c>
      <c r="GL6" t="e">
        <f>AND('Planilla_General_29-11-2012_10_'!K87,"AAAAAH7v28E=")</f>
        <v>#VALUE!</v>
      </c>
      <c r="GM6" t="e">
        <f>AND('Planilla_General_29-11-2012_10_'!L87,"AAAAAH7v28I=")</f>
        <v>#VALUE!</v>
      </c>
      <c r="GN6" t="e">
        <f>AND('Planilla_General_29-11-2012_10_'!M87,"AAAAAH7v28M=")</f>
        <v>#VALUE!</v>
      </c>
      <c r="GO6" t="e">
        <f>AND('Planilla_General_29-11-2012_10_'!N87,"AAAAAH7v28Q=")</f>
        <v>#VALUE!</v>
      </c>
      <c r="GP6" t="e">
        <f>AND('Planilla_General_29-11-2012_10_'!O87,"AAAAAH7v28U=")</f>
        <v>#VALUE!</v>
      </c>
      <c r="GQ6" t="e">
        <f>AND('Planilla_General_29-11-2012_10_'!P87,"AAAAAH7v28Y=")</f>
        <v>#VALUE!</v>
      </c>
      <c r="GR6">
        <f>IF('Planilla_General_29-11-2012_10_'!88:88,"AAAAAH7v28c=",0)</f>
        <v>0</v>
      </c>
      <c r="GS6" t="e">
        <f>AND('Planilla_General_29-11-2012_10_'!A88,"AAAAAH7v28g=")</f>
        <v>#VALUE!</v>
      </c>
      <c r="GT6" t="e">
        <f>AND('Planilla_General_29-11-2012_10_'!B88,"AAAAAH7v28k=")</f>
        <v>#VALUE!</v>
      </c>
      <c r="GU6" t="e">
        <f>AND('Planilla_General_29-11-2012_10_'!C88,"AAAAAH7v28o=")</f>
        <v>#VALUE!</v>
      </c>
      <c r="GV6" t="e">
        <f>AND('Planilla_General_29-11-2012_10_'!D88,"AAAAAH7v28s=")</f>
        <v>#VALUE!</v>
      </c>
      <c r="GW6" t="e">
        <f>AND('Planilla_General_29-11-2012_10_'!E88,"AAAAAH7v28w=")</f>
        <v>#VALUE!</v>
      </c>
      <c r="GX6" t="e">
        <f>AND('Planilla_General_29-11-2012_10_'!F88,"AAAAAH7v280=")</f>
        <v>#VALUE!</v>
      </c>
      <c r="GY6" t="e">
        <f>AND('Planilla_General_29-11-2012_10_'!G88,"AAAAAH7v284=")</f>
        <v>#VALUE!</v>
      </c>
      <c r="GZ6" t="e">
        <f>AND('Planilla_General_29-11-2012_10_'!H88,"AAAAAH7v288=")</f>
        <v>#VALUE!</v>
      </c>
      <c r="HA6" t="e">
        <f>AND('Planilla_General_29-11-2012_10_'!I88,"AAAAAH7v29A=")</f>
        <v>#VALUE!</v>
      </c>
      <c r="HB6" t="e">
        <f>AND('Planilla_General_29-11-2012_10_'!J88,"AAAAAH7v29E=")</f>
        <v>#VALUE!</v>
      </c>
      <c r="HC6" t="e">
        <f>AND('Planilla_General_29-11-2012_10_'!K88,"AAAAAH7v29I=")</f>
        <v>#VALUE!</v>
      </c>
      <c r="HD6" t="e">
        <f>AND('Planilla_General_29-11-2012_10_'!L88,"AAAAAH7v29M=")</f>
        <v>#VALUE!</v>
      </c>
      <c r="HE6" t="e">
        <f>AND('Planilla_General_29-11-2012_10_'!M88,"AAAAAH7v29Q=")</f>
        <v>#VALUE!</v>
      </c>
      <c r="HF6" t="e">
        <f>AND('Planilla_General_29-11-2012_10_'!N88,"AAAAAH7v29U=")</f>
        <v>#VALUE!</v>
      </c>
      <c r="HG6" t="e">
        <f>AND('Planilla_General_29-11-2012_10_'!O88,"AAAAAH7v29Y=")</f>
        <v>#VALUE!</v>
      </c>
      <c r="HH6" t="e">
        <f>AND('Planilla_General_29-11-2012_10_'!P88,"AAAAAH7v29c=")</f>
        <v>#VALUE!</v>
      </c>
      <c r="HI6">
        <f>IF('Planilla_General_29-11-2012_10_'!89:89,"AAAAAH7v29g=",0)</f>
        <v>0</v>
      </c>
      <c r="HJ6" t="e">
        <f>AND('Planilla_General_29-11-2012_10_'!A89,"AAAAAH7v29k=")</f>
        <v>#VALUE!</v>
      </c>
      <c r="HK6" t="e">
        <f>AND('Planilla_General_29-11-2012_10_'!B89,"AAAAAH7v29o=")</f>
        <v>#VALUE!</v>
      </c>
      <c r="HL6" t="e">
        <f>AND('Planilla_General_29-11-2012_10_'!C89,"AAAAAH7v29s=")</f>
        <v>#VALUE!</v>
      </c>
      <c r="HM6" t="e">
        <f>AND('Planilla_General_29-11-2012_10_'!D89,"AAAAAH7v29w=")</f>
        <v>#VALUE!</v>
      </c>
      <c r="HN6" t="e">
        <f>AND('Planilla_General_29-11-2012_10_'!E89,"AAAAAH7v290=")</f>
        <v>#VALUE!</v>
      </c>
      <c r="HO6" t="e">
        <f>AND('Planilla_General_29-11-2012_10_'!F89,"AAAAAH7v294=")</f>
        <v>#VALUE!</v>
      </c>
      <c r="HP6" t="e">
        <f>AND('Planilla_General_29-11-2012_10_'!G89,"AAAAAH7v298=")</f>
        <v>#VALUE!</v>
      </c>
      <c r="HQ6" t="e">
        <f>AND('Planilla_General_29-11-2012_10_'!H89,"AAAAAH7v2+A=")</f>
        <v>#VALUE!</v>
      </c>
      <c r="HR6" t="e">
        <f>AND('Planilla_General_29-11-2012_10_'!I89,"AAAAAH7v2+E=")</f>
        <v>#VALUE!</v>
      </c>
      <c r="HS6" t="e">
        <f>AND('Planilla_General_29-11-2012_10_'!J89,"AAAAAH7v2+I=")</f>
        <v>#VALUE!</v>
      </c>
      <c r="HT6" t="e">
        <f>AND('Planilla_General_29-11-2012_10_'!K89,"AAAAAH7v2+M=")</f>
        <v>#VALUE!</v>
      </c>
      <c r="HU6" t="e">
        <f>AND('Planilla_General_29-11-2012_10_'!L89,"AAAAAH7v2+Q=")</f>
        <v>#VALUE!</v>
      </c>
      <c r="HV6" t="e">
        <f>AND('Planilla_General_29-11-2012_10_'!M89,"AAAAAH7v2+U=")</f>
        <v>#VALUE!</v>
      </c>
      <c r="HW6" t="e">
        <f>AND('Planilla_General_29-11-2012_10_'!N89,"AAAAAH7v2+Y=")</f>
        <v>#VALUE!</v>
      </c>
      <c r="HX6" t="e">
        <f>AND('Planilla_General_29-11-2012_10_'!O89,"AAAAAH7v2+c=")</f>
        <v>#VALUE!</v>
      </c>
      <c r="HY6" t="e">
        <f>AND('Planilla_General_29-11-2012_10_'!P89,"AAAAAH7v2+g=")</f>
        <v>#VALUE!</v>
      </c>
      <c r="HZ6">
        <f>IF('Planilla_General_29-11-2012_10_'!90:90,"AAAAAH7v2+k=",0)</f>
        <v>0</v>
      </c>
      <c r="IA6" t="e">
        <f>AND('Planilla_General_29-11-2012_10_'!A90,"AAAAAH7v2+o=")</f>
        <v>#VALUE!</v>
      </c>
      <c r="IB6" t="e">
        <f>AND('Planilla_General_29-11-2012_10_'!B90,"AAAAAH7v2+s=")</f>
        <v>#VALUE!</v>
      </c>
      <c r="IC6" t="e">
        <f>AND('Planilla_General_29-11-2012_10_'!C90,"AAAAAH7v2+w=")</f>
        <v>#VALUE!</v>
      </c>
      <c r="ID6" t="e">
        <f>AND('Planilla_General_29-11-2012_10_'!D90,"AAAAAH7v2+0=")</f>
        <v>#VALUE!</v>
      </c>
      <c r="IE6" t="e">
        <f>AND('Planilla_General_29-11-2012_10_'!E90,"AAAAAH7v2+4=")</f>
        <v>#VALUE!</v>
      </c>
      <c r="IF6" t="e">
        <f>AND('Planilla_General_29-11-2012_10_'!F90,"AAAAAH7v2+8=")</f>
        <v>#VALUE!</v>
      </c>
      <c r="IG6" t="e">
        <f>AND('Planilla_General_29-11-2012_10_'!G90,"AAAAAH7v2/A=")</f>
        <v>#VALUE!</v>
      </c>
      <c r="IH6" t="e">
        <f>AND('Planilla_General_29-11-2012_10_'!H90,"AAAAAH7v2/E=")</f>
        <v>#VALUE!</v>
      </c>
      <c r="II6" t="e">
        <f>AND('Planilla_General_29-11-2012_10_'!I90,"AAAAAH7v2/I=")</f>
        <v>#VALUE!</v>
      </c>
      <c r="IJ6" t="e">
        <f>AND('Planilla_General_29-11-2012_10_'!J90,"AAAAAH7v2/M=")</f>
        <v>#VALUE!</v>
      </c>
      <c r="IK6" t="e">
        <f>AND('Planilla_General_29-11-2012_10_'!K90,"AAAAAH7v2/Q=")</f>
        <v>#VALUE!</v>
      </c>
      <c r="IL6" t="e">
        <f>AND('Planilla_General_29-11-2012_10_'!L90,"AAAAAH7v2/U=")</f>
        <v>#VALUE!</v>
      </c>
      <c r="IM6" t="e">
        <f>AND('Planilla_General_29-11-2012_10_'!M90,"AAAAAH7v2/Y=")</f>
        <v>#VALUE!</v>
      </c>
      <c r="IN6" t="e">
        <f>AND('Planilla_General_29-11-2012_10_'!N90,"AAAAAH7v2/c=")</f>
        <v>#VALUE!</v>
      </c>
      <c r="IO6" t="e">
        <f>AND('Planilla_General_29-11-2012_10_'!O90,"AAAAAH7v2/g=")</f>
        <v>#VALUE!</v>
      </c>
      <c r="IP6" t="e">
        <f>AND('Planilla_General_29-11-2012_10_'!P90,"AAAAAH7v2/k=")</f>
        <v>#VALUE!</v>
      </c>
      <c r="IQ6">
        <f>IF('Planilla_General_29-11-2012_10_'!91:91,"AAAAAH7v2/o=",0)</f>
        <v>0</v>
      </c>
      <c r="IR6" t="e">
        <f>AND('Planilla_General_29-11-2012_10_'!A91,"AAAAAH7v2/s=")</f>
        <v>#VALUE!</v>
      </c>
      <c r="IS6" t="e">
        <f>AND('Planilla_General_29-11-2012_10_'!B91,"AAAAAH7v2/w=")</f>
        <v>#VALUE!</v>
      </c>
      <c r="IT6" t="e">
        <f>AND('Planilla_General_29-11-2012_10_'!C91,"AAAAAH7v2/0=")</f>
        <v>#VALUE!</v>
      </c>
      <c r="IU6" t="e">
        <f>AND('Planilla_General_29-11-2012_10_'!D91,"AAAAAH7v2/4=")</f>
        <v>#VALUE!</v>
      </c>
      <c r="IV6" t="e">
        <f>AND('Planilla_General_29-11-2012_10_'!E91,"AAAAAH7v2/8=")</f>
        <v>#VALUE!</v>
      </c>
    </row>
    <row r="7" spans="1:256" x14ac:dyDescent="0.25">
      <c r="A7" t="e">
        <f>AND('Planilla_General_29-11-2012_10_'!F91,"AAAAAD3PvQA=")</f>
        <v>#VALUE!</v>
      </c>
      <c r="B7" t="e">
        <f>AND('Planilla_General_29-11-2012_10_'!G91,"AAAAAD3PvQE=")</f>
        <v>#VALUE!</v>
      </c>
      <c r="C7" t="e">
        <f>AND('Planilla_General_29-11-2012_10_'!H91,"AAAAAD3PvQI=")</f>
        <v>#VALUE!</v>
      </c>
      <c r="D7" t="e">
        <f>AND('Planilla_General_29-11-2012_10_'!I91,"AAAAAD3PvQM=")</f>
        <v>#VALUE!</v>
      </c>
      <c r="E7" t="e">
        <f>AND('Planilla_General_29-11-2012_10_'!J91,"AAAAAD3PvQQ=")</f>
        <v>#VALUE!</v>
      </c>
      <c r="F7" t="e">
        <f>AND('Planilla_General_29-11-2012_10_'!K91,"AAAAAD3PvQU=")</f>
        <v>#VALUE!</v>
      </c>
      <c r="G7" t="e">
        <f>AND('Planilla_General_29-11-2012_10_'!L91,"AAAAAD3PvQY=")</f>
        <v>#VALUE!</v>
      </c>
      <c r="H7" t="e">
        <f>AND('Planilla_General_29-11-2012_10_'!M91,"AAAAAD3PvQc=")</f>
        <v>#VALUE!</v>
      </c>
      <c r="I7" t="e">
        <f>AND('Planilla_General_29-11-2012_10_'!N91,"AAAAAD3PvQg=")</f>
        <v>#VALUE!</v>
      </c>
      <c r="J7" t="e">
        <f>AND('Planilla_General_29-11-2012_10_'!O91,"AAAAAD3PvQk=")</f>
        <v>#VALUE!</v>
      </c>
      <c r="K7" t="e">
        <f>AND('Planilla_General_29-11-2012_10_'!P91,"AAAAAD3PvQo=")</f>
        <v>#VALUE!</v>
      </c>
      <c r="L7" t="str">
        <f>IF('Planilla_General_29-11-2012_10_'!92:92,"AAAAAD3PvQs=",0)</f>
        <v>AAAAAD3PvQs=</v>
      </c>
      <c r="M7" t="e">
        <f>AND('Planilla_General_29-11-2012_10_'!A92,"AAAAAD3PvQw=")</f>
        <v>#VALUE!</v>
      </c>
      <c r="N7" t="e">
        <f>AND('Planilla_General_29-11-2012_10_'!B92,"AAAAAD3PvQ0=")</f>
        <v>#VALUE!</v>
      </c>
      <c r="O7" t="e">
        <f>AND('Planilla_General_29-11-2012_10_'!C92,"AAAAAD3PvQ4=")</f>
        <v>#VALUE!</v>
      </c>
      <c r="P7" t="e">
        <f>AND('Planilla_General_29-11-2012_10_'!D92,"AAAAAD3PvQ8=")</f>
        <v>#VALUE!</v>
      </c>
      <c r="Q7" t="e">
        <f>AND('Planilla_General_29-11-2012_10_'!E92,"AAAAAD3PvRA=")</f>
        <v>#VALUE!</v>
      </c>
      <c r="R7" t="e">
        <f>AND('Planilla_General_29-11-2012_10_'!F92,"AAAAAD3PvRE=")</f>
        <v>#VALUE!</v>
      </c>
      <c r="S7" t="e">
        <f>AND('Planilla_General_29-11-2012_10_'!G92,"AAAAAD3PvRI=")</f>
        <v>#VALUE!</v>
      </c>
      <c r="T7" t="e">
        <f>AND('Planilla_General_29-11-2012_10_'!H92,"AAAAAD3PvRM=")</f>
        <v>#VALUE!</v>
      </c>
      <c r="U7" t="e">
        <f>AND('Planilla_General_29-11-2012_10_'!I92,"AAAAAD3PvRQ=")</f>
        <v>#VALUE!</v>
      </c>
      <c r="V7" t="e">
        <f>AND('Planilla_General_29-11-2012_10_'!J92,"AAAAAD3PvRU=")</f>
        <v>#VALUE!</v>
      </c>
      <c r="W7" t="e">
        <f>AND('Planilla_General_29-11-2012_10_'!K92,"AAAAAD3PvRY=")</f>
        <v>#VALUE!</v>
      </c>
      <c r="X7" t="e">
        <f>AND('Planilla_General_29-11-2012_10_'!L92,"AAAAAD3PvRc=")</f>
        <v>#VALUE!</v>
      </c>
      <c r="Y7" t="e">
        <f>AND('Planilla_General_29-11-2012_10_'!M92,"AAAAAD3PvRg=")</f>
        <v>#VALUE!</v>
      </c>
      <c r="Z7" t="e">
        <f>AND('Planilla_General_29-11-2012_10_'!N92,"AAAAAD3PvRk=")</f>
        <v>#VALUE!</v>
      </c>
      <c r="AA7" t="e">
        <f>AND('Planilla_General_29-11-2012_10_'!O92,"AAAAAD3PvRo=")</f>
        <v>#VALUE!</v>
      </c>
      <c r="AB7" t="e">
        <f>AND('Planilla_General_29-11-2012_10_'!P92,"AAAAAD3PvRs=")</f>
        <v>#VALUE!</v>
      </c>
      <c r="AC7">
        <f>IF('Planilla_General_29-11-2012_10_'!93:93,"AAAAAD3PvRw=",0)</f>
        <v>0</v>
      </c>
      <c r="AD7" t="e">
        <f>AND('Planilla_General_29-11-2012_10_'!A93,"AAAAAD3PvR0=")</f>
        <v>#VALUE!</v>
      </c>
      <c r="AE7" t="e">
        <f>AND('Planilla_General_29-11-2012_10_'!B93,"AAAAAD3PvR4=")</f>
        <v>#VALUE!</v>
      </c>
      <c r="AF7" t="e">
        <f>AND('Planilla_General_29-11-2012_10_'!C93,"AAAAAD3PvR8=")</f>
        <v>#VALUE!</v>
      </c>
      <c r="AG7" t="e">
        <f>AND('Planilla_General_29-11-2012_10_'!D93,"AAAAAD3PvSA=")</f>
        <v>#VALUE!</v>
      </c>
      <c r="AH7" t="e">
        <f>AND('Planilla_General_29-11-2012_10_'!E93,"AAAAAD3PvSE=")</f>
        <v>#VALUE!</v>
      </c>
      <c r="AI7" t="e">
        <f>AND('Planilla_General_29-11-2012_10_'!F93,"AAAAAD3PvSI=")</f>
        <v>#VALUE!</v>
      </c>
      <c r="AJ7" t="e">
        <f>AND('Planilla_General_29-11-2012_10_'!G93,"AAAAAD3PvSM=")</f>
        <v>#VALUE!</v>
      </c>
      <c r="AK7" t="e">
        <f>AND('Planilla_General_29-11-2012_10_'!H93,"AAAAAD3PvSQ=")</f>
        <v>#VALUE!</v>
      </c>
      <c r="AL7" t="e">
        <f>AND('Planilla_General_29-11-2012_10_'!I93,"AAAAAD3PvSU=")</f>
        <v>#VALUE!</v>
      </c>
      <c r="AM7" t="e">
        <f>AND('Planilla_General_29-11-2012_10_'!J93,"AAAAAD3PvSY=")</f>
        <v>#VALUE!</v>
      </c>
      <c r="AN7" t="e">
        <f>AND('Planilla_General_29-11-2012_10_'!K93,"AAAAAD3PvSc=")</f>
        <v>#VALUE!</v>
      </c>
      <c r="AO7" t="e">
        <f>AND('Planilla_General_29-11-2012_10_'!L93,"AAAAAD3PvSg=")</f>
        <v>#VALUE!</v>
      </c>
      <c r="AP7" t="e">
        <f>AND('Planilla_General_29-11-2012_10_'!M93,"AAAAAD3PvSk=")</f>
        <v>#VALUE!</v>
      </c>
      <c r="AQ7" t="e">
        <f>AND('Planilla_General_29-11-2012_10_'!N93,"AAAAAD3PvSo=")</f>
        <v>#VALUE!</v>
      </c>
      <c r="AR7" t="e">
        <f>AND('Planilla_General_29-11-2012_10_'!O93,"AAAAAD3PvSs=")</f>
        <v>#VALUE!</v>
      </c>
      <c r="AS7" t="e">
        <f>AND('Planilla_General_29-11-2012_10_'!P93,"AAAAAD3PvSw=")</f>
        <v>#VALUE!</v>
      </c>
      <c r="AT7">
        <f>IF('Planilla_General_29-11-2012_10_'!94:94,"AAAAAD3PvS0=",0)</f>
        <v>0</v>
      </c>
      <c r="AU7" t="e">
        <f>AND('Planilla_General_29-11-2012_10_'!A94,"AAAAAD3PvS4=")</f>
        <v>#VALUE!</v>
      </c>
      <c r="AV7" t="e">
        <f>AND('Planilla_General_29-11-2012_10_'!B94,"AAAAAD3PvS8=")</f>
        <v>#VALUE!</v>
      </c>
      <c r="AW7" t="e">
        <f>AND('Planilla_General_29-11-2012_10_'!C94,"AAAAAD3PvTA=")</f>
        <v>#VALUE!</v>
      </c>
      <c r="AX7" t="e">
        <f>AND('Planilla_General_29-11-2012_10_'!D94,"AAAAAD3PvTE=")</f>
        <v>#VALUE!</v>
      </c>
      <c r="AY7" t="e">
        <f>AND('Planilla_General_29-11-2012_10_'!E94,"AAAAAD3PvTI=")</f>
        <v>#VALUE!</v>
      </c>
      <c r="AZ7" t="e">
        <f>AND('Planilla_General_29-11-2012_10_'!F94,"AAAAAD3PvTM=")</f>
        <v>#VALUE!</v>
      </c>
      <c r="BA7" t="e">
        <f>AND('Planilla_General_29-11-2012_10_'!G94,"AAAAAD3PvTQ=")</f>
        <v>#VALUE!</v>
      </c>
      <c r="BB7" t="e">
        <f>AND('Planilla_General_29-11-2012_10_'!H94,"AAAAAD3PvTU=")</f>
        <v>#VALUE!</v>
      </c>
      <c r="BC7" t="e">
        <f>AND('Planilla_General_29-11-2012_10_'!I94,"AAAAAD3PvTY=")</f>
        <v>#VALUE!</v>
      </c>
      <c r="BD7" t="e">
        <f>AND('Planilla_General_29-11-2012_10_'!J94,"AAAAAD3PvTc=")</f>
        <v>#VALUE!</v>
      </c>
      <c r="BE7" t="e">
        <f>AND('Planilla_General_29-11-2012_10_'!K94,"AAAAAD3PvTg=")</f>
        <v>#VALUE!</v>
      </c>
      <c r="BF7" t="e">
        <f>AND('Planilla_General_29-11-2012_10_'!L94,"AAAAAD3PvTk=")</f>
        <v>#VALUE!</v>
      </c>
      <c r="BG7" t="e">
        <f>AND('Planilla_General_29-11-2012_10_'!M94,"AAAAAD3PvTo=")</f>
        <v>#VALUE!</v>
      </c>
      <c r="BH7" t="e">
        <f>AND('Planilla_General_29-11-2012_10_'!N94,"AAAAAD3PvTs=")</f>
        <v>#VALUE!</v>
      </c>
      <c r="BI7" t="e">
        <f>AND('Planilla_General_29-11-2012_10_'!O94,"AAAAAD3PvTw=")</f>
        <v>#VALUE!</v>
      </c>
      <c r="BJ7" t="e">
        <f>AND('Planilla_General_29-11-2012_10_'!P94,"AAAAAD3PvT0=")</f>
        <v>#VALUE!</v>
      </c>
      <c r="BK7">
        <f>IF('Planilla_General_29-11-2012_10_'!95:95,"AAAAAD3PvT4=",0)</f>
        <v>0</v>
      </c>
      <c r="BL7" t="e">
        <f>AND('Planilla_General_29-11-2012_10_'!A95,"AAAAAD3PvT8=")</f>
        <v>#VALUE!</v>
      </c>
      <c r="BM7" t="e">
        <f>AND('Planilla_General_29-11-2012_10_'!B95,"AAAAAD3PvUA=")</f>
        <v>#VALUE!</v>
      </c>
      <c r="BN7" t="e">
        <f>AND('Planilla_General_29-11-2012_10_'!C95,"AAAAAD3PvUE=")</f>
        <v>#VALUE!</v>
      </c>
      <c r="BO7" t="e">
        <f>AND('Planilla_General_29-11-2012_10_'!D95,"AAAAAD3PvUI=")</f>
        <v>#VALUE!</v>
      </c>
      <c r="BP7" t="e">
        <f>AND('Planilla_General_29-11-2012_10_'!E95,"AAAAAD3PvUM=")</f>
        <v>#VALUE!</v>
      </c>
      <c r="BQ7" t="e">
        <f>AND('Planilla_General_29-11-2012_10_'!F95,"AAAAAD3PvUQ=")</f>
        <v>#VALUE!</v>
      </c>
      <c r="BR7" t="e">
        <f>AND('Planilla_General_29-11-2012_10_'!G95,"AAAAAD3PvUU=")</f>
        <v>#VALUE!</v>
      </c>
      <c r="BS7" t="e">
        <f>AND('Planilla_General_29-11-2012_10_'!H95,"AAAAAD3PvUY=")</f>
        <v>#VALUE!</v>
      </c>
      <c r="BT7" t="e">
        <f>AND('Planilla_General_29-11-2012_10_'!I95,"AAAAAD3PvUc=")</f>
        <v>#VALUE!</v>
      </c>
      <c r="BU7" t="e">
        <f>AND('Planilla_General_29-11-2012_10_'!J95,"AAAAAD3PvUg=")</f>
        <v>#VALUE!</v>
      </c>
      <c r="BV7" t="e">
        <f>AND('Planilla_General_29-11-2012_10_'!K95,"AAAAAD3PvUk=")</f>
        <v>#VALUE!</v>
      </c>
      <c r="BW7" t="e">
        <f>AND('Planilla_General_29-11-2012_10_'!L95,"AAAAAD3PvUo=")</f>
        <v>#VALUE!</v>
      </c>
      <c r="BX7" t="e">
        <f>AND('Planilla_General_29-11-2012_10_'!M95,"AAAAAD3PvUs=")</f>
        <v>#VALUE!</v>
      </c>
      <c r="BY7" t="e">
        <f>AND('Planilla_General_29-11-2012_10_'!N95,"AAAAAD3PvUw=")</f>
        <v>#VALUE!</v>
      </c>
      <c r="BZ7" t="e">
        <f>AND('Planilla_General_29-11-2012_10_'!O95,"AAAAAD3PvU0=")</f>
        <v>#VALUE!</v>
      </c>
      <c r="CA7" t="e">
        <f>AND('Planilla_General_29-11-2012_10_'!P95,"AAAAAD3PvU4=")</f>
        <v>#VALUE!</v>
      </c>
      <c r="CB7">
        <f>IF('Planilla_General_29-11-2012_10_'!96:96,"AAAAAD3PvU8=",0)</f>
        <v>0</v>
      </c>
      <c r="CC7" t="e">
        <f>AND('Planilla_General_29-11-2012_10_'!A96,"AAAAAD3PvVA=")</f>
        <v>#VALUE!</v>
      </c>
      <c r="CD7" t="e">
        <f>AND('Planilla_General_29-11-2012_10_'!B96,"AAAAAD3PvVE=")</f>
        <v>#VALUE!</v>
      </c>
      <c r="CE7" t="e">
        <f>AND('Planilla_General_29-11-2012_10_'!C96,"AAAAAD3PvVI=")</f>
        <v>#VALUE!</v>
      </c>
      <c r="CF7" t="e">
        <f>AND('Planilla_General_29-11-2012_10_'!D96,"AAAAAD3PvVM=")</f>
        <v>#VALUE!</v>
      </c>
      <c r="CG7" t="e">
        <f>AND('Planilla_General_29-11-2012_10_'!E96,"AAAAAD3PvVQ=")</f>
        <v>#VALUE!</v>
      </c>
      <c r="CH7" t="e">
        <f>AND('Planilla_General_29-11-2012_10_'!F96,"AAAAAD3PvVU=")</f>
        <v>#VALUE!</v>
      </c>
      <c r="CI7" t="e">
        <f>AND('Planilla_General_29-11-2012_10_'!G96,"AAAAAD3PvVY=")</f>
        <v>#VALUE!</v>
      </c>
      <c r="CJ7" t="e">
        <f>AND('Planilla_General_29-11-2012_10_'!H96,"AAAAAD3PvVc=")</f>
        <v>#VALUE!</v>
      </c>
      <c r="CK7" t="e">
        <f>AND('Planilla_General_29-11-2012_10_'!I96,"AAAAAD3PvVg=")</f>
        <v>#VALUE!</v>
      </c>
      <c r="CL7" t="e">
        <f>AND('Planilla_General_29-11-2012_10_'!J96,"AAAAAD3PvVk=")</f>
        <v>#VALUE!</v>
      </c>
      <c r="CM7" t="e">
        <f>AND('Planilla_General_29-11-2012_10_'!K96,"AAAAAD3PvVo=")</f>
        <v>#VALUE!</v>
      </c>
      <c r="CN7" t="e">
        <f>AND('Planilla_General_29-11-2012_10_'!L96,"AAAAAD3PvVs=")</f>
        <v>#VALUE!</v>
      </c>
      <c r="CO7" t="e">
        <f>AND('Planilla_General_29-11-2012_10_'!M96,"AAAAAD3PvVw=")</f>
        <v>#VALUE!</v>
      </c>
      <c r="CP7" t="e">
        <f>AND('Planilla_General_29-11-2012_10_'!N96,"AAAAAD3PvV0=")</f>
        <v>#VALUE!</v>
      </c>
      <c r="CQ7" t="e">
        <f>AND('Planilla_General_29-11-2012_10_'!O96,"AAAAAD3PvV4=")</f>
        <v>#VALUE!</v>
      </c>
      <c r="CR7" t="e">
        <f>AND('Planilla_General_29-11-2012_10_'!P96,"AAAAAD3PvV8=")</f>
        <v>#VALUE!</v>
      </c>
      <c r="CS7">
        <f>IF('Planilla_General_29-11-2012_10_'!97:97,"AAAAAD3PvWA=",0)</f>
        <v>0</v>
      </c>
      <c r="CT7" t="e">
        <f>AND('Planilla_General_29-11-2012_10_'!A97,"AAAAAD3PvWE=")</f>
        <v>#VALUE!</v>
      </c>
      <c r="CU7" t="e">
        <f>AND('Planilla_General_29-11-2012_10_'!B97,"AAAAAD3PvWI=")</f>
        <v>#VALUE!</v>
      </c>
      <c r="CV7" t="e">
        <f>AND('Planilla_General_29-11-2012_10_'!C97,"AAAAAD3PvWM=")</f>
        <v>#VALUE!</v>
      </c>
      <c r="CW7" t="e">
        <f>AND('Planilla_General_29-11-2012_10_'!D97,"AAAAAD3PvWQ=")</f>
        <v>#VALUE!</v>
      </c>
      <c r="CX7" t="e">
        <f>AND('Planilla_General_29-11-2012_10_'!E97,"AAAAAD3PvWU=")</f>
        <v>#VALUE!</v>
      </c>
      <c r="CY7" t="e">
        <f>AND('Planilla_General_29-11-2012_10_'!F97,"AAAAAD3PvWY=")</f>
        <v>#VALUE!</v>
      </c>
      <c r="CZ7" t="e">
        <f>AND('Planilla_General_29-11-2012_10_'!G97,"AAAAAD3PvWc=")</f>
        <v>#VALUE!</v>
      </c>
      <c r="DA7" t="e">
        <f>AND('Planilla_General_29-11-2012_10_'!H97,"AAAAAD3PvWg=")</f>
        <v>#VALUE!</v>
      </c>
      <c r="DB7" t="e">
        <f>AND('Planilla_General_29-11-2012_10_'!I97,"AAAAAD3PvWk=")</f>
        <v>#VALUE!</v>
      </c>
      <c r="DC7" t="e">
        <f>AND('Planilla_General_29-11-2012_10_'!J97,"AAAAAD3PvWo=")</f>
        <v>#VALUE!</v>
      </c>
      <c r="DD7" t="e">
        <f>AND('Planilla_General_29-11-2012_10_'!K97,"AAAAAD3PvWs=")</f>
        <v>#VALUE!</v>
      </c>
      <c r="DE7" t="e">
        <f>AND('Planilla_General_29-11-2012_10_'!L97,"AAAAAD3PvWw=")</f>
        <v>#VALUE!</v>
      </c>
      <c r="DF7" t="e">
        <f>AND('Planilla_General_29-11-2012_10_'!M97,"AAAAAD3PvW0=")</f>
        <v>#VALUE!</v>
      </c>
      <c r="DG7" t="e">
        <f>AND('Planilla_General_29-11-2012_10_'!N97,"AAAAAD3PvW4=")</f>
        <v>#VALUE!</v>
      </c>
      <c r="DH7" t="e">
        <f>AND('Planilla_General_29-11-2012_10_'!O97,"AAAAAD3PvW8=")</f>
        <v>#VALUE!</v>
      </c>
      <c r="DI7" t="e">
        <f>AND('Planilla_General_29-11-2012_10_'!P97,"AAAAAD3PvXA=")</f>
        <v>#VALUE!</v>
      </c>
      <c r="DJ7">
        <f>IF('Planilla_General_29-11-2012_10_'!98:98,"AAAAAD3PvXE=",0)</f>
        <v>0</v>
      </c>
      <c r="DK7" t="e">
        <f>AND('Planilla_General_29-11-2012_10_'!A98,"AAAAAD3PvXI=")</f>
        <v>#VALUE!</v>
      </c>
      <c r="DL7" t="e">
        <f>AND('Planilla_General_29-11-2012_10_'!B98,"AAAAAD3PvXM=")</f>
        <v>#VALUE!</v>
      </c>
      <c r="DM7" t="e">
        <f>AND('Planilla_General_29-11-2012_10_'!C98,"AAAAAD3PvXQ=")</f>
        <v>#VALUE!</v>
      </c>
      <c r="DN7" t="e">
        <f>AND('Planilla_General_29-11-2012_10_'!D98,"AAAAAD3PvXU=")</f>
        <v>#VALUE!</v>
      </c>
      <c r="DO7" t="e">
        <f>AND('Planilla_General_29-11-2012_10_'!E98,"AAAAAD3PvXY=")</f>
        <v>#VALUE!</v>
      </c>
      <c r="DP7" t="e">
        <f>AND('Planilla_General_29-11-2012_10_'!F98,"AAAAAD3PvXc=")</f>
        <v>#VALUE!</v>
      </c>
      <c r="DQ7" t="e">
        <f>AND('Planilla_General_29-11-2012_10_'!G98,"AAAAAD3PvXg=")</f>
        <v>#VALUE!</v>
      </c>
      <c r="DR7" t="e">
        <f>AND('Planilla_General_29-11-2012_10_'!H98,"AAAAAD3PvXk=")</f>
        <v>#VALUE!</v>
      </c>
      <c r="DS7" t="e">
        <f>AND('Planilla_General_29-11-2012_10_'!I98,"AAAAAD3PvXo=")</f>
        <v>#VALUE!</v>
      </c>
      <c r="DT7" t="e">
        <f>AND('Planilla_General_29-11-2012_10_'!J98,"AAAAAD3PvXs=")</f>
        <v>#VALUE!</v>
      </c>
      <c r="DU7" t="e">
        <f>AND('Planilla_General_29-11-2012_10_'!K98,"AAAAAD3PvXw=")</f>
        <v>#VALUE!</v>
      </c>
      <c r="DV7" t="e">
        <f>AND('Planilla_General_29-11-2012_10_'!L98,"AAAAAD3PvX0=")</f>
        <v>#VALUE!</v>
      </c>
      <c r="DW7" t="e">
        <f>AND('Planilla_General_29-11-2012_10_'!M98,"AAAAAD3PvX4=")</f>
        <v>#VALUE!</v>
      </c>
      <c r="DX7" t="e">
        <f>AND('Planilla_General_29-11-2012_10_'!N98,"AAAAAD3PvX8=")</f>
        <v>#VALUE!</v>
      </c>
      <c r="DY7" t="e">
        <f>AND('Planilla_General_29-11-2012_10_'!O98,"AAAAAD3PvYA=")</f>
        <v>#VALUE!</v>
      </c>
      <c r="DZ7" t="e">
        <f>AND('Planilla_General_29-11-2012_10_'!P98,"AAAAAD3PvYE=")</f>
        <v>#VALUE!</v>
      </c>
      <c r="EA7">
        <f>IF('Planilla_General_29-11-2012_10_'!99:99,"AAAAAD3PvYI=",0)</f>
        <v>0</v>
      </c>
      <c r="EB7" t="e">
        <f>AND('Planilla_General_29-11-2012_10_'!A99,"AAAAAD3PvYM=")</f>
        <v>#VALUE!</v>
      </c>
      <c r="EC7" t="e">
        <f>AND('Planilla_General_29-11-2012_10_'!B99,"AAAAAD3PvYQ=")</f>
        <v>#VALUE!</v>
      </c>
      <c r="ED7" t="e">
        <f>AND('Planilla_General_29-11-2012_10_'!C99,"AAAAAD3PvYU=")</f>
        <v>#VALUE!</v>
      </c>
      <c r="EE7" t="e">
        <f>AND('Planilla_General_29-11-2012_10_'!D99,"AAAAAD3PvYY=")</f>
        <v>#VALUE!</v>
      </c>
      <c r="EF7" t="e">
        <f>AND('Planilla_General_29-11-2012_10_'!E99,"AAAAAD3PvYc=")</f>
        <v>#VALUE!</v>
      </c>
      <c r="EG7" t="e">
        <f>AND('Planilla_General_29-11-2012_10_'!F99,"AAAAAD3PvYg=")</f>
        <v>#VALUE!</v>
      </c>
      <c r="EH7" t="e">
        <f>AND('Planilla_General_29-11-2012_10_'!G99,"AAAAAD3PvYk=")</f>
        <v>#VALUE!</v>
      </c>
      <c r="EI7" t="e">
        <f>AND('Planilla_General_29-11-2012_10_'!H99,"AAAAAD3PvYo=")</f>
        <v>#VALUE!</v>
      </c>
      <c r="EJ7" t="e">
        <f>AND('Planilla_General_29-11-2012_10_'!I99,"AAAAAD3PvYs=")</f>
        <v>#VALUE!</v>
      </c>
      <c r="EK7" t="e">
        <f>AND('Planilla_General_29-11-2012_10_'!J99,"AAAAAD3PvYw=")</f>
        <v>#VALUE!</v>
      </c>
      <c r="EL7" t="e">
        <f>AND('Planilla_General_29-11-2012_10_'!K99,"AAAAAD3PvY0=")</f>
        <v>#VALUE!</v>
      </c>
      <c r="EM7" t="e">
        <f>AND('Planilla_General_29-11-2012_10_'!L99,"AAAAAD3PvY4=")</f>
        <v>#VALUE!</v>
      </c>
      <c r="EN7" t="e">
        <f>AND('Planilla_General_29-11-2012_10_'!M99,"AAAAAD3PvY8=")</f>
        <v>#VALUE!</v>
      </c>
      <c r="EO7" t="e">
        <f>AND('Planilla_General_29-11-2012_10_'!N99,"AAAAAD3PvZA=")</f>
        <v>#VALUE!</v>
      </c>
      <c r="EP7" t="e">
        <f>AND('Planilla_General_29-11-2012_10_'!O99,"AAAAAD3PvZE=")</f>
        <v>#VALUE!</v>
      </c>
      <c r="EQ7" t="e">
        <f>AND('Planilla_General_29-11-2012_10_'!P99,"AAAAAD3PvZI=")</f>
        <v>#VALUE!</v>
      </c>
      <c r="ER7">
        <f>IF('Planilla_General_29-11-2012_10_'!100:100,"AAAAAD3PvZM=",0)</f>
        <v>0</v>
      </c>
      <c r="ES7" t="e">
        <f>AND('Planilla_General_29-11-2012_10_'!A100,"AAAAAD3PvZQ=")</f>
        <v>#VALUE!</v>
      </c>
      <c r="ET7" t="e">
        <f>AND('Planilla_General_29-11-2012_10_'!B100,"AAAAAD3PvZU=")</f>
        <v>#VALUE!</v>
      </c>
      <c r="EU7" t="e">
        <f>AND('Planilla_General_29-11-2012_10_'!C100,"AAAAAD3PvZY=")</f>
        <v>#VALUE!</v>
      </c>
      <c r="EV7" t="e">
        <f>AND('Planilla_General_29-11-2012_10_'!D100,"AAAAAD3PvZc=")</f>
        <v>#VALUE!</v>
      </c>
      <c r="EW7" t="e">
        <f>AND('Planilla_General_29-11-2012_10_'!E100,"AAAAAD3PvZg=")</f>
        <v>#VALUE!</v>
      </c>
      <c r="EX7" t="e">
        <f>AND('Planilla_General_29-11-2012_10_'!F100,"AAAAAD3PvZk=")</f>
        <v>#VALUE!</v>
      </c>
      <c r="EY7" t="e">
        <f>AND('Planilla_General_29-11-2012_10_'!G100,"AAAAAD3PvZo=")</f>
        <v>#VALUE!</v>
      </c>
      <c r="EZ7" t="e">
        <f>AND('Planilla_General_29-11-2012_10_'!H100,"AAAAAD3PvZs=")</f>
        <v>#VALUE!</v>
      </c>
      <c r="FA7" t="e">
        <f>AND('Planilla_General_29-11-2012_10_'!I100,"AAAAAD3PvZw=")</f>
        <v>#VALUE!</v>
      </c>
      <c r="FB7" t="e">
        <f>AND('Planilla_General_29-11-2012_10_'!J100,"AAAAAD3PvZ0=")</f>
        <v>#VALUE!</v>
      </c>
      <c r="FC7" t="e">
        <f>AND('Planilla_General_29-11-2012_10_'!K100,"AAAAAD3PvZ4=")</f>
        <v>#VALUE!</v>
      </c>
      <c r="FD7" t="e">
        <f>AND('Planilla_General_29-11-2012_10_'!L100,"AAAAAD3PvZ8=")</f>
        <v>#VALUE!</v>
      </c>
      <c r="FE7" t="e">
        <f>AND('Planilla_General_29-11-2012_10_'!M100,"AAAAAD3PvaA=")</f>
        <v>#VALUE!</v>
      </c>
      <c r="FF7" t="e">
        <f>AND('Planilla_General_29-11-2012_10_'!N100,"AAAAAD3PvaE=")</f>
        <v>#VALUE!</v>
      </c>
      <c r="FG7" t="e">
        <f>AND('Planilla_General_29-11-2012_10_'!O100,"AAAAAD3PvaI=")</f>
        <v>#VALUE!</v>
      </c>
      <c r="FH7" t="e">
        <f>AND('Planilla_General_29-11-2012_10_'!P100,"AAAAAD3PvaM=")</f>
        <v>#VALUE!</v>
      </c>
      <c r="FI7">
        <f>IF('Planilla_General_29-11-2012_10_'!101:101,"AAAAAD3PvaQ=",0)</f>
        <v>0</v>
      </c>
      <c r="FJ7" t="e">
        <f>AND('Planilla_General_29-11-2012_10_'!A101,"AAAAAD3PvaU=")</f>
        <v>#VALUE!</v>
      </c>
      <c r="FK7" t="e">
        <f>AND('Planilla_General_29-11-2012_10_'!B101,"AAAAAD3PvaY=")</f>
        <v>#VALUE!</v>
      </c>
      <c r="FL7" t="e">
        <f>AND('Planilla_General_29-11-2012_10_'!C101,"AAAAAD3Pvac=")</f>
        <v>#VALUE!</v>
      </c>
      <c r="FM7" t="e">
        <f>AND('Planilla_General_29-11-2012_10_'!D101,"AAAAAD3Pvag=")</f>
        <v>#VALUE!</v>
      </c>
      <c r="FN7" t="e">
        <f>AND('Planilla_General_29-11-2012_10_'!E101,"AAAAAD3Pvak=")</f>
        <v>#VALUE!</v>
      </c>
      <c r="FO7" t="e">
        <f>AND('Planilla_General_29-11-2012_10_'!F101,"AAAAAD3Pvao=")</f>
        <v>#VALUE!</v>
      </c>
      <c r="FP7" t="e">
        <f>AND('Planilla_General_29-11-2012_10_'!G101,"AAAAAD3Pvas=")</f>
        <v>#VALUE!</v>
      </c>
      <c r="FQ7" t="e">
        <f>AND('Planilla_General_29-11-2012_10_'!H101,"AAAAAD3Pvaw=")</f>
        <v>#VALUE!</v>
      </c>
      <c r="FR7" t="e">
        <f>AND('Planilla_General_29-11-2012_10_'!I101,"AAAAAD3Pva0=")</f>
        <v>#VALUE!</v>
      </c>
      <c r="FS7" t="e">
        <f>AND('Planilla_General_29-11-2012_10_'!J101,"AAAAAD3Pva4=")</f>
        <v>#VALUE!</v>
      </c>
      <c r="FT7" t="e">
        <f>AND('Planilla_General_29-11-2012_10_'!K101,"AAAAAD3Pva8=")</f>
        <v>#VALUE!</v>
      </c>
      <c r="FU7" t="e">
        <f>AND('Planilla_General_29-11-2012_10_'!L101,"AAAAAD3PvbA=")</f>
        <v>#VALUE!</v>
      </c>
      <c r="FV7" t="e">
        <f>AND('Planilla_General_29-11-2012_10_'!M101,"AAAAAD3PvbE=")</f>
        <v>#VALUE!</v>
      </c>
      <c r="FW7" t="e">
        <f>AND('Planilla_General_29-11-2012_10_'!N101,"AAAAAD3PvbI=")</f>
        <v>#VALUE!</v>
      </c>
      <c r="FX7" t="e">
        <f>AND('Planilla_General_29-11-2012_10_'!O101,"AAAAAD3PvbM=")</f>
        <v>#VALUE!</v>
      </c>
      <c r="FY7" t="e">
        <f>AND('Planilla_General_29-11-2012_10_'!P101,"AAAAAD3PvbQ=")</f>
        <v>#VALUE!</v>
      </c>
      <c r="FZ7">
        <f>IF('Planilla_General_29-11-2012_10_'!102:102,"AAAAAD3PvbU=",0)</f>
        <v>0</v>
      </c>
      <c r="GA7" t="e">
        <f>AND('Planilla_General_29-11-2012_10_'!A102,"AAAAAD3PvbY=")</f>
        <v>#VALUE!</v>
      </c>
      <c r="GB7" t="e">
        <f>AND('Planilla_General_29-11-2012_10_'!B102,"AAAAAD3Pvbc=")</f>
        <v>#VALUE!</v>
      </c>
      <c r="GC7" t="e">
        <f>AND('Planilla_General_29-11-2012_10_'!C102,"AAAAAD3Pvbg=")</f>
        <v>#VALUE!</v>
      </c>
      <c r="GD7" t="e">
        <f>AND('Planilla_General_29-11-2012_10_'!D102,"AAAAAD3Pvbk=")</f>
        <v>#VALUE!</v>
      </c>
      <c r="GE7" t="e">
        <f>AND('Planilla_General_29-11-2012_10_'!E102,"AAAAAD3Pvbo=")</f>
        <v>#VALUE!</v>
      </c>
      <c r="GF7" t="e">
        <f>AND('Planilla_General_29-11-2012_10_'!F102,"AAAAAD3Pvbs=")</f>
        <v>#VALUE!</v>
      </c>
      <c r="GG7" t="e">
        <f>AND('Planilla_General_29-11-2012_10_'!G102,"AAAAAD3Pvbw=")</f>
        <v>#VALUE!</v>
      </c>
      <c r="GH7" t="e">
        <f>AND('Planilla_General_29-11-2012_10_'!H102,"AAAAAD3Pvb0=")</f>
        <v>#VALUE!</v>
      </c>
      <c r="GI7" t="e">
        <f>AND('Planilla_General_29-11-2012_10_'!I102,"AAAAAD3Pvb4=")</f>
        <v>#VALUE!</v>
      </c>
      <c r="GJ7" t="e">
        <f>AND('Planilla_General_29-11-2012_10_'!J102,"AAAAAD3Pvb8=")</f>
        <v>#VALUE!</v>
      </c>
      <c r="GK7" t="e">
        <f>AND('Planilla_General_29-11-2012_10_'!K102,"AAAAAD3PvcA=")</f>
        <v>#VALUE!</v>
      </c>
      <c r="GL7" t="e">
        <f>AND('Planilla_General_29-11-2012_10_'!L102,"AAAAAD3PvcE=")</f>
        <v>#VALUE!</v>
      </c>
      <c r="GM7" t="e">
        <f>AND('Planilla_General_29-11-2012_10_'!M102,"AAAAAD3PvcI=")</f>
        <v>#VALUE!</v>
      </c>
      <c r="GN7" t="e">
        <f>AND('Planilla_General_29-11-2012_10_'!N102,"AAAAAD3PvcM=")</f>
        <v>#VALUE!</v>
      </c>
      <c r="GO7" t="e">
        <f>AND('Planilla_General_29-11-2012_10_'!O102,"AAAAAD3PvcQ=")</f>
        <v>#VALUE!</v>
      </c>
      <c r="GP7" t="e">
        <f>AND('Planilla_General_29-11-2012_10_'!P102,"AAAAAD3PvcU=")</f>
        <v>#VALUE!</v>
      </c>
      <c r="GQ7">
        <f>IF('Planilla_General_29-11-2012_10_'!103:103,"AAAAAD3PvcY=",0)</f>
        <v>0</v>
      </c>
      <c r="GR7" t="e">
        <f>AND('Planilla_General_29-11-2012_10_'!A103,"AAAAAD3Pvcc=")</f>
        <v>#VALUE!</v>
      </c>
      <c r="GS7" t="e">
        <f>AND('Planilla_General_29-11-2012_10_'!B103,"AAAAAD3Pvcg=")</f>
        <v>#VALUE!</v>
      </c>
      <c r="GT7" t="e">
        <f>AND('Planilla_General_29-11-2012_10_'!C103,"AAAAAD3Pvck=")</f>
        <v>#VALUE!</v>
      </c>
      <c r="GU7" t="e">
        <f>AND('Planilla_General_29-11-2012_10_'!D103,"AAAAAD3Pvco=")</f>
        <v>#VALUE!</v>
      </c>
      <c r="GV7" t="e">
        <f>AND('Planilla_General_29-11-2012_10_'!E103,"AAAAAD3Pvcs=")</f>
        <v>#VALUE!</v>
      </c>
      <c r="GW7" t="e">
        <f>AND('Planilla_General_29-11-2012_10_'!F103,"AAAAAD3Pvcw=")</f>
        <v>#VALUE!</v>
      </c>
      <c r="GX7" t="e">
        <f>AND('Planilla_General_29-11-2012_10_'!G103,"AAAAAD3Pvc0=")</f>
        <v>#VALUE!</v>
      </c>
      <c r="GY7" t="e">
        <f>AND('Planilla_General_29-11-2012_10_'!H103,"AAAAAD3Pvc4=")</f>
        <v>#VALUE!</v>
      </c>
      <c r="GZ7" t="e">
        <f>AND('Planilla_General_29-11-2012_10_'!I103,"AAAAAD3Pvc8=")</f>
        <v>#VALUE!</v>
      </c>
      <c r="HA7" t="e">
        <f>AND('Planilla_General_29-11-2012_10_'!J103,"AAAAAD3PvdA=")</f>
        <v>#VALUE!</v>
      </c>
      <c r="HB7" t="e">
        <f>AND('Planilla_General_29-11-2012_10_'!K103,"AAAAAD3PvdE=")</f>
        <v>#VALUE!</v>
      </c>
      <c r="HC7" t="e">
        <f>AND('Planilla_General_29-11-2012_10_'!L103,"AAAAAD3PvdI=")</f>
        <v>#VALUE!</v>
      </c>
      <c r="HD7" t="e">
        <f>AND('Planilla_General_29-11-2012_10_'!M103,"AAAAAD3PvdM=")</f>
        <v>#VALUE!</v>
      </c>
      <c r="HE7" t="e">
        <f>AND('Planilla_General_29-11-2012_10_'!N103,"AAAAAD3PvdQ=")</f>
        <v>#VALUE!</v>
      </c>
      <c r="HF7" t="e">
        <f>AND('Planilla_General_29-11-2012_10_'!O103,"AAAAAD3PvdU=")</f>
        <v>#VALUE!</v>
      </c>
      <c r="HG7" t="e">
        <f>AND('Planilla_General_29-11-2012_10_'!P103,"AAAAAD3PvdY=")</f>
        <v>#VALUE!</v>
      </c>
      <c r="HH7">
        <f>IF('Planilla_General_29-11-2012_10_'!104:104,"AAAAAD3Pvdc=",0)</f>
        <v>0</v>
      </c>
      <c r="HI7" t="e">
        <f>AND('Planilla_General_29-11-2012_10_'!A104,"AAAAAD3Pvdg=")</f>
        <v>#VALUE!</v>
      </c>
      <c r="HJ7" t="e">
        <f>AND('Planilla_General_29-11-2012_10_'!B104,"AAAAAD3Pvdk=")</f>
        <v>#VALUE!</v>
      </c>
      <c r="HK7" t="e">
        <f>AND('Planilla_General_29-11-2012_10_'!C104,"AAAAAD3Pvdo=")</f>
        <v>#VALUE!</v>
      </c>
      <c r="HL7" t="e">
        <f>AND('Planilla_General_29-11-2012_10_'!D104,"AAAAAD3Pvds=")</f>
        <v>#VALUE!</v>
      </c>
      <c r="HM7" t="e">
        <f>AND('Planilla_General_29-11-2012_10_'!E104,"AAAAAD3Pvdw=")</f>
        <v>#VALUE!</v>
      </c>
      <c r="HN7" t="e">
        <f>AND('Planilla_General_29-11-2012_10_'!F104,"AAAAAD3Pvd0=")</f>
        <v>#VALUE!</v>
      </c>
      <c r="HO7" t="e">
        <f>AND('Planilla_General_29-11-2012_10_'!G104,"AAAAAD3Pvd4=")</f>
        <v>#VALUE!</v>
      </c>
      <c r="HP7" t="e">
        <f>AND('Planilla_General_29-11-2012_10_'!H104,"AAAAAD3Pvd8=")</f>
        <v>#VALUE!</v>
      </c>
      <c r="HQ7" t="e">
        <f>AND('Planilla_General_29-11-2012_10_'!I104,"AAAAAD3PveA=")</f>
        <v>#VALUE!</v>
      </c>
      <c r="HR7" t="e">
        <f>AND('Planilla_General_29-11-2012_10_'!J104,"AAAAAD3PveE=")</f>
        <v>#VALUE!</v>
      </c>
      <c r="HS7" t="e">
        <f>AND('Planilla_General_29-11-2012_10_'!K104,"AAAAAD3PveI=")</f>
        <v>#VALUE!</v>
      </c>
      <c r="HT7" t="e">
        <f>AND('Planilla_General_29-11-2012_10_'!L104,"AAAAAD3PveM=")</f>
        <v>#VALUE!</v>
      </c>
      <c r="HU7" t="e">
        <f>AND('Planilla_General_29-11-2012_10_'!M104,"AAAAAD3PveQ=")</f>
        <v>#VALUE!</v>
      </c>
      <c r="HV7" t="e">
        <f>AND('Planilla_General_29-11-2012_10_'!N104,"AAAAAD3PveU=")</f>
        <v>#VALUE!</v>
      </c>
      <c r="HW7" t="e">
        <f>AND('Planilla_General_29-11-2012_10_'!O104,"AAAAAD3PveY=")</f>
        <v>#VALUE!</v>
      </c>
      <c r="HX7" t="e">
        <f>AND('Planilla_General_29-11-2012_10_'!P104,"AAAAAD3Pvec=")</f>
        <v>#VALUE!</v>
      </c>
      <c r="HY7">
        <f>IF('Planilla_General_29-11-2012_10_'!105:105,"AAAAAD3Pveg=",0)</f>
        <v>0</v>
      </c>
      <c r="HZ7" t="e">
        <f>AND('Planilla_General_29-11-2012_10_'!A105,"AAAAAD3Pvek=")</f>
        <v>#VALUE!</v>
      </c>
      <c r="IA7" t="e">
        <f>AND('Planilla_General_29-11-2012_10_'!B105,"AAAAAD3Pveo=")</f>
        <v>#VALUE!</v>
      </c>
      <c r="IB7" t="e">
        <f>AND('Planilla_General_29-11-2012_10_'!C105,"AAAAAD3Pves=")</f>
        <v>#VALUE!</v>
      </c>
      <c r="IC7" t="e">
        <f>AND('Planilla_General_29-11-2012_10_'!D105,"AAAAAD3Pvew=")</f>
        <v>#VALUE!</v>
      </c>
      <c r="ID7" t="e">
        <f>AND('Planilla_General_29-11-2012_10_'!E105,"AAAAAD3Pve0=")</f>
        <v>#VALUE!</v>
      </c>
      <c r="IE7" t="e">
        <f>AND('Planilla_General_29-11-2012_10_'!F105,"AAAAAD3Pve4=")</f>
        <v>#VALUE!</v>
      </c>
      <c r="IF7" t="e">
        <f>AND('Planilla_General_29-11-2012_10_'!G105,"AAAAAD3Pve8=")</f>
        <v>#VALUE!</v>
      </c>
      <c r="IG7" t="e">
        <f>AND('Planilla_General_29-11-2012_10_'!H105,"AAAAAD3PvfA=")</f>
        <v>#VALUE!</v>
      </c>
      <c r="IH7" t="e">
        <f>AND('Planilla_General_29-11-2012_10_'!I105,"AAAAAD3PvfE=")</f>
        <v>#VALUE!</v>
      </c>
      <c r="II7" t="e">
        <f>AND('Planilla_General_29-11-2012_10_'!J105,"AAAAAD3PvfI=")</f>
        <v>#VALUE!</v>
      </c>
      <c r="IJ7" t="e">
        <f>AND('Planilla_General_29-11-2012_10_'!K105,"AAAAAD3PvfM=")</f>
        <v>#VALUE!</v>
      </c>
      <c r="IK7" t="e">
        <f>AND('Planilla_General_29-11-2012_10_'!L105,"AAAAAD3PvfQ=")</f>
        <v>#VALUE!</v>
      </c>
      <c r="IL7" t="e">
        <f>AND('Planilla_General_29-11-2012_10_'!M105,"AAAAAD3PvfU=")</f>
        <v>#VALUE!</v>
      </c>
      <c r="IM7" t="e">
        <f>AND('Planilla_General_29-11-2012_10_'!N105,"AAAAAD3PvfY=")</f>
        <v>#VALUE!</v>
      </c>
      <c r="IN7" t="e">
        <f>AND('Planilla_General_29-11-2012_10_'!O105,"AAAAAD3Pvfc=")</f>
        <v>#VALUE!</v>
      </c>
      <c r="IO7" t="e">
        <f>AND('Planilla_General_29-11-2012_10_'!P105,"AAAAAD3Pvfg=")</f>
        <v>#VALUE!</v>
      </c>
      <c r="IP7">
        <f>IF('Planilla_General_29-11-2012_10_'!106:106,"AAAAAD3Pvfk=",0)</f>
        <v>0</v>
      </c>
      <c r="IQ7" t="e">
        <f>AND('Planilla_General_29-11-2012_10_'!A106,"AAAAAD3Pvfo=")</f>
        <v>#VALUE!</v>
      </c>
      <c r="IR7" t="e">
        <f>AND('Planilla_General_29-11-2012_10_'!B106,"AAAAAD3Pvfs=")</f>
        <v>#VALUE!</v>
      </c>
      <c r="IS7" t="e">
        <f>AND('Planilla_General_29-11-2012_10_'!C106,"AAAAAD3Pvfw=")</f>
        <v>#VALUE!</v>
      </c>
      <c r="IT7" t="e">
        <f>AND('Planilla_General_29-11-2012_10_'!D106,"AAAAAD3Pvf0=")</f>
        <v>#VALUE!</v>
      </c>
      <c r="IU7" t="e">
        <f>AND('Planilla_General_29-11-2012_10_'!E106,"AAAAAD3Pvf4=")</f>
        <v>#VALUE!</v>
      </c>
      <c r="IV7" t="e">
        <f>AND('Planilla_General_29-11-2012_10_'!F106,"AAAAAD3Pvf8=")</f>
        <v>#VALUE!</v>
      </c>
    </row>
    <row r="8" spans="1:256" x14ac:dyDescent="0.25">
      <c r="A8" t="e">
        <f>AND('Planilla_General_29-11-2012_10_'!G106,"AAAAAF//ewA=")</f>
        <v>#VALUE!</v>
      </c>
      <c r="B8" t="e">
        <f>AND('Planilla_General_29-11-2012_10_'!H106,"AAAAAF//ewE=")</f>
        <v>#VALUE!</v>
      </c>
      <c r="C8" t="e">
        <f>AND('Planilla_General_29-11-2012_10_'!I106,"AAAAAF//ewI=")</f>
        <v>#VALUE!</v>
      </c>
      <c r="D8" t="e">
        <f>AND('Planilla_General_29-11-2012_10_'!J106,"AAAAAF//ewM=")</f>
        <v>#VALUE!</v>
      </c>
      <c r="E8" t="e">
        <f>AND('Planilla_General_29-11-2012_10_'!K106,"AAAAAF//ewQ=")</f>
        <v>#VALUE!</v>
      </c>
      <c r="F8" t="e">
        <f>AND('Planilla_General_29-11-2012_10_'!L106,"AAAAAF//ewU=")</f>
        <v>#VALUE!</v>
      </c>
      <c r="G8" t="e">
        <f>AND('Planilla_General_29-11-2012_10_'!M106,"AAAAAF//ewY=")</f>
        <v>#VALUE!</v>
      </c>
      <c r="H8" t="e">
        <f>AND('Planilla_General_29-11-2012_10_'!N106,"AAAAAF//ewc=")</f>
        <v>#VALUE!</v>
      </c>
      <c r="I8" t="e">
        <f>AND('Planilla_General_29-11-2012_10_'!O106,"AAAAAF//ewg=")</f>
        <v>#VALUE!</v>
      </c>
      <c r="J8" t="e">
        <f>AND('Planilla_General_29-11-2012_10_'!P106,"AAAAAF//ewk=")</f>
        <v>#VALUE!</v>
      </c>
      <c r="K8" t="str">
        <f>IF('Planilla_General_29-11-2012_10_'!107:107,"AAAAAF//ewo=",0)</f>
        <v>AAAAAF//ewo=</v>
      </c>
      <c r="L8" t="e">
        <f>AND('Planilla_General_29-11-2012_10_'!A107,"AAAAAF//ews=")</f>
        <v>#VALUE!</v>
      </c>
      <c r="M8" t="e">
        <f>AND('Planilla_General_29-11-2012_10_'!B107,"AAAAAF//eww=")</f>
        <v>#VALUE!</v>
      </c>
      <c r="N8" t="e">
        <f>AND('Planilla_General_29-11-2012_10_'!C107,"AAAAAF//ew0=")</f>
        <v>#VALUE!</v>
      </c>
      <c r="O8" t="e">
        <f>AND('Planilla_General_29-11-2012_10_'!D107,"AAAAAF//ew4=")</f>
        <v>#VALUE!</v>
      </c>
      <c r="P8" t="e">
        <f>AND('Planilla_General_29-11-2012_10_'!E107,"AAAAAF//ew8=")</f>
        <v>#VALUE!</v>
      </c>
      <c r="Q8" t="e">
        <f>AND('Planilla_General_29-11-2012_10_'!F107,"AAAAAF//exA=")</f>
        <v>#VALUE!</v>
      </c>
      <c r="R8" t="e">
        <f>AND('Planilla_General_29-11-2012_10_'!G107,"AAAAAF//exE=")</f>
        <v>#VALUE!</v>
      </c>
      <c r="S8" t="e">
        <f>AND('Planilla_General_29-11-2012_10_'!H107,"AAAAAF//exI=")</f>
        <v>#VALUE!</v>
      </c>
      <c r="T8" t="e">
        <f>AND('Planilla_General_29-11-2012_10_'!I107,"AAAAAF//exM=")</f>
        <v>#VALUE!</v>
      </c>
      <c r="U8" t="e">
        <f>AND('Planilla_General_29-11-2012_10_'!J107,"AAAAAF//exQ=")</f>
        <v>#VALUE!</v>
      </c>
      <c r="V8" t="e">
        <f>AND('Planilla_General_29-11-2012_10_'!K107,"AAAAAF//exU=")</f>
        <v>#VALUE!</v>
      </c>
      <c r="W8" t="e">
        <f>AND('Planilla_General_29-11-2012_10_'!L107,"AAAAAF//exY=")</f>
        <v>#VALUE!</v>
      </c>
      <c r="X8" t="e">
        <f>AND('Planilla_General_29-11-2012_10_'!M107,"AAAAAF//exc=")</f>
        <v>#VALUE!</v>
      </c>
      <c r="Y8" t="e">
        <f>AND('Planilla_General_29-11-2012_10_'!N107,"AAAAAF//exg=")</f>
        <v>#VALUE!</v>
      </c>
      <c r="Z8" t="e">
        <f>AND('Planilla_General_29-11-2012_10_'!O107,"AAAAAF//exk=")</f>
        <v>#VALUE!</v>
      </c>
      <c r="AA8" t="e">
        <f>AND('Planilla_General_29-11-2012_10_'!P107,"AAAAAF//exo=")</f>
        <v>#VALUE!</v>
      </c>
      <c r="AB8">
        <f>IF('Planilla_General_29-11-2012_10_'!108:108,"AAAAAF//exs=",0)</f>
        <v>0</v>
      </c>
      <c r="AC8" t="e">
        <f>AND('Planilla_General_29-11-2012_10_'!A108,"AAAAAF//exw=")</f>
        <v>#VALUE!</v>
      </c>
      <c r="AD8" t="e">
        <f>AND('Planilla_General_29-11-2012_10_'!B108,"AAAAAF//ex0=")</f>
        <v>#VALUE!</v>
      </c>
      <c r="AE8" t="e">
        <f>AND('Planilla_General_29-11-2012_10_'!C108,"AAAAAF//ex4=")</f>
        <v>#VALUE!</v>
      </c>
      <c r="AF8" t="e">
        <f>AND('Planilla_General_29-11-2012_10_'!D108,"AAAAAF//ex8=")</f>
        <v>#VALUE!</v>
      </c>
      <c r="AG8" t="e">
        <f>AND('Planilla_General_29-11-2012_10_'!E108,"AAAAAF//eyA=")</f>
        <v>#VALUE!</v>
      </c>
      <c r="AH8" t="e">
        <f>AND('Planilla_General_29-11-2012_10_'!F108,"AAAAAF//eyE=")</f>
        <v>#VALUE!</v>
      </c>
      <c r="AI8" t="e">
        <f>AND('Planilla_General_29-11-2012_10_'!G108,"AAAAAF//eyI=")</f>
        <v>#VALUE!</v>
      </c>
      <c r="AJ8" t="e">
        <f>AND('Planilla_General_29-11-2012_10_'!H108,"AAAAAF//eyM=")</f>
        <v>#VALUE!</v>
      </c>
      <c r="AK8" t="e">
        <f>AND('Planilla_General_29-11-2012_10_'!I108,"AAAAAF//eyQ=")</f>
        <v>#VALUE!</v>
      </c>
      <c r="AL8" t="e">
        <f>AND('Planilla_General_29-11-2012_10_'!J108,"AAAAAF//eyU=")</f>
        <v>#VALUE!</v>
      </c>
      <c r="AM8" t="e">
        <f>AND('Planilla_General_29-11-2012_10_'!K108,"AAAAAF//eyY=")</f>
        <v>#VALUE!</v>
      </c>
      <c r="AN8" t="e">
        <f>AND('Planilla_General_29-11-2012_10_'!L108,"AAAAAF//eyc=")</f>
        <v>#VALUE!</v>
      </c>
      <c r="AO8" t="e">
        <f>AND('Planilla_General_29-11-2012_10_'!M108,"AAAAAF//eyg=")</f>
        <v>#VALUE!</v>
      </c>
      <c r="AP8" t="e">
        <f>AND('Planilla_General_29-11-2012_10_'!N108,"AAAAAF//eyk=")</f>
        <v>#VALUE!</v>
      </c>
      <c r="AQ8" t="e">
        <f>AND('Planilla_General_29-11-2012_10_'!O108,"AAAAAF//eyo=")</f>
        <v>#VALUE!</v>
      </c>
      <c r="AR8" t="e">
        <f>AND('Planilla_General_29-11-2012_10_'!P108,"AAAAAF//eys=")</f>
        <v>#VALUE!</v>
      </c>
      <c r="AS8">
        <f>IF('Planilla_General_29-11-2012_10_'!109:109,"AAAAAF//eyw=",0)</f>
        <v>0</v>
      </c>
      <c r="AT8" t="e">
        <f>AND('Planilla_General_29-11-2012_10_'!A109,"AAAAAF//ey0=")</f>
        <v>#VALUE!</v>
      </c>
      <c r="AU8" t="e">
        <f>AND('Planilla_General_29-11-2012_10_'!B109,"AAAAAF//ey4=")</f>
        <v>#VALUE!</v>
      </c>
      <c r="AV8" t="e">
        <f>AND('Planilla_General_29-11-2012_10_'!C109,"AAAAAF//ey8=")</f>
        <v>#VALUE!</v>
      </c>
      <c r="AW8" t="e">
        <f>AND('Planilla_General_29-11-2012_10_'!D109,"AAAAAF//ezA=")</f>
        <v>#VALUE!</v>
      </c>
      <c r="AX8" t="e">
        <f>AND('Planilla_General_29-11-2012_10_'!E109,"AAAAAF//ezE=")</f>
        <v>#VALUE!</v>
      </c>
      <c r="AY8" t="e">
        <f>AND('Planilla_General_29-11-2012_10_'!F109,"AAAAAF//ezI=")</f>
        <v>#VALUE!</v>
      </c>
      <c r="AZ8" t="e">
        <f>AND('Planilla_General_29-11-2012_10_'!G109,"AAAAAF//ezM=")</f>
        <v>#VALUE!</v>
      </c>
      <c r="BA8" t="e">
        <f>AND('Planilla_General_29-11-2012_10_'!H109,"AAAAAF//ezQ=")</f>
        <v>#VALUE!</v>
      </c>
      <c r="BB8" t="e">
        <f>AND('Planilla_General_29-11-2012_10_'!I109,"AAAAAF//ezU=")</f>
        <v>#VALUE!</v>
      </c>
      <c r="BC8" t="e">
        <f>AND('Planilla_General_29-11-2012_10_'!J109,"AAAAAF//ezY=")</f>
        <v>#VALUE!</v>
      </c>
      <c r="BD8" t="e">
        <f>AND('Planilla_General_29-11-2012_10_'!K109,"AAAAAF//ezc=")</f>
        <v>#VALUE!</v>
      </c>
      <c r="BE8" t="e">
        <f>AND('Planilla_General_29-11-2012_10_'!L109,"AAAAAF//ezg=")</f>
        <v>#VALUE!</v>
      </c>
      <c r="BF8" t="e">
        <f>AND('Planilla_General_29-11-2012_10_'!M109,"AAAAAF//ezk=")</f>
        <v>#VALUE!</v>
      </c>
      <c r="BG8" t="e">
        <f>AND('Planilla_General_29-11-2012_10_'!N109,"AAAAAF//ezo=")</f>
        <v>#VALUE!</v>
      </c>
      <c r="BH8" t="e">
        <f>AND('Planilla_General_29-11-2012_10_'!O109,"AAAAAF//ezs=")</f>
        <v>#VALUE!</v>
      </c>
      <c r="BI8" t="e">
        <f>AND('Planilla_General_29-11-2012_10_'!P109,"AAAAAF//ezw=")</f>
        <v>#VALUE!</v>
      </c>
      <c r="BJ8">
        <f>IF('Planilla_General_29-11-2012_10_'!110:110,"AAAAAF//ez0=",0)</f>
        <v>0</v>
      </c>
      <c r="BK8" t="e">
        <f>AND('Planilla_General_29-11-2012_10_'!A110,"AAAAAF//ez4=")</f>
        <v>#VALUE!</v>
      </c>
      <c r="BL8" t="e">
        <f>AND('Planilla_General_29-11-2012_10_'!B110,"AAAAAF//ez8=")</f>
        <v>#VALUE!</v>
      </c>
      <c r="BM8" t="e">
        <f>AND('Planilla_General_29-11-2012_10_'!C110,"AAAAAF//e0A=")</f>
        <v>#VALUE!</v>
      </c>
      <c r="BN8" t="e">
        <f>AND('Planilla_General_29-11-2012_10_'!D110,"AAAAAF//e0E=")</f>
        <v>#VALUE!</v>
      </c>
      <c r="BO8" t="e">
        <f>AND('Planilla_General_29-11-2012_10_'!E110,"AAAAAF//e0I=")</f>
        <v>#VALUE!</v>
      </c>
      <c r="BP8" t="e">
        <f>AND('Planilla_General_29-11-2012_10_'!F110,"AAAAAF//e0M=")</f>
        <v>#VALUE!</v>
      </c>
      <c r="BQ8" t="e">
        <f>AND('Planilla_General_29-11-2012_10_'!G110,"AAAAAF//e0Q=")</f>
        <v>#VALUE!</v>
      </c>
      <c r="BR8" t="e">
        <f>AND('Planilla_General_29-11-2012_10_'!H110,"AAAAAF//e0U=")</f>
        <v>#VALUE!</v>
      </c>
      <c r="BS8" t="e">
        <f>AND('Planilla_General_29-11-2012_10_'!I110,"AAAAAF//e0Y=")</f>
        <v>#VALUE!</v>
      </c>
      <c r="BT8" t="e">
        <f>AND('Planilla_General_29-11-2012_10_'!J110,"AAAAAF//e0c=")</f>
        <v>#VALUE!</v>
      </c>
      <c r="BU8" t="e">
        <f>AND('Planilla_General_29-11-2012_10_'!K110,"AAAAAF//e0g=")</f>
        <v>#VALUE!</v>
      </c>
      <c r="BV8" t="e">
        <f>AND('Planilla_General_29-11-2012_10_'!L110,"AAAAAF//e0k=")</f>
        <v>#VALUE!</v>
      </c>
      <c r="BW8" t="e">
        <f>AND('Planilla_General_29-11-2012_10_'!M110,"AAAAAF//e0o=")</f>
        <v>#VALUE!</v>
      </c>
      <c r="BX8" t="e">
        <f>AND('Planilla_General_29-11-2012_10_'!N110,"AAAAAF//e0s=")</f>
        <v>#VALUE!</v>
      </c>
      <c r="BY8" t="e">
        <f>AND('Planilla_General_29-11-2012_10_'!O110,"AAAAAF//e0w=")</f>
        <v>#VALUE!</v>
      </c>
      <c r="BZ8" t="e">
        <f>AND('Planilla_General_29-11-2012_10_'!P110,"AAAAAF//e00=")</f>
        <v>#VALUE!</v>
      </c>
      <c r="CA8">
        <f>IF('Planilla_General_29-11-2012_10_'!111:111,"AAAAAF//e04=",0)</f>
        <v>0</v>
      </c>
      <c r="CB8" t="e">
        <f>AND('Planilla_General_29-11-2012_10_'!A111,"AAAAAF//e08=")</f>
        <v>#VALUE!</v>
      </c>
      <c r="CC8" t="e">
        <f>AND('Planilla_General_29-11-2012_10_'!B111,"AAAAAF//e1A=")</f>
        <v>#VALUE!</v>
      </c>
      <c r="CD8" t="e">
        <f>AND('Planilla_General_29-11-2012_10_'!C111,"AAAAAF//e1E=")</f>
        <v>#VALUE!</v>
      </c>
      <c r="CE8" t="e">
        <f>AND('Planilla_General_29-11-2012_10_'!D111,"AAAAAF//e1I=")</f>
        <v>#VALUE!</v>
      </c>
      <c r="CF8" t="e">
        <f>AND('Planilla_General_29-11-2012_10_'!E111,"AAAAAF//e1M=")</f>
        <v>#VALUE!</v>
      </c>
      <c r="CG8" t="e">
        <f>AND('Planilla_General_29-11-2012_10_'!F111,"AAAAAF//e1Q=")</f>
        <v>#VALUE!</v>
      </c>
      <c r="CH8" t="e">
        <f>AND('Planilla_General_29-11-2012_10_'!G111,"AAAAAF//e1U=")</f>
        <v>#VALUE!</v>
      </c>
      <c r="CI8" t="e">
        <f>AND('Planilla_General_29-11-2012_10_'!H111,"AAAAAF//e1Y=")</f>
        <v>#VALUE!</v>
      </c>
      <c r="CJ8" t="e">
        <f>AND('Planilla_General_29-11-2012_10_'!I111,"AAAAAF//e1c=")</f>
        <v>#VALUE!</v>
      </c>
      <c r="CK8" t="e">
        <f>AND('Planilla_General_29-11-2012_10_'!J111,"AAAAAF//e1g=")</f>
        <v>#VALUE!</v>
      </c>
      <c r="CL8" t="e">
        <f>AND('Planilla_General_29-11-2012_10_'!K111,"AAAAAF//e1k=")</f>
        <v>#VALUE!</v>
      </c>
      <c r="CM8" t="e">
        <f>AND('Planilla_General_29-11-2012_10_'!L111,"AAAAAF//e1o=")</f>
        <v>#VALUE!</v>
      </c>
      <c r="CN8" t="e">
        <f>AND('Planilla_General_29-11-2012_10_'!M111,"AAAAAF//e1s=")</f>
        <v>#VALUE!</v>
      </c>
      <c r="CO8" t="e">
        <f>AND('Planilla_General_29-11-2012_10_'!N111,"AAAAAF//e1w=")</f>
        <v>#VALUE!</v>
      </c>
      <c r="CP8" t="e">
        <f>AND('Planilla_General_29-11-2012_10_'!O111,"AAAAAF//e10=")</f>
        <v>#VALUE!</v>
      </c>
      <c r="CQ8" t="e">
        <f>AND('Planilla_General_29-11-2012_10_'!P111,"AAAAAF//e14=")</f>
        <v>#VALUE!</v>
      </c>
      <c r="CR8">
        <f>IF('Planilla_General_29-11-2012_10_'!112:112,"AAAAAF//e18=",0)</f>
        <v>0</v>
      </c>
      <c r="CS8" t="e">
        <f>AND('Planilla_General_29-11-2012_10_'!A112,"AAAAAF//e2A=")</f>
        <v>#VALUE!</v>
      </c>
      <c r="CT8" t="e">
        <f>AND('Planilla_General_29-11-2012_10_'!B112,"AAAAAF//e2E=")</f>
        <v>#VALUE!</v>
      </c>
      <c r="CU8" t="e">
        <f>AND('Planilla_General_29-11-2012_10_'!C112,"AAAAAF//e2I=")</f>
        <v>#VALUE!</v>
      </c>
      <c r="CV8" t="e">
        <f>AND('Planilla_General_29-11-2012_10_'!D112,"AAAAAF//e2M=")</f>
        <v>#VALUE!</v>
      </c>
      <c r="CW8" t="e">
        <f>AND('Planilla_General_29-11-2012_10_'!E112,"AAAAAF//e2Q=")</f>
        <v>#VALUE!</v>
      </c>
      <c r="CX8" t="e">
        <f>AND('Planilla_General_29-11-2012_10_'!F112,"AAAAAF//e2U=")</f>
        <v>#VALUE!</v>
      </c>
      <c r="CY8" t="e">
        <f>AND('Planilla_General_29-11-2012_10_'!G112,"AAAAAF//e2Y=")</f>
        <v>#VALUE!</v>
      </c>
      <c r="CZ8" t="e">
        <f>AND('Planilla_General_29-11-2012_10_'!H112,"AAAAAF//e2c=")</f>
        <v>#VALUE!</v>
      </c>
      <c r="DA8" t="e">
        <f>AND('Planilla_General_29-11-2012_10_'!I112,"AAAAAF//e2g=")</f>
        <v>#VALUE!</v>
      </c>
      <c r="DB8" t="e">
        <f>AND('Planilla_General_29-11-2012_10_'!J112,"AAAAAF//e2k=")</f>
        <v>#VALUE!</v>
      </c>
      <c r="DC8" t="e">
        <f>AND('Planilla_General_29-11-2012_10_'!K112,"AAAAAF//e2o=")</f>
        <v>#VALUE!</v>
      </c>
      <c r="DD8" t="e">
        <f>AND('Planilla_General_29-11-2012_10_'!L112,"AAAAAF//e2s=")</f>
        <v>#VALUE!</v>
      </c>
      <c r="DE8" t="e">
        <f>AND('Planilla_General_29-11-2012_10_'!M112,"AAAAAF//e2w=")</f>
        <v>#VALUE!</v>
      </c>
      <c r="DF8" t="e">
        <f>AND('Planilla_General_29-11-2012_10_'!N112,"AAAAAF//e20=")</f>
        <v>#VALUE!</v>
      </c>
      <c r="DG8" t="e">
        <f>AND('Planilla_General_29-11-2012_10_'!O112,"AAAAAF//e24=")</f>
        <v>#VALUE!</v>
      </c>
      <c r="DH8" t="e">
        <f>AND('Planilla_General_29-11-2012_10_'!P112,"AAAAAF//e28=")</f>
        <v>#VALUE!</v>
      </c>
      <c r="DI8">
        <f>IF('Planilla_General_29-11-2012_10_'!113:113,"AAAAAF//e3A=",0)</f>
        <v>0</v>
      </c>
      <c r="DJ8" t="e">
        <f>AND('Planilla_General_29-11-2012_10_'!A113,"AAAAAF//e3E=")</f>
        <v>#VALUE!</v>
      </c>
      <c r="DK8" t="e">
        <f>AND('Planilla_General_29-11-2012_10_'!B113,"AAAAAF//e3I=")</f>
        <v>#VALUE!</v>
      </c>
      <c r="DL8" t="e">
        <f>AND('Planilla_General_29-11-2012_10_'!C113,"AAAAAF//e3M=")</f>
        <v>#VALUE!</v>
      </c>
      <c r="DM8" t="e">
        <f>AND('Planilla_General_29-11-2012_10_'!D113,"AAAAAF//e3Q=")</f>
        <v>#VALUE!</v>
      </c>
      <c r="DN8" t="e">
        <f>AND('Planilla_General_29-11-2012_10_'!E113,"AAAAAF//e3U=")</f>
        <v>#VALUE!</v>
      </c>
      <c r="DO8" t="e">
        <f>AND('Planilla_General_29-11-2012_10_'!F113,"AAAAAF//e3Y=")</f>
        <v>#VALUE!</v>
      </c>
      <c r="DP8" t="e">
        <f>AND('Planilla_General_29-11-2012_10_'!G113,"AAAAAF//e3c=")</f>
        <v>#VALUE!</v>
      </c>
      <c r="DQ8" t="e">
        <f>AND('Planilla_General_29-11-2012_10_'!H113,"AAAAAF//e3g=")</f>
        <v>#VALUE!</v>
      </c>
      <c r="DR8" t="e">
        <f>AND('Planilla_General_29-11-2012_10_'!I113,"AAAAAF//e3k=")</f>
        <v>#VALUE!</v>
      </c>
      <c r="DS8" t="e">
        <f>AND('Planilla_General_29-11-2012_10_'!J113,"AAAAAF//e3o=")</f>
        <v>#VALUE!</v>
      </c>
      <c r="DT8" t="e">
        <f>AND('Planilla_General_29-11-2012_10_'!K113,"AAAAAF//e3s=")</f>
        <v>#VALUE!</v>
      </c>
      <c r="DU8" t="e">
        <f>AND('Planilla_General_29-11-2012_10_'!L113,"AAAAAF//e3w=")</f>
        <v>#VALUE!</v>
      </c>
      <c r="DV8" t="e">
        <f>AND('Planilla_General_29-11-2012_10_'!M113,"AAAAAF//e30=")</f>
        <v>#VALUE!</v>
      </c>
      <c r="DW8" t="e">
        <f>AND('Planilla_General_29-11-2012_10_'!N113,"AAAAAF//e34=")</f>
        <v>#VALUE!</v>
      </c>
      <c r="DX8" t="e">
        <f>AND('Planilla_General_29-11-2012_10_'!O113,"AAAAAF//e38=")</f>
        <v>#VALUE!</v>
      </c>
      <c r="DY8" t="e">
        <f>AND('Planilla_General_29-11-2012_10_'!P113,"AAAAAF//e4A=")</f>
        <v>#VALUE!</v>
      </c>
      <c r="DZ8">
        <f>IF('Planilla_General_29-11-2012_10_'!114:114,"AAAAAF//e4E=",0)</f>
        <v>0</v>
      </c>
      <c r="EA8" t="e">
        <f>AND('Planilla_General_29-11-2012_10_'!A114,"AAAAAF//e4I=")</f>
        <v>#VALUE!</v>
      </c>
      <c r="EB8" t="e">
        <f>AND('Planilla_General_29-11-2012_10_'!B114,"AAAAAF//e4M=")</f>
        <v>#VALUE!</v>
      </c>
      <c r="EC8" t="e">
        <f>AND('Planilla_General_29-11-2012_10_'!C114,"AAAAAF//e4Q=")</f>
        <v>#VALUE!</v>
      </c>
      <c r="ED8" t="e">
        <f>AND('Planilla_General_29-11-2012_10_'!D114,"AAAAAF//e4U=")</f>
        <v>#VALUE!</v>
      </c>
      <c r="EE8" t="e">
        <f>AND('Planilla_General_29-11-2012_10_'!E114,"AAAAAF//e4Y=")</f>
        <v>#VALUE!</v>
      </c>
      <c r="EF8" t="e">
        <f>AND('Planilla_General_29-11-2012_10_'!F114,"AAAAAF//e4c=")</f>
        <v>#VALUE!</v>
      </c>
      <c r="EG8" t="e">
        <f>AND('Planilla_General_29-11-2012_10_'!G114,"AAAAAF//e4g=")</f>
        <v>#VALUE!</v>
      </c>
      <c r="EH8" t="e">
        <f>AND('Planilla_General_29-11-2012_10_'!H114,"AAAAAF//e4k=")</f>
        <v>#VALUE!</v>
      </c>
      <c r="EI8" t="e">
        <f>AND('Planilla_General_29-11-2012_10_'!I114,"AAAAAF//e4o=")</f>
        <v>#VALUE!</v>
      </c>
      <c r="EJ8" t="e">
        <f>AND('Planilla_General_29-11-2012_10_'!J114,"AAAAAF//e4s=")</f>
        <v>#VALUE!</v>
      </c>
      <c r="EK8" t="e">
        <f>AND('Planilla_General_29-11-2012_10_'!K114,"AAAAAF//e4w=")</f>
        <v>#VALUE!</v>
      </c>
      <c r="EL8" t="e">
        <f>AND('Planilla_General_29-11-2012_10_'!L114,"AAAAAF//e40=")</f>
        <v>#VALUE!</v>
      </c>
      <c r="EM8" t="e">
        <f>AND('Planilla_General_29-11-2012_10_'!M114,"AAAAAF//e44=")</f>
        <v>#VALUE!</v>
      </c>
      <c r="EN8" t="e">
        <f>AND('Planilla_General_29-11-2012_10_'!N114,"AAAAAF//e48=")</f>
        <v>#VALUE!</v>
      </c>
      <c r="EO8" t="e">
        <f>AND('Planilla_General_29-11-2012_10_'!O114,"AAAAAF//e5A=")</f>
        <v>#VALUE!</v>
      </c>
      <c r="EP8" t="e">
        <f>AND('Planilla_General_29-11-2012_10_'!P114,"AAAAAF//e5E=")</f>
        <v>#VALUE!</v>
      </c>
      <c r="EQ8">
        <f>IF('Planilla_General_29-11-2012_10_'!115:115,"AAAAAF//e5I=",0)</f>
        <v>0</v>
      </c>
      <c r="ER8" t="e">
        <f>AND('Planilla_General_29-11-2012_10_'!A115,"AAAAAF//e5M=")</f>
        <v>#VALUE!</v>
      </c>
      <c r="ES8" t="e">
        <f>AND('Planilla_General_29-11-2012_10_'!B115,"AAAAAF//e5Q=")</f>
        <v>#VALUE!</v>
      </c>
      <c r="ET8" t="e">
        <f>AND('Planilla_General_29-11-2012_10_'!C115,"AAAAAF//e5U=")</f>
        <v>#VALUE!</v>
      </c>
      <c r="EU8" t="e">
        <f>AND('Planilla_General_29-11-2012_10_'!D115,"AAAAAF//e5Y=")</f>
        <v>#VALUE!</v>
      </c>
      <c r="EV8" t="e">
        <f>AND('Planilla_General_29-11-2012_10_'!E115,"AAAAAF//e5c=")</f>
        <v>#VALUE!</v>
      </c>
      <c r="EW8" t="e">
        <f>AND('Planilla_General_29-11-2012_10_'!F115,"AAAAAF//e5g=")</f>
        <v>#VALUE!</v>
      </c>
      <c r="EX8" t="e">
        <f>AND('Planilla_General_29-11-2012_10_'!G115,"AAAAAF//e5k=")</f>
        <v>#VALUE!</v>
      </c>
      <c r="EY8" t="e">
        <f>AND('Planilla_General_29-11-2012_10_'!H115,"AAAAAF//e5o=")</f>
        <v>#VALUE!</v>
      </c>
      <c r="EZ8" t="e">
        <f>AND('Planilla_General_29-11-2012_10_'!I115,"AAAAAF//e5s=")</f>
        <v>#VALUE!</v>
      </c>
      <c r="FA8" t="e">
        <f>AND('Planilla_General_29-11-2012_10_'!J115,"AAAAAF//e5w=")</f>
        <v>#VALUE!</v>
      </c>
      <c r="FB8" t="e">
        <f>AND('Planilla_General_29-11-2012_10_'!K115,"AAAAAF//e50=")</f>
        <v>#VALUE!</v>
      </c>
      <c r="FC8" t="e">
        <f>AND('Planilla_General_29-11-2012_10_'!L115,"AAAAAF//e54=")</f>
        <v>#VALUE!</v>
      </c>
      <c r="FD8" t="e">
        <f>AND('Planilla_General_29-11-2012_10_'!M115,"AAAAAF//e58=")</f>
        <v>#VALUE!</v>
      </c>
      <c r="FE8" t="e">
        <f>AND('Planilla_General_29-11-2012_10_'!N115,"AAAAAF//e6A=")</f>
        <v>#VALUE!</v>
      </c>
      <c r="FF8" t="e">
        <f>AND('Planilla_General_29-11-2012_10_'!O115,"AAAAAF//e6E=")</f>
        <v>#VALUE!</v>
      </c>
      <c r="FG8" t="e">
        <f>AND('Planilla_General_29-11-2012_10_'!P115,"AAAAAF//e6I=")</f>
        <v>#VALUE!</v>
      </c>
      <c r="FH8">
        <f>IF('Planilla_General_29-11-2012_10_'!116:116,"AAAAAF//e6M=",0)</f>
        <v>0</v>
      </c>
      <c r="FI8" t="e">
        <f>AND('Planilla_General_29-11-2012_10_'!A116,"AAAAAF//e6Q=")</f>
        <v>#VALUE!</v>
      </c>
      <c r="FJ8" t="e">
        <f>AND('Planilla_General_29-11-2012_10_'!B116,"AAAAAF//e6U=")</f>
        <v>#VALUE!</v>
      </c>
      <c r="FK8" t="e">
        <f>AND('Planilla_General_29-11-2012_10_'!C116,"AAAAAF//e6Y=")</f>
        <v>#VALUE!</v>
      </c>
      <c r="FL8" t="e">
        <f>AND('Planilla_General_29-11-2012_10_'!D116,"AAAAAF//e6c=")</f>
        <v>#VALUE!</v>
      </c>
      <c r="FM8" t="e">
        <f>AND('Planilla_General_29-11-2012_10_'!E116,"AAAAAF//e6g=")</f>
        <v>#VALUE!</v>
      </c>
      <c r="FN8" t="e">
        <f>AND('Planilla_General_29-11-2012_10_'!F116,"AAAAAF//e6k=")</f>
        <v>#VALUE!</v>
      </c>
      <c r="FO8" t="e">
        <f>AND('Planilla_General_29-11-2012_10_'!G116,"AAAAAF//e6o=")</f>
        <v>#VALUE!</v>
      </c>
      <c r="FP8" t="e">
        <f>AND('Planilla_General_29-11-2012_10_'!H116,"AAAAAF//e6s=")</f>
        <v>#VALUE!</v>
      </c>
      <c r="FQ8" t="e">
        <f>AND('Planilla_General_29-11-2012_10_'!I116,"AAAAAF//e6w=")</f>
        <v>#VALUE!</v>
      </c>
      <c r="FR8" t="e">
        <f>AND('Planilla_General_29-11-2012_10_'!J116,"AAAAAF//e60=")</f>
        <v>#VALUE!</v>
      </c>
      <c r="FS8" t="e">
        <f>AND('Planilla_General_29-11-2012_10_'!K116,"AAAAAF//e64=")</f>
        <v>#VALUE!</v>
      </c>
      <c r="FT8" t="e">
        <f>AND('Planilla_General_29-11-2012_10_'!L116,"AAAAAF//e68=")</f>
        <v>#VALUE!</v>
      </c>
      <c r="FU8" t="e">
        <f>AND('Planilla_General_29-11-2012_10_'!M116,"AAAAAF//e7A=")</f>
        <v>#VALUE!</v>
      </c>
      <c r="FV8" t="e">
        <f>AND('Planilla_General_29-11-2012_10_'!N116,"AAAAAF//e7E=")</f>
        <v>#VALUE!</v>
      </c>
      <c r="FW8" t="e">
        <f>AND('Planilla_General_29-11-2012_10_'!O116,"AAAAAF//e7I=")</f>
        <v>#VALUE!</v>
      </c>
      <c r="FX8" t="e">
        <f>AND('Planilla_General_29-11-2012_10_'!P116,"AAAAAF//e7M=")</f>
        <v>#VALUE!</v>
      </c>
      <c r="FY8">
        <f>IF('Planilla_General_29-11-2012_10_'!117:117,"AAAAAF//e7Q=",0)</f>
        <v>0</v>
      </c>
      <c r="FZ8" t="e">
        <f>AND('Planilla_General_29-11-2012_10_'!A117,"AAAAAF//e7U=")</f>
        <v>#VALUE!</v>
      </c>
      <c r="GA8" t="e">
        <f>AND('Planilla_General_29-11-2012_10_'!B117,"AAAAAF//e7Y=")</f>
        <v>#VALUE!</v>
      </c>
      <c r="GB8" t="e">
        <f>AND('Planilla_General_29-11-2012_10_'!C117,"AAAAAF//e7c=")</f>
        <v>#VALUE!</v>
      </c>
      <c r="GC8" t="e">
        <f>AND('Planilla_General_29-11-2012_10_'!D117,"AAAAAF//e7g=")</f>
        <v>#VALUE!</v>
      </c>
      <c r="GD8" t="e">
        <f>AND('Planilla_General_29-11-2012_10_'!E117,"AAAAAF//e7k=")</f>
        <v>#VALUE!</v>
      </c>
      <c r="GE8" t="e">
        <f>AND('Planilla_General_29-11-2012_10_'!F117,"AAAAAF//e7o=")</f>
        <v>#VALUE!</v>
      </c>
      <c r="GF8" t="e">
        <f>AND('Planilla_General_29-11-2012_10_'!G117,"AAAAAF//e7s=")</f>
        <v>#VALUE!</v>
      </c>
      <c r="GG8" t="e">
        <f>AND('Planilla_General_29-11-2012_10_'!H117,"AAAAAF//e7w=")</f>
        <v>#VALUE!</v>
      </c>
      <c r="GH8" t="e">
        <f>AND('Planilla_General_29-11-2012_10_'!I117,"AAAAAF//e70=")</f>
        <v>#VALUE!</v>
      </c>
      <c r="GI8" t="e">
        <f>AND('Planilla_General_29-11-2012_10_'!J117,"AAAAAF//e74=")</f>
        <v>#VALUE!</v>
      </c>
      <c r="GJ8" t="e">
        <f>AND('Planilla_General_29-11-2012_10_'!K117,"AAAAAF//e78=")</f>
        <v>#VALUE!</v>
      </c>
      <c r="GK8" t="e">
        <f>AND('Planilla_General_29-11-2012_10_'!L117,"AAAAAF//e8A=")</f>
        <v>#VALUE!</v>
      </c>
      <c r="GL8" t="e">
        <f>AND('Planilla_General_29-11-2012_10_'!M117,"AAAAAF//e8E=")</f>
        <v>#VALUE!</v>
      </c>
      <c r="GM8" t="e">
        <f>AND('Planilla_General_29-11-2012_10_'!N117,"AAAAAF//e8I=")</f>
        <v>#VALUE!</v>
      </c>
      <c r="GN8" t="e">
        <f>AND('Planilla_General_29-11-2012_10_'!O117,"AAAAAF//e8M=")</f>
        <v>#VALUE!</v>
      </c>
      <c r="GO8" t="e">
        <f>AND('Planilla_General_29-11-2012_10_'!P117,"AAAAAF//e8Q=")</f>
        <v>#VALUE!</v>
      </c>
      <c r="GP8">
        <f>IF('Planilla_General_29-11-2012_10_'!118:118,"AAAAAF//e8U=",0)</f>
        <v>0</v>
      </c>
      <c r="GQ8" t="e">
        <f>AND('Planilla_General_29-11-2012_10_'!A118,"AAAAAF//e8Y=")</f>
        <v>#VALUE!</v>
      </c>
      <c r="GR8" t="e">
        <f>AND('Planilla_General_29-11-2012_10_'!B118,"AAAAAF//e8c=")</f>
        <v>#VALUE!</v>
      </c>
      <c r="GS8" t="e">
        <f>AND('Planilla_General_29-11-2012_10_'!C118,"AAAAAF//e8g=")</f>
        <v>#VALUE!</v>
      </c>
      <c r="GT8" t="e">
        <f>AND('Planilla_General_29-11-2012_10_'!D118,"AAAAAF//e8k=")</f>
        <v>#VALUE!</v>
      </c>
      <c r="GU8" t="e">
        <f>AND('Planilla_General_29-11-2012_10_'!E118,"AAAAAF//e8o=")</f>
        <v>#VALUE!</v>
      </c>
      <c r="GV8" t="e">
        <f>AND('Planilla_General_29-11-2012_10_'!F118,"AAAAAF//e8s=")</f>
        <v>#VALUE!</v>
      </c>
      <c r="GW8" t="e">
        <f>AND('Planilla_General_29-11-2012_10_'!G118,"AAAAAF//e8w=")</f>
        <v>#VALUE!</v>
      </c>
      <c r="GX8" t="e">
        <f>AND('Planilla_General_29-11-2012_10_'!H118,"AAAAAF//e80=")</f>
        <v>#VALUE!</v>
      </c>
      <c r="GY8" t="e">
        <f>AND('Planilla_General_29-11-2012_10_'!I118,"AAAAAF//e84=")</f>
        <v>#VALUE!</v>
      </c>
      <c r="GZ8" t="e">
        <f>AND('Planilla_General_29-11-2012_10_'!J118,"AAAAAF//e88=")</f>
        <v>#VALUE!</v>
      </c>
      <c r="HA8" t="e">
        <f>AND('Planilla_General_29-11-2012_10_'!K118,"AAAAAF//e9A=")</f>
        <v>#VALUE!</v>
      </c>
      <c r="HB8" t="e">
        <f>AND('Planilla_General_29-11-2012_10_'!L118,"AAAAAF//e9E=")</f>
        <v>#VALUE!</v>
      </c>
      <c r="HC8" t="e">
        <f>AND('Planilla_General_29-11-2012_10_'!M118,"AAAAAF//e9I=")</f>
        <v>#VALUE!</v>
      </c>
      <c r="HD8" t="e">
        <f>AND('Planilla_General_29-11-2012_10_'!N118,"AAAAAF//e9M=")</f>
        <v>#VALUE!</v>
      </c>
      <c r="HE8" t="e">
        <f>AND('Planilla_General_29-11-2012_10_'!O118,"AAAAAF//e9Q=")</f>
        <v>#VALUE!</v>
      </c>
      <c r="HF8" t="e">
        <f>AND('Planilla_General_29-11-2012_10_'!P118,"AAAAAF//e9U=")</f>
        <v>#VALUE!</v>
      </c>
      <c r="HG8">
        <f>IF('Planilla_General_29-11-2012_10_'!119:119,"AAAAAF//e9Y=",0)</f>
        <v>0</v>
      </c>
      <c r="HH8" t="e">
        <f>AND('Planilla_General_29-11-2012_10_'!A119,"AAAAAF//e9c=")</f>
        <v>#VALUE!</v>
      </c>
      <c r="HI8" t="e">
        <f>AND('Planilla_General_29-11-2012_10_'!B119,"AAAAAF//e9g=")</f>
        <v>#VALUE!</v>
      </c>
      <c r="HJ8" t="e">
        <f>AND('Planilla_General_29-11-2012_10_'!C119,"AAAAAF//e9k=")</f>
        <v>#VALUE!</v>
      </c>
      <c r="HK8" t="e">
        <f>AND('Planilla_General_29-11-2012_10_'!D119,"AAAAAF//e9o=")</f>
        <v>#VALUE!</v>
      </c>
      <c r="HL8" t="e">
        <f>AND('Planilla_General_29-11-2012_10_'!E119,"AAAAAF//e9s=")</f>
        <v>#VALUE!</v>
      </c>
      <c r="HM8" t="e">
        <f>AND('Planilla_General_29-11-2012_10_'!F119,"AAAAAF//e9w=")</f>
        <v>#VALUE!</v>
      </c>
      <c r="HN8" t="e">
        <f>AND('Planilla_General_29-11-2012_10_'!G119,"AAAAAF//e90=")</f>
        <v>#VALUE!</v>
      </c>
      <c r="HO8" t="e">
        <f>AND('Planilla_General_29-11-2012_10_'!H119,"AAAAAF//e94=")</f>
        <v>#VALUE!</v>
      </c>
      <c r="HP8" t="e">
        <f>AND('Planilla_General_29-11-2012_10_'!I119,"AAAAAF//e98=")</f>
        <v>#VALUE!</v>
      </c>
      <c r="HQ8" t="e">
        <f>AND('Planilla_General_29-11-2012_10_'!J119,"AAAAAF//e+A=")</f>
        <v>#VALUE!</v>
      </c>
      <c r="HR8" t="e">
        <f>AND('Planilla_General_29-11-2012_10_'!K119,"AAAAAF//e+E=")</f>
        <v>#VALUE!</v>
      </c>
      <c r="HS8" t="e">
        <f>AND('Planilla_General_29-11-2012_10_'!L119,"AAAAAF//e+I=")</f>
        <v>#VALUE!</v>
      </c>
      <c r="HT8" t="e">
        <f>AND('Planilla_General_29-11-2012_10_'!M119,"AAAAAF//e+M=")</f>
        <v>#VALUE!</v>
      </c>
      <c r="HU8" t="e">
        <f>AND('Planilla_General_29-11-2012_10_'!N119,"AAAAAF//e+Q=")</f>
        <v>#VALUE!</v>
      </c>
      <c r="HV8" t="e">
        <f>AND('Planilla_General_29-11-2012_10_'!O119,"AAAAAF//e+U=")</f>
        <v>#VALUE!</v>
      </c>
      <c r="HW8" t="e">
        <f>AND('Planilla_General_29-11-2012_10_'!P119,"AAAAAF//e+Y=")</f>
        <v>#VALUE!</v>
      </c>
      <c r="HX8">
        <f>IF('Planilla_General_29-11-2012_10_'!120:120,"AAAAAF//e+c=",0)</f>
        <v>0</v>
      </c>
      <c r="HY8" t="e">
        <f>AND('Planilla_General_29-11-2012_10_'!A120,"AAAAAF//e+g=")</f>
        <v>#VALUE!</v>
      </c>
      <c r="HZ8" t="e">
        <f>AND('Planilla_General_29-11-2012_10_'!B120,"AAAAAF//e+k=")</f>
        <v>#VALUE!</v>
      </c>
      <c r="IA8" t="e">
        <f>AND('Planilla_General_29-11-2012_10_'!C120,"AAAAAF//e+o=")</f>
        <v>#VALUE!</v>
      </c>
      <c r="IB8" t="e">
        <f>AND('Planilla_General_29-11-2012_10_'!D120,"AAAAAF//e+s=")</f>
        <v>#VALUE!</v>
      </c>
      <c r="IC8" t="e">
        <f>AND('Planilla_General_29-11-2012_10_'!E120,"AAAAAF//e+w=")</f>
        <v>#VALUE!</v>
      </c>
      <c r="ID8" t="e">
        <f>AND('Planilla_General_29-11-2012_10_'!F120,"AAAAAF//e+0=")</f>
        <v>#VALUE!</v>
      </c>
      <c r="IE8" t="e">
        <f>AND('Planilla_General_29-11-2012_10_'!G120,"AAAAAF//e+4=")</f>
        <v>#VALUE!</v>
      </c>
      <c r="IF8" t="e">
        <f>AND('Planilla_General_29-11-2012_10_'!H120,"AAAAAF//e+8=")</f>
        <v>#VALUE!</v>
      </c>
      <c r="IG8" t="e">
        <f>AND('Planilla_General_29-11-2012_10_'!I120,"AAAAAF//e/A=")</f>
        <v>#VALUE!</v>
      </c>
      <c r="IH8" t="e">
        <f>AND('Planilla_General_29-11-2012_10_'!J120,"AAAAAF//e/E=")</f>
        <v>#VALUE!</v>
      </c>
      <c r="II8" t="e">
        <f>AND('Planilla_General_29-11-2012_10_'!K120,"AAAAAF//e/I=")</f>
        <v>#VALUE!</v>
      </c>
      <c r="IJ8" t="e">
        <f>AND('Planilla_General_29-11-2012_10_'!L120,"AAAAAF//e/M=")</f>
        <v>#VALUE!</v>
      </c>
      <c r="IK8" t="e">
        <f>AND('Planilla_General_29-11-2012_10_'!M120,"AAAAAF//e/Q=")</f>
        <v>#VALUE!</v>
      </c>
      <c r="IL8" t="e">
        <f>AND('Planilla_General_29-11-2012_10_'!N120,"AAAAAF//e/U=")</f>
        <v>#VALUE!</v>
      </c>
      <c r="IM8" t="e">
        <f>AND('Planilla_General_29-11-2012_10_'!O120,"AAAAAF//e/Y=")</f>
        <v>#VALUE!</v>
      </c>
      <c r="IN8" t="e">
        <f>AND('Planilla_General_29-11-2012_10_'!P120,"AAAAAF//e/c=")</f>
        <v>#VALUE!</v>
      </c>
      <c r="IO8">
        <f>IF('Planilla_General_29-11-2012_10_'!121:121,"AAAAAF//e/g=",0)</f>
        <v>0</v>
      </c>
      <c r="IP8" t="e">
        <f>AND('Planilla_General_29-11-2012_10_'!A121,"AAAAAF//e/k=")</f>
        <v>#VALUE!</v>
      </c>
      <c r="IQ8" t="e">
        <f>AND('Planilla_General_29-11-2012_10_'!B121,"AAAAAF//e/o=")</f>
        <v>#VALUE!</v>
      </c>
      <c r="IR8" t="e">
        <f>AND('Planilla_General_29-11-2012_10_'!C121,"AAAAAF//e/s=")</f>
        <v>#VALUE!</v>
      </c>
      <c r="IS8" t="e">
        <f>AND('Planilla_General_29-11-2012_10_'!D121,"AAAAAF//e/w=")</f>
        <v>#VALUE!</v>
      </c>
      <c r="IT8" t="e">
        <f>AND('Planilla_General_29-11-2012_10_'!E121,"AAAAAF//e/0=")</f>
        <v>#VALUE!</v>
      </c>
      <c r="IU8" t="e">
        <f>AND('Planilla_General_29-11-2012_10_'!F121,"AAAAAF//e/4=")</f>
        <v>#VALUE!</v>
      </c>
      <c r="IV8" t="e">
        <f>AND('Planilla_General_29-11-2012_10_'!G121,"AAAAAF//e/8=")</f>
        <v>#VALUE!</v>
      </c>
    </row>
    <row r="9" spans="1:256" x14ac:dyDescent="0.25">
      <c r="A9" t="e">
        <f>AND('Planilla_General_29-11-2012_10_'!H121,"AAAAAG1//AA=")</f>
        <v>#VALUE!</v>
      </c>
      <c r="B9" t="e">
        <f>AND('Planilla_General_29-11-2012_10_'!I121,"AAAAAG1//AE=")</f>
        <v>#VALUE!</v>
      </c>
      <c r="C9" t="e">
        <f>AND('Planilla_General_29-11-2012_10_'!J121,"AAAAAG1//AI=")</f>
        <v>#VALUE!</v>
      </c>
      <c r="D9" t="e">
        <f>AND('Planilla_General_29-11-2012_10_'!K121,"AAAAAG1//AM=")</f>
        <v>#VALUE!</v>
      </c>
      <c r="E9" t="e">
        <f>AND('Planilla_General_29-11-2012_10_'!L121,"AAAAAG1//AQ=")</f>
        <v>#VALUE!</v>
      </c>
      <c r="F9" t="e">
        <f>AND('Planilla_General_29-11-2012_10_'!M121,"AAAAAG1//AU=")</f>
        <v>#VALUE!</v>
      </c>
      <c r="G9" t="e">
        <f>AND('Planilla_General_29-11-2012_10_'!N121,"AAAAAG1//AY=")</f>
        <v>#VALUE!</v>
      </c>
      <c r="H9" t="e">
        <f>AND('Planilla_General_29-11-2012_10_'!O121,"AAAAAG1//Ac=")</f>
        <v>#VALUE!</v>
      </c>
      <c r="I9" t="e">
        <f>AND('Planilla_General_29-11-2012_10_'!P121,"AAAAAG1//Ag=")</f>
        <v>#VALUE!</v>
      </c>
      <c r="J9" t="e">
        <f>IF('Planilla_General_29-11-2012_10_'!122:122,"AAAAAG1//Ak=",0)</f>
        <v>#VALUE!</v>
      </c>
      <c r="K9" t="e">
        <f>AND('Planilla_General_29-11-2012_10_'!A122,"AAAAAG1//Ao=")</f>
        <v>#VALUE!</v>
      </c>
      <c r="L9" t="e">
        <f>AND('Planilla_General_29-11-2012_10_'!B122,"AAAAAG1//As=")</f>
        <v>#VALUE!</v>
      </c>
      <c r="M9" t="e">
        <f>AND('Planilla_General_29-11-2012_10_'!C122,"AAAAAG1//Aw=")</f>
        <v>#VALUE!</v>
      </c>
      <c r="N9" t="e">
        <f>AND('Planilla_General_29-11-2012_10_'!D122,"AAAAAG1//A0=")</f>
        <v>#VALUE!</v>
      </c>
      <c r="O9" t="e">
        <f>AND('Planilla_General_29-11-2012_10_'!E122,"AAAAAG1//A4=")</f>
        <v>#VALUE!</v>
      </c>
      <c r="P9" t="e">
        <f>AND('Planilla_General_29-11-2012_10_'!F122,"AAAAAG1//A8=")</f>
        <v>#VALUE!</v>
      </c>
      <c r="Q9" t="e">
        <f>AND('Planilla_General_29-11-2012_10_'!G122,"AAAAAG1//BA=")</f>
        <v>#VALUE!</v>
      </c>
      <c r="R9" t="e">
        <f>AND('Planilla_General_29-11-2012_10_'!H122,"AAAAAG1//BE=")</f>
        <v>#VALUE!</v>
      </c>
      <c r="S9" t="e">
        <f>AND('Planilla_General_29-11-2012_10_'!I122,"AAAAAG1//BI=")</f>
        <v>#VALUE!</v>
      </c>
      <c r="T9" t="e">
        <f>AND('Planilla_General_29-11-2012_10_'!J122,"AAAAAG1//BM=")</f>
        <v>#VALUE!</v>
      </c>
      <c r="U9" t="e">
        <f>AND('Planilla_General_29-11-2012_10_'!K122,"AAAAAG1//BQ=")</f>
        <v>#VALUE!</v>
      </c>
      <c r="V9" t="e">
        <f>AND('Planilla_General_29-11-2012_10_'!L122,"AAAAAG1//BU=")</f>
        <v>#VALUE!</v>
      </c>
      <c r="W9" t="e">
        <f>AND('Planilla_General_29-11-2012_10_'!M122,"AAAAAG1//BY=")</f>
        <v>#VALUE!</v>
      </c>
      <c r="X9" t="e">
        <f>AND('Planilla_General_29-11-2012_10_'!N122,"AAAAAG1//Bc=")</f>
        <v>#VALUE!</v>
      </c>
      <c r="Y9" t="e">
        <f>AND('Planilla_General_29-11-2012_10_'!O122,"AAAAAG1//Bg=")</f>
        <v>#VALUE!</v>
      </c>
      <c r="Z9" t="e">
        <f>AND('Planilla_General_29-11-2012_10_'!P122,"AAAAAG1//Bk=")</f>
        <v>#VALUE!</v>
      </c>
      <c r="AA9">
        <f>IF('Planilla_General_29-11-2012_10_'!123:123,"AAAAAG1//Bo=",0)</f>
        <v>0</v>
      </c>
      <c r="AB9" t="e">
        <f>AND('Planilla_General_29-11-2012_10_'!A123,"AAAAAG1//Bs=")</f>
        <v>#VALUE!</v>
      </c>
      <c r="AC9" t="e">
        <f>AND('Planilla_General_29-11-2012_10_'!B123,"AAAAAG1//Bw=")</f>
        <v>#VALUE!</v>
      </c>
      <c r="AD9" t="e">
        <f>AND('Planilla_General_29-11-2012_10_'!C123,"AAAAAG1//B0=")</f>
        <v>#VALUE!</v>
      </c>
      <c r="AE9" t="e">
        <f>AND('Planilla_General_29-11-2012_10_'!D123,"AAAAAG1//B4=")</f>
        <v>#VALUE!</v>
      </c>
      <c r="AF9" t="e">
        <f>AND('Planilla_General_29-11-2012_10_'!E123,"AAAAAG1//B8=")</f>
        <v>#VALUE!</v>
      </c>
      <c r="AG9" t="e">
        <f>AND('Planilla_General_29-11-2012_10_'!F123,"AAAAAG1//CA=")</f>
        <v>#VALUE!</v>
      </c>
      <c r="AH9" t="e">
        <f>AND('Planilla_General_29-11-2012_10_'!G123,"AAAAAG1//CE=")</f>
        <v>#VALUE!</v>
      </c>
      <c r="AI9" t="e">
        <f>AND('Planilla_General_29-11-2012_10_'!H123,"AAAAAG1//CI=")</f>
        <v>#VALUE!</v>
      </c>
      <c r="AJ9" t="e">
        <f>AND('Planilla_General_29-11-2012_10_'!I123,"AAAAAG1//CM=")</f>
        <v>#VALUE!</v>
      </c>
      <c r="AK9" t="e">
        <f>AND('Planilla_General_29-11-2012_10_'!J123,"AAAAAG1//CQ=")</f>
        <v>#VALUE!</v>
      </c>
      <c r="AL9" t="e">
        <f>AND('Planilla_General_29-11-2012_10_'!K123,"AAAAAG1//CU=")</f>
        <v>#VALUE!</v>
      </c>
      <c r="AM9" t="e">
        <f>AND('Planilla_General_29-11-2012_10_'!L123,"AAAAAG1//CY=")</f>
        <v>#VALUE!</v>
      </c>
      <c r="AN9" t="e">
        <f>AND('Planilla_General_29-11-2012_10_'!M123,"AAAAAG1//Cc=")</f>
        <v>#VALUE!</v>
      </c>
      <c r="AO9" t="e">
        <f>AND('Planilla_General_29-11-2012_10_'!N123,"AAAAAG1//Cg=")</f>
        <v>#VALUE!</v>
      </c>
      <c r="AP9" t="e">
        <f>AND('Planilla_General_29-11-2012_10_'!O123,"AAAAAG1//Ck=")</f>
        <v>#VALUE!</v>
      </c>
      <c r="AQ9" t="e">
        <f>AND('Planilla_General_29-11-2012_10_'!P123,"AAAAAG1//Co=")</f>
        <v>#VALUE!</v>
      </c>
      <c r="AR9">
        <f>IF('Planilla_General_29-11-2012_10_'!124:124,"AAAAAG1//Cs=",0)</f>
        <v>0</v>
      </c>
      <c r="AS9" t="e">
        <f>AND('Planilla_General_29-11-2012_10_'!A124,"AAAAAG1//Cw=")</f>
        <v>#VALUE!</v>
      </c>
      <c r="AT9" t="e">
        <f>AND('Planilla_General_29-11-2012_10_'!B124,"AAAAAG1//C0=")</f>
        <v>#VALUE!</v>
      </c>
      <c r="AU9" t="e">
        <f>AND('Planilla_General_29-11-2012_10_'!C124,"AAAAAG1//C4=")</f>
        <v>#VALUE!</v>
      </c>
      <c r="AV9" t="e">
        <f>AND('Planilla_General_29-11-2012_10_'!D124,"AAAAAG1//C8=")</f>
        <v>#VALUE!</v>
      </c>
      <c r="AW9" t="e">
        <f>AND('Planilla_General_29-11-2012_10_'!E124,"AAAAAG1//DA=")</f>
        <v>#VALUE!</v>
      </c>
      <c r="AX9" t="e">
        <f>AND('Planilla_General_29-11-2012_10_'!F124,"AAAAAG1//DE=")</f>
        <v>#VALUE!</v>
      </c>
      <c r="AY9" t="e">
        <f>AND('Planilla_General_29-11-2012_10_'!G124,"AAAAAG1//DI=")</f>
        <v>#VALUE!</v>
      </c>
      <c r="AZ9" t="e">
        <f>AND('Planilla_General_29-11-2012_10_'!H124,"AAAAAG1//DM=")</f>
        <v>#VALUE!</v>
      </c>
      <c r="BA9" t="e">
        <f>AND('Planilla_General_29-11-2012_10_'!I124,"AAAAAG1//DQ=")</f>
        <v>#VALUE!</v>
      </c>
      <c r="BB9" t="e">
        <f>AND('Planilla_General_29-11-2012_10_'!J124,"AAAAAG1//DU=")</f>
        <v>#VALUE!</v>
      </c>
      <c r="BC9" t="e">
        <f>AND('Planilla_General_29-11-2012_10_'!K124,"AAAAAG1//DY=")</f>
        <v>#VALUE!</v>
      </c>
      <c r="BD9" t="e">
        <f>AND('Planilla_General_29-11-2012_10_'!L124,"AAAAAG1//Dc=")</f>
        <v>#VALUE!</v>
      </c>
      <c r="BE9" t="e">
        <f>AND('Planilla_General_29-11-2012_10_'!M124,"AAAAAG1//Dg=")</f>
        <v>#VALUE!</v>
      </c>
      <c r="BF9" t="e">
        <f>AND('Planilla_General_29-11-2012_10_'!N124,"AAAAAG1//Dk=")</f>
        <v>#VALUE!</v>
      </c>
      <c r="BG9" t="e">
        <f>AND('Planilla_General_29-11-2012_10_'!O124,"AAAAAG1//Do=")</f>
        <v>#VALUE!</v>
      </c>
      <c r="BH9" t="e">
        <f>AND('Planilla_General_29-11-2012_10_'!P124,"AAAAAG1//Ds=")</f>
        <v>#VALUE!</v>
      </c>
      <c r="BI9">
        <f>IF('Planilla_General_29-11-2012_10_'!125:125,"AAAAAG1//Dw=",0)</f>
        <v>0</v>
      </c>
      <c r="BJ9" t="e">
        <f>AND('Planilla_General_29-11-2012_10_'!A125,"AAAAAG1//D0=")</f>
        <v>#VALUE!</v>
      </c>
      <c r="BK9" t="e">
        <f>AND('Planilla_General_29-11-2012_10_'!B125,"AAAAAG1//D4=")</f>
        <v>#VALUE!</v>
      </c>
      <c r="BL9" t="e">
        <f>AND('Planilla_General_29-11-2012_10_'!C125,"AAAAAG1//D8=")</f>
        <v>#VALUE!</v>
      </c>
      <c r="BM9" t="e">
        <f>AND('Planilla_General_29-11-2012_10_'!D125,"AAAAAG1//EA=")</f>
        <v>#VALUE!</v>
      </c>
      <c r="BN9" t="e">
        <f>AND('Planilla_General_29-11-2012_10_'!E125,"AAAAAG1//EE=")</f>
        <v>#VALUE!</v>
      </c>
      <c r="BO9" t="e">
        <f>AND('Planilla_General_29-11-2012_10_'!F125,"AAAAAG1//EI=")</f>
        <v>#VALUE!</v>
      </c>
      <c r="BP9" t="e">
        <f>AND('Planilla_General_29-11-2012_10_'!G125,"AAAAAG1//EM=")</f>
        <v>#VALUE!</v>
      </c>
      <c r="BQ9" t="e">
        <f>AND('Planilla_General_29-11-2012_10_'!H125,"AAAAAG1//EQ=")</f>
        <v>#VALUE!</v>
      </c>
      <c r="BR9" t="e">
        <f>AND('Planilla_General_29-11-2012_10_'!I125,"AAAAAG1//EU=")</f>
        <v>#VALUE!</v>
      </c>
      <c r="BS9" t="e">
        <f>AND('Planilla_General_29-11-2012_10_'!J125,"AAAAAG1//EY=")</f>
        <v>#VALUE!</v>
      </c>
      <c r="BT9" t="e">
        <f>AND('Planilla_General_29-11-2012_10_'!K125,"AAAAAG1//Ec=")</f>
        <v>#VALUE!</v>
      </c>
      <c r="BU9" t="e">
        <f>AND('Planilla_General_29-11-2012_10_'!L125,"AAAAAG1//Eg=")</f>
        <v>#VALUE!</v>
      </c>
      <c r="BV9" t="e">
        <f>AND('Planilla_General_29-11-2012_10_'!M125,"AAAAAG1//Ek=")</f>
        <v>#VALUE!</v>
      </c>
      <c r="BW9" t="e">
        <f>AND('Planilla_General_29-11-2012_10_'!N125,"AAAAAG1//Eo=")</f>
        <v>#VALUE!</v>
      </c>
      <c r="BX9" t="e">
        <f>AND('Planilla_General_29-11-2012_10_'!O125,"AAAAAG1//Es=")</f>
        <v>#VALUE!</v>
      </c>
      <c r="BY9" t="e">
        <f>AND('Planilla_General_29-11-2012_10_'!P125,"AAAAAG1//Ew=")</f>
        <v>#VALUE!</v>
      </c>
      <c r="BZ9">
        <f>IF('Planilla_General_29-11-2012_10_'!126:126,"AAAAAG1//E0=",0)</f>
        <v>0</v>
      </c>
      <c r="CA9" t="e">
        <f>AND('Planilla_General_29-11-2012_10_'!A126,"AAAAAG1//E4=")</f>
        <v>#VALUE!</v>
      </c>
      <c r="CB9" t="e">
        <f>AND('Planilla_General_29-11-2012_10_'!B126,"AAAAAG1//E8=")</f>
        <v>#VALUE!</v>
      </c>
      <c r="CC9" t="e">
        <f>AND('Planilla_General_29-11-2012_10_'!C126,"AAAAAG1//FA=")</f>
        <v>#VALUE!</v>
      </c>
      <c r="CD9" t="e">
        <f>AND('Planilla_General_29-11-2012_10_'!D126,"AAAAAG1//FE=")</f>
        <v>#VALUE!</v>
      </c>
      <c r="CE9" t="e">
        <f>AND('Planilla_General_29-11-2012_10_'!E126,"AAAAAG1//FI=")</f>
        <v>#VALUE!</v>
      </c>
      <c r="CF9" t="e">
        <f>AND('Planilla_General_29-11-2012_10_'!F126,"AAAAAG1//FM=")</f>
        <v>#VALUE!</v>
      </c>
      <c r="CG9" t="e">
        <f>AND('Planilla_General_29-11-2012_10_'!G126,"AAAAAG1//FQ=")</f>
        <v>#VALUE!</v>
      </c>
      <c r="CH9" t="e">
        <f>AND('Planilla_General_29-11-2012_10_'!H126,"AAAAAG1//FU=")</f>
        <v>#VALUE!</v>
      </c>
      <c r="CI9" t="e">
        <f>AND('Planilla_General_29-11-2012_10_'!I126,"AAAAAG1//FY=")</f>
        <v>#VALUE!</v>
      </c>
      <c r="CJ9" t="e">
        <f>AND('Planilla_General_29-11-2012_10_'!J126,"AAAAAG1//Fc=")</f>
        <v>#VALUE!</v>
      </c>
      <c r="CK9" t="e">
        <f>AND('Planilla_General_29-11-2012_10_'!K126,"AAAAAG1//Fg=")</f>
        <v>#VALUE!</v>
      </c>
      <c r="CL9" t="e">
        <f>AND('Planilla_General_29-11-2012_10_'!L126,"AAAAAG1//Fk=")</f>
        <v>#VALUE!</v>
      </c>
      <c r="CM9" t="e">
        <f>AND('Planilla_General_29-11-2012_10_'!M126,"AAAAAG1//Fo=")</f>
        <v>#VALUE!</v>
      </c>
      <c r="CN9" t="e">
        <f>AND('Planilla_General_29-11-2012_10_'!N126,"AAAAAG1//Fs=")</f>
        <v>#VALUE!</v>
      </c>
      <c r="CO9" t="e">
        <f>AND('Planilla_General_29-11-2012_10_'!O126,"AAAAAG1//Fw=")</f>
        <v>#VALUE!</v>
      </c>
      <c r="CP9" t="e">
        <f>AND('Planilla_General_29-11-2012_10_'!P126,"AAAAAG1//F0=")</f>
        <v>#VALUE!</v>
      </c>
      <c r="CQ9">
        <f>IF('Planilla_General_29-11-2012_10_'!127:127,"AAAAAG1//F4=",0)</f>
        <v>0</v>
      </c>
      <c r="CR9" t="e">
        <f>AND('Planilla_General_29-11-2012_10_'!A127,"AAAAAG1//F8=")</f>
        <v>#VALUE!</v>
      </c>
      <c r="CS9" t="e">
        <f>AND('Planilla_General_29-11-2012_10_'!B127,"AAAAAG1//GA=")</f>
        <v>#VALUE!</v>
      </c>
      <c r="CT9" t="e">
        <f>AND('Planilla_General_29-11-2012_10_'!C127,"AAAAAG1//GE=")</f>
        <v>#VALUE!</v>
      </c>
      <c r="CU9" t="e">
        <f>AND('Planilla_General_29-11-2012_10_'!D127,"AAAAAG1//GI=")</f>
        <v>#VALUE!</v>
      </c>
      <c r="CV9" t="e">
        <f>AND('Planilla_General_29-11-2012_10_'!E127,"AAAAAG1//GM=")</f>
        <v>#VALUE!</v>
      </c>
      <c r="CW9" t="e">
        <f>AND('Planilla_General_29-11-2012_10_'!F127,"AAAAAG1//GQ=")</f>
        <v>#VALUE!</v>
      </c>
      <c r="CX9" t="e">
        <f>AND('Planilla_General_29-11-2012_10_'!G127,"AAAAAG1//GU=")</f>
        <v>#VALUE!</v>
      </c>
      <c r="CY9" t="e">
        <f>AND('Planilla_General_29-11-2012_10_'!H127,"AAAAAG1//GY=")</f>
        <v>#VALUE!</v>
      </c>
      <c r="CZ9" t="e">
        <f>AND('Planilla_General_29-11-2012_10_'!I127,"AAAAAG1//Gc=")</f>
        <v>#VALUE!</v>
      </c>
      <c r="DA9" t="e">
        <f>AND('Planilla_General_29-11-2012_10_'!J127,"AAAAAG1//Gg=")</f>
        <v>#VALUE!</v>
      </c>
      <c r="DB9" t="e">
        <f>AND('Planilla_General_29-11-2012_10_'!K127,"AAAAAG1//Gk=")</f>
        <v>#VALUE!</v>
      </c>
      <c r="DC9" t="e">
        <f>AND('Planilla_General_29-11-2012_10_'!L127,"AAAAAG1//Go=")</f>
        <v>#VALUE!</v>
      </c>
      <c r="DD9" t="e">
        <f>AND('Planilla_General_29-11-2012_10_'!M127,"AAAAAG1//Gs=")</f>
        <v>#VALUE!</v>
      </c>
      <c r="DE9" t="e">
        <f>AND('Planilla_General_29-11-2012_10_'!N127,"AAAAAG1//Gw=")</f>
        <v>#VALUE!</v>
      </c>
      <c r="DF9" t="e">
        <f>AND('Planilla_General_29-11-2012_10_'!O127,"AAAAAG1//G0=")</f>
        <v>#VALUE!</v>
      </c>
      <c r="DG9" t="e">
        <f>AND('Planilla_General_29-11-2012_10_'!P127,"AAAAAG1//G4=")</f>
        <v>#VALUE!</v>
      </c>
      <c r="DH9">
        <f>IF('Planilla_General_29-11-2012_10_'!128:128,"AAAAAG1//G8=",0)</f>
        <v>0</v>
      </c>
      <c r="DI9" t="e">
        <f>AND('Planilla_General_29-11-2012_10_'!A128,"AAAAAG1//HA=")</f>
        <v>#VALUE!</v>
      </c>
      <c r="DJ9" t="e">
        <f>AND('Planilla_General_29-11-2012_10_'!B128,"AAAAAG1//HE=")</f>
        <v>#VALUE!</v>
      </c>
      <c r="DK9" t="e">
        <f>AND('Planilla_General_29-11-2012_10_'!C128,"AAAAAG1//HI=")</f>
        <v>#VALUE!</v>
      </c>
      <c r="DL9" t="e">
        <f>AND('Planilla_General_29-11-2012_10_'!D128,"AAAAAG1//HM=")</f>
        <v>#VALUE!</v>
      </c>
      <c r="DM9" t="e">
        <f>AND('Planilla_General_29-11-2012_10_'!E128,"AAAAAG1//HQ=")</f>
        <v>#VALUE!</v>
      </c>
      <c r="DN9" t="e">
        <f>AND('Planilla_General_29-11-2012_10_'!F128,"AAAAAG1//HU=")</f>
        <v>#VALUE!</v>
      </c>
      <c r="DO9" t="e">
        <f>AND('Planilla_General_29-11-2012_10_'!G128,"AAAAAG1//HY=")</f>
        <v>#VALUE!</v>
      </c>
      <c r="DP9" t="e">
        <f>AND('Planilla_General_29-11-2012_10_'!H128,"AAAAAG1//Hc=")</f>
        <v>#VALUE!</v>
      </c>
      <c r="DQ9" t="e">
        <f>AND('Planilla_General_29-11-2012_10_'!I128,"AAAAAG1//Hg=")</f>
        <v>#VALUE!</v>
      </c>
      <c r="DR9" t="e">
        <f>AND('Planilla_General_29-11-2012_10_'!J128,"AAAAAG1//Hk=")</f>
        <v>#VALUE!</v>
      </c>
      <c r="DS9" t="e">
        <f>AND('Planilla_General_29-11-2012_10_'!K128,"AAAAAG1//Ho=")</f>
        <v>#VALUE!</v>
      </c>
      <c r="DT9" t="e">
        <f>AND('Planilla_General_29-11-2012_10_'!L128,"AAAAAG1//Hs=")</f>
        <v>#VALUE!</v>
      </c>
      <c r="DU9" t="e">
        <f>AND('Planilla_General_29-11-2012_10_'!M128,"AAAAAG1//Hw=")</f>
        <v>#VALUE!</v>
      </c>
      <c r="DV9" t="e">
        <f>AND('Planilla_General_29-11-2012_10_'!N128,"AAAAAG1//H0=")</f>
        <v>#VALUE!</v>
      </c>
      <c r="DW9" t="e">
        <f>AND('Planilla_General_29-11-2012_10_'!O128,"AAAAAG1//H4=")</f>
        <v>#VALUE!</v>
      </c>
      <c r="DX9" t="e">
        <f>AND('Planilla_General_29-11-2012_10_'!P128,"AAAAAG1//H8=")</f>
        <v>#VALUE!</v>
      </c>
      <c r="DY9">
        <f>IF('Planilla_General_29-11-2012_10_'!129:129,"AAAAAG1//IA=",0)</f>
        <v>0</v>
      </c>
      <c r="DZ9" t="e">
        <f>AND('Planilla_General_29-11-2012_10_'!A129,"AAAAAG1//IE=")</f>
        <v>#VALUE!</v>
      </c>
      <c r="EA9" t="e">
        <f>AND('Planilla_General_29-11-2012_10_'!B129,"AAAAAG1//II=")</f>
        <v>#VALUE!</v>
      </c>
      <c r="EB9" t="e">
        <f>AND('Planilla_General_29-11-2012_10_'!C129,"AAAAAG1//IM=")</f>
        <v>#VALUE!</v>
      </c>
      <c r="EC9" t="e">
        <f>AND('Planilla_General_29-11-2012_10_'!D129,"AAAAAG1//IQ=")</f>
        <v>#VALUE!</v>
      </c>
      <c r="ED9" t="e">
        <f>AND('Planilla_General_29-11-2012_10_'!E129,"AAAAAG1//IU=")</f>
        <v>#VALUE!</v>
      </c>
      <c r="EE9" t="e">
        <f>AND('Planilla_General_29-11-2012_10_'!F129,"AAAAAG1//IY=")</f>
        <v>#VALUE!</v>
      </c>
      <c r="EF9" t="e">
        <f>AND('Planilla_General_29-11-2012_10_'!G129,"AAAAAG1//Ic=")</f>
        <v>#VALUE!</v>
      </c>
      <c r="EG9" t="e">
        <f>AND('Planilla_General_29-11-2012_10_'!H129,"AAAAAG1//Ig=")</f>
        <v>#VALUE!</v>
      </c>
      <c r="EH9" t="e">
        <f>AND('Planilla_General_29-11-2012_10_'!I129,"AAAAAG1//Ik=")</f>
        <v>#VALUE!</v>
      </c>
      <c r="EI9" t="e">
        <f>AND('Planilla_General_29-11-2012_10_'!J129,"AAAAAG1//Io=")</f>
        <v>#VALUE!</v>
      </c>
      <c r="EJ9" t="e">
        <f>AND('Planilla_General_29-11-2012_10_'!K129,"AAAAAG1//Is=")</f>
        <v>#VALUE!</v>
      </c>
      <c r="EK9" t="e">
        <f>AND('Planilla_General_29-11-2012_10_'!L129,"AAAAAG1//Iw=")</f>
        <v>#VALUE!</v>
      </c>
      <c r="EL9" t="e">
        <f>AND('Planilla_General_29-11-2012_10_'!M129,"AAAAAG1//I0=")</f>
        <v>#VALUE!</v>
      </c>
      <c r="EM9" t="e">
        <f>AND('Planilla_General_29-11-2012_10_'!N129,"AAAAAG1//I4=")</f>
        <v>#VALUE!</v>
      </c>
      <c r="EN9" t="e">
        <f>AND('Planilla_General_29-11-2012_10_'!O129,"AAAAAG1//I8=")</f>
        <v>#VALUE!</v>
      </c>
      <c r="EO9" t="e">
        <f>AND('Planilla_General_29-11-2012_10_'!P129,"AAAAAG1//JA=")</f>
        <v>#VALUE!</v>
      </c>
      <c r="EP9">
        <f>IF('Planilla_General_29-11-2012_10_'!130:130,"AAAAAG1//JE=",0)</f>
        <v>0</v>
      </c>
      <c r="EQ9" t="e">
        <f>AND('Planilla_General_29-11-2012_10_'!A130,"AAAAAG1//JI=")</f>
        <v>#VALUE!</v>
      </c>
      <c r="ER9" t="e">
        <f>AND('Planilla_General_29-11-2012_10_'!B130,"AAAAAG1//JM=")</f>
        <v>#VALUE!</v>
      </c>
      <c r="ES9" t="e">
        <f>AND('Planilla_General_29-11-2012_10_'!C130,"AAAAAG1//JQ=")</f>
        <v>#VALUE!</v>
      </c>
      <c r="ET9" t="e">
        <f>AND('Planilla_General_29-11-2012_10_'!D130,"AAAAAG1//JU=")</f>
        <v>#VALUE!</v>
      </c>
      <c r="EU9" t="e">
        <f>AND('Planilla_General_29-11-2012_10_'!E130,"AAAAAG1//JY=")</f>
        <v>#VALUE!</v>
      </c>
      <c r="EV9" t="e">
        <f>AND('Planilla_General_29-11-2012_10_'!F130,"AAAAAG1//Jc=")</f>
        <v>#VALUE!</v>
      </c>
      <c r="EW9" t="e">
        <f>AND('Planilla_General_29-11-2012_10_'!G130,"AAAAAG1//Jg=")</f>
        <v>#VALUE!</v>
      </c>
      <c r="EX9" t="e">
        <f>AND('Planilla_General_29-11-2012_10_'!H130,"AAAAAG1//Jk=")</f>
        <v>#VALUE!</v>
      </c>
      <c r="EY9" t="e">
        <f>AND('Planilla_General_29-11-2012_10_'!I130,"AAAAAG1//Jo=")</f>
        <v>#VALUE!</v>
      </c>
      <c r="EZ9" t="e">
        <f>AND('Planilla_General_29-11-2012_10_'!J130,"AAAAAG1//Js=")</f>
        <v>#VALUE!</v>
      </c>
      <c r="FA9" t="e">
        <f>AND('Planilla_General_29-11-2012_10_'!K130,"AAAAAG1//Jw=")</f>
        <v>#VALUE!</v>
      </c>
      <c r="FB9" t="e">
        <f>AND('Planilla_General_29-11-2012_10_'!L130,"AAAAAG1//J0=")</f>
        <v>#VALUE!</v>
      </c>
      <c r="FC9" t="e">
        <f>AND('Planilla_General_29-11-2012_10_'!M130,"AAAAAG1//J4=")</f>
        <v>#VALUE!</v>
      </c>
      <c r="FD9" t="e">
        <f>AND('Planilla_General_29-11-2012_10_'!N130,"AAAAAG1//J8=")</f>
        <v>#VALUE!</v>
      </c>
      <c r="FE9" t="e">
        <f>AND('Planilla_General_29-11-2012_10_'!O130,"AAAAAG1//KA=")</f>
        <v>#VALUE!</v>
      </c>
      <c r="FF9" t="e">
        <f>AND('Planilla_General_29-11-2012_10_'!P130,"AAAAAG1//KE=")</f>
        <v>#VALUE!</v>
      </c>
      <c r="FG9">
        <f>IF('Planilla_General_29-11-2012_10_'!131:131,"AAAAAG1//KI=",0)</f>
        <v>0</v>
      </c>
      <c r="FH9" t="e">
        <f>AND('Planilla_General_29-11-2012_10_'!A131,"AAAAAG1//KM=")</f>
        <v>#VALUE!</v>
      </c>
      <c r="FI9" t="e">
        <f>AND('Planilla_General_29-11-2012_10_'!B131,"AAAAAG1//KQ=")</f>
        <v>#VALUE!</v>
      </c>
      <c r="FJ9" t="e">
        <f>AND('Planilla_General_29-11-2012_10_'!C131,"AAAAAG1//KU=")</f>
        <v>#VALUE!</v>
      </c>
      <c r="FK9" t="e">
        <f>AND('Planilla_General_29-11-2012_10_'!D131,"AAAAAG1//KY=")</f>
        <v>#VALUE!</v>
      </c>
      <c r="FL9" t="e">
        <f>AND('Planilla_General_29-11-2012_10_'!E131,"AAAAAG1//Kc=")</f>
        <v>#VALUE!</v>
      </c>
      <c r="FM9" t="e">
        <f>AND('Planilla_General_29-11-2012_10_'!F131,"AAAAAG1//Kg=")</f>
        <v>#VALUE!</v>
      </c>
      <c r="FN9" t="e">
        <f>AND('Planilla_General_29-11-2012_10_'!G131,"AAAAAG1//Kk=")</f>
        <v>#VALUE!</v>
      </c>
      <c r="FO9" t="e">
        <f>AND('Planilla_General_29-11-2012_10_'!H131,"AAAAAG1//Ko=")</f>
        <v>#VALUE!</v>
      </c>
      <c r="FP9" t="e">
        <f>AND('Planilla_General_29-11-2012_10_'!I131,"AAAAAG1//Ks=")</f>
        <v>#VALUE!</v>
      </c>
      <c r="FQ9" t="e">
        <f>AND('Planilla_General_29-11-2012_10_'!J131,"AAAAAG1//Kw=")</f>
        <v>#VALUE!</v>
      </c>
      <c r="FR9" t="e">
        <f>AND('Planilla_General_29-11-2012_10_'!K131,"AAAAAG1//K0=")</f>
        <v>#VALUE!</v>
      </c>
      <c r="FS9" t="e">
        <f>AND('Planilla_General_29-11-2012_10_'!L131,"AAAAAG1//K4=")</f>
        <v>#VALUE!</v>
      </c>
      <c r="FT9" t="e">
        <f>AND('Planilla_General_29-11-2012_10_'!M131,"AAAAAG1//K8=")</f>
        <v>#VALUE!</v>
      </c>
      <c r="FU9" t="e">
        <f>AND('Planilla_General_29-11-2012_10_'!N131,"AAAAAG1//LA=")</f>
        <v>#VALUE!</v>
      </c>
      <c r="FV9" t="e">
        <f>AND('Planilla_General_29-11-2012_10_'!O131,"AAAAAG1//LE=")</f>
        <v>#VALUE!</v>
      </c>
      <c r="FW9" t="e">
        <f>AND('Planilla_General_29-11-2012_10_'!P131,"AAAAAG1//LI=")</f>
        <v>#VALUE!</v>
      </c>
      <c r="FX9">
        <f>IF('Planilla_General_29-11-2012_10_'!132:132,"AAAAAG1//LM=",0)</f>
        <v>0</v>
      </c>
      <c r="FY9" t="e">
        <f>AND('Planilla_General_29-11-2012_10_'!A132,"AAAAAG1//LQ=")</f>
        <v>#VALUE!</v>
      </c>
      <c r="FZ9" t="e">
        <f>AND('Planilla_General_29-11-2012_10_'!B132,"AAAAAG1//LU=")</f>
        <v>#VALUE!</v>
      </c>
      <c r="GA9" t="e">
        <f>AND('Planilla_General_29-11-2012_10_'!C132,"AAAAAG1//LY=")</f>
        <v>#VALUE!</v>
      </c>
      <c r="GB9" t="e">
        <f>AND('Planilla_General_29-11-2012_10_'!D132,"AAAAAG1//Lc=")</f>
        <v>#VALUE!</v>
      </c>
      <c r="GC9" t="e">
        <f>AND('Planilla_General_29-11-2012_10_'!E132,"AAAAAG1//Lg=")</f>
        <v>#VALUE!</v>
      </c>
      <c r="GD9" t="e">
        <f>AND('Planilla_General_29-11-2012_10_'!F132,"AAAAAG1//Lk=")</f>
        <v>#VALUE!</v>
      </c>
      <c r="GE9" t="e">
        <f>AND('Planilla_General_29-11-2012_10_'!G132,"AAAAAG1//Lo=")</f>
        <v>#VALUE!</v>
      </c>
      <c r="GF9" t="e">
        <f>AND('Planilla_General_29-11-2012_10_'!H132,"AAAAAG1//Ls=")</f>
        <v>#VALUE!</v>
      </c>
      <c r="GG9" t="e">
        <f>AND('Planilla_General_29-11-2012_10_'!I132,"AAAAAG1//Lw=")</f>
        <v>#VALUE!</v>
      </c>
      <c r="GH9" t="e">
        <f>AND('Planilla_General_29-11-2012_10_'!J132,"AAAAAG1//L0=")</f>
        <v>#VALUE!</v>
      </c>
      <c r="GI9" t="e">
        <f>AND('Planilla_General_29-11-2012_10_'!K132,"AAAAAG1//L4=")</f>
        <v>#VALUE!</v>
      </c>
      <c r="GJ9" t="e">
        <f>AND('Planilla_General_29-11-2012_10_'!L132,"AAAAAG1//L8=")</f>
        <v>#VALUE!</v>
      </c>
      <c r="GK9" t="e">
        <f>AND('Planilla_General_29-11-2012_10_'!M132,"AAAAAG1//MA=")</f>
        <v>#VALUE!</v>
      </c>
      <c r="GL9" t="e">
        <f>AND('Planilla_General_29-11-2012_10_'!N132,"AAAAAG1//ME=")</f>
        <v>#VALUE!</v>
      </c>
      <c r="GM9" t="e">
        <f>AND('Planilla_General_29-11-2012_10_'!O132,"AAAAAG1//MI=")</f>
        <v>#VALUE!</v>
      </c>
      <c r="GN9" t="e">
        <f>AND('Planilla_General_29-11-2012_10_'!P132,"AAAAAG1//MM=")</f>
        <v>#VALUE!</v>
      </c>
      <c r="GO9">
        <f>IF('Planilla_General_29-11-2012_10_'!133:133,"AAAAAG1//MQ=",0)</f>
        <v>0</v>
      </c>
      <c r="GP9" t="e">
        <f>AND('Planilla_General_29-11-2012_10_'!A133,"AAAAAG1//MU=")</f>
        <v>#VALUE!</v>
      </c>
      <c r="GQ9" t="e">
        <f>AND('Planilla_General_29-11-2012_10_'!B133,"AAAAAG1//MY=")</f>
        <v>#VALUE!</v>
      </c>
      <c r="GR9" t="e">
        <f>AND('Planilla_General_29-11-2012_10_'!C133,"AAAAAG1//Mc=")</f>
        <v>#VALUE!</v>
      </c>
      <c r="GS9" t="e">
        <f>AND('Planilla_General_29-11-2012_10_'!D133,"AAAAAG1//Mg=")</f>
        <v>#VALUE!</v>
      </c>
      <c r="GT9" t="e">
        <f>AND('Planilla_General_29-11-2012_10_'!E133,"AAAAAG1//Mk=")</f>
        <v>#VALUE!</v>
      </c>
      <c r="GU9" t="e">
        <f>AND('Planilla_General_29-11-2012_10_'!F133,"AAAAAG1//Mo=")</f>
        <v>#VALUE!</v>
      </c>
      <c r="GV9" t="e">
        <f>AND('Planilla_General_29-11-2012_10_'!G133,"AAAAAG1//Ms=")</f>
        <v>#VALUE!</v>
      </c>
      <c r="GW9" t="e">
        <f>AND('Planilla_General_29-11-2012_10_'!H133,"AAAAAG1//Mw=")</f>
        <v>#VALUE!</v>
      </c>
      <c r="GX9" t="e">
        <f>AND('Planilla_General_29-11-2012_10_'!I133,"AAAAAG1//M0=")</f>
        <v>#VALUE!</v>
      </c>
      <c r="GY9" t="e">
        <f>AND('Planilla_General_29-11-2012_10_'!J133,"AAAAAG1//M4=")</f>
        <v>#VALUE!</v>
      </c>
      <c r="GZ9" t="e">
        <f>AND('Planilla_General_29-11-2012_10_'!K133,"AAAAAG1//M8=")</f>
        <v>#VALUE!</v>
      </c>
      <c r="HA9" t="e">
        <f>AND('Planilla_General_29-11-2012_10_'!L133,"AAAAAG1//NA=")</f>
        <v>#VALUE!</v>
      </c>
      <c r="HB9" t="e">
        <f>AND('Planilla_General_29-11-2012_10_'!M133,"AAAAAG1//NE=")</f>
        <v>#VALUE!</v>
      </c>
      <c r="HC9" t="e">
        <f>AND('Planilla_General_29-11-2012_10_'!N133,"AAAAAG1//NI=")</f>
        <v>#VALUE!</v>
      </c>
      <c r="HD9" t="e">
        <f>AND('Planilla_General_29-11-2012_10_'!O133,"AAAAAG1//NM=")</f>
        <v>#VALUE!</v>
      </c>
      <c r="HE9" t="e">
        <f>AND('Planilla_General_29-11-2012_10_'!P133,"AAAAAG1//NQ=")</f>
        <v>#VALUE!</v>
      </c>
      <c r="HF9">
        <f>IF('Planilla_General_29-11-2012_10_'!134:134,"AAAAAG1//NU=",0)</f>
        <v>0</v>
      </c>
      <c r="HG9" t="e">
        <f>AND('Planilla_General_29-11-2012_10_'!A134,"AAAAAG1//NY=")</f>
        <v>#VALUE!</v>
      </c>
      <c r="HH9" t="e">
        <f>AND('Planilla_General_29-11-2012_10_'!B134,"AAAAAG1//Nc=")</f>
        <v>#VALUE!</v>
      </c>
      <c r="HI9" t="e">
        <f>AND('Planilla_General_29-11-2012_10_'!C134,"AAAAAG1//Ng=")</f>
        <v>#VALUE!</v>
      </c>
      <c r="HJ9" t="e">
        <f>AND('Planilla_General_29-11-2012_10_'!D134,"AAAAAG1//Nk=")</f>
        <v>#VALUE!</v>
      </c>
      <c r="HK9" t="e">
        <f>AND('Planilla_General_29-11-2012_10_'!E134,"AAAAAG1//No=")</f>
        <v>#VALUE!</v>
      </c>
      <c r="HL9" t="e">
        <f>AND('Planilla_General_29-11-2012_10_'!F134,"AAAAAG1//Ns=")</f>
        <v>#VALUE!</v>
      </c>
      <c r="HM9" t="e">
        <f>AND('Planilla_General_29-11-2012_10_'!G134,"AAAAAG1//Nw=")</f>
        <v>#VALUE!</v>
      </c>
      <c r="HN9" t="e">
        <f>AND('Planilla_General_29-11-2012_10_'!H134,"AAAAAG1//N0=")</f>
        <v>#VALUE!</v>
      </c>
      <c r="HO9" t="e">
        <f>AND('Planilla_General_29-11-2012_10_'!I134,"AAAAAG1//N4=")</f>
        <v>#VALUE!</v>
      </c>
      <c r="HP9" t="e">
        <f>AND('Planilla_General_29-11-2012_10_'!J134,"AAAAAG1//N8=")</f>
        <v>#VALUE!</v>
      </c>
      <c r="HQ9" t="e">
        <f>AND('Planilla_General_29-11-2012_10_'!K134,"AAAAAG1//OA=")</f>
        <v>#VALUE!</v>
      </c>
      <c r="HR9" t="e">
        <f>AND('Planilla_General_29-11-2012_10_'!L134,"AAAAAG1//OE=")</f>
        <v>#VALUE!</v>
      </c>
      <c r="HS9" t="e">
        <f>AND('Planilla_General_29-11-2012_10_'!M134,"AAAAAG1//OI=")</f>
        <v>#VALUE!</v>
      </c>
      <c r="HT9" t="e">
        <f>AND('Planilla_General_29-11-2012_10_'!N134,"AAAAAG1//OM=")</f>
        <v>#VALUE!</v>
      </c>
      <c r="HU9" t="e">
        <f>AND('Planilla_General_29-11-2012_10_'!O134,"AAAAAG1//OQ=")</f>
        <v>#VALUE!</v>
      </c>
      <c r="HV9" t="e">
        <f>AND('Planilla_General_29-11-2012_10_'!P134,"AAAAAG1//OU=")</f>
        <v>#VALUE!</v>
      </c>
      <c r="HW9">
        <f>IF('Planilla_General_29-11-2012_10_'!135:135,"AAAAAG1//OY=",0)</f>
        <v>0</v>
      </c>
      <c r="HX9" t="e">
        <f>AND('Planilla_General_29-11-2012_10_'!A135,"AAAAAG1//Oc=")</f>
        <v>#VALUE!</v>
      </c>
      <c r="HY9" t="e">
        <f>AND('Planilla_General_29-11-2012_10_'!B135,"AAAAAG1//Og=")</f>
        <v>#VALUE!</v>
      </c>
      <c r="HZ9" t="e">
        <f>AND('Planilla_General_29-11-2012_10_'!C135,"AAAAAG1//Ok=")</f>
        <v>#VALUE!</v>
      </c>
      <c r="IA9" t="e">
        <f>AND('Planilla_General_29-11-2012_10_'!D135,"AAAAAG1//Oo=")</f>
        <v>#VALUE!</v>
      </c>
      <c r="IB9" t="e">
        <f>AND('Planilla_General_29-11-2012_10_'!E135,"AAAAAG1//Os=")</f>
        <v>#VALUE!</v>
      </c>
      <c r="IC9" t="e">
        <f>AND('Planilla_General_29-11-2012_10_'!F135,"AAAAAG1//Ow=")</f>
        <v>#VALUE!</v>
      </c>
      <c r="ID9" t="e">
        <f>AND('Planilla_General_29-11-2012_10_'!G135,"AAAAAG1//O0=")</f>
        <v>#VALUE!</v>
      </c>
      <c r="IE9" t="e">
        <f>AND('Planilla_General_29-11-2012_10_'!H135,"AAAAAG1//O4=")</f>
        <v>#VALUE!</v>
      </c>
      <c r="IF9" t="e">
        <f>AND('Planilla_General_29-11-2012_10_'!I135,"AAAAAG1//O8=")</f>
        <v>#VALUE!</v>
      </c>
      <c r="IG9" t="e">
        <f>AND('Planilla_General_29-11-2012_10_'!J135,"AAAAAG1//PA=")</f>
        <v>#VALUE!</v>
      </c>
      <c r="IH9" t="e">
        <f>AND('Planilla_General_29-11-2012_10_'!K135,"AAAAAG1//PE=")</f>
        <v>#VALUE!</v>
      </c>
      <c r="II9" t="e">
        <f>AND('Planilla_General_29-11-2012_10_'!L135,"AAAAAG1//PI=")</f>
        <v>#VALUE!</v>
      </c>
      <c r="IJ9" t="e">
        <f>AND('Planilla_General_29-11-2012_10_'!M135,"AAAAAG1//PM=")</f>
        <v>#VALUE!</v>
      </c>
      <c r="IK9" t="e">
        <f>AND('Planilla_General_29-11-2012_10_'!N135,"AAAAAG1//PQ=")</f>
        <v>#VALUE!</v>
      </c>
      <c r="IL9" t="e">
        <f>AND('Planilla_General_29-11-2012_10_'!O135,"AAAAAG1//PU=")</f>
        <v>#VALUE!</v>
      </c>
      <c r="IM9" t="e">
        <f>AND('Planilla_General_29-11-2012_10_'!P135,"AAAAAG1//PY=")</f>
        <v>#VALUE!</v>
      </c>
      <c r="IN9">
        <f>IF('Planilla_General_29-11-2012_10_'!136:136,"AAAAAG1//Pc=",0)</f>
        <v>0</v>
      </c>
      <c r="IO9" t="e">
        <f>AND('Planilla_General_29-11-2012_10_'!A136,"AAAAAG1//Pg=")</f>
        <v>#VALUE!</v>
      </c>
      <c r="IP9" t="e">
        <f>AND('Planilla_General_29-11-2012_10_'!B136,"AAAAAG1//Pk=")</f>
        <v>#VALUE!</v>
      </c>
      <c r="IQ9" t="e">
        <f>AND('Planilla_General_29-11-2012_10_'!C136,"AAAAAG1//Po=")</f>
        <v>#VALUE!</v>
      </c>
      <c r="IR9" t="e">
        <f>AND('Planilla_General_29-11-2012_10_'!D136,"AAAAAG1//Ps=")</f>
        <v>#VALUE!</v>
      </c>
      <c r="IS9" t="e">
        <f>AND('Planilla_General_29-11-2012_10_'!E136,"AAAAAG1//Pw=")</f>
        <v>#VALUE!</v>
      </c>
      <c r="IT9" t="e">
        <f>AND('Planilla_General_29-11-2012_10_'!F136,"AAAAAG1//P0=")</f>
        <v>#VALUE!</v>
      </c>
      <c r="IU9" t="e">
        <f>AND('Planilla_General_29-11-2012_10_'!G136,"AAAAAG1//P4=")</f>
        <v>#VALUE!</v>
      </c>
      <c r="IV9" t="e">
        <f>AND('Planilla_General_29-11-2012_10_'!H136,"AAAAAG1//P8=")</f>
        <v>#VALUE!</v>
      </c>
    </row>
    <row r="10" spans="1:256" x14ac:dyDescent="0.25">
      <c r="A10" t="e">
        <f>AND('Planilla_General_29-11-2012_10_'!I136,"AAAAAF+DvwA=")</f>
        <v>#VALUE!</v>
      </c>
      <c r="B10" t="e">
        <f>AND('Planilla_General_29-11-2012_10_'!J136,"AAAAAF+DvwE=")</f>
        <v>#VALUE!</v>
      </c>
      <c r="C10" t="e">
        <f>AND('Planilla_General_29-11-2012_10_'!K136,"AAAAAF+DvwI=")</f>
        <v>#VALUE!</v>
      </c>
      <c r="D10" t="e">
        <f>AND('Planilla_General_29-11-2012_10_'!L136,"AAAAAF+DvwM=")</f>
        <v>#VALUE!</v>
      </c>
      <c r="E10" t="e">
        <f>AND('Planilla_General_29-11-2012_10_'!M136,"AAAAAF+DvwQ=")</f>
        <v>#VALUE!</v>
      </c>
      <c r="F10" t="e">
        <f>AND('Planilla_General_29-11-2012_10_'!N136,"AAAAAF+DvwU=")</f>
        <v>#VALUE!</v>
      </c>
      <c r="G10" t="e">
        <f>AND('Planilla_General_29-11-2012_10_'!O136,"AAAAAF+DvwY=")</f>
        <v>#VALUE!</v>
      </c>
      <c r="H10" t="e">
        <f>AND('Planilla_General_29-11-2012_10_'!P136,"AAAAAF+Dvwc=")</f>
        <v>#VALUE!</v>
      </c>
      <c r="I10" t="e">
        <f>IF('Planilla_General_29-11-2012_10_'!137:137,"AAAAAF+Dvwg=",0)</f>
        <v>#VALUE!</v>
      </c>
      <c r="J10" t="e">
        <f>AND('Planilla_General_29-11-2012_10_'!A137,"AAAAAF+Dvwk=")</f>
        <v>#VALUE!</v>
      </c>
      <c r="K10" t="e">
        <f>AND('Planilla_General_29-11-2012_10_'!B137,"AAAAAF+Dvwo=")</f>
        <v>#VALUE!</v>
      </c>
      <c r="L10" t="e">
        <f>AND('Planilla_General_29-11-2012_10_'!C137,"AAAAAF+Dvws=")</f>
        <v>#VALUE!</v>
      </c>
      <c r="M10" t="e">
        <f>AND('Planilla_General_29-11-2012_10_'!D137,"AAAAAF+Dvww=")</f>
        <v>#VALUE!</v>
      </c>
      <c r="N10" t="e">
        <f>AND('Planilla_General_29-11-2012_10_'!E137,"AAAAAF+Dvw0=")</f>
        <v>#VALUE!</v>
      </c>
      <c r="O10" t="e">
        <f>AND('Planilla_General_29-11-2012_10_'!F137,"AAAAAF+Dvw4=")</f>
        <v>#VALUE!</v>
      </c>
      <c r="P10" t="e">
        <f>AND('Planilla_General_29-11-2012_10_'!G137,"AAAAAF+Dvw8=")</f>
        <v>#VALUE!</v>
      </c>
      <c r="Q10" t="e">
        <f>AND('Planilla_General_29-11-2012_10_'!H137,"AAAAAF+DvxA=")</f>
        <v>#VALUE!</v>
      </c>
      <c r="R10" t="e">
        <f>AND('Planilla_General_29-11-2012_10_'!I137,"AAAAAF+DvxE=")</f>
        <v>#VALUE!</v>
      </c>
      <c r="S10" t="e">
        <f>AND('Planilla_General_29-11-2012_10_'!J137,"AAAAAF+DvxI=")</f>
        <v>#VALUE!</v>
      </c>
      <c r="T10" t="e">
        <f>AND('Planilla_General_29-11-2012_10_'!K137,"AAAAAF+DvxM=")</f>
        <v>#VALUE!</v>
      </c>
      <c r="U10" t="e">
        <f>AND('Planilla_General_29-11-2012_10_'!L137,"AAAAAF+DvxQ=")</f>
        <v>#VALUE!</v>
      </c>
      <c r="V10" t="e">
        <f>AND('Planilla_General_29-11-2012_10_'!M137,"AAAAAF+DvxU=")</f>
        <v>#VALUE!</v>
      </c>
      <c r="W10" t="e">
        <f>AND('Planilla_General_29-11-2012_10_'!N137,"AAAAAF+DvxY=")</f>
        <v>#VALUE!</v>
      </c>
      <c r="X10" t="e">
        <f>AND('Planilla_General_29-11-2012_10_'!O137,"AAAAAF+Dvxc=")</f>
        <v>#VALUE!</v>
      </c>
      <c r="Y10" t="e">
        <f>AND('Planilla_General_29-11-2012_10_'!P137,"AAAAAF+Dvxg=")</f>
        <v>#VALUE!</v>
      </c>
      <c r="Z10">
        <f>IF('Planilla_General_29-11-2012_10_'!138:138,"AAAAAF+Dvxk=",0)</f>
        <v>0</v>
      </c>
      <c r="AA10" t="e">
        <f>AND('Planilla_General_29-11-2012_10_'!A138,"AAAAAF+Dvxo=")</f>
        <v>#VALUE!</v>
      </c>
      <c r="AB10" t="e">
        <f>AND('Planilla_General_29-11-2012_10_'!B138,"AAAAAF+Dvxs=")</f>
        <v>#VALUE!</v>
      </c>
      <c r="AC10" t="e">
        <f>AND('Planilla_General_29-11-2012_10_'!C138,"AAAAAF+Dvxw=")</f>
        <v>#VALUE!</v>
      </c>
      <c r="AD10" t="e">
        <f>AND('Planilla_General_29-11-2012_10_'!D138,"AAAAAF+Dvx0=")</f>
        <v>#VALUE!</v>
      </c>
      <c r="AE10" t="e">
        <f>AND('Planilla_General_29-11-2012_10_'!E138,"AAAAAF+Dvx4=")</f>
        <v>#VALUE!</v>
      </c>
      <c r="AF10" t="e">
        <f>AND('Planilla_General_29-11-2012_10_'!F138,"AAAAAF+Dvx8=")</f>
        <v>#VALUE!</v>
      </c>
      <c r="AG10" t="e">
        <f>AND('Planilla_General_29-11-2012_10_'!G138,"AAAAAF+DvyA=")</f>
        <v>#VALUE!</v>
      </c>
      <c r="AH10" t="e">
        <f>AND('Planilla_General_29-11-2012_10_'!H138,"AAAAAF+DvyE=")</f>
        <v>#VALUE!</v>
      </c>
      <c r="AI10" t="e">
        <f>AND('Planilla_General_29-11-2012_10_'!I138,"AAAAAF+DvyI=")</f>
        <v>#VALUE!</v>
      </c>
      <c r="AJ10" t="e">
        <f>AND('Planilla_General_29-11-2012_10_'!J138,"AAAAAF+DvyM=")</f>
        <v>#VALUE!</v>
      </c>
      <c r="AK10" t="e">
        <f>AND('Planilla_General_29-11-2012_10_'!K138,"AAAAAF+DvyQ=")</f>
        <v>#VALUE!</v>
      </c>
      <c r="AL10" t="e">
        <f>AND('Planilla_General_29-11-2012_10_'!L138,"AAAAAF+DvyU=")</f>
        <v>#VALUE!</v>
      </c>
      <c r="AM10" t="e">
        <f>AND('Planilla_General_29-11-2012_10_'!M138,"AAAAAF+DvyY=")</f>
        <v>#VALUE!</v>
      </c>
      <c r="AN10" t="e">
        <f>AND('Planilla_General_29-11-2012_10_'!N138,"AAAAAF+Dvyc=")</f>
        <v>#VALUE!</v>
      </c>
      <c r="AO10" t="e">
        <f>AND('Planilla_General_29-11-2012_10_'!O138,"AAAAAF+Dvyg=")</f>
        <v>#VALUE!</v>
      </c>
      <c r="AP10" t="e">
        <f>AND('Planilla_General_29-11-2012_10_'!P138,"AAAAAF+Dvyk=")</f>
        <v>#VALUE!</v>
      </c>
      <c r="AQ10">
        <f>IF('Planilla_General_29-11-2012_10_'!139:139,"AAAAAF+Dvyo=",0)</f>
        <v>0</v>
      </c>
      <c r="AR10" t="e">
        <f>AND('Planilla_General_29-11-2012_10_'!A139,"AAAAAF+Dvys=")</f>
        <v>#VALUE!</v>
      </c>
      <c r="AS10" t="e">
        <f>AND('Planilla_General_29-11-2012_10_'!B139,"AAAAAF+Dvyw=")</f>
        <v>#VALUE!</v>
      </c>
      <c r="AT10" t="e">
        <f>AND('Planilla_General_29-11-2012_10_'!C139,"AAAAAF+Dvy0=")</f>
        <v>#VALUE!</v>
      </c>
      <c r="AU10" t="e">
        <f>AND('Planilla_General_29-11-2012_10_'!D139,"AAAAAF+Dvy4=")</f>
        <v>#VALUE!</v>
      </c>
      <c r="AV10" t="e">
        <f>AND('Planilla_General_29-11-2012_10_'!E139,"AAAAAF+Dvy8=")</f>
        <v>#VALUE!</v>
      </c>
      <c r="AW10" t="e">
        <f>AND('Planilla_General_29-11-2012_10_'!F139,"AAAAAF+DvzA=")</f>
        <v>#VALUE!</v>
      </c>
      <c r="AX10" t="e">
        <f>AND('Planilla_General_29-11-2012_10_'!G139,"AAAAAF+DvzE=")</f>
        <v>#VALUE!</v>
      </c>
      <c r="AY10" t="e">
        <f>AND('Planilla_General_29-11-2012_10_'!H139,"AAAAAF+DvzI=")</f>
        <v>#VALUE!</v>
      </c>
      <c r="AZ10" t="e">
        <f>AND('Planilla_General_29-11-2012_10_'!I139,"AAAAAF+DvzM=")</f>
        <v>#VALUE!</v>
      </c>
      <c r="BA10" t="e">
        <f>AND('Planilla_General_29-11-2012_10_'!J139,"AAAAAF+DvzQ=")</f>
        <v>#VALUE!</v>
      </c>
      <c r="BB10" t="e">
        <f>AND('Planilla_General_29-11-2012_10_'!K139,"AAAAAF+DvzU=")</f>
        <v>#VALUE!</v>
      </c>
      <c r="BC10" t="e">
        <f>AND('Planilla_General_29-11-2012_10_'!L139,"AAAAAF+DvzY=")</f>
        <v>#VALUE!</v>
      </c>
      <c r="BD10" t="e">
        <f>AND('Planilla_General_29-11-2012_10_'!M139,"AAAAAF+Dvzc=")</f>
        <v>#VALUE!</v>
      </c>
      <c r="BE10" t="e">
        <f>AND('Planilla_General_29-11-2012_10_'!N139,"AAAAAF+Dvzg=")</f>
        <v>#VALUE!</v>
      </c>
      <c r="BF10" t="e">
        <f>AND('Planilla_General_29-11-2012_10_'!O139,"AAAAAF+Dvzk=")</f>
        <v>#VALUE!</v>
      </c>
      <c r="BG10" t="e">
        <f>AND('Planilla_General_29-11-2012_10_'!P139,"AAAAAF+Dvzo=")</f>
        <v>#VALUE!</v>
      </c>
      <c r="BH10">
        <f>IF('Planilla_General_29-11-2012_10_'!140:140,"AAAAAF+Dvzs=",0)</f>
        <v>0</v>
      </c>
      <c r="BI10" t="e">
        <f>AND('Planilla_General_29-11-2012_10_'!A140,"AAAAAF+Dvzw=")</f>
        <v>#VALUE!</v>
      </c>
      <c r="BJ10" t="e">
        <f>AND('Planilla_General_29-11-2012_10_'!B140,"AAAAAF+Dvz0=")</f>
        <v>#VALUE!</v>
      </c>
      <c r="BK10" t="e">
        <f>AND('Planilla_General_29-11-2012_10_'!C140,"AAAAAF+Dvz4=")</f>
        <v>#VALUE!</v>
      </c>
      <c r="BL10" t="e">
        <f>AND('Planilla_General_29-11-2012_10_'!D140,"AAAAAF+Dvz8=")</f>
        <v>#VALUE!</v>
      </c>
      <c r="BM10" t="e">
        <f>AND('Planilla_General_29-11-2012_10_'!E140,"AAAAAF+Dv0A=")</f>
        <v>#VALUE!</v>
      </c>
      <c r="BN10" t="e">
        <f>AND('Planilla_General_29-11-2012_10_'!F140,"AAAAAF+Dv0E=")</f>
        <v>#VALUE!</v>
      </c>
      <c r="BO10" t="e">
        <f>AND('Planilla_General_29-11-2012_10_'!G140,"AAAAAF+Dv0I=")</f>
        <v>#VALUE!</v>
      </c>
      <c r="BP10" t="e">
        <f>AND('Planilla_General_29-11-2012_10_'!H140,"AAAAAF+Dv0M=")</f>
        <v>#VALUE!</v>
      </c>
      <c r="BQ10" t="e">
        <f>AND('Planilla_General_29-11-2012_10_'!I140,"AAAAAF+Dv0Q=")</f>
        <v>#VALUE!</v>
      </c>
      <c r="BR10" t="e">
        <f>AND('Planilla_General_29-11-2012_10_'!J140,"AAAAAF+Dv0U=")</f>
        <v>#VALUE!</v>
      </c>
      <c r="BS10" t="e">
        <f>AND('Planilla_General_29-11-2012_10_'!K140,"AAAAAF+Dv0Y=")</f>
        <v>#VALUE!</v>
      </c>
      <c r="BT10" t="e">
        <f>AND('Planilla_General_29-11-2012_10_'!L140,"AAAAAF+Dv0c=")</f>
        <v>#VALUE!</v>
      </c>
      <c r="BU10" t="e">
        <f>AND('Planilla_General_29-11-2012_10_'!M140,"AAAAAF+Dv0g=")</f>
        <v>#VALUE!</v>
      </c>
      <c r="BV10" t="e">
        <f>AND('Planilla_General_29-11-2012_10_'!N140,"AAAAAF+Dv0k=")</f>
        <v>#VALUE!</v>
      </c>
      <c r="BW10" t="e">
        <f>AND('Planilla_General_29-11-2012_10_'!O140,"AAAAAF+Dv0o=")</f>
        <v>#VALUE!</v>
      </c>
      <c r="BX10" t="e">
        <f>AND('Planilla_General_29-11-2012_10_'!P140,"AAAAAF+Dv0s=")</f>
        <v>#VALUE!</v>
      </c>
      <c r="BY10">
        <f>IF('Planilla_General_29-11-2012_10_'!141:141,"AAAAAF+Dv0w=",0)</f>
        <v>0</v>
      </c>
      <c r="BZ10" t="e">
        <f>AND('Planilla_General_29-11-2012_10_'!A141,"AAAAAF+Dv00=")</f>
        <v>#VALUE!</v>
      </c>
      <c r="CA10" t="e">
        <f>AND('Planilla_General_29-11-2012_10_'!B141,"AAAAAF+Dv04=")</f>
        <v>#VALUE!</v>
      </c>
      <c r="CB10" t="e">
        <f>AND('Planilla_General_29-11-2012_10_'!C141,"AAAAAF+Dv08=")</f>
        <v>#VALUE!</v>
      </c>
      <c r="CC10" t="e">
        <f>AND('Planilla_General_29-11-2012_10_'!D141,"AAAAAF+Dv1A=")</f>
        <v>#VALUE!</v>
      </c>
      <c r="CD10" t="e">
        <f>AND('Planilla_General_29-11-2012_10_'!E141,"AAAAAF+Dv1E=")</f>
        <v>#VALUE!</v>
      </c>
      <c r="CE10" t="e">
        <f>AND('Planilla_General_29-11-2012_10_'!F141,"AAAAAF+Dv1I=")</f>
        <v>#VALUE!</v>
      </c>
      <c r="CF10" t="e">
        <f>AND('Planilla_General_29-11-2012_10_'!G141,"AAAAAF+Dv1M=")</f>
        <v>#VALUE!</v>
      </c>
      <c r="CG10" t="e">
        <f>AND('Planilla_General_29-11-2012_10_'!H141,"AAAAAF+Dv1Q=")</f>
        <v>#VALUE!</v>
      </c>
      <c r="CH10" t="e">
        <f>AND('Planilla_General_29-11-2012_10_'!I141,"AAAAAF+Dv1U=")</f>
        <v>#VALUE!</v>
      </c>
      <c r="CI10" t="e">
        <f>AND('Planilla_General_29-11-2012_10_'!J141,"AAAAAF+Dv1Y=")</f>
        <v>#VALUE!</v>
      </c>
      <c r="CJ10" t="e">
        <f>AND('Planilla_General_29-11-2012_10_'!K141,"AAAAAF+Dv1c=")</f>
        <v>#VALUE!</v>
      </c>
      <c r="CK10" t="e">
        <f>AND('Planilla_General_29-11-2012_10_'!L141,"AAAAAF+Dv1g=")</f>
        <v>#VALUE!</v>
      </c>
      <c r="CL10" t="e">
        <f>AND('Planilla_General_29-11-2012_10_'!M141,"AAAAAF+Dv1k=")</f>
        <v>#VALUE!</v>
      </c>
      <c r="CM10" t="e">
        <f>AND('Planilla_General_29-11-2012_10_'!N141,"AAAAAF+Dv1o=")</f>
        <v>#VALUE!</v>
      </c>
      <c r="CN10" t="e">
        <f>AND('Planilla_General_29-11-2012_10_'!O141,"AAAAAF+Dv1s=")</f>
        <v>#VALUE!</v>
      </c>
      <c r="CO10" t="e">
        <f>AND('Planilla_General_29-11-2012_10_'!P141,"AAAAAF+Dv1w=")</f>
        <v>#VALUE!</v>
      </c>
      <c r="CP10">
        <f>IF('Planilla_General_29-11-2012_10_'!142:142,"AAAAAF+Dv10=",0)</f>
        <v>0</v>
      </c>
      <c r="CQ10" t="e">
        <f>AND('Planilla_General_29-11-2012_10_'!A142,"AAAAAF+Dv14=")</f>
        <v>#VALUE!</v>
      </c>
      <c r="CR10" t="e">
        <f>AND('Planilla_General_29-11-2012_10_'!B142,"AAAAAF+Dv18=")</f>
        <v>#VALUE!</v>
      </c>
      <c r="CS10" t="e">
        <f>AND('Planilla_General_29-11-2012_10_'!C142,"AAAAAF+Dv2A=")</f>
        <v>#VALUE!</v>
      </c>
      <c r="CT10" t="e">
        <f>AND('Planilla_General_29-11-2012_10_'!D142,"AAAAAF+Dv2E=")</f>
        <v>#VALUE!</v>
      </c>
      <c r="CU10" t="e">
        <f>AND('Planilla_General_29-11-2012_10_'!E142,"AAAAAF+Dv2I=")</f>
        <v>#VALUE!</v>
      </c>
      <c r="CV10" t="e">
        <f>AND('Planilla_General_29-11-2012_10_'!F142,"AAAAAF+Dv2M=")</f>
        <v>#VALUE!</v>
      </c>
      <c r="CW10" t="e">
        <f>AND('Planilla_General_29-11-2012_10_'!G142,"AAAAAF+Dv2Q=")</f>
        <v>#VALUE!</v>
      </c>
      <c r="CX10" t="e">
        <f>AND('Planilla_General_29-11-2012_10_'!H142,"AAAAAF+Dv2U=")</f>
        <v>#VALUE!</v>
      </c>
      <c r="CY10" t="e">
        <f>AND('Planilla_General_29-11-2012_10_'!I142,"AAAAAF+Dv2Y=")</f>
        <v>#VALUE!</v>
      </c>
      <c r="CZ10" t="e">
        <f>AND('Planilla_General_29-11-2012_10_'!J142,"AAAAAF+Dv2c=")</f>
        <v>#VALUE!</v>
      </c>
      <c r="DA10" t="e">
        <f>AND('Planilla_General_29-11-2012_10_'!K142,"AAAAAF+Dv2g=")</f>
        <v>#VALUE!</v>
      </c>
      <c r="DB10" t="e">
        <f>AND('Planilla_General_29-11-2012_10_'!L142,"AAAAAF+Dv2k=")</f>
        <v>#VALUE!</v>
      </c>
      <c r="DC10" t="e">
        <f>AND('Planilla_General_29-11-2012_10_'!M142,"AAAAAF+Dv2o=")</f>
        <v>#VALUE!</v>
      </c>
      <c r="DD10" t="e">
        <f>AND('Planilla_General_29-11-2012_10_'!N142,"AAAAAF+Dv2s=")</f>
        <v>#VALUE!</v>
      </c>
      <c r="DE10" t="e">
        <f>AND('Planilla_General_29-11-2012_10_'!O142,"AAAAAF+Dv2w=")</f>
        <v>#VALUE!</v>
      </c>
      <c r="DF10" t="e">
        <f>AND('Planilla_General_29-11-2012_10_'!P142,"AAAAAF+Dv20=")</f>
        <v>#VALUE!</v>
      </c>
      <c r="DG10">
        <f>IF('Planilla_General_29-11-2012_10_'!143:143,"AAAAAF+Dv24=",0)</f>
        <v>0</v>
      </c>
      <c r="DH10" t="e">
        <f>AND('Planilla_General_29-11-2012_10_'!A143,"AAAAAF+Dv28=")</f>
        <v>#VALUE!</v>
      </c>
      <c r="DI10" t="e">
        <f>AND('Planilla_General_29-11-2012_10_'!B143,"AAAAAF+Dv3A=")</f>
        <v>#VALUE!</v>
      </c>
      <c r="DJ10" t="e">
        <f>AND('Planilla_General_29-11-2012_10_'!C143,"AAAAAF+Dv3E=")</f>
        <v>#VALUE!</v>
      </c>
      <c r="DK10" t="e">
        <f>AND('Planilla_General_29-11-2012_10_'!D143,"AAAAAF+Dv3I=")</f>
        <v>#VALUE!</v>
      </c>
      <c r="DL10" t="e">
        <f>AND('Planilla_General_29-11-2012_10_'!E143,"AAAAAF+Dv3M=")</f>
        <v>#VALUE!</v>
      </c>
      <c r="DM10" t="e">
        <f>AND('Planilla_General_29-11-2012_10_'!F143,"AAAAAF+Dv3Q=")</f>
        <v>#VALUE!</v>
      </c>
      <c r="DN10" t="e">
        <f>AND('Planilla_General_29-11-2012_10_'!G143,"AAAAAF+Dv3U=")</f>
        <v>#VALUE!</v>
      </c>
      <c r="DO10" t="e">
        <f>AND('Planilla_General_29-11-2012_10_'!H143,"AAAAAF+Dv3Y=")</f>
        <v>#VALUE!</v>
      </c>
      <c r="DP10" t="e">
        <f>AND('Planilla_General_29-11-2012_10_'!I143,"AAAAAF+Dv3c=")</f>
        <v>#VALUE!</v>
      </c>
      <c r="DQ10" t="e">
        <f>AND('Planilla_General_29-11-2012_10_'!J143,"AAAAAF+Dv3g=")</f>
        <v>#VALUE!</v>
      </c>
      <c r="DR10" t="e">
        <f>AND('Planilla_General_29-11-2012_10_'!K143,"AAAAAF+Dv3k=")</f>
        <v>#VALUE!</v>
      </c>
      <c r="DS10" t="e">
        <f>AND('Planilla_General_29-11-2012_10_'!L143,"AAAAAF+Dv3o=")</f>
        <v>#VALUE!</v>
      </c>
      <c r="DT10" t="e">
        <f>AND('Planilla_General_29-11-2012_10_'!M143,"AAAAAF+Dv3s=")</f>
        <v>#VALUE!</v>
      </c>
      <c r="DU10" t="e">
        <f>AND('Planilla_General_29-11-2012_10_'!N143,"AAAAAF+Dv3w=")</f>
        <v>#VALUE!</v>
      </c>
      <c r="DV10" t="e">
        <f>AND('Planilla_General_29-11-2012_10_'!O143,"AAAAAF+Dv30=")</f>
        <v>#VALUE!</v>
      </c>
      <c r="DW10" t="e">
        <f>AND('Planilla_General_29-11-2012_10_'!P143,"AAAAAF+Dv34=")</f>
        <v>#VALUE!</v>
      </c>
      <c r="DX10">
        <f>IF('Planilla_General_29-11-2012_10_'!144:144,"AAAAAF+Dv38=",0)</f>
        <v>0</v>
      </c>
      <c r="DY10" t="e">
        <f>AND('Planilla_General_29-11-2012_10_'!A144,"AAAAAF+Dv4A=")</f>
        <v>#VALUE!</v>
      </c>
      <c r="DZ10" t="e">
        <f>AND('Planilla_General_29-11-2012_10_'!B144,"AAAAAF+Dv4E=")</f>
        <v>#VALUE!</v>
      </c>
      <c r="EA10" t="e">
        <f>AND('Planilla_General_29-11-2012_10_'!C144,"AAAAAF+Dv4I=")</f>
        <v>#VALUE!</v>
      </c>
      <c r="EB10" t="e">
        <f>AND('Planilla_General_29-11-2012_10_'!D144,"AAAAAF+Dv4M=")</f>
        <v>#VALUE!</v>
      </c>
      <c r="EC10" t="e">
        <f>AND('Planilla_General_29-11-2012_10_'!E144,"AAAAAF+Dv4Q=")</f>
        <v>#VALUE!</v>
      </c>
      <c r="ED10" t="e">
        <f>AND('Planilla_General_29-11-2012_10_'!F144,"AAAAAF+Dv4U=")</f>
        <v>#VALUE!</v>
      </c>
      <c r="EE10" t="e">
        <f>AND('Planilla_General_29-11-2012_10_'!G144,"AAAAAF+Dv4Y=")</f>
        <v>#VALUE!</v>
      </c>
      <c r="EF10" t="e">
        <f>AND('Planilla_General_29-11-2012_10_'!H144,"AAAAAF+Dv4c=")</f>
        <v>#VALUE!</v>
      </c>
      <c r="EG10" t="e">
        <f>AND('Planilla_General_29-11-2012_10_'!I144,"AAAAAF+Dv4g=")</f>
        <v>#VALUE!</v>
      </c>
      <c r="EH10" t="e">
        <f>AND('Planilla_General_29-11-2012_10_'!J144,"AAAAAF+Dv4k=")</f>
        <v>#VALUE!</v>
      </c>
      <c r="EI10" t="e">
        <f>AND('Planilla_General_29-11-2012_10_'!K144,"AAAAAF+Dv4o=")</f>
        <v>#VALUE!</v>
      </c>
      <c r="EJ10" t="e">
        <f>AND('Planilla_General_29-11-2012_10_'!L144,"AAAAAF+Dv4s=")</f>
        <v>#VALUE!</v>
      </c>
      <c r="EK10" t="e">
        <f>AND('Planilla_General_29-11-2012_10_'!M144,"AAAAAF+Dv4w=")</f>
        <v>#VALUE!</v>
      </c>
      <c r="EL10" t="e">
        <f>AND('Planilla_General_29-11-2012_10_'!N144,"AAAAAF+Dv40=")</f>
        <v>#VALUE!</v>
      </c>
      <c r="EM10" t="e">
        <f>AND('Planilla_General_29-11-2012_10_'!O144,"AAAAAF+Dv44=")</f>
        <v>#VALUE!</v>
      </c>
      <c r="EN10" t="e">
        <f>AND('Planilla_General_29-11-2012_10_'!P144,"AAAAAF+Dv48=")</f>
        <v>#VALUE!</v>
      </c>
      <c r="EO10">
        <f>IF('Planilla_General_29-11-2012_10_'!145:145,"AAAAAF+Dv5A=",0)</f>
        <v>0</v>
      </c>
      <c r="EP10" t="e">
        <f>AND('Planilla_General_29-11-2012_10_'!A145,"AAAAAF+Dv5E=")</f>
        <v>#VALUE!</v>
      </c>
      <c r="EQ10" t="e">
        <f>AND('Planilla_General_29-11-2012_10_'!B145,"AAAAAF+Dv5I=")</f>
        <v>#VALUE!</v>
      </c>
      <c r="ER10" t="e">
        <f>AND('Planilla_General_29-11-2012_10_'!C145,"AAAAAF+Dv5M=")</f>
        <v>#VALUE!</v>
      </c>
      <c r="ES10" t="e">
        <f>AND('Planilla_General_29-11-2012_10_'!D145,"AAAAAF+Dv5Q=")</f>
        <v>#VALUE!</v>
      </c>
      <c r="ET10" t="e">
        <f>AND('Planilla_General_29-11-2012_10_'!E145,"AAAAAF+Dv5U=")</f>
        <v>#VALUE!</v>
      </c>
      <c r="EU10" t="e">
        <f>AND('Planilla_General_29-11-2012_10_'!F145,"AAAAAF+Dv5Y=")</f>
        <v>#VALUE!</v>
      </c>
      <c r="EV10" t="e">
        <f>AND('Planilla_General_29-11-2012_10_'!G145,"AAAAAF+Dv5c=")</f>
        <v>#VALUE!</v>
      </c>
      <c r="EW10" t="e">
        <f>AND('Planilla_General_29-11-2012_10_'!H145,"AAAAAF+Dv5g=")</f>
        <v>#VALUE!</v>
      </c>
      <c r="EX10" t="e">
        <f>AND('Planilla_General_29-11-2012_10_'!I145,"AAAAAF+Dv5k=")</f>
        <v>#VALUE!</v>
      </c>
      <c r="EY10" t="e">
        <f>AND('Planilla_General_29-11-2012_10_'!J145,"AAAAAF+Dv5o=")</f>
        <v>#VALUE!</v>
      </c>
      <c r="EZ10" t="e">
        <f>AND('Planilla_General_29-11-2012_10_'!K145,"AAAAAF+Dv5s=")</f>
        <v>#VALUE!</v>
      </c>
      <c r="FA10" t="e">
        <f>AND('Planilla_General_29-11-2012_10_'!L145,"AAAAAF+Dv5w=")</f>
        <v>#VALUE!</v>
      </c>
      <c r="FB10" t="e">
        <f>AND('Planilla_General_29-11-2012_10_'!M145,"AAAAAF+Dv50=")</f>
        <v>#VALUE!</v>
      </c>
      <c r="FC10" t="e">
        <f>AND('Planilla_General_29-11-2012_10_'!N145,"AAAAAF+Dv54=")</f>
        <v>#VALUE!</v>
      </c>
      <c r="FD10" t="e">
        <f>AND('Planilla_General_29-11-2012_10_'!O145,"AAAAAF+Dv58=")</f>
        <v>#VALUE!</v>
      </c>
      <c r="FE10" t="e">
        <f>AND('Planilla_General_29-11-2012_10_'!P145,"AAAAAF+Dv6A=")</f>
        <v>#VALUE!</v>
      </c>
      <c r="FF10">
        <f>IF('Planilla_General_29-11-2012_10_'!146:146,"AAAAAF+Dv6E=",0)</f>
        <v>0</v>
      </c>
      <c r="FG10" t="e">
        <f>AND('Planilla_General_29-11-2012_10_'!A146,"AAAAAF+Dv6I=")</f>
        <v>#VALUE!</v>
      </c>
      <c r="FH10" t="e">
        <f>AND('Planilla_General_29-11-2012_10_'!B146,"AAAAAF+Dv6M=")</f>
        <v>#VALUE!</v>
      </c>
      <c r="FI10" t="e">
        <f>AND('Planilla_General_29-11-2012_10_'!C146,"AAAAAF+Dv6Q=")</f>
        <v>#VALUE!</v>
      </c>
      <c r="FJ10" t="e">
        <f>AND('Planilla_General_29-11-2012_10_'!D146,"AAAAAF+Dv6U=")</f>
        <v>#VALUE!</v>
      </c>
      <c r="FK10" t="e">
        <f>AND('Planilla_General_29-11-2012_10_'!E146,"AAAAAF+Dv6Y=")</f>
        <v>#VALUE!</v>
      </c>
      <c r="FL10" t="e">
        <f>AND('Planilla_General_29-11-2012_10_'!F146,"AAAAAF+Dv6c=")</f>
        <v>#VALUE!</v>
      </c>
      <c r="FM10" t="e">
        <f>AND('Planilla_General_29-11-2012_10_'!G146,"AAAAAF+Dv6g=")</f>
        <v>#VALUE!</v>
      </c>
      <c r="FN10" t="e">
        <f>AND('Planilla_General_29-11-2012_10_'!H146,"AAAAAF+Dv6k=")</f>
        <v>#VALUE!</v>
      </c>
      <c r="FO10" t="e">
        <f>AND('Planilla_General_29-11-2012_10_'!I146,"AAAAAF+Dv6o=")</f>
        <v>#VALUE!</v>
      </c>
      <c r="FP10" t="e">
        <f>AND('Planilla_General_29-11-2012_10_'!J146,"AAAAAF+Dv6s=")</f>
        <v>#VALUE!</v>
      </c>
      <c r="FQ10" t="e">
        <f>AND('Planilla_General_29-11-2012_10_'!K146,"AAAAAF+Dv6w=")</f>
        <v>#VALUE!</v>
      </c>
      <c r="FR10" t="e">
        <f>AND('Planilla_General_29-11-2012_10_'!L146,"AAAAAF+Dv60=")</f>
        <v>#VALUE!</v>
      </c>
      <c r="FS10" t="e">
        <f>AND('Planilla_General_29-11-2012_10_'!M146,"AAAAAF+Dv64=")</f>
        <v>#VALUE!</v>
      </c>
      <c r="FT10" t="e">
        <f>AND('Planilla_General_29-11-2012_10_'!N146,"AAAAAF+Dv68=")</f>
        <v>#VALUE!</v>
      </c>
      <c r="FU10" t="e">
        <f>AND('Planilla_General_29-11-2012_10_'!O146,"AAAAAF+Dv7A=")</f>
        <v>#VALUE!</v>
      </c>
      <c r="FV10" t="e">
        <f>AND('Planilla_General_29-11-2012_10_'!P146,"AAAAAF+Dv7E=")</f>
        <v>#VALUE!</v>
      </c>
      <c r="FW10">
        <f>IF('Planilla_General_29-11-2012_10_'!147:147,"AAAAAF+Dv7I=",0)</f>
        <v>0</v>
      </c>
      <c r="FX10" t="e">
        <f>AND('Planilla_General_29-11-2012_10_'!A147,"AAAAAF+Dv7M=")</f>
        <v>#VALUE!</v>
      </c>
      <c r="FY10" t="e">
        <f>AND('Planilla_General_29-11-2012_10_'!B147,"AAAAAF+Dv7Q=")</f>
        <v>#VALUE!</v>
      </c>
      <c r="FZ10" t="e">
        <f>AND('Planilla_General_29-11-2012_10_'!C147,"AAAAAF+Dv7U=")</f>
        <v>#VALUE!</v>
      </c>
      <c r="GA10" t="e">
        <f>AND('Planilla_General_29-11-2012_10_'!D147,"AAAAAF+Dv7Y=")</f>
        <v>#VALUE!</v>
      </c>
      <c r="GB10" t="e">
        <f>AND('Planilla_General_29-11-2012_10_'!E147,"AAAAAF+Dv7c=")</f>
        <v>#VALUE!</v>
      </c>
      <c r="GC10" t="e">
        <f>AND('Planilla_General_29-11-2012_10_'!F147,"AAAAAF+Dv7g=")</f>
        <v>#VALUE!</v>
      </c>
      <c r="GD10" t="e">
        <f>AND('Planilla_General_29-11-2012_10_'!G147,"AAAAAF+Dv7k=")</f>
        <v>#VALUE!</v>
      </c>
      <c r="GE10" t="e">
        <f>AND('Planilla_General_29-11-2012_10_'!H147,"AAAAAF+Dv7o=")</f>
        <v>#VALUE!</v>
      </c>
      <c r="GF10" t="e">
        <f>AND('Planilla_General_29-11-2012_10_'!I147,"AAAAAF+Dv7s=")</f>
        <v>#VALUE!</v>
      </c>
      <c r="GG10" t="e">
        <f>AND('Planilla_General_29-11-2012_10_'!J147,"AAAAAF+Dv7w=")</f>
        <v>#VALUE!</v>
      </c>
      <c r="GH10" t="e">
        <f>AND('Planilla_General_29-11-2012_10_'!K147,"AAAAAF+Dv70=")</f>
        <v>#VALUE!</v>
      </c>
      <c r="GI10" t="e">
        <f>AND('Planilla_General_29-11-2012_10_'!L147,"AAAAAF+Dv74=")</f>
        <v>#VALUE!</v>
      </c>
      <c r="GJ10" t="e">
        <f>AND('Planilla_General_29-11-2012_10_'!M147,"AAAAAF+Dv78=")</f>
        <v>#VALUE!</v>
      </c>
      <c r="GK10" t="e">
        <f>AND('Planilla_General_29-11-2012_10_'!N147,"AAAAAF+Dv8A=")</f>
        <v>#VALUE!</v>
      </c>
      <c r="GL10" t="e">
        <f>AND('Planilla_General_29-11-2012_10_'!O147,"AAAAAF+Dv8E=")</f>
        <v>#VALUE!</v>
      </c>
      <c r="GM10" t="e">
        <f>AND('Planilla_General_29-11-2012_10_'!P147,"AAAAAF+Dv8I=")</f>
        <v>#VALUE!</v>
      </c>
      <c r="GN10">
        <f>IF('Planilla_General_29-11-2012_10_'!148:148,"AAAAAF+Dv8M=",0)</f>
        <v>0</v>
      </c>
      <c r="GO10" t="e">
        <f>AND('Planilla_General_29-11-2012_10_'!A148,"AAAAAF+Dv8Q=")</f>
        <v>#VALUE!</v>
      </c>
      <c r="GP10" t="e">
        <f>AND('Planilla_General_29-11-2012_10_'!B148,"AAAAAF+Dv8U=")</f>
        <v>#VALUE!</v>
      </c>
      <c r="GQ10" t="e">
        <f>AND('Planilla_General_29-11-2012_10_'!C148,"AAAAAF+Dv8Y=")</f>
        <v>#VALUE!</v>
      </c>
      <c r="GR10" t="e">
        <f>AND('Planilla_General_29-11-2012_10_'!D148,"AAAAAF+Dv8c=")</f>
        <v>#VALUE!</v>
      </c>
      <c r="GS10" t="e">
        <f>AND('Planilla_General_29-11-2012_10_'!E148,"AAAAAF+Dv8g=")</f>
        <v>#VALUE!</v>
      </c>
      <c r="GT10" t="e">
        <f>AND('Planilla_General_29-11-2012_10_'!F148,"AAAAAF+Dv8k=")</f>
        <v>#VALUE!</v>
      </c>
      <c r="GU10" t="e">
        <f>AND('Planilla_General_29-11-2012_10_'!G148,"AAAAAF+Dv8o=")</f>
        <v>#VALUE!</v>
      </c>
      <c r="GV10" t="e">
        <f>AND('Planilla_General_29-11-2012_10_'!H148,"AAAAAF+Dv8s=")</f>
        <v>#VALUE!</v>
      </c>
      <c r="GW10" t="e">
        <f>AND('Planilla_General_29-11-2012_10_'!I148,"AAAAAF+Dv8w=")</f>
        <v>#VALUE!</v>
      </c>
      <c r="GX10" t="e">
        <f>AND('Planilla_General_29-11-2012_10_'!J148,"AAAAAF+Dv80=")</f>
        <v>#VALUE!</v>
      </c>
      <c r="GY10" t="e">
        <f>AND('Planilla_General_29-11-2012_10_'!K148,"AAAAAF+Dv84=")</f>
        <v>#VALUE!</v>
      </c>
      <c r="GZ10" t="e">
        <f>AND('Planilla_General_29-11-2012_10_'!L148,"AAAAAF+Dv88=")</f>
        <v>#VALUE!</v>
      </c>
      <c r="HA10" t="e">
        <f>AND('Planilla_General_29-11-2012_10_'!M148,"AAAAAF+Dv9A=")</f>
        <v>#VALUE!</v>
      </c>
      <c r="HB10" t="e">
        <f>AND('Planilla_General_29-11-2012_10_'!N148,"AAAAAF+Dv9E=")</f>
        <v>#VALUE!</v>
      </c>
      <c r="HC10" t="e">
        <f>AND('Planilla_General_29-11-2012_10_'!O148,"AAAAAF+Dv9I=")</f>
        <v>#VALUE!</v>
      </c>
      <c r="HD10" t="e">
        <f>AND('Planilla_General_29-11-2012_10_'!P148,"AAAAAF+Dv9M=")</f>
        <v>#VALUE!</v>
      </c>
      <c r="HE10">
        <f>IF('Planilla_General_29-11-2012_10_'!149:149,"AAAAAF+Dv9Q=",0)</f>
        <v>0</v>
      </c>
      <c r="HF10" t="e">
        <f>AND('Planilla_General_29-11-2012_10_'!A149,"AAAAAF+Dv9U=")</f>
        <v>#VALUE!</v>
      </c>
      <c r="HG10" t="e">
        <f>AND('Planilla_General_29-11-2012_10_'!B149,"AAAAAF+Dv9Y=")</f>
        <v>#VALUE!</v>
      </c>
      <c r="HH10" t="e">
        <f>AND('Planilla_General_29-11-2012_10_'!C149,"AAAAAF+Dv9c=")</f>
        <v>#VALUE!</v>
      </c>
      <c r="HI10" t="e">
        <f>AND('Planilla_General_29-11-2012_10_'!D149,"AAAAAF+Dv9g=")</f>
        <v>#VALUE!</v>
      </c>
      <c r="HJ10" t="e">
        <f>AND('Planilla_General_29-11-2012_10_'!E149,"AAAAAF+Dv9k=")</f>
        <v>#VALUE!</v>
      </c>
      <c r="HK10" t="e">
        <f>AND('Planilla_General_29-11-2012_10_'!F149,"AAAAAF+Dv9o=")</f>
        <v>#VALUE!</v>
      </c>
      <c r="HL10" t="e">
        <f>AND('Planilla_General_29-11-2012_10_'!G149,"AAAAAF+Dv9s=")</f>
        <v>#VALUE!</v>
      </c>
      <c r="HM10" t="e">
        <f>AND('Planilla_General_29-11-2012_10_'!H149,"AAAAAF+Dv9w=")</f>
        <v>#VALUE!</v>
      </c>
      <c r="HN10" t="e">
        <f>AND('Planilla_General_29-11-2012_10_'!I149,"AAAAAF+Dv90=")</f>
        <v>#VALUE!</v>
      </c>
      <c r="HO10" t="e">
        <f>AND('Planilla_General_29-11-2012_10_'!J149,"AAAAAF+Dv94=")</f>
        <v>#VALUE!</v>
      </c>
      <c r="HP10" t="e">
        <f>AND('Planilla_General_29-11-2012_10_'!K149,"AAAAAF+Dv98=")</f>
        <v>#VALUE!</v>
      </c>
      <c r="HQ10" t="e">
        <f>AND('Planilla_General_29-11-2012_10_'!L149,"AAAAAF+Dv+A=")</f>
        <v>#VALUE!</v>
      </c>
      <c r="HR10" t="e">
        <f>AND('Planilla_General_29-11-2012_10_'!M149,"AAAAAF+Dv+E=")</f>
        <v>#VALUE!</v>
      </c>
      <c r="HS10" t="e">
        <f>AND('Planilla_General_29-11-2012_10_'!N149,"AAAAAF+Dv+I=")</f>
        <v>#VALUE!</v>
      </c>
      <c r="HT10" t="e">
        <f>AND('Planilla_General_29-11-2012_10_'!O149,"AAAAAF+Dv+M=")</f>
        <v>#VALUE!</v>
      </c>
      <c r="HU10" t="e">
        <f>AND('Planilla_General_29-11-2012_10_'!P149,"AAAAAF+Dv+Q=")</f>
        <v>#VALUE!</v>
      </c>
      <c r="HV10">
        <f>IF('Planilla_General_29-11-2012_10_'!150:150,"AAAAAF+Dv+U=",0)</f>
        <v>0</v>
      </c>
      <c r="HW10" t="e">
        <f>AND('Planilla_General_29-11-2012_10_'!A150,"AAAAAF+Dv+Y=")</f>
        <v>#VALUE!</v>
      </c>
      <c r="HX10" t="e">
        <f>AND('Planilla_General_29-11-2012_10_'!B150,"AAAAAF+Dv+c=")</f>
        <v>#VALUE!</v>
      </c>
      <c r="HY10" t="e">
        <f>AND('Planilla_General_29-11-2012_10_'!C150,"AAAAAF+Dv+g=")</f>
        <v>#VALUE!</v>
      </c>
      <c r="HZ10" t="e">
        <f>AND('Planilla_General_29-11-2012_10_'!D150,"AAAAAF+Dv+k=")</f>
        <v>#VALUE!</v>
      </c>
      <c r="IA10" t="e">
        <f>AND('Planilla_General_29-11-2012_10_'!E150,"AAAAAF+Dv+o=")</f>
        <v>#VALUE!</v>
      </c>
      <c r="IB10" t="e">
        <f>AND('Planilla_General_29-11-2012_10_'!F150,"AAAAAF+Dv+s=")</f>
        <v>#VALUE!</v>
      </c>
      <c r="IC10" t="e">
        <f>AND('Planilla_General_29-11-2012_10_'!G150,"AAAAAF+Dv+w=")</f>
        <v>#VALUE!</v>
      </c>
      <c r="ID10" t="e">
        <f>AND('Planilla_General_29-11-2012_10_'!H150,"AAAAAF+Dv+0=")</f>
        <v>#VALUE!</v>
      </c>
      <c r="IE10" t="e">
        <f>AND('Planilla_General_29-11-2012_10_'!I150,"AAAAAF+Dv+4=")</f>
        <v>#VALUE!</v>
      </c>
      <c r="IF10" t="e">
        <f>AND('Planilla_General_29-11-2012_10_'!J150,"AAAAAF+Dv+8=")</f>
        <v>#VALUE!</v>
      </c>
      <c r="IG10" t="e">
        <f>AND('Planilla_General_29-11-2012_10_'!K150,"AAAAAF+Dv/A=")</f>
        <v>#VALUE!</v>
      </c>
      <c r="IH10" t="e">
        <f>AND('Planilla_General_29-11-2012_10_'!L150,"AAAAAF+Dv/E=")</f>
        <v>#VALUE!</v>
      </c>
      <c r="II10" t="e">
        <f>AND('Planilla_General_29-11-2012_10_'!M150,"AAAAAF+Dv/I=")</f>
        <v>#VALUE!</v>
      </c>
      <c r="IJ10" t="e">
        <f>AND('Planilla_General_29-11-2012_10_'!N150,"AAAAAF+Dv/M=")</f>
        <v>#VALUE!</v>
      </c>
      <c r="IK10" t="e">
        <f>AND('Planilla_General_29-11-2012_10_'!O150,"AAAAAF+Dv/Q=")</f>
        <v>#VALUE!</v>
      </c>
      <c r="IL10" t="e">
        <f>AND('Planilla_General_29-11-2012_10_'!P150,"AAAAAF+Dv/U=")</f>
        <v>#VALUE!</v>
      </c>
      <c r="IM10">
        <f>IF('Planilla_General_29-11-2012_10_'!151:151,"AAAAAF+Dv/Y=",0)</f>
        <v>0</v>
      </c>
      <c r="IN10" t="e">
        <f>AND('Planilla_General_29-11-2012_10_'!A151,"AAAAAF+Dv/c=")</f>
        <v>#VALUE!</v>
      </c>
      <c r="IO10" t="e">
        <f>AND('Planilla_General_29-11-2012_10_'!B151,"AAAAAF+Dv/g=")</f>
        <v>#VALUE!</v>
      </c>
      <c r="IP10" t="e">
        <f>AND('Planilla_General_29-11-2012_10_'!C151,"AAAAAF+Dv/k=")</f>
        <v>#VALUE!</v>
      </c>
      <c r="IQ10" t="e">
        <f>AND('Planilla_General_29-11-2012_10_'!D151,"AAAAAF+Dv/o=")</f>
        <v>#VALUE!</v>
      </c>
      <c r="IR10" t="e">
        <f>AND('Planilla_General_29-11-2012_10_'!E151,"AAAAAF+Dv/s=")</f>
        <v>#VALUE!</v>
      </c>
      <c r="IS10" t="e">
        <f>AND('Planilla_General_29-11-2012_10_'!F151,"AAAAAF+Dv/w=")</f>
        <v>#VALUE!</v>
      </c>
      <c r="IT10" t="e">
        <f>AND('Planilla_General_29-11-2012_10_'!G151,"AAAAAF+Dv/0=")</f>
        <v>#VALUE!</v>
      </c>
      <c r="IU10" t="e">
        <f>AND('Planilla_General_29-11-2012_10_'!H151,"AAAAAF+Dv/4=")</f>
        <v>#VALUE!</v>
      </c>
      <c r="IV10" t="e">
        <f>AND('Planilla_General_29-11-2012_10_'!I151,"AAAAAF+Dv/8=")</f>
        <v>#VALUE!</v>
      </c>
    </row>
    <row r="11" spans="1:256" x14ac:dyDescent="0.25">
      <c r="A11" t="e">
        <f>AND('Planilla_General_29-11-2012_10_'!J151,"AAAAAF/d/QA=")</f>
        <v>#VALUE!</v>
      </c>
      <c r="B11" t="e">
        <f>AND('Planilla_General_29-11-2012_10_'!K151,"AAAAAF/d/QE=")</f>
        <v>#VALUE!</v>
      </c>
      <c r="C11" t="e">
        <f>AND('Planilla_General_29-11-2012_10_'!L151,"AAAAAF/d/QI=")</f>
        <v>#VALUE!</v>
      </c>
      <c r="D11" t="e">
        <f>AND('Planilla_General_29-11-2012_10_'!M151,"AAAAAF/d/QM=")</f>
        <v>#VALUE!</v>
      </c>
      <c r="E11" t="e">
        <f>AND('Planilla_General_29-11-2012_10_'!N151,"AAAAAF/d/QQ=")</f>
        <v>#VALUE!</v>
      </c>
      <c r="F11" t="e">
        <f>AND('Planilla_General_29-11-2012_10_'!O151,"AAAAAF/d/QU=")</f>
        <v>#VALUE!</v>
      </c>
      <c r="G11" t="e">
        <f>AND('Planilla_General_29-11-2012_10_'!P151,"AAAAAF/d/QY=")</f>
        <v>#VALUE!</v>
      </c>
      <c r="H11" t="e">
        <f>IF('Planilla_General_29-11-2012_10_'!152:152,"AAAAAF/d/Qc=",0)</f>
        <v>#VALUE!</v>
      </c>
      <c r="I11" t="e">
        <f>AND('Planilla_General_29-11-2012_10_'!A152,"AAAAAF/d/Qg=")</f>
        <v>#VALUE!</v>
      </c>
      <c r="J11" t="e">
        <f>AND('Planilla_General_29-11-2012_10_'!B152,"AAAAAF/d/Qk=")</f>
        <v>#VALUE!</v>
      </c>
      <c r="K11" t="e">
        <f>AND('Planilla_General_29-11-2012_10_'!C152,"AAAAAF/d/Qo=")</f>
        <v>#VALUE!</v>
      </c>
      <c r="L11" t="e">
        <f>AND('Planilla_General_29-11-2012_10_'!D152,"AAAAAF/d/Qs=")</f>
        <v>#VALUE!</v>
      </c>
      <c r="M11" t="e">
        <f>AND('Planilla_General_29-11-2012_10_'!E152,"AAAAAF/d/Qw=")</f>
        <v>#VALUE!</v>
      </c>
      <c r="N11" t="e">
        <f>AND('Planilla_General_29-11-2012_10_'!F152,"AAAAAF/d/Q0=")</f>
        <v>#VALUE!</v>
      </c>
      <c r="O11" t="e">
        <f>AND('Planilla_General_29-11-2012_10_'!G152,"AAAAAF/d/Q4=")</f>
        <v>#VALUE!</v>
      </c>
      <c r="P11" t="e">
        <f>AND('Planilla_General_29-11-2012_10_'!H152,"AAAAAF/d/Q8=")</f>
        <v>#VALUE!</v>
      </c>
      <c r="Q11" t="e">
        <f>AND('Planilla_General_29-11-2012_10_'!I152,"AAAAAF/d/RA=")</f>
        <v>#VALUE!</v>
      </c>
      <c r="R11" t="e">
        <f>AND('Planilla_General_29-11-2012_10_'!J152,"AAAAAF/d/RE=")</f>
        <v>#VALUE!</v>
      </c>
      <c r="S11" t="e">
        <f>AND('Planilla_General_29-11-2012_10_'!K152,"AAAAAF/d/RI=")</f>
        <v>#VALUE!</v>
      </c>
      <c r="T11" t="e">
        <f>AND('Planilla_General_29-11-2012_10_'!L152,"AAAAAF/d/RM=")</f>
        <v>#VALUE!</v>
      </c>
      <c r="U11" t="e">
        <f>AND('Planilla_General_29-11-2012_10_'!M152,"AAAAAF/d/RQ=")</f>
        <v>#VALUE!</v>
      </c>
      <c r="V11" t="e">
        <f>AND('Planilla_General_29-11-2012_10_'!N152,"AAAAAF/d/RU=")</f>
        <v>#VALUE!</v>
      </c>
      <c r="W11" t="e">
        <f>AND('Planilla_General_29-11-2012_10_'!O152,"AAAAAF/d/RY=")</f>
        <v>#VALUE!</v>
      </c>
      <c r="X11" t="e">
        <f>AND('Planilla_General_29-11-2012_10_'!P152,"AAAAAF/d/Rc=")</f>
        <v>#VALUE!</v>
      </c>
      <c r="Y11">
        <f>IF('Planilla_General_29-11-2012_10_'!153:153,"AAAAAF/d/Rg=",0)</f>
        <v>0</v>
      </c>
      <c r="Z11" t="e">
        <f>AND('Planilla_General_29-11-2012_10_'!A153,"AAAAAF/d/Rk=")</f>
        <v>#VALUE!</v>
      </c>
      <c r="AA11" t="e">
        <f>AND('Planilla_General_29-11-2012_10_'!B153,"AAAAAF/d/Ro=")</f>
        <v>#VALUE!</v>
      </c>
      <c r="AB11" t="e">
        <f>AND('Planilla_General_29-11-2012_10_'!C153,"AAAAAF/d/Rs=")</f>
        <v>#VALUE!</v>
      </c>
      <c r="AC11" t="e">
        <f>AND('Planilla_General_29-11-2012_10_'!D153,"AAAAAF/d/Rw=")</f>
        <v>#VALUE!</v>
      </c>
      <c r="AD11" t="e">
        <f>AND('Planilla_General_29-11-2012_10_'!E153,"AAAAAF/d/R0=")</f>
        <v>#VALUE!</v>
      </c>
      <c r="AE11" t="e">
        <f>AND('Planilla_General_29-11-2012_10_'!F153,"AAAAAF/d/R4=")</f>
        <v>#VALUE!</v>
      </c>
      <c r="AF11" t="e">
        <f>AND('Planilla_General_29-11-2012_10_'!G153,"AAAAAF/d/R8=")</f>
        <v>#VALUE!</v>
      </c>
      <c r="AG11" t="e">
        <f>AND('Planilla_General_29-11-2012_10_'!H153,"AAAAAF/d/SA=")</f>
        <v>#VALUE!</v>
      </c>
      <c r="AH11" t="e">
        <f>AND('Planilla_General_29-11-2012_10_'!I153,"AAAAAF/d/SE=")</f>
        <v>#VALUE!</v>
      </c>
      <c r="AI11" t="e">
        <f>AND('Planilla_General_29-11-2012_10_'!J153,"AAAAAF/d/SI=")</f>
        <v>#VALUE!</v>
      </c>
      <c r="AJ11" t="e">
        <f>AND('Planilla_General_29-11-2012_10_'!K153,"AAAAAF/d/SM=")</f>
        <v>#VALUE!</v>
      </c>
      <c r="AK11" t="e">
        <f>AND('Planilla_General_29-11-2012_10_'!L153,"AAAAAF/d/SQ=")</f>
        <v>#VALUE!</v>
      </c>
      <c r="AL11" t="e">
        <f>AND('Planilla_General_29-11-2012_10_'!M153,"AAAAAF/d/SU=")</f>
        <v>#VALUE!</v>
      </c>
      <c r="AM11" t="e">
        <f>AND('Planilla_General_29-11-2012_10_'!N153,"AAAAAF/d/SY=")</f>
        <v>#VALUE!</v>
      </c>
      <c r="AN11" t="e">
        <f>AND('Planilla_General_29-11-2012_10_'!O153,"AAAAAF/d/Sc=")</f>
        <v>#VALUE!</v>
      </c>
      <c r="AO11" t="e">
        <f>AND('Planilla_General_29-11-2012_10_'!P153,"AAAAAF/d/Sg=")</f>
        <v>#VALUE!</v>
      </c>
      <c r="AP11">
        <f>IF('Planilla_General_29-11-2012_10_'!154:154,"AAAAAF/d/Sk=",0)</f>
        <v>0</v>
      </c>
      <c r="AQ11" t="e">
        <f>AND('Planilla_General_29-11-2012_10_'!A154,"AAAAAF/d/So=")</f>
        <v>#VALUE!</v>
      </c>
      <c r="AR11" t="e">
        <f>AND('Planilla_General_29-11-2012_10_'!B154,"AAAAAF/d/Ss=")</f>
        <v>#VALUE!</v>
      </c>
      <c r="AS11" t="e">
        <f>AND('Planilla_General_29-11-2012_10_'!C154,"AAAAAF/d/Sw=")</f>
        <v>#VALUE!</v>
      </c>
      <c r="AT11" t="e">
        <f>AND('Planilla_General_29-11-2012_10_'!D154,"AAAAAF/d/S0=")</f>
        <v>#VALUE!</v>
      </c>
      <c r="AU11" t="e">
        <f>AND('Planilla_General_29-11-2012_10_'!E154,"AAAAAF/d/S4=")</f>
        <v>#VALUE!</v>
      </c>
      <c r="AV11" t="e">
        <f>AND('Planilla_General_29-11-2012_10_'!F154,"AAAAAF/d/S8=")</f>
        <v>#VALUE!</v>
      </c>
      <c r="AW11" t="e">
        <f>AND('Planilla_General_29-11-2012_10_'!G154,"AAAAAF/d/TA=")</f>
        <v>#VALUE!</v>
      </c>
      <c r="AX11" t="e">
        <f>AND('Planilla_General_29-11-2012_10_'!H154,"AAAAAF/d/TE=")</f>
        <v>#VALUE!</v>
      </c>
      <c r="AY11" t="e">
        <f>AND('Planilla_General_29-11-2012_10_'!I154,"AAAAAF/d/TI=")</f>
        <v>#VALUE!</v>
      </c>
      <c r="AZ11" t="e">
        <f>AND('Planilla_General_29-11-2012_10_'!J154,"AAAAAF/d/TM=")</f>
        <v>#VALUE!</v>
      </c>
      <c r="BA11" t="e">
        <f>AND('Planilla_General_29-11-2012_10_'!K154,"AAAAAF/d/TQ=")</f>
        <v>#VALUE!</v>
      </c>
      <c r="BB11" t="e">
        <f>AND('Planilla_General_29-11-2012_10_'!L154,"AAAAAF/d/TU=")</f>
        <v>#VALUE!</v>
      </c>
      <c r="BC11" t="e">
        <f>AND('Planilla_General_29-11-2012_10_'!M154,"AAAAAF/d/TY=")</f>
        <v>#VALUE!</v>
      </c>
      <c r="BD11" t="e">
        <f>AND('Planilla_General_29-11-2012_10_'!N154,"AAAAAF/d/Tc=")</f>
        <v>#VALUE!</v>
      </c>
      <c r="BE11" t="e">
        <f>AND('Planilla_General_29-11-2012_10_'!O154,"AAAAAF/d/Tg=")</f>
        <v>#VALUE!</v>
      </c>
      <c r="BF11" t="e">
        <f>AND('Planilla_General_29-11-2012_10_'!P154,"AAAAAF/d/Tk=")</f>
        <v>#VALUE!</v>
      </c>
      <c r="BG11">
        <f>IF('Planilla_General_29-11-2012_10_'!155:155,"AAAAAF/d/To=",0)</f>
        <v>0</v>
      </c>
      <c r="BH11" t="e">
        <f>AND('Planilla_General_29-11-2012_10_'!A155,"AAAAAF/d/Ts=")</f>
        <v>#VALUE!</v>
      </c>
      <c r="BI11" t="e">
        <f>AND('Planilla_General_29-11-2012_10_'!B155,"AAAAAF/d/Tw=")</f>
        <v>#VALUE!</v>
      </c>
      <c r="BJ11" t="e">
        <f>AND('Planilla_General_29-11-2012_10_'!C155,"AAAAAF/d/T0=")</f>
        <v>#VALUE!</v>
      </c>
      <c r="BK11" t="e">
        <f>AND('Planilla_General_29-11-2012_10_'!D155,"AAAAAF/d/T4=")</f>
        <v>#VALUE!</v>
      </c>
      <c r="BL11" t="e">
        <f>AND('Planilla_General_29-11-2012_10_'!E155,"AAAAAF/d/T8=")</f>
        <v>#VALUE!</v>
      </c>
      <c r="BM11" t="e">
        <f>AND('Planilla_General_29-11-2012_10_'!F155,"AAAAAF/d/UA=")</f>
        <v>#VALUE!</v>
      </c>
      <c r="BN11" t="e">
        <f>AND('Planilla_General_29-11-2012_10_'!G155,"AAAAAF/d/UE=")</f>
        <v>#VALUE!</v>
      </c>
      <c r="BO11" t="e">
        <f>AND('Planilla_General_29-11-2012_10_'!H155,"AAAAAF/d/UI=")</f>
        <v>#VALUE!</v>
      </c>
      <c r="BP11" t="e">
        <f>AND('Planilla_General_29-11-2012_10_'!I155,"AAAAAF/d/UM=")</f>
        <v>#VALUE!</v>
      </c>
      <c r="BQ11" t="e">
        <f>AND('Planilla_General_29-11-2012_10_'!J155,"AAAAAF/d/UQ=")</f>
        <v>#VALUE!</v>
      </c>
      <c r="BR11" t="e">
        <f>AND('Planilla_General_29-11-2012_10_'!K155,"AAAAAF/d/UU=")</f>
        <v>#VALUE!</v>
      </c>
      <c r="BS11" t="e">
        <f>AND('Planilla_General_29-11-2012_10_'!L155,"AAAAAF/d/UY=")</f>
        <v>#VALUE!</v>
      </c>
      <c r="BT11" t="e">
        <f>AND('Planilla_General_29-11-2012_10_'!M155,"AAAAAF/d/Uc=")</f>
        <v>#VALUE!</v>
      </c>
      <c r="BU11" t="e">
        <f>AND('Planilla_General_29-11-2012_10_'!N155,"AAAAAF/d/Ug=")</f>
        <v>#VALUE!</v>
      </c>
      <c r="BV11" t="e">
        <f>AND('Planilla_General_29-11-2012_10_'!O155,"AAAAAF/d/Uk=")</f>
        <v>#VALUE!</v>
      </c>
      <c r="BW11" t="e">
        <f>AND('Planilla_General_29-11-2012_10_'!P155,"AAAAAF/d/Uo=")</f>
        <v>#VALUE!</v>
      </c>
      <c r="BX11">
        <f>IF('Planilla_General_29-11-2012_10_'!156:156,"AAAAAF/d/Us=",0)</f>
        <v>0</v>
      </c>
      <c r="BY11" t="e">
        <f>AND('Planilla_General_29-11-2012_10_'!A156,"AAAAAF/d/Uw=")</f>
        <v>#VALUE!</v>
      </c>
      <c r="BZ11" t="e">
        <f>AND('Planilla_General_29-11-2012_10_'!B156,"AAAAAF/d/U0=")</f>
        <v>#VALUE!</v>
      </c>
      <c r="CA11" t="e">
        <f>AND('Planilla_General_29-11-2012_10_'!C156,"AAAAAF/d/U4=")</f>
        <v>#VALUE!</v>
      </c>
      <c r="CB11" t="e">
        <f>AND('Planilla_General_29-11-2012_10_'!D156,"AAAAAF/d/U8=")</f>
        <v>#VALUE!</v>
      </c>
      <c r="CC11" t="e">
        <f>AND('Planilla_General_29-11-2012_10_'!E156,"AAAAAF/d/VA=")</f>
        <v>#VALUE!</v>
      </c>
      <c r="CD11" t="e">
        <f>AND('Planilla_General_29-11-2012_10_'!F156,"AAAAAF/d/VE=")</f>
        <v>#VALUE!</v>
      </c>
      <c r="CE11" t="e">
        <f>AND('Planilla_General_29-11-2012_10_'!G156,"AAAAAF/d/VI=")</f>
        <v>#VALUE!</v>
      </c>
      <c r="CF11" t="e">
        <f>AND('Planilla_General_29-11-2012_10_'!H156,"AAAAAF/d/VM=")</f>
        <v>#VALUE!</v>
      </c>
      <c r="CG11" t="e">
        <f>AND('Planilla_General_29-11-2012_10_'!I156,"AAAAAF/d/VQ=")</f>
        <v>#VALUE!</v>
      </c>
      <c r="CH11" t="e">
        <f>AND('Planilla_General_29-11-2012_10_'!J156,"AAAAAF/d/VU=")</f>
        <v>#VALUE!</v>
      </c>
      <c r="CI11" t="e">
        <f>AND('Planilla_General_29-11-2012_10_'!K156,"AAAAAF/d/VY=")</f>
        <v>#VALUE!</v>
      </c>
      <c r="CJ11" t="e">
        <f>AND('Planilla_General_29-11-2012_10_'!L156,"AAAAAF/d/Vc=")</f>
        <v>#VALUE!</v>
      </c>
      <c r="CK11" t="e">
        <f>AND('Planilla_General_29-11-2012_10_'!M156,"AAAAAF/d/Vg=")</f>
        <v>#VALUE!</v>
      </c>
      <c r="CL11" t="e">
        <f>AND('Planilla_General_29-11-2012_10_'!N156,"AAAAAF/d/Vk=")</f>
        <v>#VALUE!</v>
      </c>
      <c r="CM11" t="e">
        <f>AND('Planilla_General_29-11-2012_10_'!O156,"AAAAAF/d/Vo=")</f>
        <v>#VALUE!</v>
      </c>
      <c r="CN11" t="e">
        <f>AND('Planilla_General_29-11-2012_10_'!P156,"AAAAAF/d/Vs=")</f>
        <v>#VALUE!</v>
      </c>
      <c r="CO11">
        <f>IF('Planilla_General_29-11-2012_10_'!157:157,"AAAAAF/d/Vw=",0)</f>
        <v>0</v>
      </c>
      <c r="CP11" t="e">
        <f>AND('Planilla_General_29-11-2012_10_'!A157,"AAAAAF/d/V0=")</f>
        <v>#VALUE!</v>
      </c>
      <c r="CQ11" t="e">
        <f>AND('Planilla_General_29-11-2012_10_'!B157,"AAAAAF/d/V4=")</f>
        <v>#VALUE!</v>
      </c>
      <c r="CR11" t="e">
        <f>AND('Planilla_General_29-11-2012_10_'!C157,"AAAAAF/d/V8=")</f>
        <v>#VALUE!</v>
      </c>
      <c r="CS11" t="e">
        <f>AND('Planilla_General_29-11-2012_10_'!D157,"AAAAAF/d/WA=")</f>
        <v>#VALUE!</v>
      </c>
      <c r="CT11" t="e">
        <f>AND('Planilla_General_29-11-2012_10_'!E157,"AAAAAF/d/WE=")</f>
        <v>#VALUE!</v>
      </c>
      <c r="CU11" t="e">
        <f>AND('Planilla_General_29-11-2012_10_'!F157,"AAAAAF/d/WI=")</f>
        <v>#VALUE!</v>
      </c>
      <c r="CV11" t="e">
        <f>AND('Planilla_General_29-11-2012_10_'!G157,"AAAAAF/d/WM=")</f>
        <v>#VALUE!</v>
      </c>
      <c r="CW11" t="e">
        <f>AND('Planilla_General_29-11-2012_10_'!H157,"AAAAAF/d/WQ=")</f>
        <v>#VALUE!</v>
      </c>
      <c r="CX11" t="e">
        <f>AND('Planilla_General_29-11-2012_10_'!I157,"AAAAAF/d/WU=")</f>
        <v>#VALUE!</v>
      </c>
      <c r="CY11" t="e">
        <f>AND('Planilla_General_29-11-2012_10_'!J157,"AAAAAF/d/WY=")</f>
        <v>#VALUE!</v>
      </c>
      <c r="CZ11" t="e">
        <f>AND('Planilla_General_29-11-2012_10_'!K157,"AAAAAF/d/Wc=")</f>
        <v>#VALUE!</v>
      </c>
      <c r="DA11" t="e">
        <f>AND('Planilla_General_29-11-2012_10_'!L157,"AAAAAF/d/Wg=")</f>
        <v>#VALUE!</v>
      </c>
      <c r="DB11" t="e">
        <f>AND('Planilla_General_29-11-2012_10_'!M157,"AAAAAF/d/Wk=")</f>
        <v>#VALUE!</v>
      </c>
      <c r="DC11" t="e">
        <f>AND('Planilla_General_29-11-2012_10_'!N157,"AAAAAF/d/Wo=")</f>
        <v>#VALUE!</v>
      </c>
      <c r="DD11" t="e">
        <f>AND('Planilla_General_29-11-2012_10_'!O157,"AAAAAF/d/Ws=")</f>
        <v>#VALUE!</v>
      </c>
      <c r="DE11" t="e">
        <f>AND('Planilla_General_29-11-2012_10_'!P157,"AAAAAF/d/Ww=")</f>
        <v>#VALUE!</v>
      </c>
      <c r="DF11">
        <f>IF('Planilla_General_29-11-2012_10_'!158:158,"AAAAAF/d/W0=",0)</f>
        <v>0</v>
      </c>
      <c r="DG11" t="e">
        <f>AND('Planilla_General_29-11-2012_10_'!A158,"AAAAAF/d/W4=")</f>
        <v>#VALUE!</v>
      </c>
      <c r="DH11" t="e">
        <f>AND('Planilla_General_29-11-2012_10_'!B158,"AAAAAF/d/W8=")</f>
        <v>#VALUE!</v>
      </c>
      <c r="DI11" t="e">
        <f>AND('Planilla_General_29-11-2012_10_'!C158,"AAAAAF/d/XA=")</f>
        <v>#VALUE!</v>
      </c>
      <c r="DJ11" t="e">
        <f>AND('Planilla_General_29-11-2012_10_'!D158,"AAAAAF/d/XE=")</f>
        <v>#VALUE!</v>
      </c>
      <c r="DK11" t="e">
        <f>AND('Planilla_General_29-11-2012_10_'!E158,"AAAAAF/d/XI=")</f>
        <v>#VALUE!</v>
      </c>
      <c r="DL11" t="e">
        <f>AND('Planilla_General_29-11-2012_10_'!F158,"AAAAAF/d/XM=")</f>
        <v>#VALUE!</v>
      </c>
      <c r="DM11" t="e">
        <f>AND('Planilla_General_29-11-2012_10_'!G158,"AAAAAF/d/XQ=")</f>
        <v>#VALUE!</v>
      </c>
      <c r="DN11" t="e">
        <f>AND('Planilla_General_29-11-2012_10_'!H158,"AAAAAF/d/XU=")</f>
        <v>#VALUE!</v>
      </c>
      <c r="DO11" t="e">
        <f>AND('Planilla_General_29-11-2012_10_'!I158,"AAAAAF/d/XY=")</f>
        <v>#VALUE!</v>
      </c>
      <c r="DP11" t="e">
        <f>AND('Planilla_General_29-11-2012_10_'!J158,"AAAAAF/d/Xc=")</f>
        <v>#VALUE!</v>
      </c>
      <c r="DQ11" t="e">
        <f>AND('Planilla_General_29-11-2012_10_'!K158,"AAAAAF/d/Xg=")</f>
        <v>#VALUE!</v>
      </c>
      <c r="DR11" t="e">
        <f>AND('Planilla_General_29-11-2012_10_'!L158,"AAAAAF/d/Xk=")</f>
        <v>#VALUE!</v>
      </c>
      <c r="DS11" t="e">
        <f>AND('Planilla_General_29-11-2012_10_'!M158,"AAAAAF/d/Xo=")</f>
        <v>#VALUE!</v>
      </c>
      <c r="DT11" t="e">
        <f>AND('Planilla_General_29-11-2012_10_'!N158,"AAAAAF/d/Xs=")</f>
        <v>#VALUE!</v>
      </c>
      <c r="DU11" t="e">
        <f>AND('Planilla_General_29-11-2012_10_'!O158,"AAAAAF/d/Xw=")</f>
        <v>#VALUE!</v>
      </c>
      <c r="DV11" t="e">
        <f>AND('Planilla_General_29-11-2012_10_'!P158,"AAAAAF/d/X0=")</f>
        <v>#VALUE!</v>
      </c>
      <c r="DW11">
        <f>IF('Planilla_General_29-11-2012_10_'!159:159,"AAAAAF/d/X4=",0)</f>
        <v>0</v>
      </c>
      <c r="DX11" t="e">
        <f>AND('Planilla_General_29-11-2012_10_'!A159,"AAAAAF/d/X8=")</f>
        <v>#VALUE!</v>
      </c>
      <c r="DY11" t="e">
        <f>AND('Planilla_General_29-11-2012_10_'!B159,"AAAAAF/d/YA=")</f>
        <v>#VALUE!</v>
      </c>
      <c r="DZ11" t="e">
        <f>AND('Planilla_General_29-11-2012_10_'!C159,"AAAAAF/d/YE=")</f>
        <v>#VALUE!</v>
      </c>
      <c r="EA11" t="e">
        <f>AND('Planilla_General_29-11-2012_10_'!D159,"AAAAAF/d/YI=")</f>
        <v>#VALUE!</v>
      </c>
      <c r="EB11" t="e">
        <f>AND('Planilla_General_29-11-2012_10_'!E159,"AAAAAF/d/YM=")</f>
        <v>#VALUE!</v>
      </c>
      <c r="EC11" t="e">
        <f>AND('Planilla_General_29-11-2012_10_'!F159,"AAAAAF/d/YQ=")</f>
        <v>#VALUE!</v>
      </c>
      <c r="ED11" t="e">
        <f>AND('Planilla_General_29-11-2012_10_'!G159,"AAAAAF/d/YU=")</f>
        <v>#VALUE!</v>
      </c>
      <c r="EE11" t="e">
        <f>AND('Planilla_General_29-11-2012_10_'!H159,"AAAAAF/d/YY=")</f>
        <v>#VALUE!</v>
      </c>
      <c r="EF11" t="e">
        <f>AND('Planilla_General_29-11-2012_10_'!I159,"AAAAAF/d/Yc=")</f>
        <v>#VALUE!</v>
      </c>
      <c r="EG11" t="e">
        <f>AND('Planilla_General_29-11-2012_10_'!J159,"AAAAAF/d/Yg=")</f>
        <v>#VALUE!</v>
      </c>
      <c r="EH11" t="e">
        <f>AND('Planilla_General_29-11-2012_10_'!K159,"AAAAAF/d/Yk=")</f>
        <v>#VALUE!</v>
      </c>
      <c r="EI11" t="e">
        <f>AND('Planilla_General_29-11-2012_10_'!L159,"AAAAAF/d/Yo=")</f>
        <v>#VALUE!</v>
      </c>
      <c r="EJ11" t="e">
        <f>AND('Planilla_General_29-11-2012_10_'!M159,"AAAAAF/d/Ys=")</f>
        <v>#VALUE!</v>
      </c>
      <c r="EK11" t="e">
        <f>AND('Planilla_General_29-11-2012_10_'!N159,"AAAAAF/d/Yw=")</f>
        <v>#VALUE!</v>
      </c>
      <c r="EL11" t="e">
        <f>AND('Planilla_General_29-11-2012_10_'!O159,"AAAAAF/d/Y0=")</f>
        <v>#VALUE!</v>
      </c>
      <c r="EM11" t="e">
        <f>AND('Planilla_General_29-11-2012_10_'!P159,"AAAAAF/d/Y4=")</f>
        <v>#VALUE!</v>
      </c>
      <c r="EN11">
        <f>IF('Planilla_General_29-11-2012_10_'!160:160,"AAAAAF/d/Y8=",0)</f>
        <v>0</v>
      </c>
      <c r="EO11" t="e">
        <f>AND('Planilla_General_29-11-2012_10_'!A160,"AAAAAF/d/ZA=")</f>
        <v>#VALUE!</v>
      </c>
      <c r="EP11" t="e">
        <f>AND('Planilla_General_29-11-2012_10_'!B160,"AAAAAF/d/ZE=")</f>
        <v>#VALUE!</v>
      </c>
      <c r="EQ11" t="e">
        <f>AND('Planilla_General_29-11-2012_10_'!C160,"AAAAAF/d/ZI=")</f>
        <v>#VALUE!</v>
      </c>
      <c r="ER11" t="e">
        <f>AND('Planilla_General_29-11-2012_10_'!D160,"AAAAAF/d/ZM=")</f>
        <v>#VALUE!</v>
      </c>
      <c r="ES11" t="e">
        <f>AND('Planilla_General_29-11-2012_10_'!E160,"AAAAAF/d/ZQ=")</f>
        <v>#VALUE!</v>
      </c>
      <c r="ET11" t="e">
        <f>AND('Planilla_General_29-11-2012_10_'!F160,"AAAAAF/d/ZU=")</f>
        <v>#VALUE!</v>
      </c>
      <c r="EU11" t="e">
        <f>AND('Planilla_General_29-11-2012_10_'!G160,"AAAAAF/d/ZY=")</f>
        <v>#VALUE!</v>
      </c>
      <c r="EV11" t="e">
        <f>AND('Planilla_General_29-11-2012_10_'!H160,"AAAAAF/d/Zc=")</f>
        <v>#VALUE!</v>
      </c>
      <c r="EW11" t="e">
        <f>AND('Planilla_General_29-11-2012_10_'!I160,"AAAAAF/d/Zg=")</f>
        <v>#VALUE!</v>
      </c>
      <c r="EX11" t="e">
        <f>AND('Planilla_General_29-11-2012_10_'!J160,"AAAAAF/d/Zk=")</f>
        <v>#VALUE!</v>
      </c>
      <c r="EY11" t="e">
        <f>AND('Planilla_General_29-11-2012_10_'!K160,"AAAAAF/d/Zo=")</f>
        <v>#VALUE!</v>
      </c>
      <c r="EZ11" t="e">
        <f>AND('Planilla_General_29-11-2012_10_'!L160,"AAAAAF/d/Zs=")</f>
        <v>#VALUE!</v>
      </c>
      <c r="FA11" t="e">
        <f>AND('Planilla_General_29-11-2012_10_'!M160,"AAAAAF/d/Zw=")</f>
        <v>#VALUE!</v>
      </c>
      <c r="FB11" t="e">
        <f>AND('Planilla_General_29-11-2012_10_'!N160,"AAAAAF/d/Z0=")</f>
        <v>#VALUE!</v>
      </c>
      <c r="FC11" t="e">
        <f>AND('Planilla_General_29-11-2012_10_'!O160,"AAAAAF/d/Z4=")</f>
        <v>#VALUE!</v>
      </c>
      <c r="FD11" t="e">
        <f>AND('Planilla_General_29-11-2012_10_'!P160,"AAAAAF/d/Z8=")</f>
        <v>#VALUE!</v>
      </c>
      <c r="FE11">
        <f>IF('Planilla_General_29-11-2012_10_'!161:161,"AAAAAF/d/aA=",0)</f>
        <v>0</v>
      </c>
      <c r="FF11" t="e">
        <f>AND('Planilla_General_29-11-2012_10_'!A161,"AAAAAF/d/aE=")</f>
        <v>#VALUE!</v>
      </c>
      <c r="FG11" t="e">
        <f>AND('Planilla_General_29-11-2012_10_'!B161,"AAAAAF/d/aI=")</f>
        <v>#VALUE!</v>
      </c>
      <c r="FH11" t="e">
        <f>AND('Planilla_General_29-11-2012_10_'!C161,"AAAAAF/d/aM=")</f>
        <v>#VALUE!</v>
      </c>
      <c r="FI11" t="e">
        <f>AND('Planilla_General_29-11-2012_10_'!D161,"AAAAAF/d/aQ=")</f>
        <v>#VALUE!</v>
      </c>
      <c r="FJ11" t="e">
        <f>AND('Planilla_General_29-11-2012_10_'!E161,"AAAAAF/d/aU=")</f>
        <v>#VALUE!</v>
      </c>
      <c r="FK11" t="e">
        <f>AND('Planilla_General_29-11-2012_10_'!F161,"AAAAAF/d/aY=")</f>
        <v>#VALUE!</v>
      </c>
      <c r="FL11" t="e">
        <f>AND('Planilla_General_29-11-2012_10_'!G161,"AAAAAF/d/ac=")</f>
        <v>#VALUE!</v>
      </c>
      <c r="FM11" t="e">
        <f>AND('Planilla_General_29-11-2012_10_'!H161,"AAAAAF/d/ag=")</f>
        <v>#VALUE!</v>
      </c>
      <c r="FN11" t="e">
        <f>AND('Planilla_General_29-11-2012_10_'!I161,"AAAAAF/d/ak=")</f>
        <v>#VALUE!</v>
      </c>
      <c r="FO11" t="e">
        <f>AND('Planilla_General_29-11-2012_10_'!J161,"AAAAAF/d/ao=")</f>
        <v>#VALUE!</v>
      </c>
      <c r="FP11" t="e">
        <f>AND('Planilla_General_29-11-2012_10_'!K161,"AAAAAF/d/as=")</f>
        <v>#VALUE!</v>
      </c>
      <c r="FQ11" t="e">
        <f>AND('Planilla_General_29-11-2012_10_'!L161,"AAAAAF/d/aw=")</f>
        <v>#VALUE!</v>
      </c>
      <c r="FR11" t="e">
        <f>AND('Planilla_General_29-11-2012_10_'!M161,"AAAAAF/d/a0=")</f>
        <v>#VALUE!</v>
      </c>
      <c r="FS11" t="e">
        <f>AND('Planilla_General_29-11-2012_10_'!N161,"AAAAAF/d/a4=")</f>
        <v>#VALUE!</v>
      </c>
      <c r="FT11" t="e">
        <f>AND('Planilla_General_29-11-2012_10_'!O161,"AAAAAF/d/a8=")</f>
        <v>#VALUE!</v>
      </c>
      <c r="FU11" t="e">
        <f>AND('Planilla_General_29-11-2012_10_'!P161,"AAAAAF/d/bA=")</f>
        <v>#VALUE!</v>
      </c>
      <c r="FV11">
        <f>IF('Planilla_General_29-11-2012_10_'!162:162,"AAAAAF/d/bE=",0)</f>
        <v>0</v>
      </c>
      <c r="FW11" t="e">
        <f>AND('Planilla_General_29-11-2012_10_'!A162,"AAAAAF/d/bI=")</f>
        <v>#VALUE!</v>
      </c>
      <c r="FX11" t="e">
        <f>AND('Planilla_General_29-11-2012_10_'!B162,"AAAAAF/d/bM=")</f>
        <v>#VALUE!</v>
      </c>
      <c r="FY11" t="e">
        <f>AND('Planilla_General_29-11-2012_10_'!C162,"AAAAAF/d/bQ=")</f>
        <v>#VALUE!</v>
      </c>
      <c r="FZ11" t="e">
        <f>AND('Planilla_General_29-11-2012_10_'!D162,"AAAAAF/d/bU=")</f>
        <v>#VALUE!</v>
      </c>
      <c r="GA11" t="e">
        <f>AND('Planilla_General_29-11-2012_10_'!E162,"AAAAAF/d/bY=")</f>
        <v>#VALUE!</v>
      </c>
      <c r="GB11" t="e">
        <f>AND('Planilla_General_29-11-2012_10_'!F162,"AAAAAF/d/bc=")</f>
        <v>#VALUE!</v>
      </c>
      <c r="GC11" t="e">
        <f>AND('Planilla_General_29-11-2012_10_'!G162,"AAAAAF/d/bg=")</f>
        <v>#VALUE!</v>
      </c>
      <c r="GD11" t="e">
        <f>AND('Planilla_General_29-11-2012_10_'!H162,"AAAAAF/d/bk=")</f>
        <v>#VALUE!</v>
      </c>
      <c r="GE11" t="e">
        <f>AND('Planilla_General_29-11-2012_10_'!I162,"AAAAAF/d/bo=")</f>
        <v>#VALUE!</v>
      </c>
      <c r="GF11" t="e">
        <f>AND('Planilla_General_29-11-2012_10_'!J162,"AAAAAF/d/bs=")</f>
        <v>#VALUE!</v>
      </c>
      <c r="GG11" t="e">
        <f>AND('Planilla_General_29-11-2012_10_'!K162,"AAAAAF/d/bw=")</f>
        <v>#VALUE!</v>
      </c>
      <c r="GH11" t="e">
        <f>AND('Planilla_General_29-11-2012_10_'!L162,"AAAAAF/d/b0=")</f>
        <v>#VALUE!</v>
      </c>
      <c r="GI11" t="e">
        <f>AND('Planilla_General_29-11-2012_10_'!M162,"AAAAAF/d/b4=")</f>
        <v>#VALUE!</v>
      </c>
      <c r="GJ11" t="e">
        <f>AND('Planilla_General_29-11-2012_10_'!N162,"AAAAAF/d/b8=")</f>
        <v>#VALUE!</v>
      </c>
      <c r="GK11" t="e">
        <f>AND('Planilla_General_29-11-2012_10_'!O162,"AAAAAF/d/cA=")</f>
        <v>#VALUE!</v>
      </c>
      <c r="GL11" t="e">
        <f>AND('Planilla_General_29-11-2012_10_'!P162,"AAAAAF/d/cE=")</f>
        <v>#VALUE!</v>
      </c>
      <c r="GM11">
        <f>IF('Planilla_General_29-11-2012_10_'!163:163,"AAAAAF/d/cI=",0)</f>
        <v>0</v>
      </c>
      <c r="GN11" t="e">
        <f>AND('Planilla_General_29-11-2012_10_'!A163,"AAAAAF/d/cM=")</f>
        <v>#VALUE!</v>
      </c>
      <c r="GO11" t="e">
        <f>AND('Planilla_General_29-11-2012_10_'!B163,"AAAAAF/d/cQ=")</f>
        <v>#VALUE!</v>
      </c>
      <c r="GP11" t="e">
        <f>AND('Planilla_General_29-11-2012_10_'!C163,"AAAAAF/d/cU=")</f>
        <v>#VALUE!</v>
      </c>
      <c r="GQ11" t="e">
        <f>AND('Planilla_General_29-11-2012_10_'!D163,"AAAAAF/d/cY=")</f>
        <v>#VALUE!</v>
      </c>
      <c r="GR11" t="e">
        <f>AND('Planilla_General_29-11-2012_10_'!E163,"AAAAAF/d/cc=")</f>
        <v>#VALUE!</v>
      </c>
      <c r="GS11" t="e">
        <f>AND('Planilla_General_29-11-2012_10_'!F163,"AAAAAF/d/cg=")</f>
        <v>#VALUE!</v>
      </c>
      <c r="GT11" t="e">
        <f>AND('Planilla_General_29-11-2012_10_'!G163,"AAAAAF/d/ck=")</f>
        <v>#VALUE!</v>
      </c>
      <c r="GU11" t="e">
        <f>AND('Planilla_General_29-11-2012_10_'!H163,"AAAAAF/d/co=")</f>
        <v>#VALUE!</v>
      </c>
      <c r="GV11" t="e">
        <f>AND('Planilla_General_29-11-2012_10_'!I163,"AAAAAF/d/cs=")</f>
        <v>#VALUE!</v>
      </c>
      <c r="GW11" t="e">
        <f>AND('Planilla_General_29-11-2012_10_'!J163,"AAAAAF/d/cw=")</f>
        <v>#VALUE!</v>
      </c>
      <c r="GX11" t="e">
        <f>AND('Planilla_General_29-11-2012_10_'!K163,"AAAAAF/d/c0=")</f>
        <v>#VALUE!</v>
      </c>
      <c r="GY11" t="e">
        <f>AND('Planilla_General_29-11-2012_10_'!L163,"AAAAAF/d/c4=")</f>
        <v>#VALUE!</v>
      </c>
      <c r="GZ11" t="e">
        <f>AND('Planilla_General_29-11-2012_10_'!M163,"AAAAAF/d/c8=")</f>
        <v>#VALUE!</v>
      </c>
      <c r="HA11" t="e">
        <f>AND('Planilla_General_29-11-2012_10_'!N163,"AAAAAF/d/dA=")</f>
        <v>#VALUE!</v>
      </c>
      <c r="HB11" t="e">
        <f>AND('Planilla_General_29-11-2012_10_'!O163,"AAAAAF/d/dE=")</f>
        <v>#VALUE!</v>
      </c>
      <c r="HC11" t="e">
        <f>AND('Planilla_General_29-11-2012_10_'!P163,"AAAAAF/d/dI=")</f>
        <v>#VALUE!</v>
      </c>
      <c r="HD11">
        <f>IF('Planilla_General_29-11-2012_10_'!164:164,"AAAAAF/d/dM=",0)</f>
        <v>0</v>
      </c>
      <c r="HE11" t="e">
        <f>AND('Planilla_General_29-11-2012_10_'!A164,"AAAAAF/d/dQ=")</f>
        <v>#VALUE!</v>
      </c>
      <c r="HF11" t="e">
        <f>AND('Planilla_General_29-11-2012_10_'!B164,"AAAAAF/d/dU=")</f>
        <v>#VALUE!</v>
      </c>
      <c r="HG11" t="e">
        <f>AND('Planilla_General_29-11-2012_10_'!C164,"AAAAAF/d/dY=")</f>
        <v>#VALUE!</v>
      </c>
      <c r="HH11" t="e">
        <f>AND('Planilla_General_29-11-2012_10_'!D164,"AAAAAF/d/dc=")</f>
        <v>#VALUE!</v>
      </c>
      <c r="HI11" t="e">
        <f>AND('Planilla_General_29-11-2012_10_'!E164,"AAAAAF/d/dg=")</f>
        <v>#VALUE!</v>
      </c>
      <c r="HJ11" t="e">
        <f>AND('Planilla_General_29-11-2012_10_'!F164,"AAAAAF/d/dk=")</f>
        <v>#VALUE!</v>
      </c>
      <c r="HK11" t="e">
        <f>AND('Planilla_General_29-11-2012_10_'!G164,"AAAAAF/d/do=")</f>
        <v>#VALUE!</v>
      </c>
      <c r="HL11" t="e">
        <f>AND('Planilla_General_29-11-2012_10_'!H164,"AAAAAF/d/ds=")</f>
        <v>#VALUE!</v>
      </c>
      <c r="HM11" t="e">
        <f>AND('Planilla_General_29-11-2012_10_'!I164,"AAAAAF/d/dw=")</f>
        <v>#VALUE!</v>
      </c>
      <c r="HN11" t="e">
        <f>AND('Planilla_General_29-11-2012_10_'!J164,"AAAAAF/d/d0=")</f>
        <v>#VALUE!</v>
      </c>
      <c r="HO11" t="e">
        <f>AND('Planilla_General_29-11-2012_10_'!K164,"AAAAAF/d/d4=")</f>
        <v>#VALUE!</v>
      </c>
      <c r="HP11" t="e">
        <f>AND('Planilla_General_29-11-2012_10_'!L164,"AAAAAF/d/d8=")</f>
        <v>#VALUE!</v>
      </c>
      <c r="HQ11" t="e">
        <f>AND('Planilla_General_29-11-2012_10_'!M164,"AAAAAF/d/eA=")</f>
        <v>#VALUE!</v>
      </c>
      <c r="HR11" t="e">
        <f>AND('Planilla_General_29-11-2012_10_'!N164,"AAAAAF/d/eE=")</f>
        <v>#VALUE!</v>
      </c>
      <c r="HS11" t="e">
        <f>AND('Planilla_General_29-11-2012_10_'!O164,"AAAAAF/d/eI=")</f>
        <v>#VALUE!</v>
      </c>
      <c r="HT11" t="e">
        <f>AND('Planilla_General_29-11-2012_10_'!P164,"AAAAAF/d/eM=")</f>
        <v>#VALUE!</v>
      </c>
      <c r="HU11">
        <f>IF('Planilla_General_29-11-2012_10_'!165:165,"AAAAAF/d/eQ=",0)</f>
        <v>0</v>
      </c>
      <c r="HV11" t="e">
        <f>AND('Planilla_General_29-11-2012_10_'!A165,"AAAAAF/d/eU=")</f>
        <v>#VALUE!</v>
      </c>
      <c r="HW11" t="e">
        <f>AND('Planilla_General_29-11-2012_10_'!B165,"AAAAAF/d/eY=")</f>
        <v>#VALUE!</v>
      </c>
      <c r="HX11" t="e">
        <f>AND('Planilla_General_29-11-2012_10_'!C165,"AAAAAF/d/ec=")</f>
        <v>#VALUE!</v>
      </c>
      <c r="HY11" t="e">
        <f>AND('Planilla_General_29-11-2012_10_'!D165,"AAAAAF/d/eg=")</f>
        <v>#VALUE!</v>
      </c>
      <c r="HZ11" t="e">
        <f>AND('Planilla_General_29-11-2012_10_'!E165,"AAAAAF/d/ek=")</f>
        <v>#VALUE!</v>
      </c>
      <c r="IA11" t="e">
        <f>AND('Planilla_General_29-11-2012_10_'!F165,"AAAAAF/d/eo=")</f>
        <v>#VALUE!</v>
      </c>
      <c r="IB11" t="e">
        <f>AND('Planilla_General_29-11-2012_10_'!G165,"AAAAAF/d/es=")</f>
        <v>#VALUE!</v>
      </c>
      <c r="IC11" t="e">
        <f>AND('Planilla_General_29-11-2012_10_'!H165,"AAAAAF/d/ew=")</f>
        <v>#VALUE!</v>
      </c>
      <c r="ID11" t="e">
        <f>AND('Planilla_General_29-11-2012_10_'!I165,"AAAAAF/d/e0=")</f>
        <v>#VALUE!</v>
      </c>
      <c r="IE11" t="e">
        <f>AND('Planilla_General_29-11-2012_10_'!J165,"AAAAAF/d/e4=")</f>
        <v>#VALUE!</v>
      </c>
      <c r="IF11" t="e">
        <f>AND('Planilla_General_29-11-2012_10_'!K165,"AAAAAF/d/e8=")</f>
        <v>#VALUE!</v>
      </c>
      <c r="IG11" t="e">
        <f>AND('Planilla_General_29-11-2012_10_'!L165,"AAAAAF/d/fA=")</f>
        <v>#VALUE!</v>
      </c>
      <c r="IH11" t="e">
        <f>AND('Planilla_General_29-11-2012_10_'!M165,"AAAAAF/d/fE=")</f>
        <v>#VALUE!</v>
      </c>
      <c r="II11" t="e">
        <f>AND('Planilla_General_29-11-2012_10_'!N165,"AAAAAF/d/fI=")</f>
        <v>#VALUE!</v>
      </c>
      <c r="IJ11" t="e">
        <f>AND('Planilla_General_29-11-2012_10_'!O165,"AAAAAF/d/fM=")</f>
        <v>#VALUE!</v>
      </c>
      <c r="IK11" t="e">
        <f>AND('Planilla_General_29-11-2012_10_'!P165,"AAAAAF/d/fQ=")</f>
        <v>#VALUE!</v>
      </c>
      <c r="IL11">
        <f>IF('Planilla_General_29-11-2012_10_'!166:166,"AAAAAF/d/fU=",0)</f>
        <v>0</v>
      </c>
      <c r="IM11" t="e">
        <f>AND('Planilla_General_29-11-2012_10_'!A166,"AAAAAF/d/fY=")</f>
        <v>#VALUE!</v>
      </c>
      <c r="IN11" t="e">
        <f>AND('Planilla_General_29-11-2012_10_'!B166,"AAAAAF/d/fc=")</f>
        <v>#VALUE!</v>
      </c>
      <c r="IO11" t="e">
        <f>AND('Planilla_General_29-11-2012_10_'!C166,"AAAAAF/d/fg=")</f>
        <v>#VALUE!</v>
      </c>
      <c r="IP11" t="e">
        <f>AND('Planilla_General_29-11-2012_10_'!D166,"AAAAAF/d/fk=")</f>
        <v>#VALUE!</v>
      </c>
      <c r="IQ11" t="e">
        <f>AND('Planilla_General_29-11-2012_10_'!E166,"AAAAAF/d/fo=")</f>
        <v>#VALUE!</v>
      </c>
      <c r="IR11" t="e">
        <f>AND('Planilla_General_29-11-2012_10_'!F166,"AAAAAF/d/fs=")</f>
        <v>#VALUE!</v>
      </c>
      <c r="IS11" t="e">
        <f>AND('Planilla_General_29-11-2012_10_'!G166,"AAAAAF/d/fw=")</f>
        <v>#VALUE!</v>
      </c>
      <c r="IT11" t="e">
        <f>AND('Planilla_General_29-11-2012_10_'!H166,"AAAAAF/d/f0=")</f>
        <v>#VALUE!</v>
      </c>
      <c r="IU11" t="e">
        <f>AND('Planilla_General_29-11-2012_10_'!I166,"AAAAAF/d/f4=")</f>
        <v>#VALUE!</v>
      </c>
      <c r="IV11" t="e">
        <f>AND('Planilla_General_29-11-2012_10_'!J166,"AAAAAF/d/f8=")</f>
        <v>#VALUE!</v>
      </c>
    </row>
    <row r="12" spans="1:256" x14ac:dyDescent="0.25">
      <c r="A12" t="e">
        <f>AND('Planilla_General_29-11-2012_10_'!K166,"AAAAAGlOvwA=")</f>
        <v>#VALUE!</v>
      </c>
      <c r="B12" t="e">
        <f>AND('Planilla_General_29-11-2012_10_'!L166,"AAAAAGlOvwE=")</f>
        <v>#VALUE!</v>
      </c>
      <c r="C12" t="e">
        <f>AND('Planilla_General_29-11-2012_10_'!M166,"AAAAAGlOvwI=")</f>
        <v>#VALUE!</v>
      </c>
      <c r="D12" t="e">
        <f>AND('Planilla_General_29-11-2012_10_'!N166,"AAAAAGlOvwM=")</f>
        <v>#VALUE!</v>
      </c>
      <c r="E12" t="e">
        <f>AND('Planilla_General_29-11-2012_10_'!O166,"AAAAAGlOvwQ=")</f>
        <v>#VALUE!</v>
      </c>
      <c r="F12" t="e">
        <f>AND('Planilla_General_29-11-2012_10_'!P166,"AAAAAGlOvwU=")</f>
        <v>#VALUE!</v>
      </c>
      <c r="G12" t="e">
        <f>IF('Planilla_General_29-11-2012_10_'!167:167,"AAAAAGlOvwY=",0)</f>
        <v>#VALUE!</v>
      </c>
      <c r="H12" t="e">
        <f>AND('Planilla_General_29-11-2012_10_'!A167,"AAAAAGlOvwc=")</f>
        <v>#VALUE!</v>
      </c>
      <c r="I12" t="e">
        <f>AND('Planilla_General_29-11-2012_10_'!B167,"AAAAAGlOvwg=")</f>
        <v>#VALUE!</v>
      </c>
      <c r="J12" t="e">
        <f>AND('Planilla_General_29-11-2012_10_'!C167,"AAAAAGlOvwk=")</f>
        <v>#VALUE!</v>
      </c>
      <c r="K12" t="e">
        <f>AND('Planilla_General_29-11-2012_10_'!D167,"AAAAAGlOvwo=")</f>
        <v>#VALUE!</v>
      </c>
      <c r="L12" t="e">
        <f>AND('Planilla_General_29-11-2012_10_'!E167,"AAAAAGlOvws=")</f>
        <v>#VALUE!</v>
      </c>
      <c r="M12" t="e">
        <f>AND('Planilla_General_29-11-2012_10_'!F167,"AAAAAGlOvww=")</f>
        <v>#VALUE!</v>
      </c>
      <c r="N12" t="e">
        <f>AND('Planilla_General_29-11-2012_10_'!G167,"AAAAAGlOvw0=")</f>
        <v>#VALUE!</v>
      </c>
      <c r="O12" t="e">
        <f>AND('Planilla_General_29-11-2012_10_'!H167,"AAAAAGlOvw4=")</f>
        <v>#VALUE!</v>
      </c>
      <c r="P12" t="e">
        <f>AND('Planilla_General_29-11-2012_10_'!I167,"AAAAAGlOvw8=")</f>
        <v>#VALUE!</v>
      </c>
      <c r="Q12" t="e">
        <f>AND('Planilla_General_29-11-2012_10_'!J167,"AAAAAGlOvxA=")</f>
        <v>#VALUE!</v>
      </c>
      <c r="R12" t="e">
        <f>AND('Planilla_General_29-11-2012_10_'!K167,"AAAAAGlOvxE=")</f>
        <v>#VALUE!</v>
      </c>
      <c r="S12" t="e">
        <f>AND('Planilla_General_29-11-2012_10_'!L167,"AAAAAGlOvxI=")</f>
        <v>#VALUE!</v>
      </c>
      <c r="T12" t="e">
        <f>AND('Planilla_General_29-11-2012_10_'!M167,"AAAAAGlOvxM=")</f>
        <v>#VALUE!</v>
      </c>
      <c r="U12" t="e">
        <f>AND('Planilla_General_29-11-2012_10_'!N167,"AAAAAGlOvxQ=")</f>
        <v>#VALUE!</v>
      </c>
      <c r="V12" t="e">
        <f>AND('Planilla_General_29-11-2012_10_'!O167,"AAAAAGlOvxU=")</f>
        <v>#VALUE!</v>
      </c>
      <c r="W12" t="e">
        <f>AND('Planilla_General_29-11-2012_10_'!P167,"AAAAAGlOvxY=")</f>
        <v>#VALUE!</v>
      </c>
      <c r="X12">
        <f>IF('Planilla_General_29-11-2012_10_'!168:168,"AAAAAGlOvxc=",0)</f>
        <v>0</v>
      </c>
      <c r="Y12" t="e">
        <f>AND('Planilla_General_29-11-2012_10_'!A168,"AAAAAGlOvxg=")</f>
        <v>#VALUE!</v>
      </c>
      <c r="Z12" t="e">
        <f>AND('Planilla_General_29-11-2012_10_'!B168,"AAAAAGlOvxk=")</f>
        <v>#VALUE!</v>
      </c>
      <c r="AA12" t="e">
        <f>AND('Planilla_General_29-11-2012_10_'!C168,"AAAAAGlOvxo=")</f>
        <v>#VALUE!</v>
      </c>
      <c r="AB12" t="e">
        <f>AND('Planilla_General_29-11-2012_10_'!D168,"AAAAAGlOvxs=")</f>
        <v>#VALUE!</v>
      </c>
      <c r="AC12" t="e">
        <f>AND('Planilla_General_29-11-2012_10_'!E168,"AAAAAGlOvxw=")</f>
        <v>#VALUE!</v>
      </c>
      <c r="AD12" t="e">
        <f>AND('Planilla_General_29-11-2012_10_'!F168,"AAAAAGlOvx0=")</f>
        <v>#VALUE!</v>
      </c>
      <c r="AE12" t="e">
        <f>AND('Planilla_General_29-11-2012_10_'!G168,"AAAAAGlOvx4=")</f>
        <v>#VALUE!</v>
      </c>
      <c r="AF12" t="e">
        <f>AND('Planilla_General_29-11-2012_10_'!H168,"AAAAAGlOvx8=")</f>
        <v>#VALUE!</v>
      </c>
      <c r="AG12" t="e">
        <f>AND('Planilla_General_29-11-2012_10_'!I168,"AAAAAGlOvyA=")</f>
        <v>#VALUE!</v>
      </c>
      <c r="AH12" t="e">
        <f>AND('Planilla_General_29-11-2012_10_'!J168,"AAAAAGlOvyE=")</f>
        <v>#VALUE!</v>
      </c>
      <c r="AI12" t="e">
        <f>AND('Planilla_General_29-11-2012_10_'!K168,"AAAAAGlOvyI=")</f>
        <v>#VALUE!</v>
      </c>
      <c r="AJ12" t="e">
        <f>AND('Planilla_General_29-11-2012_10_'!L168,"AAAAAGlOvyM=")</f>
        <v>#VALUE!</v>
      </c>
      <c r="AK12" t="e">
        <f>AND('Planilla_General_29-11-2012_10_'!M168,"AAAAAGlOvyQ=")</f>
        <v>#VALUE!</v>
      </c>
      <c r="AL12" t="e">
        <f>AND('Planilla_General_29-11-2012_10_'!N168,"AAAAAGlOvyU=")</f>
        <v>#VALUE!</v>
      </c>
      <c r="AM12" t="e">
        <f>AND('Planilla_General_29-11-2012_10_'!O168,"AAAAAGlOvyY=")</f>
        <v>#VALUE!</v>
      </c>
      <c r="AN12" t="e">
        <f>AND('Planilla_General_29-11-2012_10_'!P168,"AAAAAGlOvyc=")</f>
        <v>#VALUE!</v>
      </c>
      <c r="AO12">
        <f>IF('Planilla_General_29-11-2012_10_'!169:169,"AAAAAGlOvyg=",0)</f>
        <v>0</v>
      </c>
      <c r="AP12" t="e">
        <f>AND('Planilla_General_29-11-2012_10_'!A169,"AAAAAGlOvyk=")</f>
        <v>#VALUE!</v>
      </c>
      <c r="AQ12" t="e">
        <f>AND('Planilla_General_29-11-2012_10_'!B169,"AAAAAGlOvyo=")</f>
        <v>#VALUE!</v>
      </c>
      <c r="AR12" t="e">
        <f>AND('Planilla_General_29-11-2012_10_'!C169,"AAAAAGlOvys=")</f>
        <v>#VALUE!</v>
      </c>
      <c r="AS12" t="e">
        <f>AND('Planilla_General_29-11-2012_10_'!D169,"AAAAAGlOvyw=")</f>
        <v>#VALUE!</v>
      </c>
      <c r="AT12" t="e">
        <f>AND('Planilla_General_29-11-2012_10_'!E169,"AAAAAGlOvy0=")</f>
        <v>#VALUE!</v>
      </c>
      <c r="AU12" t="e">
        <f>AND('Planilla_General_29-11-2012_10_'!F169,"AAAAAGlOvy4=")</f>
        <v>#VALUE!</v>
      </c>
      <c r="AV12" t="e">
        <f>AND('Planilla_General_29-11-2012_10_'!G169,"AAAAAGlOvy8=")</f>
        <v>#VALUE!</v>
      </c>
      <c r="AW12" t="e">
        <f>AND('Planilla_General_29-11-2012_10_'!H169,"AAAAAGlOvzA=")</f>
        <v>#VALUE!</v>
      </c>
      <c r="AX12" t="e">
        <f>AND('Planilla_General_29-11-2012_10_'!I169,"AAAAAGlOvzE=")</f>
        <v>#VALUE!</v>
      </c>
      <c r="AY12" t="e">
        <f>AND('Planilla_General_29-11-2012_10_'!J169,"AAAAAGlOvzI=")</f>
        <v>#VALUE!</v>
      </c>
      <c r="AZ12" t="e">
        <f>AND('Planilla_General_29-11-2012_10_'!K169,"AAAAAGlOvzM=")</f>
        <v>#VALUE!</v>
      </c>
      <c r="BA12" t="e">
        <f>AND('Planilla_General_29-11-2012_10_'!L169,"AAAAAGlOvzQ=")</f>
        <v>#VALUE!</v>
      </c>
      <c r="BB12" t="e">
        <f>AND('Planilla_General_29-11-2012_10_'!M169,"AAAAAGlOvzU=")</f>
        <v>#VALUE!</v>
      </c>
      <c r="BC12" t="e">
        <f>AND('Planilla_General_29-11-2012_10_'!N169,"AAAAAGlOvzY=")</f>
        <v>#VALUE!</v>
      </c>
      <c r="BD12" t="e">
        <f>AND('Planilla_General_29-11-2012_10_'!O169,"AAAAAGlOvzc=")</f>
        <v>#VALUE!</v>
      </c>
      <c r="BE12" t="e">
        <f>AND('Planilla_General_29-11-2012_10_'!P169,"AAAAAGlOvzg=")</f>
        <v>#VALUE!</v>
      </c>
      <c r="BF12">
        <f>IF('Planilla_General_29-11-2012_10_'!170:170,"AAAAAGlOvzk=",0)</f>
        <v>0</v>
      </c>
      <c r="BG12" t="e">
        <f>AND('Planilla_General_29-11-2012_10_'!A170,"AAAAAGlOvzo=")</f>
        <v>#VALUE!</v>
      </c>
      <c r="BH12" t="e">
        <f>AND('Planilla_General_29-11-2012_10_'!B170,"AAAAAGlOvzs=")</f>
        <v>#VALUE!</v>
      </c>
      <c r="BI12" t="e">
        <f>AND('Planilla_General_29-11-2012_10_'!C170,"AAAAAGlOvzw=")</f>
        <v>#VALUE!</v>
      </c>
      <c r="BJ12" t="e">
        <f>AND('Planilla_General_29-11-2012_10_'!D170,"AAAAAGlOvz0=")</f>
        <v>#VALUE!</v>
      </c>
      <c r="BK12" t="e">
        <f>AND('Planilla_General_29-11-2012_10_'!E170,"AAAAAGlOvz4=")</f>
        <v>#VALUE!</v>
      </c>
      <c r="BL12" t="e">
        <f>AND('Planilla_General_29-11-2012_10_'!F170,"AAAAAGlOvz8=")</f>
        <v>#VALUE!</v>
      </c>
      <c r="BM12" t="e">
        <f>AND('Planilla_General_29-11-2012_10_'!G170,"AAAAAGlOv0A=")</f>
        <v>#VALUE!</v>
      </c>
      <c r="BN12" t="e">
        <f>AND('Planilla_General_29-11-2012_10_'!H170,"AAAAAGlOv0E=")</f>
        <v>#VALUE!</v>
      </c>
      <c r="BO12" t="e">
        <f>AND('Planilla_General_29-11-2012_10_'!I170,"AAAAAGlOv0I=")</f>
        <v>#VALUE!</v>
      </c>
      <c r="BP12" t="e">
        <f>AND('Planilla_General_29-11-2012_10_'!J170,"AAAAAGlOv0M=")</f>
        <v>#VALUE!</v>
      </c>
      <c r="BQ12" t="e">
        <f>AND('Planilla_General_29-11-2012_10_'!K170,"AAAAAGlOv0Q=")</f>
        <v>#VALUE!</v>
      </c>
      <c r="BR12" t="e">
        <f>AND('Planilla_General_29-11-2012_10_'!L170,"AAAAAGlOv0U=")</f>
        <v>#VALUE!</v>
      </c>
      <c r="BS12" t="e">
        <f>AND('Planilla_General_29-11-2012_10_'!M170,"AAAAAGlOv0Y=")</f>
        <v>#VALUE!</v>
      </c>
      <c r="BT12" t="e">
        <f>AND('Planilla_General_29-11-2012_10_'!N170,"AAAAAGlOv0c=")</f>
        <v>#VALUE!</v>
      </c>
      <c r="BU12" t="e">
        <f>AND('Planilla_General_29-11-2012_10_'!O170,"AAAAAGlOv0g=")</f>
        <v>#VALUE!</v>
      </c>
      <c r="BV12" t="e">
        <f>AND('Planilla_General_29-11-2012_10_'!P170,"AAAAAGlOv0k=")</f>
        <v>#VALUE!</v>
      </c>
      <c r="BW12">
        <f>IF('Planilla_General_29-11-2012_10_'!171:171,"AAAAAGlOv0o=",0)</f>
        <v>0</v>
      </c>
      <c r="BX12" t="e">
        <f>AND('Planilla_General_29-11-2012_10_'!A171,"AAAAAGlOv0s=")</f>
        <v>#VALUE!</v>
      </c>
      <c r="BY12" t="e">
        <f>AND('Planilla_General_29-11-2012_10_'!B171,"AAAAAGlOv0w=")</f>
        <v>#VALUE!</v>
      </c>
      <c r="BZ12" t="e">
        <f>AND('Planilla_General_29-11-2012_10_'!C171,"AAAAAGlOv00=")</f>
        <v>#VALUE!</v>
      </c>
      <c r="CA12" t="e">
        <f>AND('Planilla_General_29-11-2012_10_'!D171,"AAAAAGlOv04=")</f>
        <v>#VALUE!</v>
      </c>
      <c r="CB12" t="e">
        <f>AND('Planilla_General_29-11-2012_10_'!E171,"AAAAAGlOv08=")</f>
        <v>#VALUE!</v>
      </c>
      <c r="CC12" t="e">
        <f>AND('Planilla_General_29-11-2012_10_'!F171,"AAAAAGlOv1A=")</f>
        <v>#VALUE!</v>
      </c>
      <c r="CD12" t="e">
        <f>AND('Planilla_General_29-11-2012_10_'!G171,"AAAAAGlOv1E=")</f>
        <v>#VALUE!</v>
      </c>
      <c r="CE12" t="e">
        <f>AND('Planilla_General_29-11-2012_10_'!H171,"AAAAAGlOv1I=")</f>
        <v>#VALUE!</v>
      </c>
      <c r="CF12" t="e">
        <f>AND('Planilla_General_29-11-2012_10_'!I171,"AAAAAGlOv1M=")</f>
        <v>#VALUE!</v>
      </c>
      <c r="CG12" t="e">
        <f>AND('Planilla_General_29-11-2012_10_'!J171,"AAAAAGlOv1Q=")</f>
        <v>#VALUE!</v>
      </c>
      <c r="CH12" t="e">
        <f>AND('Planilla_General_29-11-2012_10_'!K171,"AAAAAGlOv1U=")</f>
        <v>#VALUE!</v>
      </c>
      <c r="CI12" t="e">
        <f>AND('Planilla_General_29-11-2012_10_'!L171,"AAAAAGlOv1Y=")</f>
        <v>#VALUE!</v>
      </c>
      <c r="CJ12" t="e">
        <f>AND('Planilla_General_29-11-2012_10_'!M171,"AAAAAGlOv1c=")</f>
        <v>#VALUE!</v>
      </c>
      <c r="CK12" t="e">
        <f>AND('Planilla_General_29-11-2012_10_'!N171,"AAAAAGlOv1g=")</f>
        <v>#VALUE!</v>
      </c>
      <c r="CL12" t="e">
        <f>AND('Planilla_General_29-11-2012_10_'!O171,"AAAAAGlOv1k=")</f>
        <v>#VALUE!</v>
      </c>
      <c r="CM12" t="e">
        <f>AND('Planilla_General_29-11-2012_10_'!P171,"AAAAAGlOv1o=")</f>
        <v>#VALUE!</v>
      </c>
      <c r="CN12">
        <f>IF('Planilla_General_29-11-2012_10_'!172:172,"AAAAAGlOv1s=",0)</f>
        <v>0</v>
      </c>
      <c r="CO12" t="e">
        <f>AND('Planilla_General_29-11-2012_10_'!A172,"AAAAAGlOv1w=")</f>
        <v>#VALUE!</v>
      </c>
      <c r="CP12" t="e">
        <f>AND('Planilla_General_29-11-2012_10_'!B172,"AAAAAGlOv10=")</f>
        <v>#VALUE!</v>
      </c>
      <c r="CQ12" t="e">
        <f>AND('Planilla_General_29-11-2012_10_'!C172,"AAAAAGlOv14=")</f>
        <v>#VALUE!</v>
      </c>
      <c r="CR12" t="e">
        <f>AND('Planilla_General_29-11-2012_10_'!D172,"AAAAAGlOv18=")</f>
        <v>#VALUE!</v>
      </c>
      <c r="CS12" t="e">
        <f>AND('Planilla_General_29-11-2012_10_'!E172,"AAAAAGlOv2A=")</f>
        <v>#VALUE!</v>
      </c>
      <c r="CT12" t="e">
        <f>AND('Planilla_General_29-11-2012_10_'!F172,"AAAAAGlOv2E=")</f>
        <v>#VALUE!</v>
      </c>
      <c r="CU12" t="e">
        <f>AND('Planilla_General_29-11-2012_10_'!G172,"AAAAAGlOv2I=")</f>
        <v>#VALUE!</v>
      </c>
      <c r="CV12" t="e">
        <f>AND('Planilla_General_29-11-2012_10_'!H172,"AAAAAGlOv2M=")</f>
        <v>#VALUE!</v>
      </c>
      <c r="CW12" t="e">
        <f>AND('Planilla_General_29-11-2012_10_'!I172,"AAAAAGlOv2Q=")</f>
        <v>#VALUE!</v>
      </c>
      <c r="CX12" t="e">
        <f>AND('Planilla_General_29-11-2012_10_'!J172,"AAAAAGlOv2U=")</f>
        <v>#VALUE!</v>
      </c>
      <c r="CY12" t="e">
        <f>AND('Planilla_General_29-11-2012_10_'!K172,"AAAAAGlOv2Y=")</f>
        <v>#VALUE!</v>
      </c>
      <c r="CZ12" t="e">
        <f>AND('Planilla_General_29-11-2012_10_'!L172,"AAAAAGlOv2c=")</f>
        <v>#VALUE!</v>
      </c>
      <c r="DA12" t="e">
        <f>AND('Planilla_General_29-11-2012_10_'!M172,"AAAAAGlOv2g=")</f>
        <v>#VALUE!</v>
      </c>
      <c r="DB12" t="e">
        <f>AND('Planilla_General_29-11-2012_10_'!N172,"AAAAAGlOv2k=")</f>
        <v>#VALUE!</v>
      </c>
      <c r="DC12" t="e">
        <f>AND('Planilla_General_29-11-2012_10_'!O172,"AAAAAGlOv2o=")</f>
        <v>#VALUE!</v>
      </c>
      <c r="DD12" t="e">
        <f>AND('Planilla_General_29-11-2012_10_'!P172,"AAAAAGlOv2s=")</f>
        <v>#VALUE!</v>
      </c>
      <c r="DE12">
        <f>IF('Planilla_General_29-11-2012_10_'!173:173,"AAAAAGlOv2w=",0)</f>
        <v>0</v>
      </c>
      <c r="DF12" t="e">
        <f>AND('Planilla_General_29-11-2012_10_'!A173,"AAAAAGlOv20=")</f>
        <v>#VALUE!</v>
      </c>
      <c r="DG12" t="e">
        <f>AND('Planilla_General_29-11-2012_10_'!B173,"AAAAAGlOv24=")</f>
        <v>#VALUE!</v>
      </c>
      <c r="DH12" t="e">
        <f>AND('Planilla_General_29-11-2012_10_'!C173,"AAAAAGlOv28=")</f>
        <v>#VALUE!</v>
      </c>
      <c r="DI12" t="e">
        <f>AND('Planilla_General_29-11-2012_10_'!D173,"AAAAAGlOv3A=")</f>
        <v>#VALUE!</v>
      </c>
      <c r="DJ12" t="e">
        <f>AND('Planilla_General_29-11-2012_10_'!E173,"AAAAAGlOv3E=")</f>
        <v>#VALUE!</v>
      </c>
      <c r="DK12" t="e">
        <f>AND('Planilla_General_29-11-2012_10_'!F173,"AAAAAGlOv3I=")</f>
        <v>#VALUE!</v>
      </c>
      <c r="DL12" t="e">
        <f>AND('Planilla_General_29-11-2012_10_'!G173,"AAAAAGlOv3M=")</f>
        <v>#VALUE!</v>
      </c>
      <c r="DM12" t="e">
        <f>AND('Planilla_General_29-11-2012_10_'!H173,"AAAAAGlOv3Q=")</f>
        <v>#VALUE!</v>
      </c>
      <c r="DN12" t="e">
        <f>AND('Planilla_General_29-11-2012_10_'!I173,"AAAAAGlOv3U=")</f>
        <v>#VALUE!</v>
      </c>
      <c r="DO12" t="e">
        <f>AND('Planilla_General_29-11-2012_10_'!J173,"AAAAAGlOv3Y=")</f>
        <v>#VALUE!</v>
      </c>
      <c r="DP12" t="e">
        <f>AND('Planilla_General_29-11-2012_10_'!K173,"AAAAAGlOv3c=")</f>
        <v>#VALUE!</v>
      </c>
      <c r="DQ12" t="e">
        <f>AND('Planilla_General_29-11-2012_10_'!L173,"AAAAAGlOv3g=")</f>
        <v>#VALUE!</v>
      </c>
      <c r="DR12" t="e">
        <f>AND('Planilla_General_29-11-2012_10_'!M173,"AAAAAGlOv3k=")</f>
        <v>#VALUE!</v>
      </c>
      <c r="DS12" t="e">
        <f>AND('Planilla_General_29-11-2012_10_'!N173,"AAAAAGlOv3o=")</f>
        <v>#VALUE!</v>
      </c>
      <c r="DT12" t="e">
        <f>AND('Planilla_General_29-11-2012_10_'!O173,"AAAAAGlOv3s=")</f>
        <v>#VALUE!</v>
      </c>
      <c r="DU12" t="e">
        <f>AND('Planilla_General_29-11-2012_10_'!P173,"AAAAAGlOv3w=")</f>
        <v>#VALUE!</v>
      </c>
      <c r="DV12">
        <f>IF('Planilla_General_29-11-2012_10_'!174:174,"AAAAAGlOv30=",0)</f>
        <v>0</v>
      </c>
      <c r="DW12" t="e">
        <f>AND('Planilla_General_29-11-2012_10_'!A174,"AAAAAGlOv34=")</f>
        <v>#VALUE!</v>
      </c>
      <c r="DX12" t="e">
        <f>AND('Planilla_General_29-11-2012_10_'!B174,"AAAAAGlOv38=")</f>
        <v>#VALUE!</v>
      </c>
      <c r="DY12" t="e">
        <f>AND('Planilla_General_29-11-2012_10_'!C174,"AAAAAGlOv4A=")</f>
        <v>#VALUE!</v>
      </c>
      <c r="DZ12" t="e">
        <f>AND('Planilla_General_29-11-2012_10_'!D174,"AAAAAGlOv4E=")</f>
        <v>#VALUE!</v>
      </c>
      <c r="EA12" t="e">
        <f>AND('Planilla_General_29-11-2012_10_'!E174,"AAAAAGlOv4I=")</f>
        <v>#VALUE!</v>
      </c>
      <c r="EB12" t="e">
        <f>AND('Planilla_General_29-11-2012_10_'!F174,"AAAAAGlOv4M=")</f>
        <v>#VALUE!</v>
      </c>
      <c r="EC12" t="e">
        <f>AND('Planilla_General_29-11-2012_10_'!G174,"AAAAAGlOv4Q=")</f>
        <v>#VALUE!</v>
      </c>
      <c r="ED12" t="e">
        <f>AND('Planilla_General_29-11-2012_10_'!H174,"AAAAAGlOv4U=")</f>
        <v>#VALUE!</v>
      </c>
      <c r="EE12" t="e">
        <f>AND('Planilla_General_29-11-2012_10_'!I174,"AAAAAGlOv4Y=")</f>
        <v>#VALUE!</v>
      </c>
      <c r="EF12" t="e">
        <f>AND('Planilla_General_29-11-2012_10_'!J174,"AAAAAGlOv4c=")</f>
        <v>#VALUE!</v>
      </c>
      <c r="EG12" t="e">
        <f>AND('Planilla_General_29-11-2012_10_'!K174,"AAAAAGlOv4g=")</f>
        <v>#VALUE!</v>
      </c>
      <c r="EH12" t="e">
        <f>AND('Planilla_General_29-11-2012_10_'!L174,"AAAAAGlOv4k=")</f>
        <v>#VALUE!</v>
      </c>
      <c r="EI12" t="e">
        <f>AND('Planilla_General_29-11-2012_10_'!M174,"AAAAAGlOv4o=")</f>
        <v>#VALUE!</v>
      </c>
      <c r="EJ12" t="e">
        <f>AND('Planilla_General_29-11-2012_10_'!N174,"AAAAAGlOv4s=")</f>
        <v>#VALUE!</v>
      </c>
      <c r="EK12" t="e">
        <f>AND('Planilla_General_29-11-2012_10_'!O174,"AAAAAGlOv4w=")</f>
        <v>#VALUE!</v>
      </c>
      <c r="EL12" t="e">
        <f>AND('Planilla_General_29-11-2012_10_'!P174,"AAAAAGlOv40=")</f>
        <v>#VALUE!</v>
      </c>
      <c r="EM12">
        <f>IF('Planilla_General_29-11-2012_10_'!175:175,"AAAAAGlOv44=",0)</f>
        <v>0</v>
      </c>
      <c r="EN12" t="e">
        <f>AND('Planilla_General_29-11-2012_10_'!A175,"AAAAAGlOv48=")</f>
        <v>#VALUE!</v>
      </c>
      <c r="EO12" t="e">
        <f>AND('Planilla_General_29-11-2012_10_'!B175,"AAAAAGlOv5A=")</f>
        <v>#VALUE!</v>
      </c>
      <c r="EP12" t="e">
        <f>AND('Planilla_General_29-11-2012_10_'!C175,"AAAAAGlOv5E=")</f>
        <v>#VALUE!</v>
      </c>
      <c r="EQ12" t="e">
        <f>AND('Planilla_General_29-11-2012_10_'!D175,"AAAAAGlOv5I=")</f>
        <v>#VALUE!</v>
      </c>
      <c r="ER12" t="e">
        <f>AND('Planilla_General_29-11-2012_10_'!E175,"AAAAAGlOv5M=")</f>
        <v>#VALUE!</v>
      </c>
      <c r="ES12" t="e">
        <f>AND('Planilla_General_29-11-2012_10_'!F175,"AAAAAGlOv5Q=")</f>
        <v>#VALUE!</v>
      </c>
      <c r="ET12" t="e">
        <f>AND('Planilla_General_29-11-2012_10_'!G175,"AAAAAGlOv5U=")</f>
        <v>#VALUE!</v>
      </c>
      <c r="EU12" t="e">
        <f>AND('Planilla_General_29-11-2012_10_'!H175,"AAAAAGlOv5Y=")</f>
        <v>#VALUE!</v>
      </c>
      <c r="EV12" t="e">
        <f>AND('Planilla_General_29-11-2012_10_'!I175,"AAAAAGlOv5c=")</f>
        <v>#VALUE!</v>
      </c>
      <c r="EW12" t="e">
        <f>AND('Planilla_General_29-11-2012_10_'!J175,"AAAAAGlOv5g=")</f>
        <v>#VALUE!</v>
      </c>
      <c r="EX12" t="e">
        <f>AND('Planilla_General_29-11-2012_10_'!K175,"AAAAAGlOv5k=")</f>
        <v>#VALUE!</v>
      </c>
      <c r="EY12" t="e">
        <f>AND('Planilla_General_29-11-2012_10_'!L175,"AAAAAGlOv5o=")</f>
        <v>#VALUE!</v>
      </c>
      <c r="EZ12" t="e">
        <f>AND('Planilla_General_29-11-2012_10_'!M175,"AAAAAGlOv5s=")</f>
        <v>#VALUE!</v>
      </c>
      <c r="FA12" t="e">
        <f>AND('Planilla_General_29-11-2012_10_'!N175,"AAAAAGlOv5w=")</f>
        <v>#VALUE!</v>
      </c>
      <c r="FB12" t="e">
        <f>AND('Planilla_General_29-11-2012_10_'!O175,"AAAAAGlOv50=")</f>
        <v>#VALUE!</v>
      </c>
      <c r="FC12" t="e">
        <f>AND('Planilla_General_29-11-2012_10_'!P175,"AAAAAGlOv54=")</f>
        <v>#VALUE!</v>
      </c>
      <c r="FD12">
        <f>IF('Planilla_General_29-11-2012_10_'!176:176,"AAAAAGlOv58=",0)</f>
        <v>0</v>
      </c>
      <c r="FE12" t="e">
        <f>AND('Planilla_General_29-11-2012_10_'!A176,"AAAAAGlOv6A=")</f>
        <v>#VALUE!</v>
      </c>
      <c r="FF12" t="e">
        <f>AND('Planilla_General_29-11-2012_10_'!B176,"AAAAAGlOv6E=")</f>
        <v>#VALUE!</v>
      </c>
      <c r="FG12" t="e">
        <f>AND('Planilla_General_29-11-2012_10_'!C176,"AAAAAGlOv6I=")</f>
        <v>#VALUE!</v>
      </c>
      <c r="FH12" t="e">
        <f>AND('Planilla_General_29-11-2012_10_'!D176,"AAAAAGlOv6M=")</f>
        <v>#VALUE!</v>
      </c>
      <c r="FI12" t="e">
        <f>AND('Planilla_General_29-11-2012_10_'!E176,"AAAAAGlOv6Q=")</f>
        <v>#VALUE!</v>
      </c>
      <c r="FJ12" t="e">
        <f>AND('Planilla_General_29-11-2012_10_'!F176,"AAAAAGlOv6U=")</f>
        <v>#VALUE!</v>
      </c>
      <c r="FK12" t="e">
        <f>AND('Planilla_General_29-11-2012_10_'!G176,"AAAAAGlOv6Y=")</f>
        <v>#VALUE!</v>
      </c>
      <c r="FL12" t="e">
        <f>AND('Planilla_General_29-11-2012_10_'!H176,"AAAAAGlOv6c=")</f>
        <v>#VALUE!</v>
      </c>
      <c r="FM12" t="e">
        <f>AND('Planilla_General_29-11-2012_10_'!I176,"AAAAAGlOv6g=")</f>
        <v>#VALUE!</v>
      </c>
      <c r="FN12" t="e">
        <f>AND('Planilla_General_29-11-2012_10_'!J176,"AAAAAGlOv6k=")</f>
        <v>#VALUE!</v>
      </c>
      <c r="FO12" t="e">
        <f>AND('Planilla_General_29-11-2012_10_'!K176,"AAAAAGlOv6o=")</f>
        <v>#VALUE!</v>
      </c>
      <c r="FP12" t="e">
        <f>AND('Planilla_General_29-11-2012_10_'!L176,"AAAAAGlOv6s=")</f>
        <v>#VALUE!</v>
      </c>
      <c r="FQ12" t="e">
        <f>AND('Planilla_General_29-11-2012_10_'!M176,"AAAAAGlOv6w=")</f>
        <v>#VALUE!</v>
      </c>
      <c r="FR12" t="e">
        <f>AND('Planilla_General_29-11-2012_10_'!N176,"AAAAAGlOv60=")</f>
        <v>#VALUE!</v>
      </c>
      <c r="FS12" t="e">
        <f>AND('Planilla_General_29-11-2012_10_'!O176,"AAAAAGlOv64=")</f>
        <v>#VALUE!</v>
      </c>
      <c r="FT12" t="e">
        <f>AND('Planilla_General_29-11-2012_10_'!P176,"AAAAAGlOv68=")</f>
        <v>#VALUE!</v>
      </c>
      <c r="FU12">
        <f>IF('Planilla_General_29-11-2012_10_'!177:177,"AAAAAGlOv7A=",0)</f>
        <v>0</v>
      </c>
      <c r="FV12" t="e">
        <f>AND('Planilla_General_29-11-2012_10_'!A177,"AAAAAGlOv7E=")</f>
        <v>#VALUE!</v>
      </c>
      <c r="FW12" t="e">
        <f>AND('Planilla_General_29-11-2012_10_'!B177,"AAAAAGlOv7I=")</f>
        <v>#VALUE!</v>
      </c>
      <c r="FX12" t="e">
        <f>AND('Planilla_General_29-11-2012_10_'!C177,"AAAAAGlOv7M=")</f>
        <v>#VALUE!</v>
      </c>
      <c r="FY12" t="e">
        <f>AND('Planilla_General_29-11-2012_10_'!D177,"AAAAAGlOv7Q=")</f>
        <v>#VALUE!</v>
      </c>
      <c r="FZ12" t="e">
        <f>AND('Planilla_General_29-11-2012_10_'!E177,"AAAAAGlOv7U=")</f>
        <v>#VALUE!</v>
      </c>
      <c r="GA12" t="e">
        <f>AND('Planilla_General_29-11-2012_10_'!F177,"AAAAAGlOv7Y=")</f>
        <v>#VALUE!</v>
      </c>
      <c r="GB12" t="e">
        <f>AND('Planilla_General_29-11-2012_10_'!G177,"AAAAAGlOv7c=")</f>
        <v>#VALUE!</v>
      </c>
      <c r="GC12" t="e">
        <f>AND('Planilla_General_29-11-2012_10_'!H177,"AAAAAGlOv7g=")</f>
        <v>#VALUE!</v>
      </c>
      <c r="GD12" t="e">
        <f>AND('Planilla_General_29-11-2012_10_'!I177,"AAAAAGlOv7k=")</f>
        <v>#VALUE!</v>
      </c>
      <c r="GE12" t="e">
        <f>AND('Planilla_General_29-11-2012_10_'!J177,"AAAAAGlOv7o=")</f>
        <v>#VALUE!</v>
      </c>
      <c r="GF12" t="e">
        <f>AND('Planilla_General_29-11-2012_10_'!K177,"AAAAAGlOv7s=")</f>
        <v>#VALUE!</v>
      </c>
      <c r="GG12" t="e">
        <f>AND('Planilla_General_29-11-2012_10_'!L177,"AAAAAGlOv7w=")</f>
        <v>#VALUE!</v>
      </c>
      <c r="GH12" t="e">
        <f>AND('Planilla_General_29-11-2012_10_'!M177,"AAAAAGlOv70=")</f>
        <v>#VALUE!</v>
      </c>
      <c r="GI12" t="e">
        <f>AND('Planilla_General_29-11-2012_10_'!N177,"AAAAAGlOv74=")</f>
        <v>#VALUE!</v>
      </c>
      <c r="GJ12" t="e">
        <f>AND('Planilla_General_29-11-2012_10_'!O177,"AAAAAGlOv78=")</f>
        <v>#VALUE!</v>
      </c>
      <c r="GK12" t="e">
        <f>AND('Planilla_General_29-11-2012_10_'!P177,"AAAAAGlOv8A=")</f>
        <v>#VALUE!</v>
      </c>
      <c r="GL12">
        <f>IF('Planilla_General_29-11-2012_10_'!178:178,"AAAAAGlOv8E=",0)</f>
        <v>0</v>
      </c>
      <c r="GM12" t="e">
        <f>AND('Planilla_General_29-11-2012_10_'!A178,"AAAAAGlOv8I=")</f>
        <v>#VALUE!</v>
      </c>
      <c r="GN12" t="e">
        <f>AND('Planilla_General_29-11-2012_10_'!B178,"AAAAAGlOv8M=")</f>
        <v>#VALUE!</v>
      </c>
      <c r="GO12" t="e">
        <f>AND('Planilla_General_29-11-2012_10_'!C178,"AAAAAGlOv8Q=")</f>
        <v>#VALUE!</v>
      </c>
      <c r="GP12" t="e">
        <f>AND('Planilla_General_29-11-2012_10_'!D178,"AAAAAGlOv8U=")</f>
        <v>#VALUE!</v>
      </c>
      <c r="GQ12" t="e">
        <f>AND('Planilla_General_29-11-2012_10_'!E178,"AAAAAGlOv8Y=")</f>
        <v>#VALUE!</v>
      </c>
      <c r="GR12" t="e">
        <f>AND('Planilla_General_29-11-2012_10_'!F178,"AAAAAGlOv8c=")</f>
        <v>#VALUE!</v>
      </c>
      <c r="GS12" t="e">
        <f>AND('Planilla_General_29-11-2012_10_'!G178,"AAAAAGlOv8g=")</f>
        <v>#VALUE!</v>
      </c>
      <c r="GT12" t="e">
        <f>AND('Planilla_General_29-11-2012_10_'!H178,"AAAAAGlOv8k=")</f>
        <v>#VALUE!</v>
      </c>
      <c r="GU12" t="e">
        <f>AND('Planilla_General_29-11-2012_10_'!I178,"AAAAAGlOv8o=")</f>
        <v>#VALUE!</v>
      </c>
      <c r="GV12" t="e">
        <f>AND('Planilla_General_29-11-2012_10_'!J178,"AAAAAGlOv8s=")</f>
        <v>#VALUE!</v>
      </c>
      <c r="GW12" t="e">
        <f>AND('Planilla_General_29-11-2012_10_'!K178,"AAAAAGlOv8w=")</f>
        <v>#VALUE!</v>
      </c>
      <c r="GX12" t="e">
        <f>AND('Planilla_General_29-11-2012_10_'!L178,"AAAAAGlOv80=")</f>
        <v>#VALUE!</v>
      </c>
      <c r="GY12" t="e">
        <f>AND('Planilla_General_29-11-2012_10_'!M178,"AAAAAGlOv84=")</f>
        <v>#VALUE!</v>
      </c>
      <c r="GZ12" t="e">
        <f>AND('Planilla_General_29-11-2012_10_'!N178,"AAAAAGlOv88=")</f>
        <v>#VALUE!</v>
      </c>
      <c r="HA12" t="e">
        <f>AND('Planilla_General_29-11-2012_10_'!O178,"AAAAAGlOv9A=")</f>
        <v>#VALUE!</v>
      </c>
      <c r="HB12" t="e">
        <f>AND('Planilla_General_29-11-2012_10_'!P178,"AAAAAGlOv9E=")</f>
        <v>#VALUE!</v>
      </c>
      <c r="HC12">
        <f>IF('Planilla_General_29-11-2012_10_'!179:179,"AAAAAGlOv9I=",0)</f>
        <v>0</v>
      </c>
      <c r="HD12" t="e">
        <f>AND('Planilla_General_29-11-2012_10_'!A179,"AAAAAGlOv9M=")</f>
        <v>#VALUE!</v>
      </c>
      <c r="HE12" t="e">
        <f>AND('Planilla_General_29-11-2012_10_'!B179,"AAAAAGlOv9Q=")</f>
        <v>#VALUE!</v>
      </c>
      <c r="HF12" t="e">
        <f>AND('Planilla_General_29-11-2012_10_'!C179,"AAAAAGlOv9U=")</f>
        <v>#VALUE!</v>
      </c>
      <c r="HG12" t="e">
        <f>AND('Planilla_General_29-11-2012_10_'!D179,"AAAAAGlOv9Y=")</f>
        <v>#VALUE!</v>
      </c>
      <c r="HH12" t="e">
        <f>AND('Planilla_General_29-11-2012_10_'!E179,"AAAAAGlOv9c=")</f>
        <v>#VALUE!</v>
      </c>
      <c r="HI12" t="e">
        <f>AND('Planilla_General_29-11-2012_10_'!F179,"AAAAAGlOv9g=")</f>
        <v>#VALUE!</v>
      </c>
      <c r="HJ12" t="e">
        <f>AND('Planilla_General_29-11-2012_10_'!G179,"AAAAAGlOv9k=")</f>
        <v>#VALUE!</v>
      </c>
      <c r="HK12" t="e">
        <f>AND('Planilla_General_29-11-2012_10_'!H179,"AAAAAGlOv9o=")</f>
        <v>#VALUE!</v>
      </c>
      <c r="HL12" t="e">
        <f>AND('Planilla_General_29-11-2012_10_'!I179,"AAAAAGlOv9s=")</f>
        <v>#VALUE!</v>
      </c>
      <c r="HM12" t="e">
        <f>AND('Planilla_General_29-11-2012_10_'!J179,"AAAAAGlOv9w=")</f>
        <v>#VALUE!</v>
      </c>
      <c r="HN12" t="e">
        <f>AND('Planilla_General_29-11-2012_10_'!K179,"AAAAAGlOv90=")</f>
        <v>#VALUE!</v>
      </c>
      <c r="HO12" t="e">
        <f>AND('Planilla_General_29-11-2012_10_'!L179,"AAAAAGlOv94=")</f>
        <v>#VALUE!</v>
      </c>
      <c r="HP12" t="e">
        <f>AND('Planilla_General_29-11-2012_10_'!M179,"AAAAAGlOv98=")</f>
        <v>#VALUE!</v>
      </c>
      <c r="HQ12" t="e">
        <f>AND('Planilla_General_29-11-2012_10_'!N179,"AAAAAGlOv+A=")</f>
        <v>#VALUE!</v>
      </c>
      <c r="HR12" t="e">
        <f>AND('Planilla_General_29-11-2012_10_'!O179,"AAAAAGlOv+E=")</f>
        <v>#VALUE!</v>
      </c>
      <c r="HS12" t="e">
        <f>AND('Planilla_General_29-11-2012_10_'!P179,"AAAAAGlOv+I=")</f>
        <v>#VALUE!</v>
      </c>
      <c r="HT12">
        <f>IF('Planilla_General_29-11-2012_10_'!180:180,"AAAAAGlOv+M=",0)</f>
        <v>0</v>
      </c>
      <c r="HU12" t="e">
        <f>AND('Planilla_General_29-11-2012_10_'!A180,"AAAAAGlOv+Q=")</f>
        <v>#VALUE!</v>
      </c>
      <c r="HV12" t="e">
        <f>AND('Planilla_General_29-11-2012_10_'!B180,"AAAAAGlOv+U=")</f>
        <v>#VALUE!</v>
      </c>
      <c r="HW12" t="e">
        <f>AND('Planilla_General_29-11-2012_10_'!C180,"AAAAAGlOv+Y=")</f>
        <v>#VALUE!</v>
      </c>
      <c r="HX12" t="e">
        <f>AND('Planilla_General_29-11-2012_10_'!D180,"AAAAAGlOv+c=")</f>
        <v>#VALUE!</v>
      </c>
      <c r="HY12" t="e">
        <f>AND('Planilla_General_29-11-2012_10_'!E180,"AAAAAGlOv+g=")</f>
        <v>#VALUE!</v>
      </c>
      <c r="HZ12" t="e">
        <f>AND('Planilla_General_29-11-2012_10_'!F180,"AAAAAGlOv+k=")</f>
        <v>#VALUE!</v>
      </c>
      <c r="IA12" t="e">
        <f>AND('Planilla_General_29-11-2012_10_'!G180,"AAAAAGlOv+o=")</f>
        <v>#VALUE!</v>
      </c>
      <c r="IB12" t="e">
        <f>AND('Planilla_General_29-11-2012_10_'!H180,"AAAAAGlOv+s=")</f>
        <v>#VALUE!</v>
      </c>
      <c r="IC12" t="e">
        <f>AND('Planilla_General_29-11-2012_10_'!I180,"AAAAAGlOv+w=")</f>
        <v>#VALUE!</v>
      </c>
      <c r="ID12" t="e">
        <f>AND('Planilla_General_29-11-2012_10_'!J180,"AAAAAGlOv+0=")</f>
        <v>#VALUE!</v>
      </c>
      <c r="IE12" t="e">
        <f>AND('Planilla_General_29-11-2012_10_'!K180,"AAAAAGlOv+4=")</f>
        <v>#VALUE!</v>
      </c>
      <c r="IF12" t="e">
        <f>AND('Planilla_General_29-11-2012_10_'!L180,"AAAAAGlOv+8=")</f>
        <v>#VALUE!</v>
      </c>
      <c r="IG12" t="e">
        <f>AND('Planilla_General_29-11-2012_10_'!M180,"AAAAAGlOv/A=")</f>
        <v>#VALUE!</v>
      </c>
      <c r="IH12" t="e">
        <f>AND('Planilla_General_29-11-2012_10_'!N180,"AAAAAGlOv/E=")</f>
        <v>#VALUE!</v>
      </c>
      <c r="II12" t="e">
        <f>AND('Planilla_General_29-11-2012_10_'!O180,"AAAAAGlOv/I=")</f>
        <v>#VALUE!</v>
      </c>
      <c r="IJ12" t="e">
        <f>AND('Planilla_General_29-11-2012_10_'!P180,"AAAAAGlOv/M=")</f>
        <v>#VALUE!</v>
      </c>
      <c r="IK12">
        <f>IF('Planilla_General_29-11-2012_10_'!181:181,"AAAAAGlOv/Q=",0)</f>
        <v>0</v>
      </c>
      <c r="IL12" t="e">
        <f>AND('Planilla_General_29-11-2012_10_'!A181,"AAAAAGlOv/U=")</f>
        <v>#VALUE!</v>
      </c>
      <c r="IM12" t="e">
        <f>AND('Planilla_General_29-11-2012_10_'!B181,"AAAAAGlOv/Y=")</f>
        <v>#VALUE!</v>
      </c>
      <c r="IN12" t="e">
        <f>AND('Planilla_General_29-11-2012_10_'!C181,"AAAAAGlOv/c=")</f>
        <v>#VALUE!</v>
      </c>
      <c r="IO12" t="e">
        <f>AND('Planilla_General_29-11-2012_10_'!D181,"AAAAAGlOv/g=")</f>
        <v>#VALUE!</v>
      </c>
      <c r="IP12" t="e">
        <f>AND('Planilla_General_29-11-2012_10_'!E181,"AAAAAGlOv/k=")</f>
        <v>#VALUE!</v>
      </c>
      <c r="IQ12" t="e">
        <f>AND('Planilla_General_29-11-2012_10_'!F181,"AAAAAGlOv/o=")</f>
        <v>#VALUE!</v>
      </c>
      <c r="IR12" t="e">
        <f>AND('Planilla_General_29-11-2012_10_'!G181,"AAAAAGlOv/s=")</f>
        <v>#VALUE!</v>
      </c>
      <c r="IS12" t="e">
        <f>AND('Planilla_General_29-11-2012_10_'!H181,"AAAAAGlOv/w=")</f>
        <v>#VALUE!</v>
      </c>
      <c r="IT12" t="e">
        <f>AND('Planilla_General_29-11-2012_10_'!I181,"AAAAAGlOv/0=")</f>
        <v>#VALUE!</v>
      </c>
      <c r="IU12" t="e">
        <f>AND('Planilla_General_29-11-2012_10_'!J181,"AAAAAGlOv/4=")</f>
        <v>#VALUE!</v>
      </c>
      <c r="IV12" t="e">
        <f>AND('Planilla_General_29-11-2012_10_'!K181,"AAAAAGlOv/8=")</f>
        <v>#VALUE!</v>
      </c>
    </row>
    <row r="13" spans="1:256" x14ac:dyDescent="0.25">
      <c r="A13" t="e">
        <f>AND('Planilla_General_29-11-2012_10_'!L181,"AAAAAB7b6wA=")</f>
        <v>#VALUE!</v>
      </c>
      <c r="B13" t="e">
        <f>AND('Planilla_General_29-11-2012_10_'!M181,"AAAAAB7b6wE=")</f>
        <v>#VALUE!</v>
      </c>
      <c r="C13" t="e">
        <f>AND('Planilla_General_29-11-2012_10_'!N181,"AAAAAB7b6wI=")</f>
        <v>#VALUE!</v>
      </c>
      <c r="D13" t="e">
        <f>AND('Planilla_General_29-11-2012_10_'!O181,"AAAAAB7b6wM=")</f>
        <v>#VALUE!</v>
      </c>
      <c r="E13" t="e">
        <f>AND('Planilla_General_29-11-2012_10_'!P181,"AAAAAB7b6wQ=")</f>
        <v>#VALUE!</v>
      </c>
      <c r="F13" t="e">
        <f>IF('Planilla_General_29-11-2012_10_'!182:182,"AAAAAB7b6wU=",0)</f>
        <v>#VALUE!</v>
      </c>
      <c r="G13" t="e">
        <f>AND('Planilla_General_29-11-2012_10_'!A182,"AAAAAB7b6wY=")</f>
        <v>#VALUE!</v>
      </c>
      <c r="H13" t="e">
        <f>AND('Planilla_General_29-11-2012_10_'!B182,"AAAAAB7b6wc=")</f>
        <v>#VALUE!</v>
      </c>
      <c r="I13" t="e">
        <f>AND('Planilla_General_29-11-2012_10_'!C182,"AAAAAB7b6wg=")</f>
        <v>#VALUE!</v>
      </c>
      <c r="J13" t="e">
        <f>AND('Planilla_General_29-11-2012_10_'!D182,"AAAAAB7b6wk=")</f>
        <v>#VALUE!</v>
      </c>
      <c r="K13" t="e">
        <f>AND('Planilla_General_29-11-2012_10_'!E182,"AAAAAB7b6wo=")</f>
        <v>#VALUE!</v>
      </c>
      <c r="L13" t="e">
        <f>AND('Planilla_General_29-11-2012_10_'!F182,"AAAAAB7b6ws=")</f>
        <v>#VALUE!</v>
      </c>
      <c r="M13" t="e">
        <f>AND('Planilla_General_29-11-2012_10_'!G182,"AAAAAB7b6ww=")</f>
        <v>#VALUE!</v>
      </c>
      <c r="N13" t="e">
        <f>AND('Planilla_General_29-11-2012_10_'!H182,"AAAAAB7b6w0=")</f>
        <v>#VALUE!</v>
      </c>
      <c r="O13" t="e">
        <f>AND('Planilla_General_29-11-2012_10_'!I182,"AAAAAB7b6w4=")</f>
        <v>#VALUE!</v>
      </c>
      <c r="P13" t="e">
        <f>AND('Planilla_General_29-11-2012_10_'!J182,"AAAAAB7b6w8=")</f>
        <v>#VALUE!</v>
      </c>
      <c r="Q13" t="e">
        <f>AND('Planilla_General_29-11-2012_10_'!K182,"AAAAAB7b6xA=")</f>
        <v>#VALUE!</v>
      </c>
      <c r="R13" t="e">
        <f>AND('Planilla_General_29-11-2012_10_'!L182,"AAAAAB7b6xE=")</f>
        <v>#VALUE!</v>
      </c>
      <c r="S13" t="e">
        <f>AND('Planilla_General_29-11-2012_10_'!M182,"AAAAAB7b6xI=")</f>
        <v>#VALUE!</v>
      </c>
      <c r="T13" t="e">
        <f>AND('Planilla_General_29-11-2012_10_'!N182,"AAAAAB7b6xM=")</f>
        <v>#VALUE!</v>
      </c>
      <c r="U13" t="e">
        <f>AND('Planilla_General_29-11-2012_10_'!O182,"AAAAAB7b6xQ=")</f>
        <v>#VALUE!</v>
      </c>
      <c r="V13" t="e">
        <f>AND('Planilla_General_29-11-2012_10_'!P182,"AAAAAB7b6xU=")</f>
        <v>#VALUE!</v>
      </c>
      <c r="W13">
        <f>IF('Planilla_General_29-11-2012_10_'!183:183,"AAAAAB7b6xY=",0)</f>
        <v>0</v>
      </c>
      <c r="X13" t="e">
        <f>AND('Planilla_General_29-11-2012_10_'!A183,"AAAAAB7b6xc=")</f>
        <v>#VALUE!</v>
      </c>
      <c r="Y13" t="e">
        <f>AND('Planilla_General_29-11-2012_10_'!B183,"AAAAAB7b6xg=")</f>
        <v>#VALUE!</v>
      </c>
      <c r="Z13" t="e">
        <f>AND('Planilla_General_29-11-2012_10_'!C183,"AAAAAB7b6xk=")</f>
        <v>#VALUE!</v>
      </c>
      <c r="AA13" t="e">
        <f>AND('Planilla_General_29-11-2012_10_'!D183,"AAAAAB7b6xo=")</f>
        <v>#VALUE!</v>
      </c>
      <c r="AB13" t="e">
        <f>AND('Planilla_General_29-11-2012_10_'!E183,"AAAAAB7b6xs=")</f>
        <v>#VALUE!</v>
      </c>
      <c r="AC13" t="e">
        <f>AND('Planilla_General_29-11-2012_10_'!F183,"AAAAAB7b6xw=")</f>
        <v>#VALUE!</v>
      </c>
      <c r="AD13" t="e">
        <f>AND('Planilla_General_29-11-2012_10_'!G183,"AAAAAB7b6x0=")</f>
        <v>#VALUE!</v>
      </c>
      <c r="AE13" t="e">
        <f>AND('Planilla_General_29-11-2012_10_'!H183,"AAAAAB7b6x4=")</f>
        <v>#VALUE!</v>
      </c>
      <c r="AF13" t="e">
        <f>AND('Planilla_General_29-11-2012_10_'!I183,"AAAAAB7b6x8=")</f>
        <v>#VALUE!</v>
      </c>
      <c r="AG13" t="e">
        <f>AND('Planilla_General_29-11-2012_10_'!J183,"AAAAAB7b6yA=")</f>
        <v>#VALUE!</v>
      </c>
      <c r="AH13" t="e">
        <f>AND('Planilla_General_29-11-2012_10_'!K183,"AAAAAB7b6yE=")</f>
        <v>#VALUE!</v>
      </c>
      <c r="AI13" t="e">
        <f>AND('Planilla_General_29-11-2012_10_'!L183,"AAAAAB7b6yI=")</f>
        <v>#VALUE!</v>
      </c>
      <c r="AJ13" t="e">
        <f>AND('Planilla_General_29-11-2012_10_'!M183,"AAAAAB7b6yM=")</f>
        <v>#VALUE!</v>
      </c>
      <c r="AK13" t="e">
        <f>AND('Planilla_General_29-11-2012_10_'!N183,"AAAAAB7b6yQ=")</f>
        <v>#VALUE!</v>
      </c>
      <c r="AL13" t="e">
        <f>AND('Planilla_General_29-11-2012_10_'!O183,"AAAAAB7b6yU=")</f>
        <v>#VALUE!</v>
      </c>
      <c r="AM13" t="e">
        <f>AND('Planilla_General_29-11-2012_10_'!P183,"AAAAAB7b6yY=")</f>
        <v>#VALUE!</v>
      </c>
      <c r="AN13">
        <f>IF('Planilla_General_29-11-2012_10_'!184:184,"AAAAAB7b6yc=",0)</f>
        <v>0</v>
      </c>
      <c r="AO13" t="e">
        <f>AND('Planilla_General_29-11-2012_10_'!A184,"AAAAAB7b6yg=")</f>
        <v>#VALUE!</v>
      </c>
      <c r="AP13" t="e">
        <f>AND('Planilla_General_29-11-2012_10_'!B184,"AAAAAB7b6yk=")</f>
        <v>#VALUE!</v>
      </c>
      <c r="AQ13" t="e">
        <f>AND('Planilla_General_29-11-2012_10_'!C184,"AAAAAB7b6yo=")</f>
        <v>#VALUE!</v>
      </c>
      <c r="AR13" t="e">
        <f>AND('Planilla_General_29-11-2012_10_'!D184,"AAAAAB7b6ys=")</f>
        <v>#VALUE!</v>
      </c>
      <c r="AS13" t="e">
        <f>AND('Planilla_General_29-11-2012_10_'!E184,"AAAAAB7b6yw=")</f>
        <v>#VALUE!</v>
      </c>
      <c r="AT13" t="e">
        <f>AND('Planilla_General_29-11-2012_10_'!F184,"AAAAAB7b6y0=")</f>
        <v>#VALUE!</v>
      </c>
      <c r="AU13" t="e">
        <f>AND('Planilla_General_29-11-2012_10_'!G184,"AAAAAB7b6y4=")</f>
        <v>#VALUE!</v>
      </c>
      <c r="AV13" t="e">
        <f>AND('Planilla_General_29-11-2012_10_'!H184,"AAAAAB7b6y8=")</f>
        <v>#VALUE!</v>
      </c>
      <c r="AW13" t="e">
        <f>AND('Planilla_General_29-11-2012_10_'!I184,"AAAAAB7b6zA=")</f>
        <v>#VALUE!</v>
      </c>
      <c r="AX13" t="e">
        <f>AND('Planilla_General_29-11-2012_10_'!J184,"AAAAAB7b6zE=")</f>
        <v>#VALUE!</v>
      </c>
      <c r="AY13" t="e">
        <f>AND('Planilla_General_29-11-2012_10_'!K184,"AAAAAB7b6zI=")</f>
        <v>#VALUE!</v>
      </c>
      <c r="AZ13" t="e">
        <f>AND('Planilla_General_29-11-2012_10_'!L184,"AAAAAB7b6zM=")</f>
        <v>#VALUE!</v>
      </c>
      <c r="BA13" t="e">
        <f>AND('Planilla_General_29-11-2012_10_'!M184,"AAAAAB7b6zQ=")</f>
        <v>#VALUE!</v>
      </c>
      <c r="BB13" t="e">
        <f>AND('Planilla_General_29-11-2012_10_'!N184,"AAAAAB7b6zU=")</f>
        <v>#VALUE!</v>
      </c>
      <c r="BC13" t="e">
        <f>AND('Planilla_General_29-11-2012_10_'!O184,"AAAAAB7b6zY=")</f>
        <v>#VALUE!</v>
      </c>
      <c r="BD13" t="e">
        <f>AND('Planilla_General_29-11-2012_10_'!P184,"AAAAAB7b6zc=")</f>
        <v>#VALUE!</v>
      </c>
      <c r="BE13">
        <f>IF('Planilla_General_29-11-2012_10_'!185:185,"AAAAAB7b6zg=",0)</f>
        <v>0</v>
      </c>
      <c r="BF13" t="e">
        <f>AND('Planilla_General_29-11-2012_10_'!A185,"AAAAAB7b6zk=")</f>
        <v>#VALUE!</v>
      </c>
      <c r="BG13" t="e">
        <f>AND('Planilla_General_29-11-2012_10_'!B185,"AAAAAB7b6zo=")</f>
        <v>#VALUE!</v>
      </c>
      <c r="BH13" t="e">
        <f>AND('Planilla_General_29-11-2012_10_'!C185,"AAAAAB7b6zs=")</f>
        <v>#VALUE!</v>
      </c>
      <c r="BI13" t="e">
        <f>AND('Planilla_General_29-11-2012_10_'!D185,"AAAAAB7b6zw=")</f>
        <v>#VALUE!</v>
      </c>
      <c r="BJ13" t="e">
        <f>AND('Planilla_General_29-11-2012_10_'!E185,"AAAAAB7b6z0=")</f>
        <v>#VALUE!</v>
      </c>
      <c r="BK13" t="e">
        <f>AND('Planilla_General_29-11-2012_10_'!F185,"AAAAAB7b6z4=")</f>
        <v>#VALUE!</v>
      </c>
      <c r="BL13" t="e">
        <f>AND('Planilla_General_29-11-2012_10_'!G185,"AAAAAB7b6z8=")</f>
        <v>#VALUE!</v>
      </c>
      <c r="BM13" t="e">
        <f>AND('Planilla_General_29-11-2012_10_'!H185,"AAAAAB7b60A=")</f>
        <v>#VALUE!</v>
      </c>
      <c r="BN13" t="e">
        <f>AND('Planilla_General_29-11-2012_10_'!I185,"AAAAAB7b60E=")</f>
        <v>#VALUE!</v>
      </c>
      <c r="BO13" t="e">
        <f>AND('Planilla_General_29-11-2012_10_'!J185,"AAAAAB7b60I=")</f>
        <v>#VALUE!</v>
      </c>
      <c r="BP13" t="e">
        <f>AND('Planilla_General_29-11-2012_10_'!K185,"AAAAAB7b60M=")</f>
        <v>#VALUE!</v>
      </c>
      <c r="BQ13" t="e">
        <f>AND('Planilla_General_29-11-2012_10_'!L185,"AAAAAB7b60Q=")</f>
        <v>#VALUE!</v>
      </c>
      <c r="BR13" t="e">
        <f>AND('Planilla_General_29-11-2012_10_'!M185,"AAAAAB7b60U=")</f>
        <v>#VALUE!</v>
      </c>
      <c r="BS13" t="e">
        <f>AND('Planilla_General_29-11-2012_10_'!N185,"AAAAAB7b60Y=")</f>
        <v>#VALUE!</v>
      </c>
      <c r="BT13" t="e">
        <f>AND('Planilla_General_29-11-2012_10_'!O185,"AAAAAB7b60c=")</f>
        <v>#VALUE!</v>
      </c>
      <c r="BU13" t="e">
        <f>AND('Planilla_General_29-11-2012_10_'!P185,"AAAAAB7b60g=")</f>
        <v>#VALUE!</v>
      </c>
      <c r="BV13">
        <f>IF('Planilla_General_29-11-2012_10_'!186:186,"AAAAAB7b60k=",0)</f>
        <v>0</v>
      </c>
      <c r="BW13" t="e">
        <f>AND('Planilla_General_29-11-2012_10_'!A186,"AAAAAB7b60o=")</f>
        <v>#VALUE!</v>
      </c>
      <c r="BX13" t="e">
        <f>AND('Planilla_General_29-11-2012_10_'!B186,"AAAAAB7b60s=")</f>
        <v>#VALUE!</v>
      </c>
      <c r="BY13" t="e">
        <f>AND('Planilla_General_29-11-2012_10_'!C186,"AAAAAB7b60w=")</f>
        <v>#VALUE!</v>
      </c>
      <c r="BZ13" t="e">
        <f>AND('Planilla_General_29-11-2012_10_'!D186,"AAAAAB7b600=")</f>
        <v>#VALUE!</v>
      </c>
      <c r="CA13" t="e">
        <f>AND('Planilla_General_29-11-2012_10_'!E186,"AAAAAB7b604=")</f>
        <v>#VALUE!</v>
      </c>
      <c r="CB13" t="e">
        <f>AND('Planilla_General_29-11-2012_10_'!F186,"AAAAAB7b608=")</f>
        <v>#VALUE!</v>
      </c>
      <c r="CC13" t="e">
        <f>AND('Planilla_General_29-11-2012_10_'!G186,"AAAAAB7b61A=")</f>
        <v>#VALUE!</v>
      </c>
      <c r="CD13" t="e">
        <f>AND('Planilla_General_29-11-2012_10_'!H186,"AAAAAB7b61E=")</f>
        <v>#VALUE!</v>
      </c>
      <c r="CE13" t="e">
        <f>AND('Planilla_General_29-11-2012_10_'!I186,"AAAAAB7b61I=")</f>
        <v>#VALUE!</v>
      </c>
      <c r="CF13" t="e">
        <f>AND('Planilla_General_29-11-2012_10_'!J186,"AAAAAB7b61M=")</f>
        <v>#VALUE!</v>
      </c>
      <c r="CG13" t="e">
        <f>AND('Planilla_General_29-11-2012_10_'!K186,"AAAAAB7b61Q=")</f>
        <v>#VALUE!</v>
      </c>
      <c r="CH13" t="e">
        <f>AND('Planilla_General_29-11-2012_10_'!L186,"AAAAAB7b61U=")</f>
        <v>#VALUE!</v>
      </c>
      <c r="CI13" t="e">
        <f>AND('Planilla_General_29-11-2012_10_'!M186,"AAAAAB7b61Y=")</f>
        <v>#VALUE!</v>
      </c>
      <c r="CJ13" t="e">
        <f>AND('Planilla_General_29-11-2012_10_'!N186,"AAAAAB7b61c=")</f>
        <v>#VALUE!</v>
      </c>
      <c r="CK13" t="e">
        <f>AND('Planilla_General_29-11-2012_10_'!O186,"AAAAAB7b61g=")</f>
        <v>#VALUE!</v>
      </c>
      <c r="CL13" t="e">
        <f>AND('Planilla_General_29-11-2012_10_'!P186,"AAAAAB7b61k=")</f>
        <v>#VALUE!</v>
      </c>
      <c r="CM13">
        <f>IF('Planilla_General_29-11-2012_10_'!187:187,"AAAAAB7b61o=",0)</f>
        <v>0</v>
      </c>
      <c r="CN13" t="e">
        <f>AND('Planilla_General_29-11-2012_10_'!A187,"AAAAAB7b61s=")</f>
        <v>#VALUE!</v>
      </c>
      <c r="CO13" t="e">
        <f>AND('Planilla_General_29-11-2012_10_'!B187,"AAAAAB7b61w=")</f>
        <v>#VALUE!</v>
      </c>
      <c r="CP13" t="e">
        <f>AND('Planilla_General_29-11-2012_10_'!C187,"AAAAAB7b610=")</f>
        <v>#VALUE!</v>
      </c>
      <c r="CQ13" t="e">
        <f>AND('Planilla_General_29-11-2012_10_'!D187,"AAAAAB7b614=")</f>
        <v>#VALUE!</v>
      </c>
      <c r="CR13" t="e">
        <f>AND('Planilla_General_29-11-2012_10_'!E187,"AAAAAB7b618=")</f>
        <v>#VALUE!</v>
      </c>
      <c r="CS13" t="e">
        <f>AND('Planilla_General_29-11-2012_10_'!F187,"AAAAAB7b62A=")</f>
        <v>#VALUE!</v>
      </c>
      <c r="CT13" t="e">
        <f>AND('Planilla_General_29-11-2012_10_'!G187,"AAAAAB7b62E=")</f>
        <v>#VALUE!</v>
      </c>
      <c r="CU13" t="e">
        <f>AND('Planilla_General_29-11-2012_10_'!H187,"AAAAAB7b62I=")</f>
        <v>#VALUE!</v>
      </c>
      <c r="CV13" t="e">
        <f>AND('Planilla_General_29-11-2012_10_'!I187,"AAAAAB7b62M=")</f>
        <v>#VALUE!</v>
      </c>
      <c r="CW13" t="e">
        <f>AND('Planilla_General_29-11-2012_10_'!J187,"AAAAAB7b62Q=")</f>
        <v>#VALUE!</v>
      </c>
      <c r="CX13" t="e">
        <f>AND('Planilla_General_29-11-2012_10_'!K187,"AAAAAB7b62U=")</f>
        <v>#VALUE!</v>
      </c>
      <c r="CY13" t="e">
        <f>AND('Planilla_General_29-11-2012_10_'!L187,"AAAAAB7b62Y=")</f>
        <v>#VALUE!</v>
      </c>
      <c r="CZ13" t="e">
        <f>AND('Planilla_General_29-11-2012_10_'!M187,"AAAAAB7b62c=")</f>
        <v>#VALUE!</v>
      </c>
      <c r="DA13" t="e">
        <f>AND('Planilla_General_29-11-2012_10_'!N187,"AAAAAB7b62g=")</f>
        <v>#VALUE!</v>
      </c>
      <c r="DB13" t="e">
        <f>AND('Planilla_General_29-11-2012_10_'!O187,"AAAAAB7b62k=")</f>
        <v>#VALUE!</v>
      </c>
      <c r="DC13" t="e">
        <f>AND('Planilla_General_29-11-2012_10_'!P187,"AAAAAB7b62o=")</f>
        <v>#VALUE!</v>
      </c>
      <c r="DD13">
        <f>IF('Planilla_General_29-11-2012_10_'!188:188,"AAAAAB7b62s=",0)</f>
        <v>0</v>
      </c>
      <c r="DE13" t="e">
        <f>AND('Planilla_General_29-11-2012_10_'!A188,"AAAAAB7b62w=")</f>
        <v>#VALUE!</v>
      </c>
      <c r="DF13" t="e">
        <f>AND('Planilla_General_29-11-2012_10_'!B188,"AAAAAB7b620=")</f>
        <v>#VALUE!</v>
      </c>
      <c r="DG13" t="e">
        <f>AND('Planilla_General_29-11-2012_10_'!C188,"AAAAAB7b624=")</f>
        <v>#VALUE!</v>
      </c>
      <c r="DH13" t="e">
        <f>AND('Planilla_General_29-11-2012_10_'!D188,"AAAAAB7b628=")</f>
        <v>#VALUE!</v>
      </c>
      <c r="DI13" t="e">
        <f>AND('Planilla_General_29-11-2012_10_'!E188,"AAAAAB7b63A=")</f>
        <v>#VALUE!</v>
      </c>
      <c r="DJ13" t="e">
        <f>AND('Planilla_General_29-11-2012_10_'!F188,"AAAAAB7b63E=")</f>
        <v>#VALUE!</v>
      </c>
      <c r="DK13" t="e">
        <f>AND('Planilla_General_29-11-2012_10_'!G188,"AAAAAB7b63I=")</f>
        <v>#VALUE!</v>
      </c>
      <c r="DL13" t="e">
        <f>AND('Planilla_General_29-11-2012_10_'!H188,"AAAAAB7b63M=")</f>
        <v>#VALUE!</v>
      </c>
      <c r="DM13" t="e">
        <f>AND('Planilla_General_29-11-2012_10_'!I188,"AAAAAB7b63Q=")</f>
        <v>#VALUE!</v>
      </c>
      <c r="DN13" t="e">
        <f>AND('Planilla_General_29-11-2012_10_'!J188,"AAAAAB7b63U=")</f>
        <v>#VALUE!</v>
      </c>
      <c r="DO13" t="e">
        <f>AND('Planilla_General_29-11-2012_10_'!K188,"AAAAAB7b63Y=")</f>
        <v>#VALUE!</v>
      </c>
      <c r="DP13" t="e">
        <f>AND('Planilla_General_29-11-2012_10_'!L188,"AAAAAB7b63c=")</f>
        <v>#VALUE!</v>
      </c>
      <c r="DQ13" t="e">
        <f>AND('Planilla_General_29-11-2012_10_'!M188,"AAAAAB7b63g=")</f>
        <v>#VALUE!</v>
      </c>
      <c r="DR13" t="e">
        <f>AND('Planilla_General_29-11-2012_10_'!N188,"AAAAAB7b63k=")</f>
        <v>#VALUE!</v>
      </c>
      <c r="DS13" t="e">
        <f>AND('Planilla_General_29-11-2012_10_'!O188,"AAAAAB7b63o=")</f>
        <v>#VALUE!</v>
      </c>
      <c r="DT13" t="e">
        <f>AND('Planilla_General_29-11-2012_10_'!P188,"AAAAAB7b63s=")</f>
        <v>#VALUE!</v>
      </c>
      <c r="DU13">
        <f>IF('Planilla_General_29-11-2012_10_'!189:189,"AAAAAB7b63w=",0)</f>
        <v>0</v>
      </c>
      <c r="DV13" t="e">
        <f>AND('Planilla_General_29-11-2012_10_'!A189,"AAAAAB7b630=")</f>
        <v>#VALUE!</v>
      </c>
      <c r="DW13" t="e">
        <f>AND('Planilla_General_29-11-2012_10_'!B189,"AAAAAB7b634=")</f>
        <v>#VALUE!</v>
      </c>
      <c r="DX13" t="e">
        <f>AND('Planilla_General_29-11-2012_10_'!C189,"AAAAAB7b638=")</f>
        <v>#VALUE!</v>
      </c>
      <c r="DY13" t="e">
        <f>AND('Planilla_General_29-11-2012_10_'!D189,"AAAAAB7b64A=")</f>
        <v>#VALUE!</v>
      </c>
      <c r="DZ13" t="e">
        <f>AND('Planilla_General_29-11-2012_10_'!E189,"AAAAAB7b64E=")</f>
        <v>#VALUE!</v>
      </c>
      <c r="EA13" t="e">
        <f>AND('Planilla_General_29-11-2012_10_'!F189,"AAAAAB7b64I=")</f>
        <v>#VALUE!</v>
      </c>
      <c r="EB13" t="e">
        <f>AND('Planilla_General_29-11-2012_10_'!G189,"AAAAAB7b64M=")</f>
        <v>#VALUE!</v>
      </c>
      <c r="EC13" t="e">
        <f>AND('Planilla_General_29-11-2012_10_'!H189,"AAAAAB7b64Q=")</f>
        <v>#VALUE!</v>
      </c>
      <c r="ED13" t="e">
        <f>AND('Planilla_General_29-11-2012_10_'!I189,"AAAAAB7b64U=")</f>
        <v>#VALUE!</v>
      </c>
      <c r="EE13" t="e">
        <f>AND('Planilla_General_29-11-2012_10_'!J189,"AAAAAB7b64Y=")</f>
        <v>#VALUE!</v>
      </c>
      <c r="EF13" t="e">
        <f>AND('Planilla_General_29-11-2012_10_'!K189,"AAAAAB7b64c=")</f>
        <v>#VALUE!</v>
      </c>
      <c r="EG13" t="e">
        <f>AND('Planilla_General_29-11-2012_10_'!L189,"AAAAAB7b64g=")</f>
        <v>#VALUE!</v>
      </c>
      <c r="EH13" t="e">
        <f>AND('Planilla_General_29-11-2012_10_'!M189,"AAAAAB7b64k=")</f>
        <v>#VALUE!</v>
      </c>
      <c r="EI13" t="e">
        <f>AND('Planilla_General_29-11-2012_10_'!N189,"AAAAAB7b64o=")</f>
        <v>#VALUE!</v>
      </c>
      <c r="EJ13" t="e">
        <f>AND('Planilla_General_29-11-2012_10_'!O189,"AAAAAB7b64s=")</f>
        <v>#VALUE!</v>
      </c>
      <c r="EK13" t="e">
        <f>AND('Planilla_General_29-11-2012_10_'!P189,"AAAAAB7b64w=")</f>
        <v>#VALUE!</v>
      </c>
      <c r="EL13">
        <f>IF('Planilla_General_29-11-2012_10_'!190:190,"AAAAAB7b640=",0)</f>
        <v>0</v>
      </c>
      <c r="EM13" t="e">
        <f>AND('Planilla_General_29-11-2012_10_'!A190,"AAAAAB7b644=")</f>
        <v>#VALUE!</v>
      </c>
      <c r="EN13" t="e">
        <f>AND('Planilla_General_29-11-2012_10_'!B190,"AAAAAB7b648=")</f>
        <v>#VALUE!</v>
      </c>
      <c r="EO13" t="e">
        <f>AND('Planilla_General_29-11-2012_10_'!C190,"AAAAAB7b65A=")</f>
        <v>#VALUE!</v>
      </c>
      <c r="EP13" t="e">
        <f>AND('Planilla_General_29-11-2012_10_'!D190,"AAAAAB7b65E=")</f>
        <v>#VALUE!</v>
      </c>
      <c r="EQ13" t="e">
        <f>AND('Planilla_General_29-11-2012_10_'!E190,"AAAAAB7b65I=")</f>
        <v>#VALUE!</v>
      </c>
      <c r="ER13" t="e">
        <f>AND('Planilla_General_29-11-2012_10_'!F190,"AAAAAB7b65M=")</f>
        <v>#VALUE!</v>
      </c>
      <c r="ES13" t="e">
        <f>AND('Planilla_General_29-11-2012_10_'!G190,"AAAAAB7b65Q=")</f>
        <v>#VALUE!</v>
      </c>
      <c r="ET13" t="e">
        <f>AND('Planilla_General_29-11-2012_10_'!H190,"AAAAAB7b65U=")</f>
        <v>#VALUE!</v>
      </c>
      <c r="EU13" t="e">
        <f>AND('Planilla_General_29-11-2012_10_'!I190,"AAAAAB7b65Y=")</f>
        <v>#VALUE!</v>
      </c>
      <c r="EV13" t="e">
        <f>AND('Planilla_General_29-11-2012_10_'!J190,"AAAAAB7b65c=")</f>
        <v>#VALUE!</v>
      </c>
      <c r="EW13" t="e">
        <f>AND('Planilla_General_29-11-2012_10_'!K190,"AAAAAB7b65g=")</f>
        <v>#VALUE!</v>
      </c>
      <c r="EX13" t="e">
        <f>AND('Planilla_General_29-11-2012_10_'!L190,"AAAAAB7b65k=")</f>
        <v>#VALUE!</v>
      </c>
      <c r="EY13" t="e">
        <f>AND('Planilla_General_29-11-2012_10_'!M190,"AAAAAB7b65o=")</f>
        <v>#VALUE!</v>
      </c>
      <c r="EZ13" t="e">
        <f>AND('Planilla_General_29-11-2012_10_'!N190,"AAAAAB7b65s=")</f>
        <v>#VALUE!</v>
      </c>
      <c r="FA13" t="e">
        <f>AND('Planilla_General_29-11-2012_10_'!O190,"AAAAAB7b65w=")</f>
        <v>#VALUE!</v>
      </c>
      <c r="FB13" t="e">
        <f>AND('Planilla_General_29-11-2012_10_'!P190,"AAAAAB7b650=")</f>
        <v>#VALUE!</v>
      </c>
      <c r="FC13">
        <f>IF('Planilla_General_29-11-2012_10_'!191:191,"AAAAAB7b654=",0)</f>
        <v>0</v>
      </c>
      <c r="FD13" t="e">
        <f>AND('Planilla_General_29-11-2012_10_'!A191,"AAAAAB7b658=")</f>
        <v>#VALUE!</v>
      </c>
      <c r="FE13" t="e">
        <f>AND('Planilla_General_29-11-2012_10_'!B191,"AAAAAB7b66A=")</f>
        <v>#VALUE!</v>
      </c>
      <c r="FF13" t="e">
        <f>AND('Planilla_General_29-11-2012_10_'!C191,"AAAAAB7b66E=")</f>
        <v>#VALUE!</v>
      </c>
      <c r="FG13" t="e">
        <f>AND('Planilla_General_29-11-2012_10_'!D191,"AAAAAB7b66I=")</f>
        <v>#VALUE!</v>
      </c>
      <c r="FH13" t="e">
        <f>AND('Planilla_General_29-11-2012_10_'!E191,"AAAAAB7b66M=")</f>
        <v>#VALUE!</v>
      </c>
      <c r="FI13" t="e">
        <f>AND('Planilla_General_29-11-2012_10_'!F191,"AAAAAB7b66Q=")</f>
        <v>#VALUE!</v>
      </c>
      <c r="FJ13" t="e">
        <f>AND('Planilla_General_29-11-2012_10_'!G191,"AAAAAB7b66U=")</f>
        <v>#VALUE!</v>
      </c>
      <c r="FK13" t="e">
        <f>AND('Planilla_General_29-11-2012_10_'!H191,"AAAAAB7b66Y=")</f>
        <v>#VALUE!</v>
      </c>
      <c r="FL13" t="e">
        <f>AND('Planilla_General_29-11-2012_10_'!I191,"AAAAAB7b66c=")</f>
        <v>#VALUE!</v>
      </c>
      <c r="FM13" t="e">
        <f>AND('Planilla_General_29-11-2012_10_'!J191,"AAAAAB7b66g=")</f>
        <v>#VALUE!</v>
      </c>
      <c r="FN13" t="e">
        <f>AND('Planilla_General_29-11-2012_10_'!K191,"AAAAAB7b66k=")</f>
        <v>#VALUE!</v>
      </c>
      <c r="FO13" t="e">
        <f>AND('Planilla_General_29-11-2012_10_'!L191,"AAAAAB7b66o=")</f>
        <v>#VALUE!</v>
      </c>
      <c r="FP13" t="e">
        <f>AND('Planilla_General_29-11-2012_10_'!M191,"AAAAAB7b66s=")</f>
        <v>#VALUE!</v>
      </c>
      <c r="FQ13" t="e">
        <f>AND('Planilla_General_29-11-2012_10_'!N191,"AAAAAB7b66w=")</f>
        <v>#VALUE!</v>
      </c>
      <c r="FR13" t="e">
        <f>AND('Planilla_General_29-11-2012_10_'!O191,"AAAAAB7b660=")</f>
        <v>#VALUE!</v>
      </c>
      <c r="FS13" t="e">
        <f>AND('Planilla_General_29-11-2012_10_'!P191,"AAAAAB7b664=")</f>
        <v>#VALUE!</v>
      </c>
      <c r="FT13">
        <f>IF('Planilla_General_29-11-2012_10_'!192:192,"AAAAAB7b668=",0)</f>
        <v>0</v>
      </c>
      <c r="FU13" t="e">
        <f>AND('Planilla_General_29-11-2012_10_'!A192,"AAAAAB7b67A=")</f>
        <v>#VALUE!</v>
      </c>
      <c r="FV13" t="e">
        <f>AND('Planilla_General_29-11-2012_10_'!B192,"AAAAAB7b67E=")</f>
        <v>#VALUE!</v>
      </c>
      <c r="FW13" t="e">
        <f>AND('Planilla_General_29-11-2012_10_'!C192,"AAAAAB7b67I=")</f>
        <v>#VALUE!</v>
      </c>
      <c r="FX13" t="e">
        <f>AND('Planilla_General_29-11-2012_10_'!D192,"AAAAAB7b67M=")</f>
        <v>#VALUE!</v>
      </c>
      <c r="FY13" t="e">
        <f>AND('Planilla_General_29-11-2012_10_'!E192,"AAAAAB7b67Q=")</f>
        <v>#VALUE!</v>
      </c>
      <c r="FZ13" t="e">
        <f>AND('Planilla_General_29-11-2012_10_'!F192,"AAAAAB7b67U=")</f>
        <v>#VALUE!</v>
      </c>
      <c r="GA13" t="e">
        <f>AND('Planilla_General_29-11-2012_10_'!G192,"AAAAAB7b67Y=")</f>
        <v>#VALUE!</v>
      </c>
      <c r="GB13" t="e">
        <f>AND('Planilla_General_29-11-2012_10_'!H192,"AAAAAB7b67c=")</f>
        <v>#VALUE!</v>
      </c>
      <c r="GC13" t="e">
        <f>AND('Planilla_General_29-11-2012_10_'!I192,"AAAAAB7b67g=")</f>
        <v>#VALUE!</v>
      </c>
      <c r="GD13" t="e">
        <f>AND('Planilla_General_29-11-2012_10_'!J192,"AAAAAB7b67k=")</f>
        <v>#VALUE!</v>
      </c>
      <c r="GE13" t="e">
        <f>AND('Planilla_General_29-11-2012_10_'!K192,"AAAAAB7b67o=")</f>
        <v>#VALUE!</v>
      </c>
      <c r="GF13" t="e">
        <f>AND('Planilla_General_29-11-2012_10_'!L192,"AAAAAB7b67s=")</f>
        <v>#VALUE!</v>
      </c>
      <c r="GG13" t="e">
        <f>AND('Planilla_General_29-11-2012_10_'!M192,"AAAAAB7b67w=")</f>
        <v>#VALUE!</v>
      </c>
      <c r="GH13" t="e">
        <f>AND('Planilla_General_29-11-2012_10_'!N192,"AAAAAB7b670=")</f>
        <v>#VALUE!</v>
      </c>
      <c r="GI13" t="e">
        <f>AND('Planilla_General_29-11-2012_10_'!O192,"AAAAAB7b674=")</f>
        <v>#VALUE!</v>
      </c>
      <c r="GJ13" t="e">
        <f>AND('Planilla_General_29-11-2012_10_'!P192,"AAAAAB7b678=")</f>
        <v>#VALUE!</v>
      </c>
      <c r="GK13">
        <f>IF('Planilla_General_29-11-2012_10_'!193:193,"AAAAAB7b68A=",0)</f>
        <v>0</v>
      </c>
      <c r="GL13" t="e">
        <f>AND('Planilla_General_29-11-2012_10_'!A193,"AAAAAB7b68E=")</f>
        <v>#VALUE!</v>
      </c>
      <c r="GM13" t="e">
        <f>AND('Planilla_General_29-11-2012_10_'!B193,"AAAAAB7b68I=")</f>
        <v>#VALUE!</v>
      </c>
      <c r="GN13" t="e">
        <f>AND('Planilla_General_29-11-2012_10_'!C193,"AAAAAB7b68M=")</f>
        <v>#VALUE!</v>
      </c>
      <c r="GO13" t="e">
        <f>AND('Planilla_General_29-11-2012_10_'!D193,"AAAAAB7b68Q=")</f>
        <v>#VALUE!</v>
      </c>
      <c r="GP13" t="e">
        <f>AND('Planilla_General_29-11-2012_10_'!E193,"AAAAAB7b68U=")</f>
        <v>#VALUE!</v>
      </c>
      <c r="GQ13" t="e">
        <f>AND('Planilla_General_29-11-2012_10_'!F193,"AAAAAB7b68Y=")</f>
        <v>#VALUE!</v>
      </c>
      <c r="GR13" t="e">
        <f>AND('Planilla_General_29-11-2012_10_'!G193,"AAAAAB7b68c=")</f>
        <v>#VALUE!</v>
      </c>
      <c r="GS13" t="e">
        <f>AND('Planilla_General_29-11-2012_10_'!H193,"AAAAAB7b68g=")</f>
        <v>#VALUE!</v>
      </c>
      <c r="GT13" t="e">
        <f>AND('Planilla_General_29-11-2012_10_'!I193,"AAAAAB7b68k=")</f>
        <v>#VALUE!</v>
      </c>
      <c r="GU13" t="e">
        <f>AND('Planilla_General_29-11-2012_10_'!J193,"AAAAAB7b68o=")</f>
        <v>#VALUE!</v>
      </c>
      <c r="GV13" t="e">
        <f>AND('Planilla_General_29-11-2012_10_'!K193,"AAAAAB7b68s=")</f>
        <v>#VALUE!</v>
      </c>
      <c r="GW13" t="e">
        <f>AND('Planilla_General_29-11-2012_10_'!L193,"AAAAAB7b68w=")</f>
        <v>#VALUE!</v>
      </c>
      <c r="GX13" t="e">
        <f>AND('Planilla_General_29-11-2012_10_'!M193,"AAAAAB7b680=")</f>
        <v>#VALUE!</v>
      </c>
      <c r="GY13" t="e">
        <f>AND('Planilla_General_29-11-2012_10_'!N193,"AAAAAB7b684=")</f>
        <v>#VALUE!</v>
      </c>
      <c r="GZ13" t="e">
        <f>AND('Planilla_General_29-11-2012_10_'!O193,"AAAAAB7b688=")</f>
        <v>#VALUE!</v>
      </c>
      <c r="HA13" t="e">
        <f>AND('Planilla_General_29-11-2012_10_'!P193,"AAAAAB7b69A=")</f>
        <v>#VALUE!</v>
      </c>
      <c r="HB13">
        <f>IF('Planilla_General_29-11-2012_10_'!194:194,"AAAAAB7b69E=",0)</f>
        <v>0</v>
      </c>
      <c r="HC13" t="e">
        <f>AND('Planilla_General_29-11-2012_10_'!A194,"AAAAAB7b69I=")</f>
        <v>#VALUE!</v>
      </c>
      <c r="HD13" t="e">
        <f>AND('Planilla_General_29-11-2012_10_'!B194,"AAAAAB7b69M=")</f>
        <v>#VALUE!</v>
      </c>
      <c r="HE13" t="e">
        <f>AND('Planilla_General_29-11-2012_10_'!C194,"AAAAAB7b69Q=")</f>
        <v>#VALUE!</v>
      </c>
      <c r="HF13" t="e">
        <f>AND('Planilla_General_29-11-2012_10_'!D194,"AAAAAB7b69U=")</f>
        <v>#VALUE!</v>
      </c>
      <c r="HG13" t="e">
        <f>AND('Planilla_General_29-11-2012_10_'!E194,"AAAAAB7b69Y=")</f>
        <v>#VALUE!</v>
      </c>
      <c r="HH13" t="e">
        <f>AND('Planilla_General_29-11-2012_10_'!F194,"AAAAAB7b69c=")</f>
        <v>#VALUE!</v>
      </c>
      <c r="HI13" t="e">
        <f>AND('Planilla_General_29-11-2012_10_'!G194,"AAAAAB7b69g=")</f>
        <v>#VALUE!</v>
      </c>
      <c r="HJ13" t="e">
        <f>AND('Planilla_General_29-11-2012_10_'!H194,"AAAAAB7b69k=")</f>
        <v>#VALUE!</v>
      </c>
      <c r="HK13" t="e">
        <f>AND('Planilla_General_29-11-2012_10_'!I194,"AAAAAB7b69o=")</f>
        <v>#VALUE!</v>
      </c>
      <c r="HL13" t="e">
        <f>AND('Planilla_General_29-11-2012_10_'!J194,"AAAAAB7b69s=")</f>
        <v>#VALUE!</v>
      </c>
      <c r="HM13" t="e">
        <f>AND('Planilla_General_29-11-2012_10_'!K194,"AAAAAB7b69w=")</f>
        <v>#VALUE!</v>
      </c>
      <c r="HN13" t="e">
        <f>AND('Planilla_General_29-11-2012_10_'!L194,"AAAAAB7b690=")</f>
        <v>#VALUE!</v>
      </c>
      <c r="HO13" t="e">
        <f>AND('Planilla_General_29-11-2012_10_'!M194,"AAAAAB7b694=")</f>
        <v>#VALUE!</v>
      </c>
      <c r="HP13" t="e">
        <f>AND('Planilla_General_29-11-2012_10_'!N194,"AAAAAB7b698=")</f>
        <v>#VALUE!</v>
      </c>
      <c r="HQ13" t="e">
        <f>AND('Planilla_General_29-11-2012_10_'!O194,"AAAAAB7b6+A=")</f>
        <v>#VALUE!</v>
      </c>
      <c r="HR13" t="e">
        <f>AND('Planilla_General_29-11-2012_10_'!P194,"AAAAAB7b6+E=")</f>
        <v>#VALUE!</v>
      </c>
      <c r="HS13">
        <f>IF('Planilla_General_29-11-2012_10_'!195:195,"AAAAAB7b6+I=",0)</f>
        <v>0</v>
      </c>
      <c r="HT13" t="e">
        <f>AND('Planilla_General_29-11-2012_10_'!A195,"AAAAAB7b6+M=")</f>
        <v>#VALUE!</v>
      </c>
      <c r="HU13" t="e">
        <f>AND('Planilla_General_29-11-2012_10_'!B195,"AAAAAB7b6+Q=")</f>
        <v>#VALUE!</v>
      </c>
      <c r="HV13" t="e">
        <f>AND('Planilla_General_29-11-2012_10_'!C195,"AAAAAB7b6+U=")</f>
        <v>#VALUE!</v>
      </c>
      <c r="HW13" t="e">
        <f>AND('Planilla_General_29-11-2012_10_'!D195,"AAAAAB7b6+Y=")</f>
        <v>#VALUE!</v>
      </c>
      <c r="HX13" t="e">
        <f>AND('Planilla_General_29-11-2012_10_'!E195,"AAAAAB7b6+c=")</f>
        <v>#VALUE!</v>
      </c>
      <c r="HY13" t="e">
        <f>AND('Planilla_General_29-11-2012_10_'!F195,"AAAAAB7b6+g=")</f>
        <v>#VALUE!</v>
      </c>
      <c r="HZ13" t="e">
        <f>AND('Planilla_General_29-11-2012_10_'!G195,"AAAAAB7b6+k=")</f>
        <v>#VALUE!</v>
      </c>
      <c r="IA13" t="e">
        <f>AND('Planilla_General_29-11-2012_10_'!H195,"AAAAAB7b6+o=")</f>
        <v>#VALUE!</v>
      </c>
      <c r="IB13" t="e">
        <f>AND('Planilla_General_29-11-2012_10_'!I195,"AAAAAB7b6+s=")</f>
        <v>#VALUE!</v>
      </c>
      <c r="IC13" t="e">
        <f>AND('Planilla_General_29-11-2012_10_'!J195,"AAAAAB7b6+w=")</f>
        <v>#VALUE!</v>
      </c>
      <c r="ID13" t="e">
        <f>AND('Planilla_General_29-11-2012_10_'!K195,"AAAAAB7b6+0=")</f>
        <v>#VALUE!</v>
      </c>
      <c r="IE13" t="e">
        <f>AND('Planilla_General_29-11-2012_10_'!L195,"AAAAAB7b6+4=")</f>
        <v>#VALUE!</v>
      </c>
      <c r="IF13" t="e">
        <f>AND('Planilla_General_29-11-2012_10_'!M195,"AAAAAB7b6+8=")</f>
        <v>#VALUE!</v>
      </c>
      <c r="IG13" t="e">
        <f>AND('Planilla_General_29-11-2012_10_'!N195,"AAAAAB7b6/A=")</f>
        <v>#VALUE!</v>
      </c>
      <c r="IH13" t="e">
        <f>AND('Planilla_General_29-11-2012_10_'!O195,"AAAAAB7b6/E=")</f>
        <v>#VALUE!</v>
      </c>
      <c r="II13" t="e">
        <f>AND('Planilla_General_29-11-2012_10_'!P195,"AAAAAB7b6/I=")</f>
        <v>#VALUE!</v>
      </c>
      <c r="IJ13">
        <f>IF('Planilla_General_29-11-2012_10_'!196:196,"AAAAAB7b6/M=",0)</f>
        <v>0</v>
      </c>
      <c r="IK13" t="e">
        <f>AND('Planilla_General_29-11-2012_10_'!A196,"AAAAAB7b6/Q=")</f>
        <v>#VALUE!</v>
      </c>
      <c r="IL13" t="e">
        <f>AND('Planilla_General_29-11-2012_10_'!B196,"AAAAAB7b6/U=")</f>
        <v>#VALUE!</v>
      </c>
      <c r="IM13" t="e">
        <f>AND('Planilla_General_29-11-2012_10_'!C196,"AAAAAB7b6/Y=")</f>
        <v>#VALUE!</v>
      </c>
      <c r="IN13" t="e">
        <f>AND('Planilla_General_29-11-2012_10_'!D196,"AAAAAB7b6/c=")</f>
        <v>#VALUE!</v>
      </c>
      <c r="IO13" t="e">
        <f>AND('Planilla_General_29-11-2012_10_'!E196,"AAAAAB7b6/g=")</f>
        <v>#VALUE!</v>
      </c>
      <c r="IP13" t="e">
        <f>AND('Planilla_General_29-11-2012_10_'!F196,"AAAAAB7b6/k=")</f>
        <v>#VALUE!</v>
      </c>
      <c r="IQ13" t="e">
        <f>AND('Planilla_General_29-11-2012_10_'!G196,"AAAAAB7b6/o=")</f>
        <v>#VALUE!</v>
      </c>
      <c r="IR13" t="e">
        <f>AND('Planilla_General_29-11-2012_10_'!H196,"AAAAAB7b6/s=")</f>
        <v>#VALUE!</v>
      </c>
      <c r="IS13" t="e">
        <f>AND('Planilla_General_29-11-2012_10_'!I196,"AAAAAB7b6/w=")</f>
        <v>#VALUE!</v>
      </c>
      <c r="IT13" t="e">
        <f>AND('Planilla_General_29-11-2012_10_'!J196,"AAAAAB7b6/0=")</f>
        <v>#VALUE!</v>
      </c>
      <c r="IU13" t="e">
        <f>AND('Planilla_General_29-11-2012_10_'!K196,"AAAAAB7b6/4=")</f>
        <v>#VALUE!</v>
      </c>
      <c r="IV13" t="e">
        <f>AND('Planilla_General_29-11-2012_10_'!L196,"AAAAAB7b6/8=")</f>
        <v>#VALUE!</v>
      </c>
    </row>
    <row r="14" spans="1:256" x14ac:dyDescent="0.25">
      <c r="A14" t="e">
        <f>AND('Planilla_General_29-11-2012_10_'!M196,"AAAAAHZW1QA=")</f>
        <v>#VALUE!</v>
      </c>
      <c r="B14" t="e">
        <f>AND('Planilla_General_29-11-2012_10_'!N196,"AAAAAHZW1QE=")</f>
        <v>#VALUE!</v>
      </c>
      <c r="C14" t="e">
        <f>AND('Planilla_General_29-11-2012_10_'!O196,"AAAAAHZW1QI=")</f>
        <v>#VALUE!</v>
      </c>
      <c r="D14" t="e">
        <f>AND('Planilla_General_29-11-2012_10_'!P196,"AAAAAHZW1QM=")</f>
        <v>#VALUE!</v>
      </c>
      <c r="E14" t="e">
        <f>IF('Planilla_General_29-11-2012_10_'!197:197,"AAAAAHZW1QQ=",0)</f>
        <v>#VALUE!</v>
      </c>
      <c r="F14" t="e">
        <f>AND('Planilla_General_29-11-2012_10_'!A197,"AAAAAHZW1QU=")</f>
        <v>#VALUE!</v>
      </c>
      <c r="G14" t="e">
        <f>AND('Planilla_General_29-11-2012_10_'!B197,"AAAAAHZW1QY=")</f>
        <v>#VALUE!</v>
      </c>
      <c r="H14" t="e">
        <f>AND('Planilla_General_29-11-2012_10_'!C197,"AAAAAHZW1Qc=")</f>
        <v>#VALUE!</v>
      </c>
      <c r="I14" t="e">
        <f>AND('Planilla_General_29-11-2012_10_'!D197,"AAAAAHZW1Qg=")</f>
        <v>#VALUE!</v>
      </c>
      <c r="J14" t="e">
        <f>AND('Planilla_General_29-11-2012_10_'!E197,"AAAAAHZW1Qk=")</f>
        <v>#VALUE!</v>
      </c>
      <c r="K14" t="e">
        <f>AND('Planilla_General_29-11-2012_10_'!F197,"AAAAAHZW1Qo=")</f>
        <v>#VALUE!</v>
      </c>
      <c r="L14" t="e">
        <f>AND('Planilla_General_29-11-2012_10_'!G197,"AAAAAHZW1Qs=")</f>
        <v>#VALUE!</v>
      </c>
      <c r="M14" t="e">
        <f>AND('Planilla_General_29-11-2012_10_'!H197,"AAAAAHZW1Qw=")</f>
        <v>#VALUE!</v>
      </c>
      <c r="N14" t="e">
        <f>AND('Planilla_General_29-11-2012_10_'!I197,"AAAAAHZW1Q0=")</f>
        <v>#VALUE!</v>
      </c>
      <c r="O14" t="e">
        <f>AND('Planilla_General_29-11-2012_10_'!J197,"AAAAAHZW1Q4=")</f>
        <v>#VALUE!</v>
      </c>
      <c r="P14" t="e">
        <f>AND('Planilla_General_29-11-2012_10_'!K197,"AAAAAHZW1Q8=")</f>
        <v>#VALUE!</v>
      </c>
      <c r="Q14" t="e">
        <f>AND('Planilla_General_29-11-2012_10_'!L197,"AAAAAHZW1RA=")</f>
        <v>#VALUE!</v>
      </c>
      <c r="R14" t="e">
        <f>AND('Planilla_General_29-11-2012_10_'!M197,"AAAAAHZW1RE=")</f>
        <v>#VALUE!</v>
      </c>
      <c r="S14" t="e">
        <f>AND('Planilla_General_29-11-2012_10_'!N197,"AAAAAHZW1RI=")</f>
        <v>#VALUE!</v>
      </c>
      <c r="T14" t="e">
        <f>AND('Planilla_General_29-11-2012_10_'!O197,"AAAAAHZW1RM=")</f>
        <v>#VALUE!</v>
      </c>
      <c r="U14" t="e">
        <f>AND('Planilla_General_29-11-2012_10_'!P197,"AAAAAHZW1RQ=")</f>
        <v>#VALUE!</v>
      </c>
      <c r="V14">
        <f>IF('Planilla_General_29-11-2012_10_'!198:198,"AAAAAHZW1RU=",0)</f>
        <v>0</v>
      </c>
      <c r="W14" t="e">
        <f>AND('Planilla_General_29-11-2012_10_'!A198,"AAAAAHZW1RY=")</f>
        <v>#VALUE!</v>
      </c>
      <c r="X14" t="e">
        <f>AND('Planilla_General_29-11-2012_10_'!B198,"AAAAAHZW1Rc=")</f>
        <v>#VALUE!</v>
      </c>
      <c r="Y14" t="e">
        <f>AND('Planilla_General_29-11-2012_10_'!C198,"AAAAAHZW1Rg=")</f>
        <v>#VALUE!</v>
      </c>
      <c r="Z14" t="e">
        <f>AND('Planilla_General_29-11-2012_10_'!D198,"AAAAAHZW1Rk=")</f>
        <v>#VALUE!</v>
      </c>
      <c r="AA14" t="e">
        <f>AND('Planilla_General_29-11-2012_10_'!E198,"AAAAAHZW1Ro=")</f>
        <v>#VALUE!</v>
      </c>
      <c r="AB14" t="e">
        <f>AND('Planilla_General_29-11-2012_10_'!F198,"AAAAAHZW1Rs=")</f>
        <v>#VALUE!</v>
      </c>
      <c r="AC14" t="e">
        <f>AND('Planilla_General_29-11-2012_10_'!G198,"AAAAAHZW1Rw=")</f>
        <v>#VALUE!</v>
      </c>
      <c r="AD14" t="e">
        <f>AND('Planilla_General_29-11-2012_10_'!H198,"AAAAAHZW1R0=")</f>
        <v>#VALUE!</v>
      </c>
      <c r="AE14" t="e">
        <f>AND('Planilla_General_29-11-2012_10_'!I198,"AAAAAHZW1R4=")</f>
        <v>#VALUE!</v>
      </c>
      <c r="AF14" t="e">
        <f>AND('Planilla_General_29-11-2012_10_'!J198,"AAAAAHZW1R8=")</f>
        <v>#VALUE!</v>
      </c>
      <c r="AG14" t="e">
        <f>AND('Planilla_General_29-11-2012_10_'!K198,"AAAAAHZW1SA=")</f>
        <v>#VALUE!</v>
      </c>
      <c r="AH14" t="e">
        <f>AND('Planilla_General_29-11-2012_10_'!L198,"AAAAAHZW1SE=")</f>
        <v>#VALUE!</v>
      </c>
      <c r="AI14" t="e">
        <f>AND('Planilla_General_29-11-2012_10_'!M198,"AAAAAHZW1SI=")</f>
        <v>#VALUE!</v>
      </c>
      <c r="AJ14" t="e">
        <f>AND('Planilla_General_29-11-2012_10_'!N198,"AAAAAHZW1SM=")</f>
        <v>#VALUE!</v>
      </c>
      <c r="AK14" t="e">
        <f>AND('Planilla_General_29-11-2012_10_'!O198,"AAAAAHZW1SQ=")</f>
        <v>#VALUE!</v>
      </c>
      <c r="AL14" t="e">
        <f>AND('Planilla_General_29-11-2012_10_'!P198,"AAAAAHZW1SU=")</f>
        <v>#VALUE!</v>
      </c>
      <c r="AM14">
        <f>IF('Planilla_General_29-11-2012_10_'!199:199,"AAAAAHZW1SY=",0)</f>
        <v>0</v>
      </c>
      <c r="AN14" t="e">
        <f>AND('Planilla_General_29-11-2012_10_'!A199,"AAAAAHZW1Sc=")</f>
        <v>#VALUE!</v>
      </c>
      <c r="AO14" t="e">
        <f>AND('Planilla_General_29-11-2012_10_'!B199,"AAAAAHZW1Sg=")</f>
        <v>#VALUE!</v>
      </c>
      <c r="AP14" t="e">
        <f>AND('Planilla_General_29-11-2012_10_'!C199,"AAAAAHZW1Sk=")</f>
        <v>#VALUE!</v>
      </c>
      <c r="AQ14" t="e">
        <f>AND('Planilla_General_29-11-2012_10_'!D199,"AAAAAHZW1So=")</f>
        <v>#VALUE!</v>
      </c>
      <c r="AR14" t="e">
        <f>AND('Planilla_General_29-11-2012_10_'!E199,"AAAAAHZW1Ss=")</f>
        <v>#VALUE!</v>
      </c>
      <c r="AS14" t="e">
        <f>AND('Planilla_General_29-11-2012_10_'!F199,"AAAAAHZW1Sw=")</f>
        <v>#VALUE!</v>
      </c>
      <c r="AT14" t="e">
        <f>AND('Planilla_General_29-11-2012_10_'!G199,"AAAAAHZW1S0=")</f>
        <v>#VALUE!</v>
      </c>
      <c r="AU14" t="e">
        <f>AND('Planilla_General_29-11-2012_10_'!H199,"AAAAAHZW1S4=")</f>
        <v>#VALUE!</v>
      </c>
      <c r="AV14" t="e">
        <f>AND('Planilla_General_29-11-2012_10_'!I199,"AAAAAHZW1S8=")</f>
        <v>#VALUE!</v>
      </c>
      <c r="AW14" t="e">
        <f>AND('Planilla_General_29-11-2012_10_'!J199,"AAAAAHZW1TA=")</f>
        <v>#VALUE!</v>
      </c>
      <c r="AX14" t="e">
        <f>AND('Planilla_General_29-11-2012_10_'!K199,"AAAAAHZW1TE=")</f>
        <v>#VALUE!</v>
      </c>
      <c r="AY14" t="e">
        <f>AND('Planilla_General_29-11-2012_10_'!L199,"AAAAAHZW1TI=")</f>
        <v>#VALUE!</v>
      </c>
      <c r="AZ14" t="e">
        <f>AND('Planilla_General_29-11-2012_10_'!M199,"AAAAAHZW1TM=")</f>
        <v>#VALUE!</v>
      </c>
      <c r="BA14" t="e">
        <f>AND('Planilla_General_29-11-2012_10_'!N199,"AAAAAHZW1TQ=")</f>
        <v>#VALUE!</v>
      </c>
      <c r="BB14" t="e">
        <f>AND('Planilla_General_29-11-2012_10_'!O199,"AAAAAHZW1TU=")</f>
        <v>#VALUE!</v>
      </c>
      <c r="BC14" t="e">
        <f>AND('Planilla_General_29-11-2012_10_'!P199,"AAAAAHZW1TY=")</f>
        <v>#VALUE!</v>
      </c>
      <c r="BD14">
        <f>IF('Planilla_General_29-11-2012_10_'!200:200,"AAAAAHZW1Tc=",0)</f>
        <v>0</v>
      </c>
      <c r="BE14" t="e">
        <f>AND('Planilla_General_29-11-2012_10_'!A200,"AAAAAHZW1Tg=")</f>
        <v>#VALUE!</v>
      </c>
      <c r="BF14" t="e">
        <f>AND('Planilla_General_29-11-2012_10_'!B200,"AAAAAHZW1Tk=")</f>
        <v>#VALUE!</v>
      </c>
      <c r="BG14" t="e">
        <f>AND('Planilla_General_29-11-2012_10_'!C200,"AAAAAHZW1To=")</f>
        <v>#VALUE!</v>
      </c>
      <c r="BH14" t="e">
        <f>AND('Planilla_General_29-11-2012_10_'!D200,"AAAAAHZW1Ts=")</f>
        <v>#VALUE!</v>
      </c>
      <c r="BI14" t="e">
        <f>AND('Planilla_General_29-11-2012_10_'!E200,"AAAAAHZW1Tw=")</f>
        <v>#VALUE!</v>
      </c>
      <c r="BJ14" t="e">
        <f>AND('Planilla_General_29-11-2012_10_'!F200,"AAAAAHZW1T0=")</f>
        <v>#VALUE!</v>
      </c>
      <c r="BK14" t="e">
        <f>AND('Planilla_General_29-11-2012_10_'!G200,"AAAAAHZW1T4=")</f>
        <v>#VALUE!</v>
      </c>
      <c r="BL14" t="e">
        <f>AND('Planilla_General_29-11-2012_10_'!H200,"AAAAAHZW1T8=")</f>
        <v>#VALUE!</v>
      </c>
      <c r="BM14" t="e">
        <f>AND('Planilla_General_29-11-2012_10_'!I200,"AAAAAHZW1UA=")</f>
        <v>#VALUE!</v>
      </c>
      <c r="BN14" t="e">
        <f>AND('Planilla_General_29-11-2012_10_'!J200,"AAAAAHZW1UE=")</f>
        <v>#VALUE!</v>
      </c>
      <c r="BO14" t="e">
        <f>AND('Planilla_General_29-11-2012_10_'!K200,"AAAAAHZW1UI=")</f>
        <v>#VALUE!</v>
      </c>
      <c r="BP14" t="e">
        <f>AND('Planilla_General_29-11-2012_10_'!L200,"AAAAAHZW1UM=")</f>
        <v>#VALUE!</v>
      </c>
      <c r="BQ14" t="e">
        <f>AND('Planilla_General_29-11-2012_10_'!M200,"AAAAAHZW1UQ=")</f>
        <v>#VALUE!</v>
      </c>
      <c r="BR14" t="e">
        <f>AND('Planilla_General_29-11-2012_10_'!N200,"AAAAAHZW1UU=")</f>
        <v>#VALUE!</v>
      </c>
      <c r="BS14" t="e">
        <f>AND('Planilla_General_29-11-2012_10_'!O200,"AAAAAHZW1UY=")</f>
        <v>#VALUE!</v>
      </c>
      <c r="BT14" t="e">
        <f>AND('Planilla_General_29-11-2012_10_'!P200,"AAAAAHZW1Uc=")</f>
        <v>#VALUE!</v>
      </c>
      <c r="BU14">
        <f>IF('Planilla_General_29-11-2012_10_'!201:201,"AAAAAHZW1Ug=",0)</f>
        <v>0</v>
      </c>
      <c r="BV14" t="e">
        <f>AND('Planilla_General_29-11-2012_10_'!A201,"AAAAAHZW1Uk=")</f>
        <v>#VALUE!</v>
      </c>
      <c r="BW14" t="e">
        <f>AND('Planilla_General_29-11-2012_10_'!B201,"AAAAAHZW1Uo=")</f>
        <v>#VALUE!</v>
      </c>
      <c r="BX14" t="e">
        <f>AND('Planilla_General_29-11-2012_10_'!C201,"AAAAAHZW1Us=")</f>
        <v>#VALUE!</v>
      </c>
      <c r="BY14" t="e">
        <f>AND('Planilla_General_29-11-2012_10_'!D201,"AAAAAHZW1Uw=")</f>
        <v>#VALUE!</v>
      </c>
      <c r="BZ14" t="e">
        <f>AND('Planilla_General_29-11-2012_10_'!E201,"AAAAAHZW1U0=")</f>
        <v>#VALUE!</v>
      </c>
      <c r="CA14" t="e">
        <f>AND('Planilla_General_29-11-2012_10_'!F201,"AAAAAHZW1U4=")</f>
        <v>#VALUE!</v>
      </c>
      <c r="CB14" t="e">
        <f>AND('Planilla_General_29-11-2012_10_'!G201,"AAAAAHZW1U8=")</f>
        <v>#VALUE!</v>
      </c>
      <c r="CC14" t="e">
        <f>AND('Planilla_General_29-11-2012_10_'!H201,"AAAAAHZW1VA=")</f>
        <v>#VALUE!</v>
      </c>
      <c r="CD14" t="e">
        <f>AND('Planilla_General_29-11-2012_10_'!I201,"AAAAAHZW1VE=")</f>
        <v>#VALUE!</v>
      </c>
      <c r="CE14" t="e">
        <f>AND('Planilla_General_29-11-2012_10_'!J201,"AAAAAHZW1VI=")</f>
        <v>#VALUE!</v>
      </c>
      <c r="CF14" t="e">
        <f>AND('Planilla_General_29-11-2012_10_'!K201,"AAAAAHZW1VM=")</f>
        <v>#VALUE!</v>
      </c>
      <c r="CG14" t="e">
        <f>AND('Planilla_General_29-11-2012_10_'!L201,"AAAAAHZW1VQ=")</f>
        <v>#VALUE!</v>
      </c>
      <c r="CH14" t="e">
        <f>AND('Planilla_General_29-11-2012_10_'!M201,"AAAAAHZW1VU=")</f>
        <v>#VALUE!</v>
      </c>
      <c r="CI14" t="e">
        <f>AND('Planilla_General_29-11-2012_10_'!N201,"AAAAAHZW1VY=")</f>
        <v>#VALUE!</v>
      </c>
      <c r="CJ14" t="e">
        <f>AND('Planilla_General_29-11-2012_10_'!O201,"AAAAAHZW1Vc=")</f>
        <v>#VALUE!</v>
      </c>
      <c r="CK14" t="e">
        <f>AND('Planilla_General_29-11-2012_10_'!P201,"AAAAAHZW1Vg=")</f>
        <v>#VALUE!</v>
      </c>
      <c r="CL14">
        <f>IF('Planilla_General_29-11-2012_10_'!202:202,"AAAAAHZW1Vk=",0)</f>
        <v>0</v>
      </c>
      <c r="CM14" t="e">
        <f>AND('Planilla_General_29-11-2012_10_'!A202,"AAAAAHZW1Vo=")</f>
        <v>#VALUE!</v>
      </c>
      <c r="CN14" t="e">
        <f>AND('Planilla_General_29-11-2012_10_'!B202,"AAAAAHZW1Vs=")</f>
        <v>#VALUE!</v>
      </c>
      <c r="CO14" t="e">
        <f>AND('Planilla_General_29-11-2012_10_'!C202,"AAAAAHZW1Vw=")</f>
        <v>#VALUE!</v>
      </c>
      <c r="CP14" t="e">
        <f>AND('Planilla_General_29-11-2012_10_'!D202,"AAAAAHZW1V0=")</f>
        <v>#VALUE!</v>
      </c>
      <c r="CQ14" t="e">
        <f>AND('Planilla_General_29-11-2012_10_'!E202,"AAAAAHZW1V4=")</f>
        <v>#VALUE!</v>
      </c>
      <c r="CR14" t="e">
        <f>AND('Planilla_General_29-11-2012_10_'!F202,"AAAAAHZW1V8=")</f>
        <v>#VALUE!</v>
      </c>
      <c r="CS14" t="e">
        <f>AND('Planilla_General_29-11-2012_10_'!G202,"AAAAAHZW1WA=")</f>
        <v>#VALUE!</v>
      </c>
      <c r="CT14" t="e">
        <f>AND('Planilla_General_29-11-2012_10_'!H202,"AAAAAHZW1WE=")</f>
        <v>#VALUE!</v>
      </c>
      <c r="CU14" t="e">
        <f>AND('Planilla_General_29-11-2012_10_'!I202,"AAAAAHZW1WI=")</f>
        <v>#VALUE!</v>
      </c>
      <c r="CV14" t="e">
        <f>AND('Planilla_General_29-11-2012_10_'!J202,"AAAAAHZW1WM=")</f>
        <v>#VALUE!</v>
      </c>
      <c r="CW14" t="e">
        <f>AND('Planilla_General_29-11-2012_10_'!K202,"AAAAAHZW1WQ=")</f>
        <v>#VALUE!</v>
      </c>
      <c r="CX14" t="e">
        <f>AND('Planilla_General_29-11-2012_10_'!L202,"AAAAAHZW1WU=")</f>
        <v>#VALUE!</v>
      </c>
      <c r="CY14" t="e">
        <f>AND('Planilla_General_29-11-2012_10_'!M202,"AAAAAHZW1WY=")</f>
        <v>#VALUE!</v>
      </c>
      <c r="CZ14" t="e">
        <f>AND('Planilla_General_29-11-2012_10_'!N202,"AAAAAHZW1Wc=")</f>
        <v>#VALUE!</v>
      </c>
      <c r="DA14" t="e">
        <f>AND('Planilla_General_29-11-2012_10_'!O202,"AAAAAHZW1Wg=")</f>
        <v>#VALUE!</v>
      </c>
      <c r="DB14" t="e">
        <f>AND('Planilla_General_29-11-2012_10_'!P202,"AAAAAHZW1Wk=")</f>
        <v>#VALUE!</v>
      </c>
      <c r="DC14">
        <f>IF('Planilla_General_29-11-2012_10_'!203:203,"AAAAAHZW1Wo=",0)</f>
        <v>0</v>
      </c>
      <c r="DD14" t="e">
        <f>AND('Planilla_General_29-11-2012_10_'!A203,"AAAAAHZW1Ws=")</f>
        <v>#VALUE!</v>
      </c>
      <c r="DE14" t="e">
        <f>AND('Planilla_General_29-11-2012_10_'!B203,"AAAAAHZW1Ww=")</f>
        <v>#VALUE!</v>
      </c>
      <c r="DF14" t="e">
        <f>AND('Planilla_General_29-11-2012_10_'!C203,"AAAAAHZW1W0=")</f>
        <v>#VALUE!</v>
      </c>
      <c r="DG14" t="e">
        <f>AND('Planilla_General_29-11-2012_10_'!D203,"AAAAAHZW1W4=")</f>
        <v>#VALUE!</v>
      </c>
      <c r="DH14" t="e">
        <f>AND('Planilla_General_29-11-2012_10_'!E203,"AAAAAHZW1W8=")</f>
        <v>#VALUE!</v>
      </c>
      <c r="DI14" t="e">
        <f>AND('Planilla_General_29-11-2012_10_'!F203,"AAAAAHZW1XA=")</f>
        <v>#VALUE!</v>
      </c>
      <c r="DJ14" t="e">
        <f>AND('Planilla_General_29-11-2012_10_'!G203,"AAAAAHZW1XE=")</f>
        <v>#VALUE!</v>
      </c>
      <c r="DK14" t="e">
        <f>AND('Planilla_General_29-11-2012_10_'!H203,"AAAAAHZW1XI=")</f>
        <v>#VALUE!</v>
      </c>
      <c r="DL14" t="e">
        <f>AND('Planilla_General_29-11-2012_10_'!I203,"AAAAAHZW1XM=")</f>
        <v>#VALUE!</v>
      </c>
      <c r="DM14" t="e">
        <f>AND('Planilla_General_29-11-2012_10_'!J203,"AAAAAHZW1XQ=")</f>
        <v>#VALUE!</v>
      </c>
      <c r="DN14" t="e">
        <f>AND('Planilla_General_29-11-2012_10_'!K203,"AAAAAHZW1XU=")</f>
        <v>#VALUE!</v>
      </c>
      <c r="DO14" t="e">
        <f>AND('Planilla_General_29-11-2012_10_'!L203,"AAAAAHZW1XY=")</f>
        <v>#VALUE!</v>
      </c>
      <c r="DP14" t="e">
        <f>AND('Planilla_General_29-11-2012_10_'!M203,"AAAAAHZW1Xc=")</f>
        <v>#VALUE!</v>
      </c>
      <c r="DQ14" t="e">
        <f>AND('Planilla_General_29-11-2012_10_'!N203,"AAAAAHZW1Xg=")</f>
        <v>#VALUE!</v>
      </c>
      <c r="DR14" t="e">
        <f>AND('Planilla_General_29-11-2012_10_'!O203,"AAAAAHZW1Xk=")</f>
        <v>#VALUE!</v>
      </c>
      <c r="DS14" t="e">
        <f>AND('Planilla_General_29-11-2012_10_'!P203,"AAAAAHZW1Xo=")</f>
        <v>#VALUE!</v>
      </c>
      <c r="DT14">
        <f>IF('Planilla_General_29-11-2012_10_'!204:204,"AAAAAHZW1Xs=",0)</f>
        <v>0</v>
      </c>
      <c r="DU14" t="e">
        <f>AND('Planilla_General_29-11-2012_10_'!A204,"AAAAAHZW1Xw=")</f>
        <v>#VALUE!</v>
      </c>
      <c r="DV14" t="e">
        <f>AND('Planilla_General_29-11-2012_10_'!B204,"AAAAAHZW1X0=")</f>
        <v>#VALUE!</v>
      </c>
      <c r="DW14" t="e">
        <f>AND('Planilla_General_29-11-2012_10_'!C204,"AAAAAHZW1X4=")</f>
        <v>#VALUE!</v>
      </c>
      <c r="DX14" t="e">
        <f>AND('Planilla_General_29-11-2012_10_'!D204,"AAAAAHZW1X8=")</f>
        <v>#VALUE!</v>
      </c>
      <c r="DY14" t="e">
        <f>AND('Planilla_General_29-11-2012_10_'!E204,"AAAAAHZW1YA=")</f>
        <v>#VALUE!</v>
      </c>
      <c r="DZ14" t="e">
        <f>AND('Planilla_General_29-11-2012_10_'!F204,"AAAAAHZW1YE=")</f>
        <v>#VALUE!</v>
      </c>
      <c r="EA14" t="e">
        <f>AND('Planilla_General_29-11-2012_10_'!G204,"AAAAAHZW1YI=")</f>
        <v>#VALUE!</v>
      </c>
      <c r="EB14" t="e">
        <f>AND('Planilla_General_29-11-2012_10_'!H204,"AAAAAHZW1YM=")</f>
        <v>#VALUE!</v>
      </c>
      <c r="EC14" t="e">
        <f>AND('Planilla_General_29-11-2012_10_'!I204,"AAAAAHZW1YQ=")</f>
        <v>#VALUE!</v>
      </c>
      <c r="ED14" t="e">
        <f>AND('Planilla_General_29-11-2012_10_'!J204,"AAAAAHZW1YU=")</f>
        <v>#VALUE!</v>
      </c>
      <c r="EE14" t="e">
        <f>AND('Planilla_General_29-11-2012_10_'!K204,"AAAAAHZW1YY=")</f>
        <v>#VALUE!</v>
      </c>
      <c r="EF14" t="e">
        <f>AND('Planilla_General_29-11-2012_10_'!L204,"AAAAAHZW1Yc=")</f>
        <v>#VALUE!</v>
      </c>
      <c r="EG14" t="e">
        <f>AND('Planilla_General_29-11-2012_10_'!M204,"AAAAAHZW1Yg=")</f>
        <v>#VALUE!</v>
      </c>
      <c r="EH14" t="e">
        <f>AND('Planilla_General_29-11-2012_10_'!N204,"AAAAAHZW1Yk=")</f>
        <v>#VALUE!</v>
      </c>
      <c r="EI14" t="e">
        <f>AND('Planilla_General_29-11-2012_10_'!O204,"AAAAAHZW1Yo=")</f>
        <v>#VALUE!</v>
      </c>
      <c r="EJ14" t="e">
        <f>AND('Planilla_General_29-11-2012_10_'!P204,"AAAAAHZW1Ys=")</f>
        <v>#VALUE!</v>
      </c>
      <c r="EK14">
        <f>IF('Planilla_General_29-11-2012_10_'!205:205,"AAAAAHZW1Yw=",0)</f>
        <v>0</v>
      </c>
      <c r="EL14" t="e">
        <f>AND('Planilla_General_29-11-2012_10_'!A205,"AAAAAHZW1Y0=")</f>
        <v>#VALUE!</v>
      </c>
      <c r="EM14" t="e">
        <f>AND('Planilla_General_29-11-2012_10_'!B205,"AAAAAHZW1Y4=")</f>
        <v>#VALUE!</v>
      </c>
      <c r="EN14" t="e">
        <f>AND('Planilla_General_29-11-2012_10_'!C205,"AAAAAHZW1Y8=")</f>
        <v>#VALUE!</v>
      </c>
      <c r="EO14" t="e">
        <f>AND('Planilla_General_29-11-2012_10_'!D205,"AAAAAHZW1ZA=")</f>
        <v>#VALUE!</v>
      </c>
      <c r="EP14" t="e">
        <f>AND('Planilla_General_29-11-2012_10_'!E205,"AAAAAHZW1ZE=")</f>
        <v>#VALUE!</v>
      </c>
      <c r="EQ14" t="e">
        <f>AND('Planilla_General_29-11-2012_10_'!F205,"AAAAAHZW1ZI=")</f>
        <v>#VALUE!</v>
      </c>
      <c r="ER14" t="e">
        <f>AND('Planilla_General_29-11-2012_10_'!G205,"AAAAAHZW1ZM=")</f>
        <v>#VALUE!</v>
      </c>
      <c r="ES14" t="e">
        <f>AND('Planilla_General_29-11-2012_10_'!H205,"AAAAAHZW1ZQ=")</f>
        <v>#VALUE!</v>
      </c>
      <c r="ET14" t="e">
        <f>AND('Planilla_General_29-11-2012_10_'!I205,"AAAAAHZW1ZU=")</f>
        <v>#VALUE!</v>
      </c>
      <c r="EU14" t="e">
        <f>AND('Planilla_General_29-11-2012_10_'!J205,"AAAAAHZW1ZY=")</f>
        <v>#VALUE!</v>
      </c>
      <c r="EV14" t="e">
        <f>AND('Planilla_General_29-11-2012_10_'!K205,"AAAAAHZW1Zc=")</f>
        <v>#VALUE!</v>
      </c>
      <c r="EW14" t="e">
        <f>AND('Planilla_General_29-11-2012_10_'!L205,"AAAAAHZW1Zg=")</f>
        <v>#VALUE!</v>
      </c>
      <c r="EX14" t="e">
        <f>AND('Planilla_General_29-11-2012_10_'!M205,"AAAAAHZW1Zk=")</f>
        <v>#VALUE!</v>
      </c>
      <c r="EY14" t="e">
        <f>AND('Planilla_General_29-11-2012_10_'!N205,"AAAAAHZW1Zo=")</f>
        <v>#VALUE!</v>
      </c>
      <c r="EZ14" t="e">
        <f>AND('Planilla_General_29-11-2012_10_'!O205,"AAAAAHZW1Zs=")</f>
        <v>#VALUE!</v>
      </c>
      <c r="FA14" t="e">
        <f>AND('Planilla_General_29-11-2012_10_'!P205,"AAAAAHZW1Zw=")</f>
        <v>#VALUE!</v>
      </c>
      <c r="FB14">
        <f>IF('Planilla_General_29-11-2012_10_'!206:206,"AAAAAHZW1Z0=",0)</f>
        <v>0</v>
      </c>
      <c r="FC14" t="e">
        <f>AND('Planilla_General_29-11-2012_10_'!A206,"AAAAAHZW1Z4=")</f>
        <v>#VALUE!</v>
      </c>
      <c r="FD14" t="e">
        <f>AND('Planilla_General_29-11-2012_10_'!B206,"AAAAAHZW1Z8=")</f>
        <v>#VALUE!</v>
      </c>
      <c r="FE14" t="e">
        <f>AND('Planilla_General_29-11-2012_10_'!C206,"AAAAAHZW1aA=")</f>
        <v>#VALUE!</v>
      </c>
      <c r="FF14" t="e">
        <f>AND('Planilla_General_29-11-2012_10_'!D206,"AAAAAHZW1aE=")</f>
        <v>#VALUE!</v>
      </c>
      <c r="FG14" t="e">
        <f>AND('Planilla_General_29-11-2012_10_'!E206,"AAAAAHZW1aI=")</f>
        <v>#VALUE!</v>
      </c>
      <c r="FH14" t="e">
        <f>AND('Planilla_General_29-11-2012_10_'!F206,"AAAAAHZW1aM=")</f>
        <v>#VALUE!</v>
      </c>
      <c r="FI14" t="e">
        <f>AND('Planilla_General_29-11-2012_10_'!G206,"AAAAAHZW1aQ=")</f>
        <v>#VALUE!</v>
      </c>
      <c r="FJ14" t="e">
        <f>AND('Planilla_General_29-11-2012_10_'!H206,"AAAAAHZW1aU=")</f>
        <v>#VALUE!</v>
      </c>
      <c r="FK14" t="e">
        <f>AND('Planilla_General_29-11-2012_10_'!I206,"AAAAAHZW1aY=")</f>
        <v>#VALUE!</v>
      </c>
      <c r="FL14" t="e">
        <f>AND('Planilla_General_29-11-2012_10_'!J206,"AAAAAHZW1ac=")</f>
        <v>#VALUE!</v>
      </c>
      <c r="FM14" t="e">
        <f>AND('Planilla_General_29-11-2012_10_'!K206,"AAAAAHZW1ag=")</f>
        <v>#VALUE!</v>
      </c>
      <c r="FN14" t="e">
        <f>AND('Planilla_General_29-11-2012_10_'!L206,"AAAAAHZW1ak=")</f>
        <v>#VALUE!</v>
      </c>
      <c r="FO14" t="e">
        <f>AND('Planilla_General_29-11-2012_10_'!M206,"AAAAAHZW1ao=")</f>
        <v>#VALUE!</v>
      </c>
      <c r="FP14" t="e">
        <f>AND('Planilla_General_29-11-2012_10_'!N206,"AAAAAHZW1as=")</f>
        <v>#VALUE!</v>
      </c>
      <c r="FQ14" t="e">
        <f>AND('Planilla_General_29-11-2012_10_'!O206,"AAAAAHZW1aw=")</f>
        <v>#VALUE!</v>
      </c>
      <c r="FR14" t="e">
        <f>AND('Planilla_General_29-11-2012_10_'!P206,"AAAAAHZW1a0=")</f>
        <v>#VALUE!</v>
      </c>
      <c r="FS14">
        <f>IF('Planilla_General_29-11-2012_10_'!207:207,"AAAAAHZW1a4=",0)</f>
        <v>0</v>
      </c>
      <c r="FT14" t="e">
        <f>AND('Planilla_General_29-11-2012_10_'!A207,"AAAAAHZW1a8=")</f>
        <v>#VALUE!</v>
      </c>
      <c r="FU14" t="e">
        <f>AND('Planilla_General_29-11-2012_10_'!B207,"AAAAAHZW1bA=")</f>
        <v>#VALUE!</v>
      </c>
      <c r="FV14" t="e">
        <f>AND('Planilla_General_29-11-2012_10_'!C207,"AAAAAHZW1bE=")</f>
        <v>#VALUE!</v>
      </c>
      <c r="FW14" t="e">
        <f>AND('Planilla_General_29-11-2012_10_'!D207,"AAAAAHZW1bI=")</f>
        <v>#VALUE!</v>
      </c>
      <c r="FX14" t="e">
        <f>AND('Planilla_General_29-11-2012_10_'!E207,"AAAAAHZW1bM=")</f>
        <v>#VALUE!</v>
      </c>
      <c r="FY14" t="e">
        <f>AND('Planilla_General_29-11-2012_10_'!F207,"AAAAAHZW1bQ=")</f>
        <v>#VALUE!</v>
      </c>
      <c r="FZ14" t="e">
        <f>AND('Planilla_General_29-11-2012_10_'!G207,"AAAAAHZW1bU=")</f>
        <v>#VALUE!</v>
      </c>
      <c r="GA14" t="e">
        <f>AND('Planilla_General_29-11-2012_10_'!H207,"AAAAAHZW1bY=")</f>
        <v>#VALUE!</v>
      </c>
      <c r="GB14" t="e">
        <f>AND('Planilla_General_29-11-2012_10_'!I207,"AAAAAHZW1bc=")</f>
        <v>#VALUE!</v>
      </c>
      <c r="GC14" t="e">
        <f>AND('Planilla_General_29-11-2012_10_'!J207,"AAAAAHZW1bg=")</f>
        <v>#VALUE!</v>
      </c>
      <c r="GD14" t="e">
        <f>AND('Planilla_General_29-11-2012_10_'!K207,"AAAAAHZW1bk=")</f>
        <v>#VALUE!</v>
      </c>
      <c r="GE14" t="e">
        <f>AND('Planilla_General_29-11-2012_10_'!L207,"AAAAAHZW1bo=")</f>
        <v>#VALUE!</v>
      </c>
      <c r="GF14" t="e">
        <f>AND('Planilla_General_29-11-2012_10_'!M207,"AAAAAHZW1bs=")</f>
        <v>#VALUE!</v>
      </c>
      <c r="GG14" t="e">
        <f>AND('Planilla_General_29-11-2012_10_'!N207,"AAAAAHZW1bw=")</f>
        <v>#VALUE!</v>
      </c>
      <c r="GH14" t="e">
        <f>AND('Planilla_General_29-11-2012_10_'!O207,"AAAAAHZW1b0=")</f>
        <v>#VALUE!</v>
      </c>
      <c r="GI14" t="e">
        <f>AND('Planilla_General_29-11-2012_10_'!P207,"AAAAAHZW1b4=")</f>
        <v>#VALUE!</v>
      </c>
      <c r="GJ14">
        <f>IF('Planilla_General_29-11-2012_10_'!208:208,"AAAAAHZW1b8=",0)</f>
        <v>0</v>
      </c>
      <c r="GK14" t="e">
        <f>AND('Planilla_General_29-11-2012_10_'!A208,"AAAAAHZW1cA=")</f>
        <v>#VALUE!</v>
      </c>
      <c r="GL14" t="e">
        <f>AND('Planilla_General_29-11-2012_10_'!B208,"AAAAAHZW1cE=")</f>
        <v>#VALUE!</v>
      </c>
      <c r="GM14" t="e">
        <f>AND('Planilla_General_29-11-2012_10_'!C208,"AAAAAHZW1cI=")</f>
        <v>#VALUE!</v>
      </c>
      <c r="GN14" t="e">
        <f>AND('Planilla_General_29-11-2012_10_'!D208,"AAAAAHZW1cM=")</f>
        <v>#VALUE!</v>
      </c>
      <c r="GO14" t="e">
        <f>AND('Planilla_General_29-11-2012_10_'!E208,"AAAAAHZW1cQ=")</f>
        <v>#VALUE!</v>
      </c>
      <c r="GP14" t="e">
        <f>AND('Planilla_General_29-11-2012_10_'!F208,"AAAAAHZW1cU=")</f>
        <v>#VALUE!</v>
      </c>
      <c r="GQ14" t="e">
        <f>AND('Planilla_General_29-11-2012_10_'!G208,"AAAAAHZW1cY=")</f>
        <v>#VALUE!</v>
      </c>
      <c r="GR14" t="e">
        <f>AND('Planilla_General_29-11-2012_10_'!H208,"AAAAAHZW1cc=")</f>
        <v>#VALUE!</v>
      </c>
      <c r="GS14" t="e">
        <f>AND('Planilla_General_29-11-2012_10_'!I208,"AAAAAHZW1cg=")</f>
        <v>#VALUE!</v>
      </c>
      <c r="GT14" t="e">
        <f>AND('Planilla_General_29-11-2012_10_'!J208,"AAAAAHZW1ck=")</f>
        <v>#VALUE!</v>
      </c>
      <c r="GU14" t="e">
        <f>AND('Planilla_General_29-11-2012_10_'!K208,"AAAAAHZW1co=")</f>
        <v>#VALUE!</v>
      </c>
      <c r="GV14" t="e">
        <f>AND('Planilla_General_29-11-2012_10_'!L208,"AAAAAHZW1cs=")</f>
        <v>#VALUE!</v>
      </c>
      <c r="GW14" t="e">
        <f>AND('Planilla_General_29-11-2012_10_'!M208,"AAAAAHZW1cw=")</f>
        <v>#VALUE!</v>
      </c>
      <c r="GX14" t="e">
        <f>AND('Planilla_General_29-11-2012_10_'!N208,"AAAAAHZW1c0=")</f>
        <v>#VALUE!</v>
      </c>
      <c r="GY14" t="e">
        <f>AND('Planilla_General_29-11-2012_10_'!O208,"AAAAAHZW1c4=")</f>
        <v>#VALUE!</v>
      </c>
      <c r="GZ14" t="e">
        <f>AND('Planilla_General_29-11-2012_10_'!P208,"AAAAAHZW1c8=")</f>
        <v>#VALUE!</v>
      </c>
      <c r="HA14">
        <f>IF('Planilla_General_29-11-2012_10_'!209:209,"AAAAAHZW1dA=",0)</f>
        <v>0</v>
      </c>
      <c r="HB14" t="e">
        <f>AND('Planilla_General_29-11-2012_10_'!A209,"AAAAAHZW1dE=")</f>
        <v>#VALUE!</v>
      </c>
      <c r="HC14" t="e">
        <f>AND('Planilla_General_29-11-2012_10_'!B209,"AAAAAHZW1dI=")</f>
        <v>#VALUE!</v>
      </c>
      <c r="HD14" t="e">
        <f>AND('Planilla_General_29-11-2012_10_'!C209,"AAAAAHZW1dM=")</f>
        <v>#VALUE!</v>
      </c>
      <c r="HE14" t="e">
        <f>AND('Planilla_General_29-11-2012_10_'!D209,"AAAAAHZW1dQ=")</f>
        <v>#VALUE!</v>
      </c>
      <c r="HF14" t="e">
        <f>AND('Planilla_General_29-11-2012_10_'!E209,"AAAAAHZW1dU=")</f>
        <v>#VALUE!</v>
      </c>
      <c r="HG14" t="e">
        <f>AND('Planilla_General_29-11-2012_10_'!F209,"AAAAAHZW1dY=")</f>
        <v>#VALUE!</v>
      </c>
      <c r="HH14" t="e">
        <f>AND('Planilla_General_29-11-2012_10_'!G209,"AAAAAHZW1dc=")</f>
        <v>#VALUE!</v>
      </c>
      <c r="HI14" t="e">
        <f>AND('Planilla_General_29-11-2012_10_'!H209,"AAAAAHZW1dg=")</f>
        <v>#VALUE!</v>
      </c>
      <c r="HJ14" t="e">
        <f>AND('Planilla_General_29-11-2012_10_'!I209,"AAAAAHZW1dk=")</f>
        <v>#VALUE!</v>
      </c>
      <c r="HK14" t="e">
        <f>AND('Planilla_General_29-11-2012_10_'!J209,"AAAAAHZW1do=")</f>
        <v>#VALUE!</v>
      </c>
      <c r="HL14" t="e">
        <f>AND('Planilla_General_29-11-2012_10_'!K209,"AAAAAHZW1ds=")</f>
        <v>#VALUE!</v>
      </c>
      <c r="HM14" t="e">
        <f>AND('Planilla_General_29-11-2012_10_'!L209,"AAAAAHZW1dw=")</f>
        <v>#VALUE!</v>
      </c>
      <c r="HN14" t="e">
        <f>AND('Planilla_General_29-11-2012_10_'!M209,"AAAAAHZW1d0=")</f>
        <v>#VALUE!</v>
      </c>
      <c r="HO14" t="e">
        <f>AND('Planilla_General_29-11-2012_10_'!N209,"AAAAAHZW1d4=")</f>
        <v>#VALUE!</v>
      </c>
      <c r="HP14" t="e">
        <f>AND('Planilla_General_29-11-2012_10_'!O209,"AAAAAHZW1d8=")</f>
        <v>#VALUE!</v>
      </c>
      <c r="HQ14" t="e">
        <f>AND('Planilla_General_29-11-2012_10_'!P209,"AAAAAHZW1eA=")</f>
        <v>#VALUE!</v>
      </c>
      <c r="HR14">
        <f>IF('Planilla_General_29-11-2012_10_'!210:210,"AAAAAHZW1eE=",0)</f>
        <v>0</v>
      </c>
      <c r="HS14" t="e">
        <f>AND('Planilla_General_29-11-2012_10_'!A210,"AAAAAHZW1eI=")</f>
        <v>#VALUE!</v>
      </c>
      <c r="HT14" t="e">
        <f>AND('Planilla_General_29-11-2012_10_'!B210,"AAAAAHZW1eM=")</f>
        <v>#VALUE!</v>
      </c>
      <c r="HU14" t="e">
        <f>AND('Planilla_General_29-11-2012_10_'!C210,"AAAAAHZW1eQ=")</f>
        <v>#VALUE!</v>
      </c>
      <c r="HV14" t="e">
        <f>AND('Planilla_General_29-11-2012_10_'!D210,"AAAAAHZW1eU=")</f>
        <v>#VALUE!</v>
      </c>
      <c r="HW14" t="e">
        <f>AND('Planilla_General_29-11-2012_10_'!E210,"AAAAAHZW1eY=")</f>
        <v>#VALUE!</v>
      </c>
      <c r="HX14" t="e">
        <f>AND('Planilla_General_29-11-2012_10_'!F210,"AAAAAHZW1ec=")</f>
        <v>#VALUE!</v>
      </c>
      <c r="HY14" t="e">
        <f>AND('Planilla_General_29-11-2012_10_'!G210,"AAAAAHZW1eg=")</f>
        <v>#VALUE!</v>
      </c>
      <c r="HZ14" t="e">
        <f>AND('Planilla_General_29-11-2012_10_'!H210,"AAAAAHZW1ek=")</f>
        <v>#VALUE!</v>
      </c>
      <c r="IA14" t="e">
        <f>AND('Planilla_General_29-11-2012_10_'!I210,"AAAAAHZW1eo=")</f>
        <v>#VALUE!</v>
      </c>
      <c r="IB14" t="e">
        <f>AND('Planilla_General_29-11-2012_10_'!J210,"AAAAAHZW1es=")</f>
        <v>#VALUE!</v>
      </c>
      <c r="IC14" t="e">
        <f>AND('Planilla_General_29-11-2012_10_'!K210,"AAAAAHZW1ew=")</f>
        <v>#VALUE!</v>
      </c>
      <c r="ID14" t="e">
        <f>AND('Planilla_General_29-11-2012_10_'!L210,"AAAAAHZW1e0=")</f>
        <v>#VALUE!</v>
      </c>
      <c r="IE14" t="e">
        <f>AND('Planilla_General_29-11-2012_10_'!M210,"AAAAAHZW1e4=")</f>
        <v>#VALUE!</v>
      </c>
      <c r="IF14" t="e">
        <f>AND('Planilla_General_29-11-2012_10_'!N210,"AAAAAHZW1e8=")</f>
        <v>#VALUE!</v>
      </c>
      <c r="IG14" t="e">
        <f>AND('Planilla_General_29-11-2012_10_'!O210,"AAAAAHZW1fA=")</f>
        <v>#VALUE!</v>
      </c>
      <c r="IH14" t="e">
        <f>AND('Planilla_General_29-11-2012_10_'!P210,"AAAAAHZW1fE=")</f>
        <v>#VALUE!</v>
      </c>
      <c r="II14">
        <f>IF('Planilla_General_29-11-2012_10_'!211:211,"AAAAAHZW1fI=",0)</f>
        <v>0</v>
      </c>
      <c r="IJ14" t="e">
        <f>AND('Planilla_General_29-11-2012_10_'!A211,"AAAAAHZW1fM=")</f>
        <v>#VALUE!</v>
      </c>
      <c r="IK14" t="e">
        <f>AND('Planilla_General_29-11-2012_10_'!B211,"AAAAAHZW1fQ=")</f>
        <v>#VALUE!</v>
      </c>
      <c r="IL14" t="e">
        <f>AND('Planilla_General_29-11-2012_10_'!C211,"AAAAAHZW1fU=")</f>
        <v>#VALUE!</v>
      </c>
      <c r="IM14" t="e">
        <f>AND('Planilla_General_29-11-2012_10_'!D211,"AAAAAHZW1fY=")</f>
        <v>#VALUE!</v>
      </c>
      <c r="IN14" t="e">
        <f>AND('Planilla_General_29-11-2012_10_'!E211,"AAAAAHZW1fc=")</f>
        <v>#VALUE!</v>
      </c>
      <c r="IO14" t="e">
        <f>AND('Planilla_General_29-11-2012_10_'!F211,"AAAAAHZW1fg=")</f>
        <v>#VALUE!</v>
      </c>
      <c r="IP14" t="e">
        <f>AND('Planilla_General_29-11-2012_10_'!G211,"AAAAAHZW1fk=")</f>
        <v>#VALUE!</v>
      </c>
      <c r="IQ14" t="e">
        <f>AND('Planilla_General_29-11-2012_10_'!H211,"AAAAAHZW1fo=")</f>
        <v>#VALUE!</v>
      </c>
      <c r="IR14" t="e">
        <f>AND('Planilla_General_29-11-2012_10_'!I211,"AAAAAHZW1fs=")</f>
        <v>#VALUE!</v>
      </c>
      <c r="IS14" t="e">
        <f>AND('Planilla_General_29-11-2012_10_'!J211,"AAAAAHZW1fw=")</f>
        <v>#VALUE!</v>
      </c>
      <c r="IT14" t="e">
        <f>AND('Planilla_General_29-11-2012_10_'!K211,"AAAAAHZW1f0=")</f>
        <v>#VALUE!</v>
      </c>
      <c r="IU14" t="e">
        <f>AND('Planilla_General_29-11-2012_10_'!L211,"AAAAAHZW1f4=")</f>
        <v>#VALUE!</v>
      </c>
      <c r="IV14" t="e">
        <f>AND('Planilla_General_29-11-2012_10_'!M211,"AAAAAHZW1f8=")</f>
        <v>#VALUE!</v>
      </c>
    </row>
    <row r="15" spans="1:256" x14ac:dyDescent="0.25">
      <c r="A15" t="e">
        <f>AND('Planilla_General_29-11-2012_10_'!N211,"AAAAAH/X9AA=")</f>
        <v>#VALUE!</v>
      </c>
      <c r="B15" t="e">
        <f>AND('Planilla_General_29-11-2012_10_'!O211,"AAAAAH/X9AE=")</f>
        <v>#VALUE!</v>
      </c>
      <c r="C15" t="e">
        <f>AND('Planilla_General_29-11-2012_10_'!P211,"AAAAAH/X9AI=")</f>
        <v>#VALUE!</v>
      </c>
      <c r="D15" t="e">
        <f>IF('Planilla_General_29-11-2012_10_'!212:212,"AAAAAH/X9AM=",0)</f>
        <v>#VALUE!</v>
      </c>
      <c r="E15" t="e">
        <f>AND('Planilla_General_29-11-2012_10_'!A212,"AAAAAH/X9AQ=")</f>
        <v>#VALUE!</v>
      </c>
      <c r="F15" t="e">
        <f>AND('Planilla_General_29-11-2012_10_'!B212,"AAAAAH/X9AU=")</f>
        <v>#VALUE!</v>
      </c>
      <c r="G15" t="e">
        <f>AND('Planilla_General_29-11-2012_10_'!C212,"AAAAAH/X9AY=")</f>
        <v>#VALUE!</v>
      </c>
      <c r="H15" t="e">
        <f>AND('Planilla_General_29-11-2012_10_'!D212,"AAAAAH/X9Ac=")</f>
        <v>#VALUE!</v>
      </c>
      <c r="I15" t="e">
        <f>AND('Planilla_General_29-11-2012_10_'!E212,"AAAAAH/X9Ag=")</f>
        <v>#VALUE!</v>
      </c>
      <c r="J15" t="e">
        <f>AND('Planilla_General_29-11-2012_10_'!F212,"AAAAAH/X9Ak=")</f>
        <v>#VALUE!</v>
      </c>
      <c r="K15" t="e">
        <f>AND('Planilla_General_29-11-2012_10_'!G212,"AAAAAH/X9Ao=")</f>
        <v>#VALUE!</v>
      </c>
      <c r="L15" t="e">
        <f>AND('Planilla_General_29-11-2012_10_'!H212,"AAAAAH/X9As=")</f>
        <v>#VALUE!</v>
      </c>
      <c r="M15" t="e">
        <f>AND('Planilla_General_29-11-2012_10_'!I212,"AAAAAH/X9Aw=")</f>
        <v>#VALUE!</v>
      </c>
      <c r="N15" t="e">
        <f>AND('Planilla_General_29-11-2012_10_'!J212,"AAAAAH/X9A0=")</f>
        <v>#VALUE!</v>
      </c>
      <c r="O15" t="e">
        <f>AND('Planilla_General_29-11-2012_10_'!K212,"AAAAAH/X9A4=")</f>
        <v>#VALUE!</v>
      </c>
      <c r="P15" t="e">
        <f>AND('Planilla_General_29-11-2012_10_'!L212,"AAAAAH/X9A8=")</f>
        <v>#VALUE!</v>
      </c>
      <c r="Q15" t="e">
        <f>AND('Planilla_General_29-11-2012_10_'!M212,"AAAAAH/X9BA=")</f>
        <v>#VALUE!</v>
      </c>
      <c r="R15" t="e">
        <f>AND('Planilla_General_29-11-2012_10_'!N212,"AAAAAH/X9BE=")</f>
        <v>#VALUE!</v>
      </c>
      <c r="S15" t="e">
        <f>AND('Planilla_General_29-11-2012_10_'!O212,"AAAAAH/X9BI=")</f>
        <v>#VALUE!</v>
      </c>
      <c r="T15" t="e">
        <f>AND('Planilla_General_29-11-2012_10_'!P212,"AAAAAH/X9BM=")</f>
        <v>#VALUE!</v>
      </c>
      <c r="U15">
        <f>IF('Planilla_General_29-11-2012_10_'!213:213,"AAAAAH/X9BQ=",0)</f>
        <v>0</v>
      </c>
      <c r="V15" t="e">
        <f>AND('Planilla_General_29-11-2012_10_'!A213,"AAAAAH/X9BU=")</f>
        <v>#VALUE!</v>
      </c>
      <c r="W15" t="e">
        <f>AND('Planilla_General_29-11-2012_10_'!B213,"AAAAAH/X9BY=")</f>
        <v>#VALUE!</v>
      </c>
      <c r="X15" t="e">
        <f>AND('Planilla_General_29-11-2012_10_'!C213,"AAAAAH/X9Bc=")</f>
        <v>#VALUE!</v>
      </c>
      <c r="Y15" t="e">
        <f>AND('Planilla_General_29-11-2012_10_'!D213,"AAAAAH/X9Bg=")</f>
        <v>#VALUE!</v>
      </c>
      <c r="Z15" t="e">
        <f>AND('Planilla_General_29-11-2012_10_'!E213,"AAAAAH/X9Bk=")</f>
        <v>#VALUE!</v>
      </c>
      <c r="AA15" t="e">
        <f>AND('Planilla_General_29-11-2012_10_'!F213,"AAAAAH/X9Bo=")</f>
        <v>#VALUE!</v>
      </c>
      <c r="AB15" t="e">
        <f>AND('Planilla_General_29-11-2012_10_'!G213,"AAAAAH/X9Bs=")</f>
        <v>#VALUE!</v>
      </c>
      <c r="AC15" t="e">
        <f>AND('Planilla_General_29-11-2012_10_'!H213,"AAAAAH/X9Bw=")</f>
        <v>#VALUE!</v>
      </c>
      <c r="AD15" t="e">
        <f>AND('Planilla_General_29-11-2012_10_'!I213,"AAAAAH/X9B0=")</f>
        <v>#VALUE!</v>
      </c>
      <c r="AE15" t="e">
        <f>AND('Planilla_General_29-11-2012_10_'!J213,"AAAAAH/X9B4=")</f>
        <v>#VALUE!</v>
      </c>
      <c r="AF15" t="e">
        <f>AND('Planilla_General_29-11-2012_10_'!K213,"AAAAAH/X9B8=")</f>
        <v>#VALUE!</v>
      </c>
      <c r="AG15" t="e">
        <f>AND('Planilla_General_29-11-2012_10_'!L213,"AAAAAH/X9CA=")</f>
        <v>#VALUE!</v>
      </c>
      <c r="AH15" t="e">
        <f>AND('Planilla_General_29-11-2012_10_'!M213,"AAAAAH/X9CE=")</f>
        <v>#VALUE!</v>
      </c>
      <c r="AI15" t="e">
        <f>AND('Planilla_General_29-11-2012_10_'!N213,"AAAAAH/X9CI=")</f>
        <v>#VALUE!</v>
      </c>
      <c r="AJ15" t="e">
        <f>AND('Planilla_General_29-11-2012_10_'!O213,"AAAAAH/X9CM=")</f>
        <v>#VALUE!</v>
      </c>
      <c r="AK15" t="e">
        <f>AND('Planilla_General_29-11-2012_10_'!P213,"AAAAAH/X9CQ=")</f>
        <v>#VALUE!</v>
      </c>
      <c r="AL15">
        <f>IF('Planilla_General_29-11-2012_10_'!214:214,"AAAAAH/X9CU=",0)</f>
        <v>0</v>
      </c>
      <c r="AM15" t="e">
        <f>AND('Planilla_General_29-11-2012_10_'!A214,"AAAAAH/X9CY=")</f>
        <v>#VALUE!</v>
      </c>
      <c r="AN15" t="e">
        <f>AND('Planilla_General_29-11-2012_10_'!B214,"AAAAAH/X9Cc=")</f>
        <v>#VALUE!</v>
      </c>
      <c r="AO15" t="e">
        <f>AND('Planilla_General_29-11-2012_10_'!C214,"AAAAAH/X9Cg=")</f>
        <v>#VALUE!</v>
      </c>
      <c r="AP15" t="e">
        <f>AND('Planilla_General_29-11-2012_10_'!D214,"AAAAAH/X9Ck=")</f>
        <v>#VALUE!</v>
      </c>
      <c r="AQ15" t="e">
        <f>AND('Planilla_General_29-11-2012_10_'!E214,"AAAAAH/X9Co=")</f>
        <v>#VALUE!</v>
      </c>
      <c r="AR15" t="e">
        <f>AND('Planilla_General_29-11-2012_10_'!F214,"AAAAAH/X9Cs=")</f>
        <v>#VALUE!</v>
      </c>
      <c r="AS15" t="e">
        <f>AND('Planilla_General_29-11-2012_10_'!G214,"AAAAAH/X9Cw=")</f>
        <v>#VALUE!</v>
      </c>
      <c r="AT15" t="e">
        <f>AND('Planilla_General_29-11-2012_10_'!H214,"AAAAAH/X9C0=")</f>
        <v>#VALUE!</v>
      </c>
      <c r="AU15" t="e">
        <f>AND('Planilla_General_29-11-2012_10_'!I214,"AAAAAH/X9C4=")</f>
        <v>#VALUE!</v>
      </c>
      <c r="AV15" t="e">
        <f>AND('Planilla_General_29-11-2012_10_'!J214,"AAAAAH/X9C8=")</f>
        <v>#VALUE!</v>
      </c>
      <c r="AW15" t="e">
        <f>AND('Planilla_General_29-11-2012_10_'!K214,"AAAAAH/X9DA=")</f>
        <v>#VALUE!</v>
      </c>
      <c r="AX15" t="e">
        <f>AND('Planilla_General_29-11-2012_10_'!L214,"AAAAAH/X9DE=")</f>
        <v>#VALUE!</v>
      </c>
      <c r="AY15" t="e">
        <f>AND('Planilla_General_29-11-2012_10_'!M214,"AAAAAH/X9DI=")</f>
        <v>#VALUE!</v>
      </c>
      <c r="AZ15" t="e">
        <f>AND('Planilla_General_29-11-2012_10_'!N214,"AAAAAH/X9DM=")</f>
        <v>#VALUE!</v>
      </c>
      <c r="BA15" t="e">
        <f>AND('Planilla_General_29-11-2012_10_'!O214,"AAAAAH/X9DQ=")</f>
        <v>#VALUE!</v>
      </c>
      <c r="BB15" t="e">
        <f>AND('Planilla_General_29-11-2012_10_'!P214,"AAAAAH/X9DU=")</f>
        <v>#VALUE!</v>
      </c>
      <c r="BC15">
        <f>IF('Planilla_General_29-11-2012_10_'!215:215,"AAAAAH/X9DY=",0)</f>
        <v>0</v>
      </c>
      <c r="BD15" t="e">
        <f>AND('Planilla_General_29-11-2012_10_'!A215,"AAAAAH/X9Dc=")</f>
        <v>#VALUE!</v>
      </c>
      <c r="BE15" t="e">
        <f>AND('Planilla_General_29-11-2012_10_'!B215,"AAAAAH/X9Dg=")</f>
        <v>#VALUE!</v>
      </c>
      <c r="BF15" t="e">
        <f>AND('Planilla_General_29-11-2012_10_'!C215,"AAAAAH/X9Dk=")</f>
        <v>#VALUE!</v>
      </c>
      <c r="BG15" t="e">
        <f>AND('Planilla_General_29-11-2012_10_'!D215,"AAAAAH/X9Do=")</f>
        <v>#VALUE!</v>
      </c>
      <c r="BH15" t="e">
        <f>AND('Planilla_General_29-11-2012_10_'!E215,"AAAAAH/X9Ds=")</f>
        <v>#VALUE!</v>
      </c>
      <c r="BI15" t="e">
        <f>AND('Planilla_General_29-11-2012_10_'!F215,"AAAAAH/X9Dw=")</f>
        <v>#VALUE!</v>
      </c>
      <c r="BJ15" t="e">
        <f>AND('Planilla_General_29-11-2012_10_'!G215,"AAAAAH/X9D0=")</f>
        <v>#VALUE!</v>
      </c>
      <c r="BK15" t="e">
        <f>AND('Planilla_General_29-11-2012_10_'!H215,"AAAAAH/X9D4=")</f>
        <v>#VALUE!</v>
      </c>
      <c r="BL15" t="e">
        <f>AND('Planilla_General_29-11-2012_10_'!I215,"AAAAAH/X9D8=")</f>
        <v>#VALUE!</v>
      </c>
      <c r="BM15" t="e">
        <f>AND('Planilla_General_29-11-2012_10_'!J215,"AAAAAH/X9EA=")</f>
        <v>#VALUE!</v>
      </c>
      <c r="BN15" t="e">
        <f>AND('Planilla_General_29-11-2012_10_'!K215,"AAAAAH/X9EE=")</f>
        <v>#VALUE!</v>
      </c>
      <c r="BO15" t="e">
        <f>AND('Planilla_General_29-11-2012_10_'!L215,"AAAAAH/X9EI=")</f>
        <v>#VALUE!</v>
      </c>
      <c r="BP15" t="e">
        <f>AND('Planilla_General_29-11-2012_10_'!M215,"AAAAAH/X9EM=")</f>
        <v>#VALUE!</v>
      </c>
      <c r="BQ15" t="e">
        <f>AND('Planilla_General_29-11-2012_10_'!N215,"AAAAAH/X9EQ=")</f>
        <v>#VALUE!</v>
      </c>
      <c r="BR15" t="e">
        <f>AND('Planilla_General_29-11-2012_10_'!O215,"AAAAAH/X9EU=")</f>
        <v>#VALUE!</v>
      </c>
      <c r="BS15" t="e">
        <f>AND('Planilla_General_29-11-2012_10_'!P215,"AAAAAH/X9EY=")</f>
        <v>#VALUE!</v>
      </c>
      <c r="BT15">
        <f>IF('Planilla_General_29-11-2012_10_'!216:216,"AAAAAH/X9Ec=",0)</f>
        <v>0</v>
      </c>
      <c r="BU15" t="e">
        <f>AND('Planilla_General_29-11-2012_10_'!A216,"AAAAAH/X9Eg=")</f>
        <v>#VALUE!</v>
      </c>
      <c r="BV15" t="e">
        <f>AND('Planilla_General_29-11-2012_10_'!B216,"AAAAAH/X9Ek=")</f>
        <v>#VALUE!</v>
      </c>
      <c r="BW15" t="e">
        <f>AND('Planilla_General_29-11-2012_10_'!C216,"AAAAAH/X9Eo=")</f>
        <v>#VALUE!</v>
      </c>
      <c r="BX15" t="e">
        <f>AND('Planilla_General_29-11-2012_10_'!D216,"AAAAAH/X9Es=")</f>
        <v>#VALUE!</v>
      </c>
      <c r="BY15" t="e">
        <f>AND('Planilla_General_29-11-2012_10_'!E216,"AAAAAH/X9Ew=")</f>
        <v>#VALUE!</v>
      </c>
      <c r="BZ15" t="e">
        <f>AND('Planilla_General_29-11-2012_10_'!F216,"AAAAAH/X9E0=")</f>
        <v>#VALUE!</v>
      </c>
      <c r="CA15" t="e">
        <f>AND('Planilla_General_29-11-2012_10_'!G216,"AAAAAH/X9E4=")</f>
        <v>#VALUE!</v>
      </c>
      <c r="CB15" t="e">
        <f>AND('Planilla_General_29-11-2012_10_'!H216,"AAAAAH/X9E8=")</f>
        <v>#VALUE!</v>
      </c>
      <c r="CC15" t="e">
        <f>AND('Planilla_General_29-11-2012_10_'!I216,"AAAAAH/X9FA=")</f>
        <v>#VALUE!</v>
      </c>
      <c r="CD15" t="e">
        <f>AND('Planilla_General_29-11-2012_10_'!J216,"AAAAAH/X9FE=")</f>
        <v>#VALUE!</v>
      </c>
      <c r="CE15" t="e">
        <f>AND('Planilla_General_29-11-2012_10_'!K216,"AAAAAH/X9FI=")</f>
        <v>#VALUE!</v>
      </c>
      <c r="CF15" t="e">
        <f>AND('Planilla_General_29-11-2012_10_'!L216,"AAAAAH/X9FM=")</f>
        <v>#VALUE!</v>
      </c>
      <c r="CG15" t="e">
        <f>AND('Planilla_General_29-11-2012_10_'!M216,"AAAAAH/X9FQ=")</f>
        <v>#VALUE!</v>
      </c>
      <c r="CH15" t="e">
        <f>AND('Planilla_General_29-11-2012_10_'!N216,"AAAAAH/X9FU=")</f>
        <v>#VALUE!</v>
      </c>
      <c r="CI15" t="e">
        <f>AND('Planilla_General_29-11-2012_10_'!O216,"AAAAAH/X9FY=")</f>
        <v>#VALUE!</v>
      </c>
      <c r="CJ15" t="e">
        <f>AND('Planilla_General_29-11-2012_10_'!P216,"AAAAAH/X9Fc=")</f>
        <v>#VALUE!</v>
      </c>
      <c r="CK15">
        <f>IF('Planilla_General_29-11-2012_10_'!217:217,"AAAAAH/X9Fg=",0)</f>
        <v>0</v>
      </c>
      <c r="CL15" t="e">
        <f>AND('Planilla_General_29-11-2012_10_'!A217,"AAAAAH/X9Fk=")</f>
        <v>#VALUE!</v>
      </c>
      <c r="CM15" t="e">
        <f>AND('Planilla_General_29-11-2012_10_'!B217,"AAAAAH/X9Fo=")</f>
        <v>#VALUE!</v>
      </c>
      <c r="CN15" t="e">
        <f>AND('Planilla_General_29-11-2012_10_'!C217,"AAAAAH/X9Fs=")</f>
        <v>#VALUE!</v>
      </c>
      <c r="CO15" t="e">
        <f>AND('Planilla_General_29-11-2012_10_'!D217,"AAAAAH/X9Fw=")</f>
        <v>#VALUE!</v>
      </c>
      <c r="CP15" t="e">
        <f>AND('Planilla_General_29-11-2012_10_'!E217,"AAAAAH/X9F0=")</f>
        <v>#VALUE!</v>
      </c>
      <c r="CQ15" t="e">
        <f>AND('Planilla_General_29-11-2012_10_'!F217,"AAAAAH/X9F4=")</f>
        <v>#VALUE!</v>
      </c>
      <c r="CR15" t="e">
        <f>AND('Planilla_General_29-11-2012_10_'!G217,"AAAAAH/X9F8=")</f>
        <v>#VALUE!</v>
      </c>
      <c r="CS15" t="e">
        <f>AND('Planilla_General_29-11-2012_10_'!H217,"AAAAAH/X9GA=")</f>
        <v>#VALUE!</v>
      </c>
      <c r="CT15" t="e">
        <f>AND('Planilla_General_29-11-2012_10_'!I217,"AAAAAH/X9GE=")</f>
        <v>#VALUE!</v>
      </c>
      <c r="CU15" t="e">
        <f>AND('Planilla_General_29-11-2012_10_'!J217,"AAAAAH/X9GI=")</f>
        <v>#VALUE!</v>
      </c>
      <c r="CV15" t="e">
        <f>AND('Planilla_General_29-11-2012_10_'!K217,"AAAAAH/X9GM=")</f>
        <v>#VALUE!</v>
      </c>
      <c r="CW15" t="e">
        <f>AND('Planilla_General_29-11-2012_10_'!L217,"AAAAAH/X9GQ=")</f>
        <v>#VALUE!</v>
      </c>
      <c r="CX15" t="e">
        <f>AND('Planilla_General_29-11-2012_10_'!M217,"AAAAAH/X9GU=")</f>
        <v>#VALUE!</v>
      </c>
      <c r="CY15" t="e">
        <f>AND('Planilla_General_29-11-2012_10_'!N217,"AAAAAH/X9GY=")</f>
        <v>#VALUE!</v>
      </c>
      <c r="CZ15" t="e">
        <f>AND('Planilla_General_29-11-2012_10_'!O217,"AAAAAH/X9Gc=")</f>
        <v>#VALUE!</v>
      </c>
      <c r="DA15" t="e">
        <f>AND('Planilla_General_29-11-2012_10_'!P217,"AAAAAH/X9Gg=")</f>
        <v>#VALUE!</v>
      </c>
      <c r="DB15">
        <f>IF('Planilla_General_29-11-2012_10_'!218:218,"AAAAAH/X9Gk=",0)</f>
        <v>0</v>
      </c>
      <c r="DC15" t="e">
        <f>AND('Planilla_General_29-11-2012_10_'!A218,"AAAAAH/X9Go=")</f>
        <v>#VALUE!</v>
      </c>
      <c r="DD15" t="e">
        <f>AND('Planilla_General_29-11-2012_10_'!B218,"AAAAAH/X9Gs=")</f>
        <v>#VALUE!</v>
      </c>
      <c r="DE15" t="e">
        <f>AND('Planilla_General_29-11-2012_10_'!C218,"AAAAAH/X9Gw=")</f>
        <v>#VALUE!</v>
      </c>
      <c r="DF15" t="e">
        <f>AND('Planilla_General_29-11-2012_10_'!D218,"AAAAAH/X9G0=")</f>
        <v>#VALUE!</v>
      </c>
      <c r="DG15" t="e">
        <f>AND('Planilla_General_29-11-2012_10_'!E218,"AAAAAH/X9G4=")</f>
        <v>#VALUE!</v>
      </c>
      <c r="DH15" t="e">
        <f>AND('Planilla_General_29-11-2012_10_'!F218,"AAAAAH/X9G8=")</f>
        <v>#VALUE!</v>
      </c>
      <c r="DI15" t="e">
        <f>AND('Planilla_General_29-11-2012_10_'!G218,"AAAAAH/X9HA=")</f>
        <v>#VALUE!</v>
      </c>
      <c r="DJ15" t="e">
        <f>AND('Planilla_General_29-11-2012_10_'!H218,"AAAAAH/X9HE=")</f>
        <v>#VALUE!</v>
      </c>
      <c r="DK15" t="e">
        <f>AND('Planilla_General_29-11-2012_10_'!I218,"AAAAAH/X9HI=")</f>
        <v>#VALUE!</v>
      </c>
      <c r="DL15" t="e">
        <f>AND('Planilla_General_29-11-2012_10_'!J218,"AAAAAH/X9HM=")</f>
        <v>#VALUE!</v>
      </c>
      <c r="DM15" t="e">
        <f>AND('Planilla_General_29-11-2012_10_'!K218,"AAAAAH/X9HQ=")</f>
        <v>#VALUE!</v>
      </c>
      <c r="DN15" t="e">
        <f>AND('Planilla_General_29-11-2012_10_'!L218,"AAAAAH/X9HU=")</f>
        <v>#VALUE!</v>
      </c>
      <c r="DO15" t="e">
        <f>AND('Planilla_General_29-11-2012_10_'!M218,"AAAAAH/X9HY=")</f>
        <v>#VALUE!</v>
      </c>
      <c r="DP15" t="e">
        <f>AND('Planilla_General_29-11-2012_10_'!N218,"AAAAAH/X9Hc=")</f>
        <v>#VALUE!</v>
      </c>
      <c r="DQ15" t="e">
        <f>AND('Planilla_General_29-11-2012_10_'!O218,"AAAAAH/X9Hg=")</f>
        <v>#VALUE!</v>
      </c>
      <c r="DR15" t="e">
        <f>AND('Planilla_General_29-11-2012_10_'!P218,"AAAAAH/X9Hk=")</f>
        <v>#VALUE!</v>
      </c>
      <c r="DS15">
        <f>IF('Planilla_General_29-11-2012_10_'!219:219,"AAAAAH/X9Ho=",0)</f>
        <v>0</v>
      </c>
      <c r="DT15" t="e">
        <f>AND('Planilla_General_29-11-2012_10_'!A219,"AAAAAH/X9Hs=")</f>
        <v>#VALUE!</v>
      </c>
      <c r="DU15" t="e">
        <f>AND('Planilla_General_29-11-2012_10_'!B219,"AAAAAH/X9Hw=")</f>
        <v>#VALUE!</v>
      </c>
      <c r="DV15" t="e">
        <f>AND('Planilla_General_29-11-2012_10_'!C219,"AAAAAH/X9H0=")</f>
        <v>#VALUE!</v>
      </c>
      <c r="DW15" t="e">
        <f>AND('Planilla_General_29-11-2012_10_'!D219,"AAAAAH/X9H4=")</f>
        <v>#VALUE!</v>
      </c>
      <c r="DX15" t="e">
        <f>AND('Planilla_General_29-11-2012_10_'!E219,"AAAAAH/X9H8=")</f>
        <v>#VALUE!</v>
      </c>
      <c r="DY15" t="e">
        <f>AND('Planilla_General_29-11-2012_10_'!F219,"AAAAAH/X9IA=")</f>
        <v>#VALUE!</v>
      </c>
      <c r="DZ15" t="e">
        <f>AND('Planilla_General_29-11-2012_10_'!G219,"AAAAAH/X9IE=")</f>
        <v>#VALUE!</v>
      </c>
      <c r="EA15" t="e">
        <f>AND('Planilla_General_29-11-2012_10_'!H219,"AAAAAH/X9II=")</f>
        <v>#VALUE!</v>
      </c>
      <c r="EB15" t="e">
        <f>AND('Planilla_General_29-11-2012_10_'!I219,"AAAAAH/X9IM=")</f>
        <v>#VALUE!</v>
      </c>
      <c r="EC15" t="e">
        <f>AND('Planilla_General_29-11-2012_10_'!J219,"AAAAAH/X9IQ=")</f>
        <v>#VALUE!</v>
      </c>
      <c r="ED15" t="e">
        <f>AND('Planilla_General_29-11-2012_10_'!K219,"AAAAAH/X9IU=")</f>
        <v>#VALUE!</v>
      </c>
      <c r="EE15" t="e">
        <f>AND('Planilla_General_29-11-2012_10_'!L219,"AAAAAH/X9IY=")</f>
        <v>#VALUE!</v>
      </c>
      <c r="EF15" t="e">
        <f>AND('Planilla_General_29-11-2012_10_'!M219,"AAAAAH/X9Ic=")</f>
        <v>#VALUE!</v>
      </c>
      <c r="EG15" t="e">
        <f>AND('Planilla_General_29-11-2012_10_'!N219,"AAAAAH/X9Ig=")</f>
        <v>#VALUE!</v>
      </c>
      <c r="EH15" t="e">
        <f>AND('Planilla_General_29-11-2012_10_'!O219,"AAAAAH/X9Ik=")</f>
        <v>#VALUE!</v>
      </c>
      <c r="EI15" t="e">
        <f>AND('Planilla_General_29-11-2012_10_'!P219,"AAAAAH/X9Io=")</f>
        <v>#VALUE!</v>
      </c>
      <c r="EJ15">
        <f>IF('Planilla_General_29-11-2012_10_'!220:220,"AAAAAH/X9Is=",0)</f>
        <v>0</v>
      </c>
      <c r="EK15" t="e">
        <f>AND('Planilla_General_29-11-2012_10_'!A220,"AAAAAH/X9Iw=")</f>
        <v>#VALUE!</v>
      </c>
      <c r="EL15" t="e">
        <f>AND('Planilla_General_29-11-2012_10_'!B220,"AAAAAH/X9I0=")</f>
        <v>#VALUE!</v>
      </c>
      <c r="EM15" t="e">
        <f>AND('Planilla_General_29-11-2012_10_'!C220,"AAAAAH/X9I4=")</f>
        <v>#VALUE!</v>
      </c>
      <c r="EN15" t="e">
        <f>AND('Planilla_General_29-11-2012_10_'!D220,"AAAAAH/X9I8=")</f>
        <v>#VALUE!</v>
      </c>
      <c r="EO15" t="e">
        <f>AND('Planilla_General_29-11-2012_10_'!E220,"AAAAAH/X9JA=")</f>
        <v>#VALUE!</v>
      </c>
      <c r="EP15" t="e">
        <f>AND('Planilla_General_29-11-2012_10_'!F220,"AAAAAH/X9JE=")</f>
        <v>#VALUE!</v>
      </c>
      <c r="EQ15" t="e">
        <f>AND('Planilla_General_29-11-2012_10_'!G220,"AAAAAH/X9JI=")</f>
        <v>#VALUE!</v>
      </c>
      <c r="ER15" t="e">
        <f>AND('Planilla_General_29-11-2012_10_'!H220,"AAAAAH/X9JM=")</f>
        <v>#VALUE!</v>
      </c>
      <c r="ES15" t="e">
        <f>AND('Planilla_General_29-11-2012_10_'!I220,"AAAAAH/X9JQ=")</f>
        <v>#VALUE!</v>
      </c>
      <c r="ET15" t="e">
        <f>AND('Planilla_General_29-11-2012_10_'!J220,"AAAAAH/X9JU=")</f>
        <v>#VALUE!</v>
      </c>
      <c r="EU15" t="e">
        <f>AND('Planilla_General_29-11-2012_10_'!K220,"AAAAAH/X9JY=")</f>
        <v>#VALUE!</v>
      </c>
      <c r="EV15" t="e">
        <f>AND('Planilla_General_29-11-2012_10_'!L220,"AAAAAH/X9Jc=")</f>
        <v>#VALUE!</v>
      </c>
      <c r="EW15" t="e">
        <f>AND('Planilla_General_29-11-2012_10_'!M220,"AAAAAH/X9Jg=")</f>
        <v>#VALUE!</v>
      </c>
      <c r="EX15" t="e">
        <f>AND('Planilla_General_29-11-2012_10_'!N220,"AAAAAH/X9Jk=")</f>
        <v>#VALUE!</v>
      </c>
      <c r="EY15" t="e">
        <f>AND('Planilla_General_29-11-2012_10_'!O220,"AAAAAH/X9Jo=")</f>
        <v>#VALUE!</v>
      </c>
      <c r="EZ15" t="e">
        <f>AND('Planilla_General_29-11-2012_10_'!P220,"AAAAAH/X9Js=")</f>
        <v>#VALUE!</v>
      </c>
      <c r="FA15">
        <f>IF('Planilla_General_29-11-2012_10_'!221:221,"AAAAAH/X9Jw=",0)</f>
        <v>0</v>
      </c>
      <c r="FB15" t="e">
        <f>AND('Planilla_General_29-11-2012_10_'!A221,"AAAAAH/X9J0=")</f>
        <v>#VALUE!</v>
      </c>
      <c r="FC15" t="e">
        <f>AND('Planilla_General_29-11-2012_10_'!B221,"AAAAAH/X9J4=")</f>
        <v>#VALUE!</v>
      </c>
      <c r="FD15" t="e">
        <f>AND('Planilla_General_29-11-2012_10_'!C221,"AAAAAH/X9J8=")</f>
        <v>#VALUE!</v>
      </c>
      <c r="FE15" t="e">
        <f>AND('Planilla_General_29-11-2012_10_'!D221,"AAAAAH/X9KA=")</f>
        <v>#VALUE!</v>
      </c>
      <c r="FF15" t="e">
        <f>AND('Planilla_General_29-11-2012_10_'!E221,"AAAAAH/X9KE=")</f>
        <v>#VALUE!</v>
      </c>
      <c r="FG15" t="e">
        <f>AND('Planilla_General_29-11-2012_10_'!F221,"AAAAAH/X9KI=")</f>
        <v>#VALUE!</v>
      </c>
      <c r="FH15" t="e">
        <f>AND('Planilla_General_29-11-2012_10_'!G221,"AAAAAH/X9KM=")</f>
        <v>#VALUE!</v>
      </c>
      <c r="FI15" t="e">
        <f>AND('Planilla_General_29-11-2012_10_'!H221,"AAAAAH/X9KQ=")</f>
        <v>#VALUE!</v>
      </c>
      <c r="FJ15" t="e">
        <f>AND('Planilla_General_29-11-2012_10_'!I221,"AAAAAH/X9KU=")</f>
        <v>#VALUE!</v>
      </c>
      <c r="FK15" t="e">
        <f>AND('Planilla_General_29-11-2012_10_'!J221,"AAAAAH/X9KY=")</f>
        <v>#VALUE!</v>
      </c>
      <c r="FL15" t="e">
        <f>AND('Planilla_General_29-11-2012_10_'!K221,"AAAAAH/X9Kc=")</f>
        <v>#VALUE!</v>
      </c>
      <c r="FM15" t="e">
        <f>AND('Planilla_General_29-11-2012_10_'!L221,"AAAAAH/X9Kg=")</f>
        <v>#VALUE!</v>
      </c>
      <c r="FN15" t="e">
        <f>AND('Planilla_General_29-11-2012_10_'!M221,"AAAAAH/X9Kk=")</f>
        <v>#VALUE!</v>
      </c>
      <c r="FO15" t="e">
        <f>AND('Planilla_General_29-11-2012_10_'!N221,"AAAAAH/X9Ko=")</f>
        <v>#VALUE!</v>
      </c>
      <c r="FP15" t="e">
        <f>AND('Planilla_General_29-11-2012_10_'!O221,"AAAAAH/X9Ks=")</f>
        <v>#VALUE!</v>
      </c>
      <c r="FQ15" t="e">
        <f>AND('Planilla_General_29-11-2012_10_'!P221,"AAAAAH/X9Kw=")</f>
        <v>#VALUE!</v>
      </c>
      <c r="FR15">
        <f>IF('Planilla_General_29-11-2012_10_'!222:222,"AAAAAH/X9K0=",0)</f>
        <v>0</v>
      </c>
      <c r="FS15" t="e">
        <f>AND('Planilla_General_29-11-2012_10_'!A222,"AAAAAH/X9K4=")</f>
        <v>#VALUE!</v>
      </c>
      <c r="FT15" t="e">
        <f>AND('Planilla_General_29-11-2012_10_'!B222,"AAAAAH/X9K8=")</f>
        <v>#VALUE!</v>
      </c>
      <c r="FU15" t="e">
        <f>AND('Planilla_General_29-11-2012_10_'!C222,"AAAAAH/X9LA=")</f>
        <v>#VALUE!</v>
      </c>
      <c r="FV15" t="e">
        <f>AND('Planilla_General_29-11-2012_10_'!D222,"AAAAAH/X9LE=")</f>
        <v>#VALUE!</v>
      </c>
      <c r="FW15" t="e">
        <f>AND('Planilla_General_29-11-2012_10_'!E222,"AAAAAH/X9LI=")</f>
        <v>#VALUE!</v>
      </c>
      <c r="FX15" t="e">
        <f>AND('Planilla_General_29-11-2012_10_'!F222,"AAAAAH/X9LM=")</f>
        <v>#VALUE!</v>
      </c>
      <c r="FY15" t="e">
        <f>AND('Planilla_General_29-11-2012_10_'!G222,"AAAAAH/X9LQ=")</f>
        <v>#VALUE!</v>
      </c>
      <c r="FZ15" t="e">
        <f>AND('Planilla_General_29-11-2012_10_'!H222,"AAAAAH/X9LU=")</f>
        <v>#VALUE!</v>
      </c>
      <c r="GA15" t="e">
        <f>AND('Planilla_General_29-11-2012_10_'!I222,"AAAAAH/X9LY=")</f>
        <v>#VALUE!</v>
      </c>
      <c r="GB15" t="e">
        <f>AND('Planilla_General_29-11-2012_10_'!J222,"AAAAAH/X9Lc=")</f>
        <v>#VALUE!</v>
      </c>
      <c r="GC15" t="e">
        <f>AND('Planilla_General_29-11-2012_10_'!K222,"AAAAAH/X9Lg=")</f>
        <v>#VALUE!</v>
      </c>
      <c r="GD15" t="e">
        <f>AND('Planilla_General_29-11-2012_10_'!L222,"AAAAAH/X9Lk=")</f>
        <v>#VALUE!</v>
      </c>
      <c r="GE15" t="e">
        <f>AND('Planilla_General_29-11-2012_10_'!M222,"AAAAAH/X9Lo=")</f>
        <v>#VALUE!</v>
      </c>
      <c r="GF15" t="e">
        <f>AND('Planilla_General_29-11-2012_10_'!N222,"AAAAAH/X9Ls=")</f>
        <v>#VALUE!</v>
      </c>
      <c r="GG15" t="e">
        <f>AND('Planilla_General_29-11-2012_10_'!O222,"AAAAAH/X9Lw=")</f>
        <v>#VALUE!</v>
      </c>
      <c r="GH15" t="e">
        <f>AND('Planilla_General_29-11-2012_10_'!P222,"AAAAAH/X9L0=")</f>
        <v>#VALUE!</v>
      </c>
      <c r="GI15">
        <f>IF('Planilla_General_29-11-2012_10_'!223:223,"AAAAAH/X9L4=",0)</f>
        <v>0</v>
      </c>
      <c r="GJ15" t="e">
        <f>AND('Planilla_General_29-11-2012_10_'!A223,"AAAAAH/X9L8=")</f>
        <v>#VALUE!</v>
      </c>
      <c r="GK15" t="e">
        <f>AND('Planilla_General_29-11-2012_10_'!B223,"AAAAAH/X9MA=")</f>
        <v>#VALUE!</v>
      </c>
      <c r="GL15" t="e">
        <f>AND('Planilla_General_29-11-2012_10_'!C223,"AAAAAH/X9ME=")</f>
        <v>#VALUE!</v>
      </c>
      <c r="GM15" t="e">
        <f>AND('Planilla_General_29-11-2012_10_'!D223,"AAAAAH/X9MI=")</f>
        <v>#VALUE!</v>
      </c>
      <c r="GN15" t="e">
        <f>AND('Planilla_General_29-11-2012_10_'!E223,"AAAAAH/X9MM=")</f>
        <v>#VALUE!</v>
      </c>
      <c r="GO15" t="e">
        <f>AND('Planilla_General_29-11-2012_10_'!F223,"AAAAAH/X9MQ=")</f>
        <v>#VALUE!</v>
      </c>
      <c r="GP15" t="e">
        <f>AND('Planilla_General_29-11-2012_10_'!G223,"AAAAAH/X9MU=")</f>
        <v>#VALUE!</v>
      </c>
      <c r="GQ15" t="e">
        <f>AND('Planilla_General_29-11-2012_10_'!H223,"AAAAAH/X9MY=")</f>
        <v>#VALUE!</v>
      </c>
      <c r="GR15" t="e">
        <f>AND('Planilla_General_29-11-2012_10_'!I223,"AAAAAH/X9Mc=")</f>
        <v>#VALUE!</v>
      </c>
      <c r="GS15" t="e">
        <f>AND('Planilla_General_29-11-2012_10_'!J223,"AAAAAH/X9Mg=")</f>
        <v>#VALUE!</v>
      </c>
      <c r="GT15" t="e">
        <f>AND('Planilla_General_29-11-2012_10_'!K223,"AAAAAH/X9Mk=")</f>
        <v>#VALUE!</v>
      </c>
      <c r="GU15" t="e">
        <f>AND('Planilla_General_29-11-2012_10_'!L223,"AAAAAH/X9Mo=")</f>
        <v>#VALUE!</v>
      </c>
      <c r="GV15" t="e">
        <f>AND('Planilla_General_29-11-2012_10_'!M223,"AAAAAH/X9Ms=")</f>
        <v>#VALUE!</v>
      </c>
      <c r="GW15" t="e">
        <f>AND('Planilla_General_29-11-2012_10_'!N223,"AAAAAH/X9Mw=")</f>
        <v>#VALUE!</v>
      </c>
      <c r="GX15" t="e">
        <f>AND('Planilla_General_29-11-2012_10_'!O223,"AAAAAH/X9M0=")</f>
        <v>#VALUE!</v>
      </c>
      <c r="GY15" t="e">
        <f>AND('Planilla_General_29-11-2012_10_'!P223,"AAAAAH/X9M4=")</f>
        <v>#VALUE!</v>
      </c>
      <c r="GZ15">
        <f>IF('Planilla_General_29-11-2012_10_'!224:224,"AAAAAH/X9M8=",0)</f>
        <v>0</v>
      </c>
      <c r="HA15" t="e">
        <f>AND('Planilla_General_29-11-2012_10_'!A224,"AAAAAH/X9NA=")</f>
        <v>#VALUE!</v>
      </c>
      <c r="HB15" t="e">
        <f>AND('Planilla_General_29-11-2012_10_'!B224,"AAAAAH/X9NE=")</f>
        <v>#VALUE!</v>
      </c>
      <c r="HC15" t="e">
        <f>AND('Planilla_General_29-11-2012_10_'!C224,"AAAAAH/X9NI=")</f>
        <v>#VALUE!</v>
      </c>
      <c r="HD15" t="e">
        <f>AND('Planilla_General_29-11-2012_10_'!D224,"AAAAAH/X9NM=")</f>
        <v>#VALUE!</v>
      </c>
      <c r="HE15" t="e">
        <f>AND('Planilla_General_29-11-2012_10_'!E224,"AAAAAH/X9NQ=")</f>
        <v>#VALUE!</v>
      </c>
      <c r="HF15" t="e">
        <f>AND('Planilla_General_29-11-2012_10_'!F224,"AAAAAH/X9NU=")</f>
        <v>#VALUE!</v>
      </c>
      <c r="HG15" t="e">
        <f>AND('Planilla_General_29-11-2012_10_'!G224,"AAAAAH/X9NY=")</f>
        <v>#VALUE!</v>
      </c>
      <c r="HH15" t="e">
        <f>AND('Planilla_General_29-11-2012_10_'!H224,"AAAAAH/X9Nc=")</f>
        <v>#VALUE!</v>
      </c>
      <c r="HI15" t="e">
        <f>AND('Planilla_General_29-11-2012_10_'!I224,"AAAAAH/X9Ng=")</f>
        <v>#VALUE!</v>
      </c>
      <c r="HJ15" t="e">
        <f>AND('Planilla_General_29-11-2012_10_'!J224,"AAAAAH/X9Nk=")</f>
        <v>#VALUE!</v>
      </c>
      <c r="HK15" t="e">
        <f>AND('Planilla_General_29-11-2012_10_'!K224,"AAAAAH/X9No=")</f>
        <v>#VALUE!</v>
      </c>
      <c r="HL15" t="e">
        <f>AND('Planilla_General_29-11-2012_10_'!L224,"AAAAAH/X9Ns=")</f>
        <v>#VALUE!</v>
      </c>
      <c r="HM15" t="e">
        <f>AND('Planilla_General_29-11-2012_10_'!M224,"AAAAAH/X9Nw=")</f>
        <v>#VALUE!</v>
      </c>
      <c r="HN15" t="e">
        <f>AND('Planilla_General_29-11-2012_10_'!N224,"AAAAAH/X9N0=")</f>
        <v>#VALUE!</v>
      </c>
      <c r="HO15" t="e">
        <f>AND('Planilla_General_29-11-2012_10_'!O224,"AAAAAH/X9N4=")</f>
        <v>#VALUE!</v>
      </c>
      <c r="HP15" t="e">
        <f>AND('Planilla_General_29-11-2012_10_'!P224,"AAAAAH/X9N8=")</f>
        <v>#VALUE!</v>
      </c>
      <c r="HQ15">
        <f>IF('Planilla_General_29-11-2012_10_'!225:225,"AAAAAH/X9OA=",0)</f>
        <v>0</v>
      </c>
      <c r="HR15" t="e">
        <f>AND('Planilla_General_29-11-2012_10_'!A225,"AAAAAH/X9OE=")</f>
        <v>#VALUE!</v>
      </c>
      <c r="HS15" t="e">
        <f>AND('Planilla_General_29-11-2012_10_'!B225,"AAAAAH/X9OI=")</f>
        <v>#VALUE!</v>
      </c>
      <c r="HT15" t="e">
        <f>AND('Planilla_General_29-11-2012_10_'!C225,"AAAAAH/X9OM=")</f>
        <v>#VALUE!</v>
      </c>
      <c r="HU15" t="e">
        <f>AND('Planilla_General_29-11-2012_10_'!D225,"AAAAAH/X9OQ=")</f>
        <v>#VALUE!</v>
      </c>
      <c r="HV15" t="e">
        <f>AND('Planilla_General_29-11-2012_10_'!E225,"AAAAAH/X9OU=")</f>
        <v>#VALUE!</v>
      </c>
      <c r="HW15" t="e">
        <f>AND('Planilla_General_29-11-2012_10_'!F225,"AAAAAH/X9OY=")</f>
        <v>#VALUE!</v>
      </c>
      <c r="HX15" t="e">
        <f>AND('Planilla_General_29-11-2012_10_'!G225,"AAAAAH/X9Oc=")</f>
        <v>#VALUE!</v>
      </c>
      <c r="HY15" t="e">
        <f>AND('Planilla_General_29-11-2012_10_'!H225,"AAAAAH/X9Og=")</f>
        <v>#VALUE!</v>
      </c>
      <c r="HZ15" t="e">
        <f>AND('Planilla_General_29-11-2012_10_'!I225,"AAAAAH/X9Ok=")</f>
        <v>#VALUE!</v>
      </c>
      <c r="IA15" t="e">
        <f>AND('Planilla_General_29-11-2012_10_'!J225,"AAAAAH/X9Oo=")</f>
        <v>#VALUE!</v>
      </c>
      <c r="IB15" t="e">
        <f>AND('Planilla_General_29-11-2012_10_'!K225,"AAAAAH/X9Os=")</f>
        <v>#VALUE!</v>
      </c>
      <c r="IC15" t="e">
        <f>AND('Planilla_General_29-11-2012_10_'!L225,"AAAAAH/X9Ow=")</f>
        <v>#VALUE!</v>
      </c>
      <c r="ID15" t="e">
        <f>AND('Planilla_General_29-11-2012_10_'!M225,"AAAAAH/X9O0=")</f>
        <v>#VALUE!</v>
      </c>
      <c r="IE15" t="e">
        <f>AND('Planilla_General_29-11-2012_10_'!N225,"AAAAAH/X9O4=")</f>
        <v>#VALUE!</v>
      </c>
      <c r="IF15" t="e">
        <f>AND('Planilla_General_29-11-2012_10_'!O225,"AAAAAH/X9O8=")</f>
        <v>#VALUE!</v>
      </c>
      <c r="IG15" t="e">
        <f>AND('Planilla_General_29-11-2012_10_'!P225,"AAAAAH/X9PA=")</f>
        <v>#VALUE!</v>
      </c>
      <c r="IH15">
        <f>IF('Planilla_General_29-11-2012_10_'!226:226,"AAAAAH/X9PE=",0)</f>
        <v>0</v>
      </c>
      <c r="II15" t="e">
        <f>AND('Planilla_General_29-11-2012_10_'!A226,"AAAAAH/X9PI=")</f>
        <v>#VALUE!</v>
      </c>
      <c r="IJ15" t="e">
        <f>AND('Planilla_General_29-11-2012_10_'!B226,"AAAAAH/X9PM=")</f>
        <v>#VALUE!</v>
      </c>
      <c r="IK15" t="e">
        <f>AND('Planilla_General_29-11-2012_10_'!C226,"AAAAAH/X9PQ=")</f>
        <v>#VALUE!</v>
      </c>
      <c r="IL15" t="e">
        <f>AND('Planilla_General_29-11-2012_10_'!D226,"AAAAAH/X9PU=")</f>
        <v>#VALUE!</v>
      </c>
      <c r="IM15" t="e">
        <f>AND('Planilla_General_29-11-2012_10_'!E226,"AAAAAH/X9PY=")</f>
        <v>#VALUE!</v>
      </c>
      <c r="IN15" t="e">
        <f>AND('Planilla_General_29-11-2012_10_'!F226,"AAAAAH/X9Pc=")</f>
        <v>#VALUE!</v>
      </c>
      <c r="IO15" t="e">
        <f>AND('Planilla_General_29-11-2012_10_'!G226,"AAAAAH/X9Pg=")</f>
        <v>#VALUE!</v>
      </c>
      <c r="IP15" t="e">
        <f>AND('Planilla_General_29-11-2012_10_'!H226,"AAAAAH/X9Pk=")</f>
        <v>#VALUE!</v>
      </c>
      <c r="IQ15" t="e">
        <f>AND('Planilla_General_29-11-2012_10_'!I226,"AAAAAH/X9Po=")</f>
        <v>#VALUE!</v>
      </c>
      <c r="IR15" t="e">
        <f>AND('Planilla_General_29-11-2012_10_'!J226,"AAAAAH/X9Ps=")</f>
        <v>#VALUE!</v>
      </c>
      <c r="IS15" t="e">
        <f>AND('Planilla_General_29-11-2012_10_'!K226,"AAAAAH/X9Pw=")</f>
        <v>#VALUE!</v>
      </c>
      <c r="IT15" t="e">
        <f>AND('Planilla_General_29-11-2012_10_'!L226,"AAAAAH/X9P0=")</f>
        <v>#VALUE!</v>
      </c>
      <c r="IU15" t="e">
        <f>AND('Planilla_General_29-11-2012_10_'!M226,"AAAAAH/X9P4=")</f>
        <v>#VALUE!</v>
      </c>
      <c r="IV15" t="e">
        <f>AND('Planilla_General_29-11-2012_10_'!N226,"AAAAAH/X9P8=")</f>
        <v>#VALUE!</v>
      </c>
    </row>
    <row r="16" spans="1:256" x14ac:dyDescent="0.25">
      <c r="A16" t="e">
        <f>AND('Planilla_General_29-11-2012_10_'!O226,"AAAAADb55wA=")</f>
        <v>#VALUE!</v>
      </c>
      <c r="B16" t="e">
        <f>AND('Planilla_General_29-11-2012_10_'!P226,"AAAAADb55wE=")</f>
        <v>#VALUE!</v>
      </c>
      <c r="C16" t="str">
        <f>IF('Planilla_General_29-11-2012_10_'!227:227,"AAAAADb55wI=",0)</f>
        <v>AAAAADb55wI=</v>
      </c>
      <c r="D16" t="e">
        <f>AND('Planilla_General_29-11-2012_10_'!A227,"AAAAADb55wM=")</f>
        <v>#VALUE!</v>
      </c>
      <c r="E16" t="e">
        <f>AND('Planilla_General_29-11-2012_10_'!B227,"AAAAADb55wQ=")</f>
        <v>#VALUE!</v>
      </c>
      <c r="F16" t="e">
        <f>AND('Planilla_General_29-11-2012_10_'!C227,"AAAAADb55wU=")</f>
        <v>#VALUE!</v>
      </c>
      <c r="G16" t="e">
        <f>AND('Planilla_General_29-11-2012_10_'!D227,"AAAAADb55wY=")</f>
        <v>#VALUE!</v>
      </c>
      <c r="H16" t="e">
        <f>AND('Planilla_General_29-11-2012_10_'!E227,"AAAAADb55wc=")</f>
        <v>#VALUE!</v>
      </c>
      <c r="I16" t="e">
        <f>AND('Planilla_General_29-11-2012_10_'!F227,"AAAAADb55wg=")</f>
        <v>#VALUE!</v>
      </c>
      <c r="J16" t="e">
        <f>AND('Planilla_General_29-11-2012_10_'!G227,"AAAAADb55wk=")</f>
        <v>#VALUE!</v>
      </c>
      <c r="K16" t="e">
        <f>AND('Planilla_General_29-11-2012_10_'!H227,"AAAAADb55wo=")</f>
        <v>#VALUE!</v>
      </c>
      <c r="L16" t="e">
        <f>AND('Planilla_General_29-11-2012_10_'!I227,"AAAAADb55ws=")</f>
        <v>#VALUE!</v>
      </c>
      <c r="M16" t="e">
        <f>AND('Planilla_General_29-11-2012_10_'!J227,"AAAAADb55ww=")</f>
        <v>#VALUE!</v>
      </c>
      <c r="N16" t="e">
        <f>AND('Planilla_General_29-11-2012_10_'!K227,"AAAAADb55w0=")</f>
        <v>#VALUE!</v>
      </c>
      <c r="O16" t="e">
        <f>AND('Planilla_General_29-11-2012_10_'!L227,"AAAAADb55w4=")</f>
        <v>#VALUE!</v>
      </c>
      <c r="P16" t="e">
        <f>AND('Planilla_General_29-11-2012_10_'!M227,"AAAAADb55w8=")</f>
        <v>#VALUE!</v>
      </c>
      <c r="Q16" t="e">
        <f>AND('Planilla_General_29-11-2012_10_'!N227,"AAAAADb55xA=")</f>
        <v>#VALUE!</v>
      </c>
      <c r="R16" t="e">
        <f>AND('Planilla_General_29-11-2012_10_'!O227,"AAAAADb55xE=")</f>
        <v>#VALUE!</v>
      </c>
      <c r="S16" t="e">
        <f>AND('Planilla_General_29-11-2012_10_'!P227,"AAAAADb55xI=")</f>
        <v>#VALUE!</v>
      </c>
      <c r="T16">
        <f>IF('Planilla_General_29-11-2012_10_'!228:228,"AAAAADb55xM=",0)</f>
        <v>0</v>
      </c>
      <c r="U16" t="e">
        <f>AND('Planilla_General_29-11-2012_10_'!A228,"AAAAADb55xQ=")</f>
        <v>#VALUE!</v>
      </c>
      <c r="V16" t="e">
        <f>AND('Planilla_General_29-11-2012_10_'!B228,"AAAAADb55xU=")</f>
        <v>#VALUE!</v>
      </c>
      <c r="W16" t="e">
        <f>AND('Planilla_General_29-11-2012_10_'!C228,"AAAAADb55xY=")</f>
        <v>#VALUE!</v>
      </c>
      <c r="X16" t="e">
        <f>AND('Planilla_General_29-11-2012_10_'!D228,"AAAAADb55xc=")</f>
        <v>#VALUE!</v>
      </c>
      <c r="Y16" t="e">
        <f>AND('Planilla_General_29-11-2012_10_'!E228,"AAAAADb55xg=")</f>
        <v>#VALUE!</v>
      </c>
      <c r="Z16" t="e">
        <f>AND('Planilla_General_29-11-2012_10_'!F228,"AAAAADb55xk=")</f>
        <v>#VALUE!</v>
      </c>
      <c r="AA16" t="e">
        <f>AND('Planilla_General_29-11-2012_10_'!G228,"AAAAADb55xo=")</f>
        <v>#VALUE!</v>
      </c>
      <c r="AB16" t="e">
        <f>AND('Planilla_General_29-11-2012_10_'!H228,"AAAAADb55xs=")</f>
        <v>#VALUE!</v>
      </c>
      <c r="AC16" t="e">
        <f>AND('Planilla_General_29-11-2012_10_'!I228,"AAAAADb55xw=")</f>
        <v>#VALUE!</v>
      </c>
      <c r="AD16" t="e">
        <f>AND('Planilla_General_29-11-2012_10_'!J228,"AAAAADb55x0=")</f>
        <v>#VALUE!</v>
      </c>
      <c r="AE16" t="e">
        <f>AND('Planilla_General_29-11-2012_10_'!K228,"AAAAADb55x4=")</f>
        <v>#VALUE!</v>
      </c>
      <c r="AF16" t="e">
        <f>AND('Planilla_General_29-11-2012_10_'!L228,"AAAAADb55x8=")</f>
        <v>#VALUE!</v>
      </c>
      <c r="AG16" t="e">
        <f>AND('Planilla_General_29-11-2012_10_'!M228,"AAAAADb55yA=")</f>
        <v>#VALUE!</v>
      </c>
      <c r="AH16" t="e">
        <f>AND('Planilla_General_29-11-2012_10_'!N228,"AAAAADb55yE=")</f>
        <v>#VALUE!</v>
      </c>
      <c r="AI16" t="e">
        <f>AND('Planilla_General_29-11-2012_10_'!O228,"AAAAADb55yI=")</f>
        <v>#VALUE!</v>
      </c>
      <c r="AJ16" t="e">
        <f>AND('Planilla_General_29-11-2012_10_'!P228,"AAAAADb55yM=")</f>
        <v>#VALUE!</v>
      </c>
      <c r="AK16">
        <f>IF('Planilla_General_29-11-2012_10_'!229:229,"AAAAADb55yQ=",0)</f>
        <v>0</v>
      </c>
      <c r="AL16" t="e">
        <f>AND('Planilla_General_29-11-2012_10_'!A229,"AAAAADb55yU=")</f>
        <v>#VALUE!</v>
      </c>
      <c r="AM16" t="e">
        <f>AND('Planilla_General_29-11-2012_10_'!B229,"AAAAADb55yY=")</f>
        <v>#VALUE!</v>
      </c>
      <c r="AN16" t="e">
        <f>AND('Planilla_General_29-11-2012_10_'!C229,"AAAAADb55yc=")</f>
        <v>#VALUE!</v>
      </c>
      <c r="AO16" t="e">
        <f>AND('Planilla_General_29-11-2012_10_'!D229,"AAAAADb55yg=")</f>
        <v>#VALUE!</v>
      </c>
      <c r="AP16" t="e">
        <f>AND('Planilla_General_29-11-2012_10_'!E229,"AAAAADb55yk=")</f>
        <v>#VALUE!</v>
      </c>
      <c r="AQ16" t="e">
        <f>AND('Planilla_General_29-11-2012_10_'!F229,"AAAAADb55yo=")</f>
        <v>#VALUE!</v>
      </c>
      <c r="AR16" t="e">
        <f>AND('Planilla_General_29-11-2012_10_'!G229,"AAAAADb55ys=")</f>
        <v>#VALUE!</v>
      </c>
      <c r="AS16" t="e">
        <f>AND('Planilla_General_29-11-2012_10_'!H229,"AAAAADb55yw=")</f>
        <v>#VALUE!</v>
      </c>
      <c r="AT16" t="e">
        <f>AND('Planilla_General_29-11-2012_10_'!I229,"AAAAADb55y0=")</f>
        <v>#VALUE!</v>
      </c>
      <c r="AU16" t="e">
        <f>AND('Planilla_General_29-11-2012_10_'!J229,"AAAAADb55y4=")</f>
        <v>#VALUE!</v>
      </c>
      <c r="AV16" t="e">
        <f>AND('Planilla_General_29-11-2012_10_'!K229,"AAAAADb55y8=")</f>
        <v>#VALUE!</v>
      </c>
      <c r="AW16" t="e">
        <f>AND('Planilla_General_29-11-2012_10_'!L229,"AAAAADb55zA=")</f>
        <v>#VALUE!</v>
      </c>
      <c r="AX16" t="e">
        <f>AND('Planilla_General_29-11-2012_10_'!M229,"AAAAADb55zE=")</f>
        <v>#VALUE!</v>
      </c>
      <c r="AY16" t="e">
        <f>AND('Planilla_General_29-11-2012_10_'!N229,"AAAAADb55zI=")</f>
        <v>#VALUE!</v>
      </c>
      <c r="AZ16" t="e">
        <f>AND('Planilla_General_29-11-2012_10_'!O229,"AAAAADb55zM=")</f>
        <v>#VALUE!</v>
      </c>
      <c r="BA16" t="e">
        <f>AND('Planilla_General_29-11-2012_10_'!P229,"AAAAADb55zQ=")</f>
        <v>#VALUE!</v>
      </c>
      <c r="BB16">
        <f>IF('Planilla_General_29-11-2012_10_'!230:230,"AAAAADb55zU=",0)</f>
        <v>0</v>
      </c>
      <c r="BC16" t="e">
        <f>AND('Planilla_General_29-11-2012_10_'!A230,"AAAAADb55zY=")</f>
        <v>#VALUE!</v>
      </c>
      <c r="BD16" t="e">
        <f>AND('Planilla_General_29-11-2012_10_'!B230,"AAAAADb55zc=")</f>
        <v>#VALUE!</v>
      </c>
      <c r="BE16" t="e">
        <f>AND('Planilla_General_29-11-2012_10_'!C230,"AAAAADb55zg=")</f>
        <v>#VALUE!</v>
      </c>
      <c r="BF16" t="e">
        <f>AND('Planilla_General_29-11-2012_10_'!D230,"AAAAADb55zk=")</f>
        <v>#VALUE!</v>
      </c>
      <c r="BG16" t="e">
        <f>AND('Planilla_General_29-11-2012_10_'!E230,"AAAAADb55zo=")</f>
        <v>#VALUE!</v>
      </c>
      <c r="BH16" t="e">
        <f>AND('Planilla_General_29-11-2012_10_'!F230,"AAAAADb55zs=")</f>
        <v>#VALUE!</v>
      </c>
      <c r="BI16" t="e">
        <f>AND('Planilla_General_29-11-2012_10_'!G230,"AAAAADb55zw=")</f>
        <v>#VALUE!</v>
      </c>
      <c r="BJ16" t="e">
        <f>AND('Planilla_General_29-11-2012_10_'!H230,"AAAAADb55z0=")</f>
        <v>#VALUE!</v>
      </c>
      <c r="BK16" t="e">
        <f>AND('Planilla_General_29-11-2012_10_'!I230,"AAAAADb55z4=")</f>
        <v>#VALUE!</v>
      </c>
      <c r="BL16" t="e">
        <f>AND('Planilla_General_29-11-2012_10_'!J230,"AAAAADb55z8=")</f>
        <v>#VALUE!</v>
      </c>
      <c r="BM16" t="e">
        <f>AND('Planilla_General_29-11-2012_10_'!K230,"AAAAADb550A=")</f>
        <v>#VALUE!</v>
      </c>
      <c r="BN16" t="e">
        <f>AND('Planilla_General_29-11-2012_10_'!L230,"AAAAADb550E=")</f>
        <v>#VALUE!</v>
      </c>
      <c r="BO16" t="e">
        <f>AND('Planilla_General_29-11-2012_10_'!M230,"AAAAADb550I=")</f>
        <v>#VALUE!</v>
      </c>
      <c r="BP16" t="e">
        <f>AND('Planilla_General_29-11-2012_10_'!N230,"AAAAADb550M=")</f>
        <v>#VALUE!</v>
      </c>
      <c r="BQ16" t="e">
        <f>AND('Planilla_General_29-11-2012_10_'!O230,"AAAAADb550Q=")</f>
        <v>#VALUE!</v>
      </c>
      <c r="BR16" t="e">
        <f>AND('Planilla_General_29-11-2012_10_'!P230,"AAAAADb550U=")</f>
        <v>#VALUE!</v>
      </c>
      <c r="BS16">
        <f>IF('Planilla_General_29-11-2012_10_'!231:231,"AAAAADb550Y=",0)</f>
        <v>0</v>
      </c>
      <c r="BT16" t="e">
        <f>AND('Planilla_General_29-11-2012_10_'!A231,"AAAAADb550c=")</f>
        <v>#VALUE!</v>
      </c>
      <c r="BU16" t="e">
        <f>AND('Planilla_General_29-11-2012_10_'!B231,"AAAAADb550g=")</f>
        <v>#VALUE!</v>
      </c>
      <c r="BV16" t="e">
        <f>AND('Planilla_General_29-11-2012_10_'!C231,"AAAAADb550k=")</f>
        <v>#VALUE!</v>
      </c>
      <c r="BW16" t="e">
        <f>AND('Planilla_General_29-11-2012_10_'!D231,"AAAAADb550o=")</f>
        <v>#VALUE!</v>
      </c>
      <c r="BX16" t="e">
        <f>AND('Planilla_General_29-11-2012_10_'!E231,"AAAAADb550s=")</f>
        <v>#VALUE!</v>
      </c>
      <c r="BY16" t="e">
        <f>AND('Planilla_General_29-11-2012_10_'!F231,"AAAAADb550w=")</f>
        <v>#VALUE!</v>
      </c>
      <c r="BZ16" t="e">
        <f>AND('Planilla_General_29-11-2012_10_'!G231,"AAAAADb5500=")</f>
        <v>#VALUE!</v>
      </c>
      <c r="CA16" t="e">
        <f>AND('Planilla_General_29-11-2012_10_'!H231,"AAAAADb5504=")</f>
        <v>#VALUE!</v>
      </c>
      <c r="CB16" t="e">
        <f>AND('Planilla_General_29-11-2012_10_'!I231,"AAAAADb5508=")</f>
        <v>#VALUE!</v>
      </c>
      <c r="CC16" t="e">
        <f>AND('Planilla_General_29-11-2012_10_'!J231,"AAAAADb551A=")</f>
        <v>#VALUE!</v>
      </c>
      <c r="CD16" t="e">
        <f>AND('Planilla_General_29-11-2012_10_'!K231,"AAAAADb551E=")</f>
        <v>#VALUE!</v>
      </c>
      <c r="CE16" t="e">
        <f>AND('Planilla_General_29-11-2012_10_'!L231,"AAAAADb551I=")</f>
        <v>#VALUE!</v>
      </c>
      <c r="CF16" t="e">
        <f>AND('Planilla_General_29-11-2012_10_'!M231,"AAAAADb551M=")</f>
        <v>#VALUE!</v>
      </c>
      <c r="CG16" t="e">
        <f>AND('Planilla_General_29-11-2012_10_'!N231,"AAAAADb551Q=")</f>
        <v>#VALUE!</v>
      </c>
      <c r="CH16" t="e">
        <f>AND('Planilla_General_29-11-2012_10_'!O231,"AAAAADb551U=")</f>
        <v>#VALUE!</v>
      </c>
      <c r="CI16" t="e">
        <f>AND('Planilla_General_29-11-2012_10_'!P231,"AAAAADb551Y=")</f>
        <v>#VALUE!</v>
      </c>
      <c r="CJ16">
        <f>IF('Planilla_General_29-11-2012_10_'!232:232,"AAAAADb551c=",0)</f>
        <v>0</v>
      </c>
      <c r="CK16" t="e">
        <f>AND('Planilla_General_29-11-2012_10_'!A232,"AAAAADb551g=")</f>
        <v>#VALUE!</v>
      </c>
      <c r="CL16" t="e">
        <f>AND('Planilla_General_29-11-2012_10_'!B232,"AAAAADb551k=")</f>
        <v>#VALUE!</v>
      </c>
      <c r="CM16" t="e">
        <f>AND('Planilla_General_29-11-2012_10_'!C232,"AAAAADb551o=")</f>
        <v>#VALUE!</v>
      </c>
      <c r="CN16" t="e">
        <f>AND('Planilla_General_29-11-2012_10_'!D232,"AAAAADb551s=")</f>
        <v>#VALUE!</v>
      </c>
      <c r="CO16" t="e">
        <f>AND('Planilla_General_29-11-2012_10_'!E232,"AAAAADb551w=")</f>
        <v>#VALUE!</v>
      </c>
      <c r="CP16" t="e">
        <f>AND('Planilla_General_29-11-2012_10_'!F232,"AAAAADb5510=")</f>
        <v>#VALUE!</v>
      </c>
      <c r="CQ16" t="e">
        <f>AND('Planilla_General_29-11-2012_10_'!G232,"AAAAADb5514=")</f>
        <v>#VALUE!</v>
      </c>
      <c r="CR16" t="e">
        <f>AND('Planilla_General_29-11-2012_10_'!H232,"AAAAADb5518=")</f>
        <v>#VALUE!</v>
      </c>
      <c r="CS16" t="e">
        <f>AND('Planilla_General_29-11-2012_10_'!I232,"AAAAADb552A=")</f>
        <v>#VALUE!</v>
      </c>
      <c r="CT16" t="e">
        <f>AND('Planilla_General_29-11-2012_10_'!J232,"AAAAADb552E=")</f>
        <v>#VALUE!</v>
      </c>
      <c r="CU16" t="e">
        <f>AND('Planilla_General_29-11-2012_10_'!K232,"AAAAADb552I=")</f>
        <v>#VALUE!</v>
      </c>
      <c r="CV16" t="e">
        <f>AND('Planilla_General_29-11-2012_10_'!L232,"AAAAADb552M=")</f>
        <v>#VALUE!</v>
      </c>
      <c r="CW16" t="e">
        <f>AND('Planilla_General_29-11-2012_10_'!M232,"AAAAADb552Q=")</f>
        <v>#VALUE!</v>
      </c>
      <c r="CX16" t="e">
        <f>AND('Planilla_General_29-11-2012_10_'!N232,"AAAAADb552U=")</f>
        <v>#VALUE!</v>
      </c>
      <c r="CY16" t="e">
        <f>AND('Planilla_General_29-11-2012_10_'!O232,"AAAAADb552Y=")</f>
        <v>#VALUE!</v>
      </c>
      <c r="CZ16" t="e">
        <f>AND('Planilla_General_29-11-2012_10_'!P232,"AAAAADb552c=")</f>
        <v>#VALUE!</v>
      </c>
      <c r="DA16">
        <f>IF('Planilla_General_29-11-2012_10_'!233:233,"AAAAADb552g=",0)</f>
        <v>0</v>
      </c>
      <c r="DB16" t="e">
        <f>AND('Planilla_General_29-11-2012_10_'!A233,"AAAAADb552k=")</f>
        <v>#VALUE!</v>
      </c>
      <c r="DC16" t="e">
        <f>AND('Planilla_General_29-11-2012_10_'!B233,"AAAAADb552o=")</f>
        <v>#VALUE!</v>
      </c>
      <c r="DD16" t="e">
        <f>AND('Planilla_General_29-11-2012_10_'!C233,"AAAAADb552s=")</f>
        <v>#VALUE!</v>
      </c>
      <c r="DE16" t="e">
        <f>AND('Planilla_General_29-11-2012_10_'!D233,"AAAAADb552w=")</f>
        <v>#VALUE!</v>
      </c>
      <c r="DF16" t="e">
        <f>AND('Planilla_General_29-11-2012_10_'!E233,"AAAAADb5520=")</f>
        <v>#VALUE!</v>
      </c>
      <c r="DG16" t="e">
        <f>AND('Planilla_General_29-11-2012_10_'!F233,"AAAAADb5524=")</f>
        <v>#VALUE!</v>
      </c>
      <c r="DH16" t="e">
        <f>AND('Planilla_General_29-11-2012_10_'!G233,"AAAAADb5528=")</f>
        <v>#VALUE!</v>
      </c>
      <c r="DI16" t="e">
        <f>AND('Planilla_General_29-11-2012_10_'!H233,"AAAAADb553A=")</f>
        <v>#VALUE!</v>
      </c>
      <c r="DJ16" t="e">
        <f>AND('Planilla_General_29-11-2012_10_'!I233,"AAAAADb553E=")</f>
        <v>#VALUE!</v>
      </c>
      <c r="DK16" t="e">
        <f>AND('Planilla_General_29-11-2012_10_'!J233,"AAAAADb553I=")</f>
        <v>#VALUE!</v>
      </c>
      <c r="DL16" t="e">
        <f>AND('Planilla_General_29-11-2012_10_'!K233,"AAAAADb553M=")</f>
        <v>#VALUE!</v>
      </c>
      <c r="DM16" t="e">
        <f>AND('Planilla_General_29-11-2012_10_'!L233,"AAAAADb553Q=")</f>
        <v>#VALUE!</v>
      </c>
      <c r="DN16" t="e">
        <f>AND('Planilla_General_29-11-2012_10_'!M233,"AAAAADb553U=")</f>
        <v>#VALUE!</v>
      </c>
      <c r="DO16" t="e">
        <f>AND('Planilla_General_29-11-2012_10_'!N233,"AAAAADb553Y=")</f>
        <v>#VALUE!</v>
      </c>
      <c r="DP16" t="e">
        <f>AND('Planilla_General_29-11-2012_10_'!O233,"AAAAADb553c=")</f>
        <v>#VALUE!</v>
      </c>
      <c r="DQ16" t="e">
        <f>AND('Planilla_General_29-11-2012_10_'!P233,"AAAAADb553g=")</f>
        <v>#VALUE!</v>
      </c>
      <c r="DR16">
        <f>IF('Planilla_General_29-11-2012_10_'!234:234,"AAAAADb553k=",0)</f>
        <v>0</v>
      </c>
      <c r="DS16" t="e">
        <f>AND('Planilla_General_29-11-2012_10_'!A234,"AAAAADb553o=")</f>
        <v>#VALUE!</v>
      </c>
      <c r="DT16" t="e">
        <f>AND('Planilla_General_29-11-2012_10_'!B234,"AAAAADb553s=")</f>
        <v>#VALUE!</v>
      </c>
      <c r="DU16" t="e">
        <f>AND('Planilla_General_29-11-2012_10_'!C234,"AAAAADb553w=")</f>
        <v>#VALUE!</v>
      </c>
      <c r="DV16" t="e">
        <f>AND('Planilla_General_29-11-2012_10_'!D234,"AAAAADb5530=")</f>
        <v>#VALUE!</v>
      </c>
      <c r="DW16" t="e">
        <f>AND('Planilla_General_29-11-2012_10_'!E234,"AAAAADb5534=")</f>
        <v>#VALUE!</v>
      </c>
      <c r="DX16" t="e">
        <f>AND('Planilla_General_29-11-2012_10_'!F234,"AAAAADb5538=")</f>
        <v>#VALUE!</v>
      </c>
      <c r="DY16" t="e">
        <f>AND('Planilla_General_29-11-2012_10_'!G234,"AAAAADb554A=")</f>
        <v>#VALUE!</v>
      </c>
      <c r="DZ16" t="e">
        <f>AND('Planilla_General_29-11-2012_10_'!H234,"AAAAADb554E=")</f>
        <v>#VALUE!</v>
      </c>
      <c r="EA16" t="e">
        <f>AND('Planilla_General_29-11-2012_10_'!I234,"AAAAADb554I=")</f>
        <v>#VALUE!</v>
      </c>
      <c r="EB16" t="e">
        <f>AND('Planilla_General_29-11-2012_10_'!J234,"AAAAADb554M=")</f>
        <v>#VALUE!</v>
      </c>
      <c r="EC16" t="e">
        <f>AND('Planilla_General_29-11-2012_10_'!K234,"AAAAADb554Q=")</f>
        <v>#VALUE!</v>
      </c>
      <c r="ED16" t="e">
        <f>AND('Planilla_General_29-11-2012_10_'!L234,"AAAAADb554U=")</f>
        <v>#VALUE!</v>
      </c>
      <c r="EE16" t="e">
        <f>AND('Planilla_General_29-11-2012_10_'!M234,"AAAAADb554Y=")</f>
        <v>#VALUE!</v>
      </c>
      <c r="EF16" t="e">
        <f>AND('Planilla_General_29-11-2012_10_'!N234,"AAAAADb554c=")</f>
        <v>#VALUE!</v>
      </c>
      <c r="EG16" t="e">
        <f>AND('Planilla_General_29-11-2012_10_'!O234,"AAAAADb554g=")</f>
        <v>#VALUE!</v>
      </c>
      <c r="EH16" t="e">
        <f>AND('Planilla_General_29-11-2012_10_'!P234,"AAAAADb554k=")</f>
        <v>#VALUE!</v>
      </c>
      <c r="EI16">
        <f>IF('Planilla_General_29-11-2012_10_'!235:235,"AAAAADb554o=",0)</f>
        <v>0</v>
      </c>
      <c r="EJ16" t="e">
        <f>AND('Planilla_General_29-11-2012_10_'!A235,"AAAAADb554s=")</f>
        <v>#VALUE!</v>
      </c>
      <c r="EK16" t="e">
        <f>AND('Planilla_General_29-11-2012_10_'!B235,"AAAAADb554w=")</f>
        <v>#VALUE!</v>
      </c>
      <c r="EL16" t="e">
        <f>AND('Planilla_General_29-11-2012_10_'!C235,"AAAAADb5540=")</f>
        <v>#VALUE!</v>
      </c>
      <c r="EM16" t="e">
        <f>AND('Planilla_General_29-11-2012_10_'!D235,"AAAAADb5544=")</f>
        <v>#VALUE!</v>
      </c>
      <c r="EN16" t="e">
        <f>AND('Planilla_General_29-11-2012_10_'!E235,"AAAAADb5548=")</f>
        <v>#VALUE!</v>
      </c>
      <c r="EO16" t="e">
        <f>AND('Planilla_General_29-11-2012_10_'!F235,"AAAAADb555A=")</f>
        <v>#VALUE!</v>
      </c>
      <c r="EP16" t="e">
        <f>AND('Planilla_General_29-11-2012_10_'!G235,"AAAAADb555E=")</f>
        <v>#VALUE!</v>
      </c>
      <c r="EQ16" t="e">
        <f>AND('Planilla_General_29-11-2012_10_'!H235,"AAAAADb555I=")</f>
        <v>#VALUE!</v>
      </c>
      <c r="ER16" t="e">
        <f>AND('Planilla_General_29-11-2012_10_'!I235,"AAAAADb555M=")</f>
        <v>#VALUE!</v>
      </c>
      <c r="ES16" t="e">
        <f>AND('Planilla_General_29-11-2012_10_'!J235,"AAAAADb555Q=")</f>
        <v>#VALUE!</v>
      </c>
      <c r="ET16" t="e">
        <f>AND('Planilla_General_29-11-2012_10_'!K235,"AAAAADb555U=")</f>
        <v>#VALUE!</v>
      </c>
      <c r="EU16" t="e">
        <f>AND('Planilla_General_29-11-2012_10_'!L235,"AAAAADb555Y=")</f>
        <v>#VALUE!</v>
      </c>
      <c r="EV16" t="e">
        <f>AND('Planilla_General_29-11-2012_10_'!M235,"AAAAADb555c=")</f>
        <v>#VALUE!</v>
      </c>
      <c r="EW16" t="e">
        <f>AND('Planilla_General_29-11-2012_10_'!N235,"AAAAADb555g=")</f>
        <v>#VALUE!</v>
      </c>
      <c r="EX16" t="e">
        <f>AND('Planilla_General_29-11-2012_10_'!O235,"AAAAADb555k=")</f>
        <v>#VALUE!</v>
      </c>
      <c r="EY16" t="e">
        <f>AND('Planilla_General_29-11-2012_10_'!P235,"AAAAADb555o=")</f>
        <v>#VALUE!</v>
      </c>
      <c r="EZ16">
        <f>IF('Planilla_General_29-11-2012_10_'!236:236,"AAAAADb555s=",0)</f>
        <v>0</v>
      </c>
      <c r="FA16" t="e">
        <f>AND('Planilla_General_29-11-2012_10_'!A236,"AAAAADb555w=")</f>
        <v>#VALUE!</v>
      </c>
      <c r="FB16" t="e">
        <f>AND('Planilla_General_29-11-2012_10_'!B236,"AAAAADb5550=")</f>
        <v>#VALUE!</v>
      </c>
      <c r="FC16" t="e">
        <f>AND('Planilla_General_29-11-2012_10_'!C236,"AAAAADb5554=")</f>
        <v>#VALUE!</v>
      </c>
      <c r="FD16" t="e">
        <f>AND('Planilla_General_29-11-2012_10_'!D236,"AAAAADb5558=")</f>
        <v>#VALUE!</v>
      </c>
      <c r="FE16" t="e">
        <f>AND('Planilla_General_29-11-2012_10_'!E236,"AAAAADb556A=")</f>
        <v>#VALUE!</v>
      </c>
      <c r="FF16" t="e">
        <f>AND('Planilla_General_29-11-2012_10_'!F236,"AAAAADb556E=")</f>
        <v>#VALUE!</v>
      </c>
      <c r="FG16" t="e">
        <f>AND('Planilla_General_29-11-2012_10_'!G236,"AAAAADb556I=")</f>
        <v>#VALUE!</v>
      </c>
      <c r="FH16" t="e">
        <f>AND('Planilla_General_29-11-2012_10_'!H236,"AAAAADb556M=")</f>
        <v>#VALUE!</v>
      </c>
      <c r="FI16" t="e">
        <f>AND('Planilla_General_29-11-2012_10_'!I236,"AAAAADb556Q=")</f>
        <v>#VALUE!</v>
      </c>
      <c r="FJ16" t="e">
        <f>AND('Planilla_General_29-11-2012_10_'!J236,"AAAAADb556U=")</f>
        <v>#VALUE!</v>
      </c>
      <c r="FK16" t="e">
        <f>AND('Planilla_General_29-11-2012_10_'!K236,"AAAAADb556Y=")</f>
        <v>#VALUE!</v>
      </c>
      <c r="FL16" t="e">
        <f>AND('Planilla_General_29-11-2012_10_'!L236,"AAAAADb556c=")</f>
        <v>#VALUE!</v>
      </c>
      <c r="FM16" t="e">
        <f>AND('Planilla_General_29-11-2012_10_'!M236,"AAAAADb556g=")</f>
        <v>#VALUE!</v>
      </c>
      <c r="FN16" t="e">
        <f>AND('Planilla_General_29-11-2012_10_'!N236,"AAAAADb556k=")</f>
        <v>#VALUE!</v>
      </c>
      <c r="FO16" t="e">
        <f>AND('Planilla_General_29-11-2012_10_'!O236,"AAAAADb556o=")</f>
        <v>#VALUE!</v>
      </c>
      <c r="FP16" t="e">
        <f>AND('Planilla_General_29-11-2012_10_'!P236,"AAAAADb556s=")</f>
        <v>#VALUE!</v>
      </c>
      <c r="FQ16">
        <f>IF('Planilla_General_29-11-2012_10_'!237:237,"AAAAADb556w=",0)</f>
        <v>0</v>
      </c>
      <c r="FR16" t="e">
        <f>AND('Planilla_General_29-11-2012_10_'!A237,"AAAAADb5560=")</f>
        <v>#VALUE!</v>
      </c>
      <c r="FS16" t="e">
        <f>AND('Planilla_General_29-11-2012_10_'!B237,"AAAAADb5564=")</f>
        <v>#VALUE!</v>
      </c>
      <c r="FT16" t="e">
        <f>AND('Planilla_General_29-11-2012_10_'!C237,"AAAAADb5568=")</f>
        <v>#VALUE!</v>
      </c>
      <c r="FU16" t="e">
        <f>AND('Planilla_General_29-11-2012_10_'!D237,"AAAAADb557A=")</f>
        <v>#VALUE!</v>
      </c>
      <c r="FV16" t="e">
        <f>AND('Planilla_General_29-11-2012_10_'!E237,"AAAAADb557E=")</f>
        <v>#VALUE!</v>
      </c>
      <c r="FW16" t="e">
        <f>AND('Planilla_General_29-11-2012_10_'!F237,"AAAAADb557I=")</f>
        <v>#VALUE!</v>
      </c>
      <c r="FX16" t="e">
        <f>AND('Planilla_General_29-11-2012_10_'!G237,"AAAAADb557M=")</f>
        <v>#VALUE!</v>
      </c>
      <c r="FY16" t="e">
        <f>AND('Planilla_General_29-11-2012_10_'!H237,"AAAAADb557Q=")</f>
        <v>#VALUE!</v>
      </c>
      <c r="FZ16" t="e">
        <f>AND('Planilla_General_29-11-2012_10_'!I237,"AAAAADb557U=")</f>
        <v>#VALUE!</v>
      </c>
      <c r="GA16" t="e">
        <f>AND('Planilla_General_29-11-2012_10_'!J237,"AAAAADb557Y=")</f>
        <v>#VALUE!</v>
      </c>
      <c r="GB16" t="e">
        <f>AND('Planilla_General_29-11-2012_10_'!K237,"AAAAADb557c=")</f>
        <v>#VALUE!</v>
      </c>
      <c r="GC16" t="e">
        <f>AND('Planilla_General_29-11-2012_10_'!L237,"AAAAADb557g=")</f>
        <v>#VALUE!</v>
      </c>
      <c r="GD16" t="e">
        <f>AND('Planilla_General_29-11-2012_10_'!M237,"AAAAADb557k=")</f>
        <v>#VALUE!</v>
      </c>
      <c r="GE16" t="e">
        <f>AND('Planilla_General_29-11-2012_10_'!N237,"AAAAADb557o=")</f>
        <v>#VALUE!</v>
      </c>
      <c r="GF16" t="e">
        <f>AND('Planilla_General_29-11-2012_10_'!O237,"AAAAADb557s=")</f>
        <v>#VALUE!</v>
      </c>
      <c r="GG16" t="e">
        <f>AND('Planilla_General_29-11-2012_10_'!P237,"AAAAADb557w=")</f>
        <v>#VALUE!</v>
      </c>
      <c r="GH16">
        <f>IF('Planilla_General_29-11-2012_10_'!238:238,"AAAAADb5570=",0)</f>
        <v>0</v>
      </c>
      <c r="GI16" t="e">
        <f>AND('Planilla_General_29-11-2012_10_'!A238,"AAAAADb5574=")</f>
        <v>#VALUE!</v>
      </c>
      <c r="GJ16" t="e">
        <f>AND('Planilla_General_29-11-2012_10_'!B238,"AAAAADb5578=")</f>
        <v>#VALUE!</v>
      </c>
      <c r="GK16" t="e">
        <f>AND('Planilla_General_29-11-2012_10_'!C238,"AAAAADb558A=")</f>
        <v>#VALUE!</v>
      </c>
      <c r="GL16" t="e">
        <f>AND('Planilla_General_29-11-2012_10_'!D238,"AAAAADb558E=")</f>
        <v>#VALUE!</v>
      </c>
      <c r="GM16" t="e">
        <f>AND('Planilla_General_29-11-2012_10_'!E238,"AAAAADb558I=")</f>
        <v>#VALUE!</v>
      </c>
      <c r="GN16" t="e">
        <f>AND('Planilla_General_29-11-2012_10_'!F238,"AAAAADb558M=")</f>
        <v>#VALUE!</v>
      </c>
      <c r="GO16" t="e">
        <f>AND('Planilla_General_29-11-2012_10_'!G238,"AAAAADb558Q=")</f>
        <v>#VALUE!</v>
      </c>
      <c r="GP16" t="e">
        <f>AND('Planilla_General_29-11-2012_10_'!H238,"AAAAADb558U=")</f>
        <v>#VALUE!</v>
      </c>
      <c r="GQ16" t="e">
        <f>AND('Planilla_General_29-11-2012_10_'!I238,"AAAAADb558Y=")</f>
        <v>#VALUE!</v>
      </c>
      <c r="GR16" t="e">
        <f>AND('Planilla_General_29-11-2012_10_'!J238,"AAAAADb558c=")</f>
        <v>#VALUE!</v>
      </c>
      <c r="GS16" t="e">
        <f>AND('Planilla_General_29-11-2012_10_'!K238,"AAAAADb558g=")</f>
        <v>#VALUE!</v>
      </c>
      <c r="GT16" t="e">
        <f>AND('Planilla_General_29-11-2012_10_'!L238,"AAAAADb558k=")</f>
        <v>#VALUE!</v>
      </c>
      <c r="GU16" t="e">
        <f>AND('Planilla_General_29-11-2012_10_'!M238,"AAAAADb558o=")</f>
        <v>#VALUE!</v>
      </c>
      <c r="GV16" t="e">
        <f>AND('Planilla_General_29-11-2012_10_'!N238,"AAAAADb558s=")</f>
        <v>#VALUE!</v>
      </c>
      <c r="GW16" t="e">
        <f>AND('Planilla_General_29-11-2012_10_'!O238,"AAAAADb558w=")</f>
        <v>#VALUE!</v>
      </c>
      <c r="GX16" t="e">
        <f>AND('Planilla_General_29-11-2012_10_'!P238,"AAAAADb5580=")</f>
        <v>#VALUE!</v>
      </c>
      <c r="GY16">
        <f>IF('Planilla_General_29-11-2012_10_'!239:239,"AAAAADb5584=",0)</f>
        <v>0</v>
      </c>
      <c r="GZ16" t="e">
        <f>AND('Planilla_General_29-11-2012_10_'!A239,"AAAAADb5588=")</f>
        <v>#VALUE!</v>
      </c>
      <c r="HA16" t="e">
        <f>AND('Planilla_General_29-11-2012_10_'!B239,"AAAAADb559A=")</f>
        <v>#VALUE!</v>
      </c>
      <c r="HB16" t="e">
        <f>AND('Planilla_General_29-11-2012_10_'!C239,"AAAAADb559E=")</f>
        <v>#VALUE!</v>
      </c>
      <c r="HC16" t="e">
        <f>AND('Planilla_General_29-11-2012_10_'!D239,"AAAAADb559I=")</f>
        <v>#VALUE!</v>
      </c>
      <c r="HD16" t="e">
        <f>AND('Planilla_General_29-11-2012_10_'!E239,"AAAAADb559M=")</f>
        <v>#VALUE!</v>
      </c>
      <c r="HE16" t="e">
        <f>AND('Planilla_General_29-11-2012_10_'!F239,"AAAAADb559Q=")</f>
        <v>#VALUE!</v>
      </c>
      <c r="HF16" t="e">
        <f>AND('Planilla_General_29-11-2012_10_'!G239,"AAAAADb559U=")</f>
        <v>#VALUE!</v>
      </c>
      <c r="HG16" t="e">
        <f>AND('Planilla_General_29-11-2012_10_'!H239,"AAAAADb559Y=")</f>
        <v>#VALUE!</v>
      </c>
      <c r="HH16" t="e">
        <f>AND('Planilla_General_29-11-2012_10_'!I239,"AAAAADb559c=")</f>
        <v>#VALUE!</v>
      </c>
      <c r="HI16" t="e">
        <f>AND('Planilla_General_29-11-2012_10_'!J239,"AAAAADb559g=")</f>
        <v>#VALUE!</v>
      </c>
      <c r="HJ16" t="e">
        <f>AND('Planilla_General_29-11-2012_10_'!K239,"AAAAADb559k=")</f>
        <v>#VALUE!</v>
      </c>
      <c r="HK16" t="e">
        <f>AND('Planilla_General_29-11-2012_10_'!L239,"AAAAADb559o=")</f>
        <v>#VALUE!</v>
      </c>
      <c r="HL16" t="e">
        <f>AND('Planilla_General_29-11-2012_10_'!M239,"AAAAADb559s=")</f>
        <v>#VALUE!</v>
      </c>
      <c r="HM16" t="e">
        <f>AND('Planilla_General_29-11-2012_10_'!N239,"AAAAADb559w=")</f>
        <v>#VALUE!</v>
      </c>
      <c r="HN16" t="e">
        <f>AND('Planilla_General_29-11-2012_10_'!O239,"AAAAADb5590=")</f>
        <v>#VALUE!</v>
      </c>
      <c r="HO16" t="e">
        <f>AND('Planilla_General_29-11-2012_10_'!P239,"AAAAADb5594=")</f>
        <v>#VALUE!</v>
      </c>
      <c r="HP16">
        <f>IF('Planilla_General_29-11-2012_10_'!240:240,"AAAAADb5598=",0)</f>
        <v>0</v>
      </c>
      <c r="HQ16" t="e">
        <f>AND('Planilla_General_29-11-2012_10_'!A240,"AAAAADb55+A=")</f>
        <v>#VALUE!</v>
      </c>
      <c r="HR16" t="e">
        <f>AND('Planilla_General_29-11-2012_10_'!B240,"AAAAADb55+E=")</f>
        <v>#VALUE!</v>
      </c>
      <c r="HS16" t="e">
        <f>AND('Planilla_General_29-11-2012_10_'!C240,"AAAAADb55+I=")</f>
        <v>#VALUE!</v>
      </c>
      <c r="HT16" t="e">
        <f>AND('Planilla_General_29-11-2012_10_'!D240,"AAAAADb55+M=")</f>
        <v>#VALUE!</v>
      </c>
      <c r="HU16" t="e">
        <f>AND('Planilla_General_29-11-2012_10_'!E240,"AAAAADb55+Q=")</f>
        <v>#VALUE!</v>
      </c>
      <c r="HV16" t="e">
        <f>AND('Planilla_General_29-11-2012_10_'!F240,"AAAAADb55+U=")</f>
        <v>#VALUE!</v>
      </c>
      <c r="HW16" t="e">
        <f>AND('Planilla_General_29-11-2012_10_'!G240,"AAAAADb55+Y=")</f>
        <v>#VALUE!</v>
      </c>
      <c r="HX16" t="e">
        <f>AND('Planilla_General_29-11-2012_10_'!H240,"AAAAADb55+c=")</f>
        <v>#VALUE!</v>
      </c>
      <c r="HY16" t="e">
        <f>AND('Planilla_General_29-11-2012_10_'!I240,"AAAAADb55+g=")</f>
        <v>#VALUE!</v>
      </c>
      <c r="HZ16" t="e">
        <f>AND('Planilla_General_29-11-2012_10_'!J240,"AAAAADb55+k=")</f>
        <v>#VALUE!</v>
      </c>
      <c r="IA16" t="e">
        <f>AND('Planilla_General_29-11-2012_10_'!K240,"AAAAADb55+o=")</f>
        <v>#VALUE!</v>
      </c>
      <c r="IB16" t="e">
        <f>AND('Planilla_General_29-11-2012_10_'!L240,"AAAAADb55+s=")</f>
        <v>#VALUE!</v>
      </c>
      <c r="IC16" t="e">
        <f>AND('Planilla_General_29-11-2012_10_'!M240,"AAAAADb55+w=")</f>
        <v>#VALUE!</v>
      </c>
      <c r="ID16" t="e">
        <f>AND('Planilla_General_29-11-2012_10_'!N240,"AAAAADb55+0=")</f>
        <v>#VALUE!</v>
      </c>
      <c r="IE16" t="e">
        <f>AND('Planilla_General_29-11-2012_10_'!O240,"AAAAADb55+4=")</f>
        <v>#VALUE!</v>
      </c>
      <c r="IF16" t="e">
        <f>AND('Planilla_General_29-11-2012_10_'!P240,"AAAAADb55+8=")</f>
        <v>#VALUE!</v>
      </c>
      <c r="IG16">
        <f>IF('Planilla_General_29-11-2012_10_'!241:241,"AAAAADb55/A=",0)</f>
        <v>0</v>
      </c>
      <c r="IH16" t="e">
        <f>AND('Planilla_General_29-11-2012_10_'!A241,"AAAAADb55/E=")</f>
        <v>#VALUE!</v>
      </c>
      <c r="II16" t="e">
        <f>AND('Planilla_General_29-11-2012_10_'!B241,"AAAAADb55/I=")</f>
        <v>#VALUE!</v>
      </c>
      <c r="IJ16" t="e">
        <f>AND('Planilla_General_29-11-2012_10_'!C241,"AAAAADb55/M=")</f>
        <v>#VALUE!</v>
      </c>
      <c r="IK16" t="e">
        <f>AND('Planilla_General_29-11-2012_10_'!D241,"AAAAADb55/Q=")</f>
        <v>#VALUE!</v>
      </c>
      <c r="IL16" t="e">
        <f>AND('Planilla_General_29-11-2012_10_'!E241,"AAAAADb55/U=")</f>
        <v>#VALUE!</v>
      </c>
      <c r="IM16" t="e">
        <f>AND('Planilla_General_29-11-2012_10_'!F241,"AAAAADb55/Y=")</f>
        <v>#VALUE!</v>
      </c>
      <c r="IN16" t="e">
        <f>AND('Planilla_General_29-11-2012_10_'!G241,"AAAAADb55/c=")</f>
        <v>#VALUE!</v>
      </c>
      <c r="IO16" t="e">
        <f>AND('Planilla_General_29-11-2012_10_'!H241,"AAAAADb55/g=")</f>
        <v>#VALUE!</v>
      </c>
      <c r="IP16" t="e">
        <f>AND('Planilla_General_29-11-2012_10_'!I241,"AAAAADb55/k=")</f>
        <v>#VALUE!</v>
      </c>
      <c r="IQ16" t="e">
        <f>AND('Planilla_General_29-11-2012_10_'!J241,"AAAAADb55/o=")</f>
        <v>#VALUE!</v>
      </c>
      <c r="IR16" t="e">
        <f>AND('Planilla_General_29-11-2012_10_'!K241,"AAAAADb55/s=")</f>
        <v>#VALUE!</v>
      </c>
      <c r="IS16" t="e">
        <f>AND('Planilla_General_29-11-2012_10_'!L241,"AAAAADb55/w=")</f>
        <v>#VALUE!</v>
      </c>
      <c r="IT16" t="e">
        <f>AND('Planilla_General_29-11-2012_10_'!M241,"AAAAADb55/0=")</f>
        <v>#VALUE!</v>
      </c>
      <c r="IU16" t="e">
        <f>AND('Planilla_General_29-11-2012_10_'!N241,"AAAAADb55/4=")</f>
        <v>#VALUE!</v>
      </c>
      <c r="IV16" t="e">
        <f>AND('Planilla_General_29-11-2012_10_'!O241,"AAAAADb55/8=")</f>
        <v>#VALUE!</v>
      </c>
    </row>
    <row r="17" spans="1:256" x14ac:dyDescent="0.25">
      <c r="A17" t="e">
        <f>AND('Planilla_General_29-11-2012_10_'!P241,"AAAAABy/awA=")</f>
        <v>#VALUE!</v>
      </c>
      <c r="B17" t="e">
        <f>IF('Planilla_General_29-11-2012_10_'!242:242,"AAAAABy/awE=",0)</f>
        <v>#VALUE!</v>
      </c>
      <c r="C17" t="e">
        <f>AND('Planilla_General_29-11-2012_10_'!A242,"AAAAABy/awI=")</f>
        <v>#VALUE!</v>
      </c>
      <c r="D17" t="e">
        <f>AND('Planilla_General_29-11-2012_10_'!B242,"AAAAABy/awM=")</f>
        <v>#VALUE!</v>
      </c>
      <c r="E17" t="e">
        <f>AND('Planilla_General_29-11-2012_10_'!C242,"AAAAABy/awQ=")</f>
        <v>#VALUE!</v>
      </c>
      <c r="F17" t="e">
        <f>AND('Planilla_General_29-11-2012_10_'!D242,"AAAAABy/awU=")</f>
        <v>#VALUE!</v>
      </c>
      <c r="G17" t="e">
        <f>AND('Planilla_General_29-11-2012_10_'!E242,"AAAAABy/awY=")</f>
        <v>#VALUE!</v>
      </c>
      <c r="H17" t="e">
        <f>AND('Planilla_General_29-11-2012_10_'!F242,"AAAAABy/awc=")</f>
        <v>#VALUE!</v>
      </c>
      <c r="I17" t="e">
        <f>AND('Planilla_General_29-11-2012_10_'!G242,"AAAAABy/awg=")</f>
        <v>#VALUE!</v>
      </c>
      <c r="J17" t="e">
        <f>AND('Planilla_General_29-11-2012_10_'!H242,"AAAAABy/awk=")</f>
        <v>#VALUE!</v>
      </c>
      <c r="K17" t="e">
        <f>AND('Planilla_General_29-11-2012_10_'!I242,"AAAAABy/awo=")</f>
        <v>#VALUE!</v>
      </c>
      <c r="L17" t="e">
        <f>AND('Planilla_General_29-11-2012_10_'!J242,"AAAAABy/aws=")</f>
        <v>#VALUE!</v>
      </c>
      <c r="M17" t="e">
        <f>AND('Planilla_General_29-11-2012_10_'!K242,"AAAAABy/aww=")</f>
        <v>#VALUE!</v>
      </c>
      <c r="N17" t="e">
        <f>AND('Planilla_General_29-11-2012_10_'!L242,"AAAAABy/aw0=")</f>
        <v>#VALUE!</v>
      </c>
      <c r="O17" t="e">
        <f>AND('Planilla_General_29-11-2012_10_'!M242,"AAAAABy/aw4=")</f>
        <v>#VALUE!</v>
      </c>
      <c r="P17" t="e">
        <f>AND('Planilla_General_29-11-2012_10_'!N242,"AAAAABy/aw8=")</f>
        <v>#VALUE!</v>
      </c>
      <c r="Q17" t="e">
        <f>AND('Planilla_General_29-11-2012_10_'!O242,"AAAAABy/axA=")</f>
        <v>#VALUE!</v>
      </c>
      <c r="R17" t="e">
        <f>AND('Planilla_General_29-11-2012_10_'!P242,"AAAAABy/axE=")</f>
        <v>#VALUE!</v>
      </c>
      <c r="S17">
        <f>IF('Planilla_General_29-11-2012_10_'!243:243,"AAAAABy/axI=",0)</f>
        <v>0</v>
      </c>
      <c r="T17" t="e">
        <f>AND('Planilla_General_29-11-2012_10_'!A243,"AAAAABy/axM=")</f>
        <v>#VALUE!</v>
      </c>
      <c r="U17" t="e">
        <f>AND('Planilla_General_29-11-2012_10_'!B243,"AAAAABy/axQ=")</f>
        <v>#VALUE!</v>
      </c>
      <c r="V17" t="e">
        <f>AND('Planilla_General_29-11-2012_10_'!C243,"AAAAABy/axU=")</f>
        <v>#VALUE!</v>
      </c>
      <c r="W17" t="e">
        <f>AND('Planilla_General_29-11-2012_10_'!D243,"AAAAABy/axY=")</f>
        <v>#VALUE!</v>
      </c>
      <c r="X17" t="e">
        <f>AND('Planilla_General_29-11-2012_10_'!E243,"AAAAABy/axc=")</f>
        <v>#VALUE!</v>
      </c>
      <c r="Y17" t="e">
        <f>AND('Planilla_General_29-11-2012_10_'!F243,"AAAAABy/axg=")</f>
        <v>#VALUE!</v>
      </c>
      <c r="Z17" t="e">
        <f>AND('Planilla_General_29-11-2012_10_'!G243,"AAAAABy/axk=")</f>
        <v>#VALUE!</v>
      </c>
      <c r="AA17" t="e">
        <f>AND('Planilla_General_29-11-2012_10_'!H243,"AAAAABy/axo=")</f>
        <v>#VALUE!</v>
      </c>
      <c r="AB17" t="e">
        <f>AND('Planilla_General_29-11-2012_10_'!I243,"AAAAABy/axs=")</f>
        <v>#VALUE!</v>
      </c>
      <c r="AC17" t="e">
        <f>AND('Planilla_General_29-11-2012_10_'!J243,"AAAAABy/axw=")</f>
        <v>#VALUE!</v>
      </c>
      <c r="AD17" t="e">
        <f>AND('Planilla_General_29-11-2012_10_'!K243,"AAAAABy/ax0=")</f>
        <v>#VALUE!</v>
      </c>
      <c r="AE17" t="e">
        <f>AND('Planilla_General_29-11-2012_10_'!L243,"AAAAABy/ax4=")</f>
        <v>#VALUE!</v>
      </c>
      <c r="AF17" t="e">
        <f>AND('Planilla_General_29-11-2012_10_'!M243,"AAAAABy/ax8=")</f>
        <v>#VALUE!</v>
      </c>
      <c r="AG17" t="e">
        <f>AND('Planilla_General_29-11-2012_10_'!N243,"AAAAABy/ayA=")</f>
        <v>#VALUE!</v>
      </c>
      <c r="AH17" t="e">
        <f>AND('Planilla_General_29-11-2012_10_'!O243,"AAAAABy/ayE=")</f>
        <v>#VALUE!</v>
      </c>
      <c r="AI17" t="e">
        <f>AND('Planilla_General_29-11-2012_10_'!P243,"AAAAABy/ayI=")</f>
        <v>#VALUE!</v>
      </c>
      <c r="AJ17">
        <f>IF('Planilla_General_29-11-2012_10_'!244:244,"AAAAABy/ayM=",0)</f>
        <v>0</v>
      </c>
      <c r="AK17" t="e">
        <f>AND('Planilla_General_29-11-2012_10_'!A244,"AAAAABy/ayQ=")</f>
        <v>#VALUE!</v>
      </c>
      <c r="AL17" t="e">
        <f>AND('Planilla_General_29-11-2012_10_'!B244,"AAAAABy/ayU=")</f>
        <v>#VALUE!</v>
      </c>
      <c r="AM17" t="e">
        <f>AND('Planilla_General_29-11-2012_10_'!C244,"AAAAABy/ayY=")</f>
        <v>#VALUE!</v>
      </c>
      <c r="AN17" t="e">
        <f>AND('Planilla_General_29-11-2012_10_'!D244,"AAAAABy/ayc=")</f>
        <v>#VALUE!</v>
      </c>
      <c r="AO17" t="e">
        <f>AND('Planilla_General_29-11-2012_10_'!E244,"AAAAABy/ayg=")</f>
        <v>#VALUE!</v>
      </c>
      <c r="AP17" t="e">
        <f>AND('Planilla_General_29-11-2012_10_'!F244,"AAAAABy/ayk=")</f>
        <v>#VALUE!</v>
      </c>
      <c r="AQ17" t="e">
        <f>AND('Planilla_General_29-11-2012_10_'!G244,"AAAAABy/ayo=")</f>
        <v>#VALUE!</v>
      </c>
      <c r="AR17" t="e">
        <f>AND('Planilla_General_29-11-2012_10_'!H244,"AAAAABy/ays=")</f>
        <v>#VALUE!</v>
      </c>
      <c r="AS17" t="e">
        <f>AND('Planilla_General_29-11-2012_10_'!I244,"AAAAABy/ayw=")</f>
        <v>#VALUE!</v>
      </c>
      <c r="AT17" t="e">
        <f>AND('Planilla_General_29-11-2012_10_'!J244,"AAAAABy/ay0=")</f>
        <v>#VALUE!</v>
      </c>
      <c r="AU17" t="e">
        <f>AND('Planilla_General_29-11-2012_10_'!K244,"AAAAABy/ay4=")</f>
        <v>#VALUE!</v>
      </c>
      <c r="AV17" t="e">
        <f>AND('Planilla_General_29-11-2012_10_'!L244,"AAAAABy/ay8=")</f>
        <v>#VALUE!</v>
      </c>
      <c r="AW17" t="e">
        <f>AND('Planilla_General_29-11-2012_10_'!M244,"AAAAABy/azA=")</f>
        <v>#VALUE!</v>
      </c>
      <c r="AX17" t="e">
        <f>AND('Planilla_General_29-11-2012_10_'!N244,"AAAAABy/azE=")</f>
        <v>#VALUE!</v>
      </c>
      <c r="AY17" t="e">
        <f>AND('Planilla_General_29-11-2012_10_'!O244,"AAAAABy/azI=")</f>
        <v>#VALUE!</v>
      </c>
      <c r="AZ17" t="e">
        <f>AND('Planilla_General_29-11-2012_10_'!P244,"AAAAABy/azM=")</f>
        <v>#VALUE!</v>
      </c>
      <c r="BA17">
        <f>IF('Planilla_General_29-11-2012_10_'!245:245,"AAAAABy/azQ=",0)</f>
        <v>0</v>
      </c>
      <c r="BB17" t="e">
        <f>AND('Planilla_General_29-11-2012_10_'!A245,"AAAAABy/azU=")</f>
        <v>#VALUE!</v>
      </c>
      <c r="BC17" t="e">
        <f>AND('Planilla_General_29-11-2012_10_'!B245,"AAAAABy/azY=")</f>
        <v>#VALUE!</v>
      </c>
      <c r="BD17" t="e">
        <f>AND('Planilla_General_29-11-2012_10_'!C245,"AAAAABy/azc=")</f>
        <v>#VALUE!</v>
      </c>
      <c r="BE17" t="e">
        <f>AND('Planilla_General_29-11-2012_10_'!D245,"AAAAABy/azg=")</f>
        <v>#VALUE!</v>
      </c>
      <c r="BF17" t="e">
        <f>AND('Planilla_General_29-11-2012_10_'!E245,"AAAAABy/azk=")</f>
        <v>#VALUE!</v>
      </c>
      <c r="BG17" t="e">
        <f>AND('Planilla_General_29-11-2012_10_'!F245,"AAAAABy/azo=")</f>
        <v>#VALUE!</v>
      </c>
      <c r="BH17" t="e">
        <f>AND('Planilla_General_29-11-2012_10_'!G245,"AAAAABy/azs=")</f>
        <v>#VALUE!</v>
      </c>
      <c r="BI17" t="e">
        <f>AND('Planilla_General_29-11-2012_10_'!H245,"AAAAABy/azw=")</f>
        <v>#VALUE!</v>
      </c>
      <c r="BJ17" t="e">
        <f>AND('Planilla_General_29-11-2012_10_'!I245,"AAAAABy/az0=")</f>
        <v>#VALUE!</v>
      </c>
      <c r="BK17" t="e">
        <f>AND('Planilla_General_29-11-2012_10_'!J245,"AAAAABy/az4=")</f>
        <v>#VALUE!</v>
      </c>
      <c r="BL17" t="e">
        <f>AND('Planilla_General_29-11-2012_10_'!K245,"AAAAABy/az8=")</f>
        <v>#VALUE!</v>
      </c>
      <c r="BM17" t="e">
        <f>AND('Planilla_General_29-11-2012_10_'!L245,"AAAAABy/a0A=")</f>
        <v>#VALUE!</v>
      </c>
      <c r="BN17" t="e">
        <f>AND('Planilla_General_29-11-2012_10_'!M245,"AAAAABy/a0E=")</f>
        <v>#VALUE!</v>
      </c>
      <c r="BO17" t="e">
        <f>AND('Planilla_General_29-11-2012_10_'!N245,"AAAAABy/a0I=")</f>
        <v>#VALUE!</v>
      </c>
      <c r="BP17" t="e">
        <f>AND('Planilla_General_29-11-2012_10_'!O245,"AAAAABy/a0M=")</f>
        <v>#VALUE!</v>
      </c>
      <c r="BQ17" t="e">
        <f>AND('Planilla_General_29-11-2012_10_'!P245,"AAAAABy/a0Q=")</f>
        <v>#VALUE!</v>
      </c>
      <c r="BR17">
        <f>IF('Planilla_General_29-11-2012_10_'!246:246,"AAAAABy/a0U=",0)</f>
        <v>0</v>
      </c>
      <c r="BS17" t="e">
        <f>AND('Planilla_General_29-11-2012_10_'!A246,"AAAAABy/a0Y=")</f>
        <v>#VALUE!</v>
      </c>
      <c r="BT17" t="e">
        <f>AND('Planilla_General_29-11-2012_10_'!B246,"AAAAABy/a0c=")</f>
        <v>#VALUE!</v>
      </c>
      <c r="BU17" t="e">
        <f>AND('Planilla_General_29-11-2012_10_'!C246,"AAAAABy/a0g=")</f>
        <v>#VALUE!</v>
      </c>
      <c r="BV17" t="e">
        <f>AND('Planilla_General_29-11-2012_10_'!D246,"AAAAABy/a0k=")</f>
        <v>#VALUE!</v>
      </c>
      <c r="BW17" t="e">
        <f>AND('Planilla_General_29-11-2012_10_'!E246,"AAAAABy/a0o=")</f>
        <v>#VALUE!</v>
      </c>
      <c r="BX17" t="e">
        <f>AND('Planilla_General_29-11-2012_10_'!F246,"AAAAABy/a0s=")</f>
        <v>#VALUE!</v>
      </c>
      <c r="BY17" t="e">
        <f>AND('Planilla_General_29-11-2012_10_'!G246,"AAAAABy/a0w=")</f>
        <v>#VALUE!</v>
      </c>
      <c r="BZ17" t="e">
        <f>AND('Planilla_General_29-11-2012_10_'!H246,"AAAAABy/a00=")</f>
        <v>#VALUE!</v>
      </c>
      <c r="CA17" t="e">
        <f>AND('Planilla_General_29-11-2012_10_'!I246,"AAAAABy/a04=")</f>
        <v>#VALUE!</v>
      </c>
      <c r="CB17" t="e">
        <f>AND('Planilla_General_29-11-2012_10_'!J246,"AAAAABy/a08=")</f>
        <v>#VALUE!</v>
      </c>
      <c r="CC17" t="e">
        <f>AND('Planilla_General_29-11-2012_10_'!K246,"AAAAABy/a1A=")</f>
        <v>#VALUE!</v>
      </c>
      <c r="CD17" t="e">
        <f>AND('Planilla_General_29-11-2012_10_'!L246,"AAAAABy/a1E=")</f>
        <v>#VALUE!</v>
      </c>
      <c r="CE17" t="e">
        <f>AND('Planilla_General_29-11-2012_10_'!M246,"AAAAABy/a1I=")</f>
        <v>#VALUE!</v>
      </c>
      <c r="CF17" t="e">
        <f>AND('Planilla_General_29-11-2012_10_'!N246,"AAAAABy/a1M=")</f>
        <v>#VALUE!</v>
      </c>
      <c r="CG17" t="e">
        <f>AND('Planilla_General_29-11-2012_10_'!O246,"AAAAABy/a1Q=")</f>
        <v>#VALUE!</v>
      </c>
      <c r="CH17" t="e">
        <f>AND('Planilla_General_29-11-2012_10_'!P246,"AAAAABy/a1U=")</f>
        <v>#VALUE!</v>
      </c>
      <c r="CI17">
        <f>IF('Planilla_General_29-11-2012_10_'!247:247,"AAAAABy/a1Y=",0)</f>
        <v>0</v>
      </c>
      <c r="CJ17" t="e">
        <f>AND('Planilla_General_29-11-2012_10_'!A247,"AAAAABy/a1c=")</f>
        <v>#VALUE!</v>
      </c>
      <c r="CK17" t="e">
        <f>AND('Planilla_General_29-11-2012_10_'!B247,"AAAAABy/a1g=")</f>
        <v>#VALUE!</v>
      </c>
      <c r="CL17" t="e">
        <f>AND('Planilla_General_29-11-2012_10_'!C247,"AAAAABy/a1k=")</f>
        <v>#VALUE!</v>
      </c>
      <c r="CM17" t="e">
        <f>AND('Planilla_General_29-11-2012_10_'!D247,"AAAAABy/a1o=")</f>
        <v>#VALUE!</v>
      </c>
      <c r="CN17" t="e">
        <f>AND('Planilla_General_29-11-2012_10_'!E247,"AAAAABy/a1s=")</f>
        <v>#VALUE!</v>
      </c>
      <c r="CO17" t="e">
        <f>AND('Planilla_General_29-11-2012_10_'!F247,"AAAAABy/a1w=")</f>
        <v>#VALUE!</v>
      </c>
      <c r="CP17" t="e">
        <f>AND('Planilla_General_29-11-2012_10_'!G247,"AAAAABy/a10=")</f>
        <v>#VALUE!</v>
      </c>
      <c r="CQ17" t="e">
        <f>AND('Planilla_General_29-11-2012_10_'!H247,"AAAAABy/a14=")</f>
        <v>#VALUE!</v>
      </c>
      <c r="CR17" t="e">
        <f>AND('Planilla_General_29-11-2012_10_'!I247,"AAAAABy/a18=")</f>
        <v>#VALUE!</v>
      </c>
      <c r="CS17" t="e">
        <f>AND('Planilla_General_29-11-2012_10_'!J247,"AAAAABy/a2A=")</f>
        <v>#VALUE!</v>
      </c>
      <c r="CT17" t="e">
        <f>AND('Planilla_General_29-11-2012_10_'!K247,"AAAAABy/a2E=")</f>
        <v>#VALUE!</v>
      </c>
      <c r="CU17" t="e">
        <f>AND('Planilla_General_29-11-2012_10_'!L247,"AAAAABy/a2I=")</f>
        <v>#VALUE!</v>
      </c>
      <c r="CV17" t="e">
        <f>AND('Planilla_General_29-11-2012_10_'!M247,"AAAAABy/a2M=")</f>
        <v>#VALUE!</v>
      </c>
      <c r="CW17" t="e">
        <f>AND('Planilla_General_29-11-2012_10_'!N247,"AAAAABy/a2Q=")</f>
        <v>#VALUE!</v>
      </c>
      <c r="CX17" t="e">
        <f>AND('Planilla_General_29-11-2012_10_'!O247,"AAAAABy/a2U=")</f>
        <v>#VALUE!</v>
      </c>
      <c r="CY17" t="e">
        <f>AND('Planilla_General_29-11-2012_10_'!P247,"AAAAABy/a2Y=")</f>
        <v>#VALUE!</v>
      </c>
      <c r="CZ17">
        <f>IF('Planilla_General_29-11-2012_10_'!248:248,"AAAAABy/a2c=",0)</f>
        <v>0</v>
      </c>
      <c r="DA17" t="e">
        <f>AND('Planilla_General_29-11-2012_10_'!A248,"AAAAABy/a2g=")</f>
        <v>#VALUE!</v>
      </c>
      <c r="DB17" t="e">
        <f>AND('Planilla_General_29-11-2012_10_'!B248,"AAAAABy/a2k=")</f>
        <v>#VALUE!</v>
      </c>
      <c r="DC17" t="e">
        <f>AND('Planilla_General_29-11-2012_10_'!C248,"AAAAABy/a2o=")</f>
        <v>#VALUE!</v>
      </c>
      <c r="DD17" t="e">
        <f>AND('Planilla_General_29-11-2012_10_'!D248,"AAAAABy/a2s=")</f>
        <v>#VALUE!</v>
      </c>
      <c r="DE17" t="e">
        <f>AND('Planilla_General_29-11-2012_10_'!E248,"AAAAABy/a2w=")</f>
        <v>#VALUE!</v>
      </c>
      <c r="DF17" t="e">
        <f>AND('Planilla_General_29-11-2012_10_'!F248,"AAAAABy/a20=")</f>
        <v>#VALUE!</v>
      </c>
      <c r="DG17" t="e">
        <f>AND('Planilla_General_29-11-2012_10_'!G248,"AAAAABy/a24=")</f>
        <v>#VALUE!</v>
      </c>
      <c r="DH17" t="e">
        <f>AND('Planilla_General_29-11-2012_10_'!H248,"AAAAABy/a28=")</f>
        <v>#VALUE!</v>
      </c>
      <c r="DI17" t="e">
        <f>AND('Planilla_General_29-11-2012_10_'!I248,"AAAAABy/a3A=")</f>
        <v>#VALUE!</v>
      </c>
      <c r="DJ17" t="e">
        <f>AND('Planilla_General_29-11-2012_10_'!J248,"AAAAABy/a3E=")</f>
        <v>#VALUE!</v>
      </c>
      <c r="DK17" t="e">
        <f>AND('Planilla_General_29-11-2012_10_'!K248,"AAAAABy/a3I=")</f>
        <v>#VALUE!</v>
      </c>
      <c r="DL17" t="e">
        <f>AND('Planilla_General_29-11-2012_10_'!L248,"AAAAABy/a3M=")</f>
        <v>#VALUE!</v>
      </c>
      <c r="DM17" t="e">
        <f>AND('Planilla_General_29-11-2012_10_'!M248,"AAAAABy/a3Q=")</f>
        <v>#VALUE!</v>
      </c>
      <c r="DN17" t="e">
        <f>AND('Planilla_General_29-11-2012_10_'!N248,"AAAAABy/a3U=")</f>
        <v>#VALUE!</v>
      </c>
      <c r="DO17" t="e">
        <f>AND('Planilla_General_29-11-2012_10_'!O248,"AAAAABy/a3Y=")</f>
        <v>#VALUE!</v>
      </c>
      <c r="DP17" t="e">
        <f>AND('Planilla_General_29-11-2012_10_'!P248,"AAAAABy/a3c=")</f>
        <v>#VALUE!</v>
      </c>
      <c r="DQ17">
        <f>IF('Planilla_General_29-11-2012_10_'!249:249,"AAAAABy/a3g=",0)</f>
        <v>0</v>
      </c>
      <c r="DR17" t="e">
        <f>AND('Planilla_General_29-11-2012_10_'!A249,"AAAAABy/a3k=")</f>
        <v>#VALUE!</v>
      </c>
      <c r="DS17" t="e">
        <f>AND('Planilla_General_29-11-2012_10_'!B249,"AAAAABy/a3o=")</f>
        <v>#VALUE!</v>
      </c>
      <c r="DT17" t="e">
        <f>AND('Planilla_General_29-11-2012_10_'!C249,"AAAAABy/a3s=")</f>
        <v>#VALUE!</v>
      </c>
      <c r="DU17" t="e">
        <f>AND('Planilla_General_29-11-2012_10_'!D249,"AAAAABy/a3w=")</f>
        <v>#VALUE!</v>
      </c>
      <c r="DV17" t="e">
        <f>AND('Planilla_General_29-11-2012_10_'!E249,"AAAAABy/a30=")</f>
        <v>#VALUE!</v>
      </c>
      <c r="DW17" t="e">
        <f>AND('Planilla_General_29-11-2012_10_'!F249,"AAAAABy/a34=")</f>
        <v>#VALUE!</v>
      </c>
      <c r="DX17" t="e">
        <f>AND('Planilla_General_29-11-2012_10_'!G249,"AAAAABy/a38=")</f>
        <v>#VALUE!</v>
      </c>
      <c r="DY17" t="e">
        <f>AND('Planilla_General_29-11-2012_10_'!H249,"AAAAABy/a4A=")</f>
        <v>#VALUE!</v>
      </c>
      <c r="DZ17" t="e">
        <f>AND('Planilla_General_29-11-2012_10_'!I249,"AAAAABy/a4E=")</f>
        <v>#VALUE!</v>
      </c>
      <c r="EA17" t="e">
        <f>AND('Planilla_General_29-11-2012_10_'!J249,"AAAAABy/a4I=")</f>
        <v>#VALUE!</v>
      </c>
      <c r="EB17" t="e">
        <f>AND('Planilla_General_29-11-2012_10_'!K249,"AAAAABy/a4M=")</f>
        <v>#VALUE!</v>
      </c>
      <c r="EC17" t="e">
        <f>AND('Planilla_General_29-11-2012_10_'!L249,"AAAAABy/a4Q=")</f>
        <v>#VALUE!</v>
      </c>
      <c r="ED17" t="e">
        <f>AND('Planilla_General_29-11-2012_10_'!M249,"AAAAABy/a4U=")</f>
        <v>#VALUE!</v>
      </c>
      <c r="EE17" t="e">
        <f>AND('Planilla_General_29-11-2012_10_'!N249,"AAAAABy/a4Y=")</f>
        <v>#VALUE!</v>
      </c>
      <c r="EF17" t="e">
        <f>AND('Planilla_General_29-11-2012_10_'!O249,"AAAAABy/a4c=")</f>
        <v>#VALUE!</v>
      </c>
      <c r="EG17" t="e">
        <f>AND('Planilla_General_29-11-2012_10_'!P249,"AAAAABy/a4g=")</f>
        <v>#VALUE!</v>
      </c>
      <c r="EH17">
        <f>IF('Planilla_General_29-11-2012_10_'!250:250,"AAAAABy/a4k=",0)</f>
        <v>0</v>
      </c>
      <c r="EI17" t="e">
        <f>AND('Planilla_General_29-11-2012_10_'!A250,"AAAAABy/a4o=")</f>
        <v>#VALUE!</v>
      </c>
      <c r="EJ17" t="e">
        <f>AND('Planilla_General_29-11-2012_10_'!B250,"AAAAABy/a4s=")</f>
        <v>#VALUE!</v>
      </c>
      <c r="EK17" t="e">
        <f>AND('Planilla_General_29-11-2012_10_'!C250,"AAAAABy/a4w=")</f>
        <v>#VALUE!</v>
      </c>
      <c r="EL17" t="e">
        <f>AND('Planilla_General_29-11-2012_10_'!D250,"AAAAABy/a40=")</f>
        <v>#VALUE!</v>
      </c>
      <c r="EM17" t="e">
        <f>AND('Planilla_General_29-11-2012_10_'!E250,"AAAAABy/a44=")</f>
        <v>#VALUE!</v>
      </c>
      <c r="EN17" t="e">
        <f>AND('Planilla_General_29-11-2012_10_'!F250,"AAAAABy/a48=")</f>
        <v>#VALUE!</v>
      </c>
      <c r="EO17" t="e">
        <f>AND('Planilla_General_29-11-2012_10_'!G250,"AAAAABy/a5A=")</f>
        <v>#VALUE!</v>
      </c>
      <c r="EP17" t="e">
        <f>AND('Planilla_General_29-11-2012_10_'!H250,"AAAAABy/a5E=")</f>
        <v>#VALUE!</v>
      </c>
      <c r="EQ17" t="e">
        <f>AND('Planilla_General_29-11-2012_10_'!I250,"AAAAABy/a5I=")</f>
        <v>#VALUE!</v>
      </c>
      <c r="ER17" t="e">
        <f>AND('Planilla_General_29-11-2012_10_'!J250,"AAAAABy/a5M=")</f>
        <v>#VALUE!</v>
      </c>
      <c r="ES17" t="e">
        <f>AND('Planilla_General_29-11-2012_10_'!K250,"AAAAABy/a5Q=")</f>
        <v>#VALUE!</v>
      </c>
      <c r="ET17" t="e">
        <f>AND('Planilla_General_29-11-2012_10_'!L250,"AAAAABy/a5U=")</f>
        <v>#VALUE!</v>
      </c>
      <c r="EU17" t="e">
        <f>AND('Planilla_General_29-11-2012_10_'!M250,"AAAAABy/a5Y=")</f>
        <v>#VALUE!</v>
      </c>
      <c r="EV17" t="e">
        <f>AND('Planilla_General_29-11-2012_10_'!N250,"AAAAABy/a5c=")</f>
        <v>#VALUE!</v>
      </c>
      <c r="EW17" t="e">
        <f>AND('Planilla_General_29-11-2012_10_'!O250,"AAAAABy/a5g=")</f>
        <v>#VALUE!</v>
      </c>
      <c r="EX17" t="e">
        <f>AND('Planilla_General_29-11-2012_10_'!P250,"AAAAABy/a5k=")</f>
        <v>#VALUE!</v>
      </c>
      <c r="EY17">
        <f>IF('Planilla_General_29-11-2012_10_'!251:251,"AAAAABy/a5o=",0)</f>
        <v>0</v>
      </c>
      <c r="EZ17" t="e">
        <f>AND('Planilla_General_29-11-2012_10_'!A251,"AAAAABy/a5s=")</f>
        <v>#VALUE!</v>
      </c>
      <c r="FA17" t="e">
        <f>AND('Planilla_General_29-11-2012_10_'!B251,"AAAAABy/a5w=")</f>
        <v>#VALUE!</v>
      </c>
      <c r="FB17" t="e">
        <f>AND('Planilla_General_29-11-2012_10_'!C251,"AAAAABy/a50=")</f>
        <v>#VALUE!</v>
      </c>
      <c r="FC17" t="e">
        <f>AND('Planilla_General_29-11-2012_10_'!D251,"AAAAABy/a54=")</f>
        <v>#VALUE!</v>
      </c>
      <c r="FD17" t="e">
        <f>AND('Planilla_General_29-11-2012_10_'!E251,"AAAAABy/a58=")</f>
        <v>#VALUE!</v>
      </c>
      <c r="FE17" t="e">
        <f>AND('Planilla_General_29-11-2012_10_'!F251,"AAAAABy/a6A=")</f>
        <v>#VALUE!</v>
      </c>
      <c r="FF17" t="e">
        <f>AND('Planilla_General_29-11-2012_10_'!G251,"AAAAABy/a6E=")</f>
        <v>#VALUE!</v>
      </c>
      <c r="FG17" t="e">
        <f>AND('Planilla_General_29-11-2012_10_'!H251,"AAAAABy/a6I=")</f>
        <v>#VALUE!</v>
      </c>
      <c r="FH17" t="e">
        <f>AND('Planilla_General_29-11-2012_10_'!I251,"AAAAABy/a6M=")</f>
        <v>#VALUE!</v>
      </c>
      <c r="FI17" t="e">
        <f>AND('Planilla_General_29-11-2012_10_'!J251,"AAAAABy/a6Q=")</f>
        <v>#VALUE!</v>
      </c>
      <c r="FJ17" t="e">
        <f>AND('Planilla_General_29-11-2012_10_'!K251,"AAAAABy/a6U=")</f>
        <v>#VALUE!</v>
      </c>
      <c r="FK17" t="e">
        <f>AND('Planilla_General_29-11-2012_10_'!L251,"AAAAABy/a6Y=")</f>
        <v>#VALUE!</v>
      </c>
      <c r="FL17" t="e">
        <f>AND('Planilla_General_29-11-2012_10_'!M251,"AAAAABy/a6c=")</f>
        <v>#VALUE!</v>
      </c>
      <c r="FM17" t="e">
        <f>AND('Planilla_General_29-11-2012_10_'!N251,"AAAAABy/a6g=")</f>
        <v>#VALUE!</v>
      </c>
      <c r="FN17" t="e">
        <f>AND('Planilla_General_29-11-2012_10_'!O251,"AAAAABy/a6k=")</f>
        <v>#VALUE!</v>
      </c>
      <c r="FO17" t="e">
        <f>AND('Planilla_General_29-11-2012_10_'!P251,"AAAAABy/a6o=")</f>
        <v>#VALUE!</v>
      </c>
      <c r="FP17">
        <f>IF('Planilla_General_29-11-2012_10_'!252:252,"AAAAABy/a6s=",0)</f>
        <v>0</v>
      </c>
      <c r="FQ17" t="e">
        <f>AND('Planilla_General_29-11-2012_10_'!A252,"AAAAABy/a6w=")</f>
        <v>#VALUE!</v>
      </c>
      <c r="FR17" t="e">
        <f>AND('Planilla_General_29-11-2012_10_'!B252,"AAAAABy/a60=")</f>
        <v>#VALUE!</v>
      </c>
      <c r="FS17" t="e">
        <f>AND('Planilla_General_29-11-2012_10_'!C252,"AAAAABy/a64=")</f>
        <v>#VALUE!</v>
      </c>
      <c r="FT17" t="e">
        <f>AND('Planilla_General_29-11-2012_10_'!D252,"AAAAABy/a68=")</f>
        <v>#VALUE!</v>
      </c>
      <c r="FU17" t="e">
        <f>AND('Planilla_General_29-11-2012_10_'!E252,"AAAAABy/a7A=")</f>
        <v>#VALUE!</v>
      </c>
      <c r="FV17" t="e">
        <f>AND('Planilla_General_29-11-2012_10_'!F252,"AAAAABy/a7E=")</f>
        <v>#VALUE!</v>
      </c>
      <c r="FW17" t="e">
        <f>AND('Planilla_General_29-11-2012_10_'!G252,"AAAAABy/a7I=")</f>
        <v>#VALUE!</v>
      </c>
      <c r="FX17" t="e">
        <f>AND('Planilla_General_29-11-2012_10_'!H252,"AAAAABy/a7M=")</f>
        <v>#VALUE!</v>
      </c>
      <c r="FY17" t="e">
        <f>AND('Planilla_General_29-11-2012_10_'!I252,"AAAAABy/a7Q=")</f>
        <v>#VALUE!</v>
      </c>
      <c r="FZ17" t="e">
        <f>AND('Planilla_General_29-11-2012_10_'!J252,"AAAAABy/a7U=")</f>
        <v>#VALUE!</v>
      </c>
      <c r="GA17" t="e">
        <f>AND('Planilla_General_29-11-2012_10_'!K252,"AAAAABy/a7Y=")</f>
        <v>#VALUE!</v>
      </c>
      <c r="GB17" t="e">
        <f>AND('Planilla_General_29-11-2012_10_'!L252,"AAAAABy/a7c=")</f>
        <v>#VALUE!</v>
      </c>
      <c r="GC17" t="e">
        <f>AND('Planilla_General_29-11-2012_10_'!M252,"AAAAABy/a7g=")</f>
        <v>#VALUE!</v>
      </c>
      <c r="GD17" t="e">
        <f>AND('Planilla_General_29-11-2012_10_'!N252,"AAAAABy/a7k=")</f>
        <v>#VALUE!</v>
      </c>
      <c r="GE17" t="e">
        <f>AND('Planilla_General_29-11-2012_10_'!O252,"AAAAABy/a7o=")</f>
        <v>#VALUE!</v>
      </c>
      <c r="GF17" t="e">
        <f>AND('Planilla_General_29-11-2012_10_'!P252,"AAAAABy/a7s=")</f>
        <v>#VALUE!</v>
      </c>
      <c r="GG17">
        <f>IF('Planilla_General_29-11-2012_10_'!253:253,"AAAAABy/a7w=",0)</f>
        <v>0</v>
      </c>
      <c r="GH17" t="e">
        <f>AND('Planilla_General_29-11-2012_10_'!A253,"AAAAABy/a70=")</f>
        <v>#VALUE!</v>
      </c>
      <c r="GI17" t="e">
        <f>AND('Planilla_General_29-11-2012_10_'!B253,"AAAAABy/a74=")</f>
        <v>#VALUE!</v>
      </c>
      <c r="GJ17" t="e">
        <f>AND('Planilla_General_29-11-2012_10_'!C253,"AAAAABy/a78=")</f>
        <v>#VALUE!</v>
      </c>
      <c r="GK17" t="e">
        <f>AND('Planilla_General_29-11-2012_10_'!D253,"AAAAABy/a8A=")</f>
        <v>#VALUE!</v>
      </c>
      <c r="GL17" t="e">
        <f>AND('Planilla_General_29-11-2012_10_'!E253,"AAAAABy/a8E=")</f>
        <v>#VALUE!</v>
      </c>
      <c r="GM17" t="e">
        <f>AND('Planilla_General_29-11-2012_10_'!F253,"AAAAABy/a8I=")</f>
        <v>#VALUE!</v>
      </c>
      <c r="GN17" t="e">
        <f>AND('Planilla_General_29-11-2012_10_'!G253,"AAAAABy/a8M=")</f>
        <v>#VALUE!</v>
      </c>
      <c r="GO17" t="e">
        <f>AND('Planilla_General_29-11-2012_10_'!H253,"AAAAABy/a8Q=")</f>
        <v>#VALUE!</v>
      </c>
      <c r="GP17" t="e">
        <f>AND('Planilla_General_29-11-2012_10_'!I253,"AAAAABy/a8U=")</f>
        <v>#VALUE!</v>
      </c>
      <c r="GQ17" t="e">
        <f>AND('Planilla_General_29-11-2012_10_'!J253,"AAAAABy/a8Y=")</f>
        <v>#VALUE!</v>
      </c>
      <c r="GR17" t="e">
        <f>AND('Planilla_General_29-11-2012_10_'!K253,"AAAAABy/a8c=")</f>
        <v>#VALUE!</v>
      </c>
      <c r="GS17" t="e">
        <f>AND('Planilla_General_29-11-2012_10_'!L253,"AAAAABy/a8g=")</f>
        <v>#VALUE!</v>
      </c>
      <c r="GT17" t="e">
        <f>AND('Planilla_General_29-11-2012_10_'!M253,"AAAAABy/a8k=")</f>
        <v>#VALUE!</v>
      </c>
      <c r="GU17" t="e">
        <f>AND('Planilla_General_29-11-2012_10_'!N253,"AAAAABy/a8o=")</f>
        <v>#VALUE!</v>
      </c>
      <c r="GV17" t="e">
        <f>AND('Planilla_General_29-11-2012_10_'!O253,"AAAAABy/a8s=")</f>
        <v>#VALUE!</v>
      </c>
      <c r="GW17" t="e">
        <f>AND('Planilla_General_29-11-2012_10_'!P253,"AAAAABy/a8w=")</f>
        <v>#VALUE!</v>
      </c>
      <c r="GX17">
        <f>IF('Planilla_General_29-11-2012_10_'!254:254,"AAAAABy/a80=",0)</f>
        <v>0</v>
      </c>
      <c r="GY17" t="e">
        <f>AND('Planilla_General_29-11-2012_10_'!A254,"AAAAABy/a84=")</f>
        <v>#VALUE!</v>
      </c>
      <c r="GZ17" t="e">
        <f>AND('Planilla_General_29-11-2012_10_'!B254,"AAAAABy/a88=")</f>
        <v>#VALUE!</v>
      </c>
      <c r="HA17" t="e">
        <f>AND('Planilla_General_29-11-2012_10_'!C254,"AAAAABy/a9A=")</f>
        <v>#VALUE!</v>
      </c>
      <c r="HB17" t="e">
        <f>AND('Planilla_General_29-11-2012_10_'!D254,"AAAAABy/a9E=")</f>
        <v>#VALUE!</v>
      </c>
      <c r="HC17" t="e">
        <f>AND('Planilla_General_29-11-2012_10_'!E254,"AAAAABy/a9I=")</f>
        <v>#VALUE!</v>
      </c>
      <c r="HD17" t="e">
        <f>AND('Planilla_General_29-11-2012_10_'!F254,"AAAAABy/a9M=")</f>
        <v>#VALUE!</v>
      </c>
      <c r="HE17" t="e">
        <f>AND('Planilla_General_29-11-2012_10_'!G254,"AAAAABy/a9Q=")</f>
        <v>#VALUE!</v>
      </c>
      <c r="HF17" t="e">
        <f>AND('Planilla_General_29-11-2012_10_'!H254,"AAAAABy/a9U=")</f>
        <v>#VALUE!</v>
      </c>
      <c r="HG17" t="e">
        <f>AND('Planilla_General_29-11-2012_10_'!I254,"AAAAABy/a9Y=")</f>
        <v>#VALUE!</v>
      </c>
      <c r="HH17" t="e">
        <f>AND('Planilla_General_29-11-2012_10_'!J254,"AAAAABy/a9c=")</f>
        <v>#VALUE!</v>
      </c>
      <c r="HI17" t="e">
        <f>AND('Planilla_General_29-11-2012_10_'!K254,"AAAAABy/a9g=")</f>
        <v>#VALUE!</v>
      </c>
      <c r="HJ17" t="e">
        <f>AND('Planilla_General_29-11-2012_10_'!L254,"AAAAABy/a9k=")</f>
        <v>#VALUE!</v>
      </c>
      <c r="HK17" t="e">
        <f>AND('Planilla_General_29-11-2012_10_'!M254,"AAAAABy/a9o=")</f>
        <v>#VALUE!</v>
      </c>
      <c r="HL17" t="e">
        <f>AND('Planilla_General_29-11-2012_10_'!N254,"AAAAABy/a9s=")</f>
        <v>#VALUE!</v>
      </c>
      <c r="HM17" t="e">
        <f>AND('Planilla_General_29-11-2012_10_'!O254,"AAAAABy/a9w=")</f>
        <v>#VALUE!</v>
      </c>
      <c r="HN17" t="e">
        <f>AND('Planilla_General_29-11-2012_10_'!P254,"AAAAABy/a90=")</f>
        <v>#VALUE!</v>
      </c>
      <c r="HO17">
        <f>IF('Planilla_General_29-11-2012_10_'!255:255,"AAAAABy/a94=",0)</f>
        <v>0</v>
      </c>
      <c r="HP17" t="e">
        <f>AND('Planilla_General_29-11-2012_10_'!A255,"AAAAABy/a98=")</f>
        <v>#VALUE!</v>
      </c>
      <c r="HQ17" t="e">
        <f>AND('Planilla_General_29-11-2012_10_'!B255,"AAAAABy/a+A=")</f>
        <v>#VALUE!</v>
      </c>
      <c r="HR17" t="e">
        <f>AND('Planilla_General_29-11-2012_10_'!C255,"AAAAABy/a+E=")</f>
        <v>#VALUE!</v>
      </c>
      <c r="HS17" t="e">
        <f>AND('Planilla_General_29-11-2012_10_'!D255,"AAAAABy/a+I=")</f>
        <v>#VALUE!</v>
      </c>
      <c r="HT17" t="e">
        <f>AND('Planilla_General_29-11-2012_10_'!E255,"AAAAABy/a+M=")</f>
        <v>#VALUE!</v>
      </c>
      <c r="HU17" t="e">
        <f>AND('Planilla_General_29-11-2012_10_'!F255,"AAAAABy/a+Q=")</f>
        <v>#VALUE!</v>
      </c>
      <c r="HV17" t="e">
        <f>AND('Planilla_General_29-11-2012_10_'!G255,"AAAAABy/a+U=")</f>
        <v>#VALUE!</v>
      </c>
      <c r="HW17" t="e">
        <f>AND('Planilla_General_29-11-2012_10_'!H255,"AAAAABy/a+Y=")</f>
        <v>#VALUE!</v>
      </c>
      <c r="HX17" t="e">
        <f>AND('Planilla_General_29-11-2012_10_'!I255,"AAAAABy/a+c=")</f>
        <v>#VALUE!</v>
      </c>
      <c r="HY17" t="e">
        <f>AND('Planilla_General_29-11-2012_10_'!J255,"AAAAABy/a+g=")</f>
        <v>#VALUE!</v>
      </c>
      <c r="HZ17" t="e">
        <f>AND('Planilla_General_29-11-2012_10_'!K255,"AAAAABy/a+k=")</f>
        <v>#VALUE!</v>
      </c>
      <c r="IA17" t="e">
        <f>AND('Planilla_General_29-11-2012_10_'!L255,"AAAAABy/a+o=")</f>
        <v>#VALUE!</v>
      </c>
      <c r="IB17" t="e">
        <f>AND('Planilla_General_29-11-2012_10_'!M255,"AAAAABy/a+s=")</f>
        <v>#VALUE!</v>
      </c>
      <c r="IC17" t="e">
        <f>AND('Planilla_General_29-11-2012_10_'!N255,"AAAAABy/a+w=")</f>
        <v>#VALUE!</v>
      </c>
      <c r="ID17" t="e">
        <f>AND('Planilla_General_29-11-2012_10_'!O255,"AAAAABy/a+0=")</f>
        <v>#VALUE!</v>
      </c>
      <c r="IE17" t="e">
        <f>AND('Planilla_General_29-11-2012_10_'!P255,"AAAAABy/a+4=")</f>
        <v>#VALUE!</v>
      </c>
      <c r="IF17">
        <f>IF('Planilla_General_29-11-2012_10_'!256:256,"AAAAABy/a+8=",0)</f>
        <v>0</v>
      </c>
      <c r="IG17" t="e">
        <f>AND('Planilla_General_29-11-2012_10_'!A256,"AAAAABy/a/A=")</f>
        <v>#VALUE!</v>
      </c>
      <c r="IH17" t="e">
        <f>AND('Planilla_General_29-11-2012_10_'!B256,"AAAAABy/a/E=")</f>
        <v>#VALUE!</v>
      </c>
      <c r="II17" t="e">
        <f>AND('Planilla_General_29-11-2012_10_'!C256,"AAAAABy/a/I=")</f>
        <v>#VALUE!</v>
      </c>
      <c r="IJ17" t="e">
        <f>AND('Planilla_General_29-11-2012_10_'!D256,"AAAAABy/a/M=")</f>
        <v>#VALUE!</v>
      </c>
      <c r="IK17" t="e">
        <f>AND('Planilla_General_29-11-2012_10_'!E256,"AAAAABy/a/Q=")</f>
        <v>#VALUE!</v>
      </c>
      <c r="IL17" t="e">
        <f>AND('Planilla_General_29-11-2012_10_'!F256,"AAAAABy/a/U=")</f>
        <v>#VALUE!</v>
      </c>
      <c r="IM17" t="e">
        <f>AND('Planilla_General_29-11-2012_10_'!G256,"AAAAABy/a/Y=")</f>
        <v>#VALUE!</v>
      </c>
      <c r="IN17" t="e">
        <f>AND('Planilla_General_29-11-2012_10_'!H256,"AAAAABy/a/c=")</f>
        <v>#VALUE!</v>
      </c>
      <c r="IO17" t="e">
        <f>AND('Planilla_General_29-11-2012_10_'!I256,"AAAAABy/a/g=")</f>
        <v>#VALUE!</v>
      </c>
      <c r="IP17" t="e">
        <f>AND('Planilla_General_29-11-2012_10_'!J256,"AAAAABy/a/k=")</f>
        <v>#VALUE!</v>
      </c>
      <c r="IQ17" t="e">
        <f>AND('Planilla_General_29-11-2012_10_'!K256,"AAAAABy/a/o=")</f>
        <v>#VALUE!</v>
      </c>
      <c r="IR17" t="e">
        <f>AND('Planilla_General_29-11-2012_10_'!L256,"AAAAABy/a/s=")</f>
        <v>#VALUE!</v>
      </c>
      <c r="IS17" t="e">
        <f>AND('Planilla_General_29-11-2012_10_'!M256,"AAAAABy/a/w=")</f>
        <v>#VALUE!</v>
      </c>
      <c r="IT17" t="e">
        <f>AND('Planilla_General_29-11-2012_10_'!N256,"AAAAABy/a/0=")</f>
        <v>#VALUE!</v>
      </c>
      <c r="IU17" t="e">
        <f>AND('Planilla_General_29-11-2012_10_'!O256,"AAAAABy/a/4=")</f>
        <v>#VALUE!</v>
      </c>
      <c r="IV17" t="e">
        <f>AND('Planilla_General_29-11-2012_10_'!P256,"AAAAABy/a/8=")</f>
        <v>#VALUE!</v>
      </c>
    </row>
    <row r="18" spans="1:256" x14ac:dyDescent="0.25">
      <c r="A18" t="e">
        <f>IF('Planilla_General_29-11-2012_10_'!257:257,"AAAAAH93awA=",0)</f>
        <v>#VALUE!</v>
      </c>
      <c r="B18" t="e">
        <f>AND('Planilla_General_29-11-2012_10_'!A257,"AAAAAH93awE=")</f>
        <v>#VALUE!</v>
      </c>
      <c r="C18" t="e">
        <f>AND('Planilla_General_29-11-2012_10_'!B257,"AAAAAH93awI=")</f>
        <v>#VALUE!</v>
      </c>
      <c r="D18" t="e">
        <f>AND('Planilla_General_29-11-2012_10_'!C257,"AAAAAH93awM=")</f>
        <v>#VALUE!</v>
      </c>
      <c r="E18" t="e">
        <f>AND('Planilla_General_29-11-2012_10_'!D257,"AAAAAH93awQ=")</f>
        <v>#VALUE!</v>
      </c>
      <c r="F18" t="e">
        <f>AND('Planilla_General_29-11-2012_10_'!E257,"AAAAAH93awU=")</f>
        <v>#VALUE!</v>
      </c>
      <c r="G18" t="e">
        <f>AND('Planilla_General_29-11-2012_10_'!F257,"AAAAAH93awY=")</f>
        <v>#VALUE!</v>
      </c>
      <c r="H18" t="e">
        <f>AND('Planilla_General_29-11-2012_10_'!G257,"AAAAAH93awc=")</f>
        <v>#VALUE!</v>
      </c>
      <c r="I18" t="e">
        <f>AND('Planilla_General_29-11-2012_10_'!H257,"AAAAAH93awg=")</f>
        <v>#VALUE!</v>
      </c>
      <c r="J18" t="e">
        <f>AND('Planilla_General_29-11-2012_10_'!I257,"AAAAAH93awk=")</f>
        <v>#VALUE!</v>
      </c>
      <c r="K18" t="e">
        <f>AND('Planilla_General_29-11-2012_10_'!J257,"AAAAAH93awo=")</f>
        <v>#VALUE!</v>
      </c>
      <c r="L18" t="e">
        <f>AND('Planilla_General_29-11-2012_10_'!K257,"AAAAAH93aws=")</f>
        <v>#VALUE!</v>
      </c>
      <c r="M18" t="e">
        <f>AND('Planilla_General_29-11-2012_10_'!L257,"AAAAAH93aww=")</f>
        <v>#VALUE!</v>
      </c>
      <c r="N18" t="e">
        <f>AND('Planilla_General_29-11-2012_10_'!M257,"AAAAAH93aw0=")</f>
        <v>#VALUE!</v>
      </c>
      <c r="O18" t="e">
        <f>AND('Planilla_General_29-11-2012_10_'!N257,"AAAAAH93aw4=")</f>
        <v>#VALUE!</v>
      </c>
      <c r="P18" t="e">
        <f>AND('Planilla_General_29-11-2012_10_'!O257,"AAAAAH93aw8=")</f>
        <v>#VALUE!</v>
      </c>
      <c r="Q18" t="e">
        <f>AND('Planilla_General_29-11-2012_10_'!P257,"AAAAAH93axA=")</f>
        <v>#VALUE!</v>
      </c>
      <c r="R18">
        <f>IF('Planilla_General_29-11-2012_10_'!258:258,"AAAAAH93axE=",0)</f>
        <v>0</v>
      </c>
      <c r="S18" t="e">
        <f>AND('Planilla_General_29-11-2012_10_'!A258,"AAAAAH93axI=")</f>
        <v>#VALUE!</v>
      </c>
      <c r="T18" t="e">
        <f>AND('Planilla_General_29-11-2012_10_'!B258,"AAAAAH93axM=")</f>
        <v>#VALUE!</v>
      </c>
      <c r="U18" t="e">
        <f>AND('Planilla_General_29-11-2012_10_'!C258,"AAAAAH93axQ=")</f>
        <v>#VALUE!</v>
      </c>
      <c r="V18" t="e">
        <f>AND('Planilla_General_29-11-2012_10_'!D258,"AAAAAH93axU=")</f>
        <v>#VALUE!</v>
      </c>
      <c r="W18" t="e">
        <f>AND('Planilla_General_29-11-2012_10_'!E258,"AAAAAH93axY=")</f>
        <v>#VALUE!</v>
      </c>
      <c r="X18" t="e">
        <f>AND('Planilla_General_29-11-2012_10_'!F258,"AAAAAH93axc=")</f>
        <v>#VALUE!</v>
      </c>
      <c r="Y18" t="e">
        <f>AND('Planilla_General_29-11-2012_10_'!G258,"AAAAAH93axg=")</f>
        <v>#VALUE!</v>
      </c>
      <c r="Z18" t="e">
        <f>AND('Planilla_General_29-11-2012_10_'!H258,"AAAAAH93axk=")</f>
        <v>#VALUE!</v>
      </c>
      <c r="AA18" t="e">
        <f>AND('Planilla_General_29-11-2012_10_'!I258,"AAAAAH93axo=")</f>
        <v>#VALUE!</v>
      </c>
      <c r="AB18" t="e">
        <f>AND('Planilla_General_29-11-2012_10_'!J258,"AAAAAH93axs=")</f>
        <v>#VALUE!</v>
      </c>
      <c r="AC18" t="e">
        <f>AND('Planilla_General_29-11-2012_10_'!K258,"AAAAAH93axw=")</f>
        <v>#VALUE!</v>
      </c>
      <c r="AD18" t="e">
        <f>AND('Planilla_General_29-11-2012_10_'!L258,"AAAAAH93ax0=")</f>
        <v>#VALUE!</v>
      </c>
      <c r="AE18" t="e">
        <f>AND('Planilla_General_29-11-2012_10_'!M258,"AAAAAH93ax4=")</f>
        <v>#VALUE!</v>
      </c>
      <c r="AF18" t="e">
        <f>AND('Planilla_General_29-11-2012_10_'!N258,"AAAAAH93ax8=")</f>
        <v>#VALUE!</v>
      </c>
      <c r="AG18" t="e">
        <f>AND('Planilla_General_29-11-2012_10_'!O258,"AAAAAH93ayA=")</f>
        <v>#VALUE!</v>
      </c>
      <c r="AH18" t="e">
        <f>AND('Planilla_General_29-11-2012_10_'!P258,"AAAAAH93ayE=")</f>
        <v>#VALUE!</v>
      </c>
      <c r="AI18">
        <f>IF('Planilla_General_29-11-2012_10_'!259:259,"AAAAAH93ayI=",0)</f>
        <v>0</v>
      </c>
      <c r="AJ18" t="e">
        <f>AND('Planilla_General_29-11-2012_10_'!A259,"AAAAAH93ayM=")</f>
        <v>#VALUE!</v>
      </c>
      <c r="AK18" t="e">
        <f>AND('Planilla_General_29-11-2012_10_'!B259,"AAAAAH93ayQ=")</f>
        <v>#VALUE!</v>
      </c>
      <c r="AL18" t="e">
        <f>AND('Planilla_General_29-11-2012_10_'!C259,"AAAAAH93ayU=")</f>
        <v>#VALUE!</v>
      </c>
      <c r="AM18" t="e">
        <f>AND('Planilla_General_29-11-2012_10_'!D259,"AAAAAH93ayY=")</f>
        <v>#VALUE!</v>
      </c>
      <c r="AN18" t="e">
        <f>AND('Planilla_General_29-11-2012_10_'!E259,"AAAAAH93ayc=")</f>
        <v>#VALUE!</v>
      </c>
      <c r="AO18" t="e">
        <f>AND('Planilla_General_29-11-2012_10_'!F259,"AAAAAH93ayg=")</f>
        <v>#VALUE!</v>
      </c>
      <c r="AP18" t="e">
        <f>AND('Planilla_General_29-11-2012_10_'!G259,"AAAAAH93ayk=")</f>
        <v>#VALUE!</v>
      </c>
      <c r="AQ18" t="e">
        <f>AND('Planilla_General_29-11-2012_10_'!H259,"AAAAAH93ayo=")</f>
        <v>#VALUE!</v>
      </c>
      <c r="AR18" t="e">
        <f>AND('Planilla_General_29-11-2012_10_'!I259,"AAAAAH93ays=")</f>
        <v>#VALUE!</v>
      </c>
      <c r="AS18" t="e">
        <f>AND('Planilla_General_29-11-2012_10_'!J259,"AAAAAH93ayw=")</f>
        <v>#VALUE!</v>
      </c>
      <c r="AT18" t="e">
        <f>AND('Planilla_General_29-11-2012_10_'!K259,"AAAAAH93ay0=")</f>
        <v>#VALUE!</v>
      </c>
      <c r="AU18" t="e">
        <f>AND('Planilla_General_29-11-2012_10_'!L259,"AAAAAH93ay4=")</f>
        <v>#VALUE!</v>
      </c>
      <c r="AV18" t="e">
        <f>AND('Planilla_General_29-11-2012_10_'!M259,"AAAAAH93ay8=")</f>
        <v>#VALUE!</v>
      </c>
      <c r="AW18" t="e">
        <f>AND('Planilla_General_29-11-2012_10_'!N259,"AAAAAH93azA=")</f>
        <v>#VALUE!</v>
      </c>
      <c r="AX18" t="e">
        <f>AND('Planilla_General_29-11-2012_10_'!O259,"AAAAAH93azE=")</f>
        <v>#VALUE!</v>
      </c>
      <c r="AY18" t="e">
        <f>AND('Planilla_General_29-11-2012_10_'!P259,"AAAAAH93azI=")</f>
        <v>#VALUE!</v>
      </c>
      <c r="AZ18">
        <f>IF('Planilla_General_29-11-2012_10_'!260:260,"AAAAAH93azM=",0)</f>
        <v>0</v>
      </c>
      <c r="BA18" t="e">
        <f>AND('Planilla_General_29-11-2012_10_'!A260,"AAAAAH93azQ=")</f>
        <v>#VALUE!</v>
      </c>
      <c r="BB18" t="e">
        <f>AND('Planilla_General_29-11-2012_10_'!B260,"AAAAAH93azU=")</f>
        <v>#VALUE!</v>
      </c>
      <c r="BC18" t="e">
        <f>AND('Planilla_General_29-11-2012_10_'!C260,"AAAAAH93azY=")</f>
        <v>#VALUE!</v>
      </c>
      <c r="BD18" t="e">
        <f>AND('Planilla_General_29-11-2012_10_'!D260,"AAAAAH93azc=")</f>
        <v>#VALUE!</v>
      </c>
      <c r="BE18" t="e">
        <f>AND('Planilla_General_29-11-2012_10_'!E260,"AAAAAH93azg=")</f>
        <v>#VALUE!</v>
      </c>
      <c r="BF18" t="e">
        <f>AND('Planilla_General_29-11-2012_10_'!F260,"AAAAAH93azk=")</f>
        <v>#VALUE!</v>
      </c>
      <c r="BG18" t="e">
        <f>AND('Planilla_General_29-11-2012_10_'!G260,"AAAAAH93azo=")</f>
        <v>#VALUE!</v>
      </c>
      <c r="BH18" t="e">
        <f>AND('Planilla_General_29-11-2012_10_'!H260,"AAAAAH93azs=")</f>
        <v>#VALUE!</v>
      </c>
      <c r="BI18" t="e">
        <f>AND('Planilla_General_29-11-2012_10_'!I260,"AAAAAH93azw=")</f>
        <v>#VALUE!</v>
      </c>
      <c r="BJ18" t="e">
        <f>AND('Planilla_General_29-11-2012_10_'!J260,"AAAAAH93az0=")</f>
        <v>#VALUE!</v>
      </c>
      <c r="BK18" t="e">
        <f>AND('Planilla_General_29-11-2012_10_'!K260,"AAAAAH93az4=")</f>
        <v>#VALUE!</v>
      </c>
      <c r="BL18" t="e">
        <f>AND('Planilla_General_29-11-2012_10_'!L260,"AAAAAH93az8=")</f>
        <v>#VALUE!</v>
      </c>
      <c r="BM18" t="e">
        <f>AND('Planilla_General_29-11-2012_10_'!M260,"AAAAAH93a0A=")</f>
        <v>#VALUE!</v>
      </c>
      <c r="BN18" t="e">
        <f>AND('Planilla_General_29-11-2012_10_'!N260,"AAAAAH93a0E=")</f>
        <v>#VALUE!</v>
      </c>
      <c r="BO18" t="e">
        <f>AND('Planilla_General_29-11-2012_10_'!O260,"AAAAAH93a0I=")</f>
        <v>#VALUE!</v>
      </c>
      <c r="BP18" t="e">
        <f>AND('Planilla_General_29-11-2012_10_'!P260,"AAAAAH93a0M=")</f>
        <v>#VALUE!</v>
      </c>
      <c r="BQ18">
        <f>IF('Planilla_General_29-11-2012_10_'!261:261,"AAAAAH93a0Q=",0)</f>
        <v>0</v>
      </c>
      <c r="BR18" t="e">
        <f>AND('Planilla_General_29-11-2012_10_'!A261,"AAAAAH93a0U=")</f>
        <v>#VALUE!</v>
      </c>
      <c r="BS18" t="e">
        <f>AND('Planilla_General_29-11-2012_10_'!B261,"AAAAAH93a0Y=")</f>
        <v>#VALUE!</v>
      </c>
      <c r="BT18" t="e">
        <f>AND('Planilla_General_29-11-2012_10_'!C261,"AAAAAH93a0c=")</f>
        <v>#VALUE!</v>
      </c>
      <c r="BU18" t="e">
        <f>AND('Planilla_General_29-11-2012_10_'!D261,"AAAAAH93a0g=")</f>
        <v>#VALUE!</v>
      </c>
      <c r="BV18" t="e">
        <f>AND('Planilla_General_29-11-2012_10_'!E261,"AAAAAH93a0k=")</f>
        <v>#VALUE!</v>
      </c>
      <c r="BW18" t="e">
        <f>AND('Planilla_General_29-11-2012_10_'!F261,"AAAAAH93a0o=")</f>
        <v>#VALUE!</v>
      </c>
      <c r="BX18" t="e">
        <f>AND('Planilla_General_29-11-2012_10_'!G261,"AAAAAH93a0s=")</f>
        <v>#VALUE!</v>
      </c>
      <c r="BY18" t="e">
        <f>AND('Planilla_General_29-11-2012_10_'!H261,"AAAAAH93a0w=")</f>
        <v>#VALUE!</v>
      </c>
      <c r="BZ18" t="e">
        <f>AND('Planilla_General_29-11-2012_10_'!I261,"AAAAAH93a00=")</f>
        <v>#VALUE!</v>
      </c>
      <c r="CA18" t="e">
        <f>AND('Planilla_General_29-11-2012_10_'!J261,"AAAAAH93a04=")</f>
        <v>#VALUE!</v>
      </c>
      <c r="CB18" t="e">
        <f>AND('Planilla_General_29-11-2012_10_'!K261,"AAAAAH93a08=")</f>
        <v>#VALUE!</v>
      </c>
      <c r="CC18" t="e">
        <f>AND('Planilla_General_29-11-2012_10_'!L261,"AAAAAH93a1A=")</f>
        <v>#VALUE!</v>
      </c>
      <c r="CD18" t="e">
        <f>AND('Planilla_General_29-11-2012_10_'!M261,"AAAAAH93a1E=")</f>
        <v>#VALUE!</v>
      </c>
      <c r="CE18" t="e">
        <f>AND('Planilla_General_29-11-2012_10_'!N261,"AAAAAH93a1I=")</f>
        <v>#VALUE!</v>
      </c>
      <c r="CF18" t="e">
        <f>AND('Planilla_General_29-11-2012_10_'!O261,"AAAAAH93a1M=")</f>
        <v>#VALUE!</v>
      </c>
      <c r="CG18" t="e">
        <f>AND('Planilla_General_29-11-2012_10_'!P261,"AAAAAH93a1Q=")</f>
        <v>#VALUE!</v>
      </c>
      <c r="CH18">
        <f>IF('Planilla_General_29-11-2012_10_'!262:262,"AAAAAH93a1U=",0)</f>
        <v>0</v>
      </c>
      <c r="CI18" t="e">
        <f>AND('Planilla_General_29-11-2012_10_'!A262,"AAAAAH93a1Y=")</f>
        <v>#VALUE!</v>
      </c>
      <c r="CJ18" t="e">
        <f>AND('Planilla_General_29-11-2012_10_'!B262,"AAAAAH93a1c=")</f>
        <v>#VALUE!</v>
      </c>
      <c r="CK18" t="e">
        <f>AND('Planilla_General_29-11-2012_10_'!C262,"AAAAAH93a1g=")</f>
        <v>#VALUE!</v>
      </c>
      <c r="CL18" t="e">
        <f>AND('Planilla_General_29-11-2012_10_'!D262,"AAAAAH93a1k=")</f>
        <v>#VALUE!</v>
      </c>
      <c r="CM18" t="e">
        <f>AND('Planilla_General_29-11-2012_10_'!E262,"AAAAAH93a1o=")</f>
        <v>#VALUE!</v>
      </c>
      <c r="CN18" t="e">
        <f>AND('Planilla_General_29-11-2012_10_'!F262,"AAAAAH93a1s=")</f>
        <v>#VALUE!</v>
      </c>
      <c r="CO18" t="e">
        <f>AND('Planilla_General_29-11-2012_10_'!G262,"AAAAAH93a1w=")</f>
        <v>#VALUE!</v>
      </c>
      <c r="CP18" t="e">
        <f>AND('Planilla_General_29-11-2012_10_'!H262,"AAAAAH93a10=")</f>
        <v>#VALUE!</v>
      </c>
      <c r="CQ18" t="e">
        <f>AND('Planilla_General_29-11-2012_10_'!I262,"AAAAAH93a14=")</f>
        <v>#VALUE!</v>
      </c>
      <c r="CR18" t="e">
        <f>AND('Planilla_General_29-11-2012_10_'!J262,"AAAAAH93a18=")</f>
        <v>#VALUE!</v>
      </c>
      <c r="CS18" t="e">
        <f>AND('Planilla_General_29-11-2012_10_'!K262,"AAAAAH93a2A=")</f>
        <v>#VALUE!</v>
      </c>
      <c r="CT18" t="e">
        <f>AND('Planilla_General_29-11-2012_10_'!L262,"AAAAAH93a2E=")</f>
        <v>#VALUE!</v>
      </c>
      <c r="CU18" t="e">
        <f>AND('Planilla_General_29-11-2012_10_'!M262,"AAAAAH93a2I=")</f>
        <v>#VALUE!</v>
      </c>
      <c r="CV18" t="e">
        <f>AND('Planilla_General_29-11-2012_10_'!N262,"AAAAAH93a2M=")</f>
        <v>#VALUE!</v>
      </c>
      <c r="CW18" t="e">
        <f>AND('Planilla_General_29-11-2012_10_'!O262,"AAAAAH93a2Q=")</f>
        <v>#VALUE!</v>
      </c>
      <c r="CX18" t="e">
        <f>AND('Planilla_General_29-11-2012_10_'!P262,"AAAAAH93a2U=")</f>
        <v>#VALUE!</v>
      </c>
      <c r="CY18">
        <f>IF('Planilla_General_29-11-2012_10_'!263:263,"AAAAAH93a2Y=",0)</f>
        <v>0</v>
      </c>
      <c r="CZ18" t="e">
        <f>AND('Planilla_General_29-11-2012_10_'!A263,"AAAAAH93a2c=")</f>
        <v>#VALUE!</v>
      </c>
      <c r="DA18" t="e">
        <f>AND('Planilla_General_29-11-2012_10_'!B263,"AAAAAH93a2g=")</f>
        <v>#VALUE!</v>
      </c>
      <c r="DB18" t="e">
        <f>AND('Planilla_General_29-11-2012_10_'!C263,"AAAAAH93a2k=")</f>
        <v>#VALUE!</v>
      </c>
      <c r="DC18" t="e">
        <f>AND('Planilla_General_29-11-2012_10_'!D263,"AAAAAH93a2o=")</f>
        <v>#VALUE!</v>
      </c>
      <c r="DD18" t="e">
        <f>AND('Planilla_General_29-11-2012_10_'!E263,"AAAAAH93a2s=")</f>
        <v>#VALUE!</v>
      </c>
      <c r="DE18" t="e">
        <f>AND('Planilla_General_29-11-2012_10_'!F263,"AAAAAH93a2w=")</f>
        <v>#VALUE!</v>
      </c>
      <c r="DF18" t="e">
        <f>AND('Planilla_General_29-11-2012_10_'!G263,"AAAAAH93a20=")</f>
        <v>#VALUE!</v>
      </c>
      <c r="DG18" t="e">
        <f>AND('Planilla_General_29-11-2012_10_'!H263,"AAAAAH93a24=")</f>
        <v>#VALUE!</v>
      </c>
      <c r="DH18" t="e">
        <f>AND('Planilla_General_29-11-2012_10_'!I263,"AAAAAH93a28=")</f>
        <v>#VALUE!</v>
      </c>
      <c r="DI18" t="e">
        <f>AND('Planilla_General_29-11-2012_10_'!J263,"AAAAAH93a3A=")</f>
        <v>#VALUE!</v>
      </c>
      <c r="DJ18" t="e">
        <f>AND('Planilla_General_29-11-2012_10_'!K263,"AAAAAH93a3E=")</f>
        <v>#VALUE!</v>
      </c>
      <c r="DK18" t="e">
        <f>AND('Planilla_General_29-11-2012_10_'!L263,"AAAAAH93a3I=")</f>
        <v>#VALUE!</v>
      </c>
      <c r="DL18" t="e">
        <f>AND('Planilla_General_29-11-2012_10_'!M263,"AAAAAH93a3M=")</f>
        <v>#VALUE!</v>
      </c>
      <c r="DM18" t="e">
        <f>AND('Planilla_General_29-11-2012_10_'!N263,"AAAAAH93a3Q=")</f>
        <v>#VALUE!</v>
      </c>
      <c r="DN18" t="e">
        <f>AND('Planilla_General_29-11-2012_10_'!O263,"AAAAAH93a3U=")</f>
        <v>#VALUE!</v>
      </c>
      <c r="DO18" t="e">
        <f>AND('Planilla_General_29-11-2012_10_'!P263,"AAAAAH93a3Y=")</f>
        <v>#VALUE!</v>
      </c>
      <c r="DP18">
        <f>IF('Planilla_General_29-11-2012_10_'!264:264,"AAAAAH93a3c=",0)</f>
        <v>0</v>
      </c>
      <c r="DQ18" t="e">
        <f>AND('Planilla_General_29-11-2012_10_'!A264,"AAAAAH93a3g=")</f>
        <v>#VALUE!</v>
      </c>
      <c r="DR18" t="e">
        <f>AND('Planilla_General_29-11-2012_10_'!B264,"AAAAAH93a3k=")</f>
        <v>#VALUE!</v>
      </c>
      <c r="DS18" t="e">
        <f>AND('Planilla_General_29-11-2012_10_'!C264,"AAAAAH93a3o=")</f>
        <v>#VALUE!</v>
      </c>
      <c r="DT18" t="e">
        <f>AND('Planilla_General_29-11-2012_10_'!D264,"AAAAAH93a3s=")</f>
        <v>#VALUE!</v>
      </c>
      <c r="DU18" t="e">
        <f>AND('Planilla_General_29-11-2012_10_'!E264,"AAAAAH93a3w=")</f>
        <v>#VALUE!</v>
      </c>
      <c r="DV18" t="e">
        <f>AND('Planilla_General_29-11-2012_10_'!F264,"AAAAAH93a30=")</f>
        <v>#VALUE!</v>
      </c>
      <c r="DW18" t="e">
        <f>AND('Planilla_General_29-11-2012_10_'!G264,"AAAAAH93a34=")</f>
        <v>#VALUE!</v>
      </c>
      <c r="DX18" t="e">
        <f>AND('Planilla_General_29-11-2012_10_'!H264,"AAAAAH93a38=")</f>
        <v>#VALUE!</v>
      </c>
      <c r="DY18" t="e">
        <f>AND('Planilla_General_29-11-2012_10_'!I264,"AAAAAH93a4A=")</f>
        <v>#VALUE!</v>
      </c>
      <c r="DZ18" t="e">
        <f>AND('Planilla_General_29-11-2012_10_'!J264,"AAAAAH93a4E=")</f>
        <v>#VALUE!</v>
      </c>
      <c r="EA18" t="e">
        <f>AND('Planilla_General_29-11-2012_10_'!K264,"AAAAAH93a4I=")</f>
        <v>#VALUE!</v>
      </c>
      <c r="EB18" t="e">
        <f>AND('Planilla_General_29-11-2012_10_'!L264,"AAAAAH93a4M=")</f>
        <v>#VALUE!</v>
      </c>
      <c r="EC18" t="e">
        <f>AND('Planilla_General_29-11-2012_10_'!M264,"AAAAAH93a4Q=")</f>
        <v>#VALUE!</v>
      </c>
      <c r="ED18" t="e">
        <f>AND('Planilla_General_29-11-2012_10_'!N264,"AAAAAH93a4U=")</f>
        <v>#VALUE!</v>
      </c>
      <c r="EE18" t="e">
        <f>AND('Planilla_General_29-11-2012_10_'!O264,"AAAAAH93a4Y=")</f>
        <v>#VALUE!</v>
      </c>
      <c r="EF18" t="e">
        <f>AND('Planilla_General_29-11-2012_10_'!P264,"AAAAAH93a4c=")</f>
        <v>#VALUE!</v>
      </c>
      <c r="EG18">
        <f>IF('Planilla_General_29-11-2012_10_'!265:265,"AAAAAH93a4g=",0)</f>
        <v>0</v>
      </c>
      <c r="EH18" t="e">
        <f>AND('Planilla_General_29-11-2012_10_'!A265,"AAAAAH93a4k=")</f>
        <v>#VALUE!</v>
      </c>
      <c r="EI18" t="e">
        <f>AND('Planilla_General_29-11-2012_10_'!B265,"AAAAAH93a4o=")</f>
        <v>#VALUE!</v>
      </c>
      <c r="EJ18" t="e">
        <f>AND('Planilla_General_29-11-2012_10_'!C265,"AAAAAH93a4s=")</f>
        <v>#VALUE!</v>
      </c>
      <c r="EK18" t="e">
        <f>AND('Planilla_General_29-11-2012_10_'!D265,"AAAAAH93a4w=")</f>
        <v>#VALUE!</v>
      </c>
      <c r="EL18" t="e">
        <f>AND('Planilla_General_29-11-2012_10_'!E265,"AAAAAH93a40=")</f>
        <v>#VALUE!</v>
      </c>
      <c r="EM18" t="e">
        <f>AND('Planilla_General_29-11-2012_10_'!F265,"AAAAAH93a44=")</f>
        <v>#VALUE!</v>
      </c>
      <c r="EN18" t="e">
        <f>AND('Planilla_General_29-11-2012_10_'!G265,"AAAAAH93a48=")</f>
        <v>#VALUE!</v>
      </c>
      <c r="EO18" t="e">
        <f>AND('Planilla_General_29-11-2012_10_'!H265,"AAAAAH93a5A=")</f>
        <v>#VALUE!</v>
      </c>
      <c r="EP18" t="e">
        <f>AND('Planilla_General_29-11-2012_10_'!I265,"AAAAAH93a5E=")</f>
        <v>#VALUE!</v>
      </c>
      <c r="EQ18" t="e">
        <f>AND('Planilla_General_29-11-2012_10_'!J265,"AAAAAH93a5I=")</f>
        <v>#VALUE!</v>
      </c>
      <c r="ER18" t="e">
        <f>AND('Planilla_General_29-11-2012_10_'!K265,"AAAAAH93a5M=")</f>
        <v>#VALUE!</v>
      </c>
      <c r="ES18" t="e">
        <f>AND('Planilla_General_29-11-2012_10_'!L265,"AAAAAH93a5Q=")</f>
        <v>#VALUE!</v>
      </c>
      <c r="ET18" t="e">
        <f>AND('Planilla_General_29-11-2012_10_'!M265,"AAAAAH93a5U=")</f>
        <v>#VALUE!</v>
      </c>
      <c r="EU18" t="e">
        <f>AND('Planilla_General_29-11-2012_10_'!N265,"AAAAAH93a5Y=")</f>
        <v>#VALUE!</v>
      </c>
      <c r="EV18" t="e">
        <f>AND('Planilla_General_29-11-2012_10_'!O265,"AAAAAH93a5c=")</f>
        <v>#VALUE!</v>
      </c>
      <c r="EW18" t="e">
        <f>AND('Planilla_General_29-11-2012_10_'!P265,"AAAAAH93a5g=")</f>
        <v>#VALUE!</v>
      </c>
      <c r="EX18">
        <f>IF('Planilla_General_29-11-2012_10_'!266:266,"AAAAAH93a5k=",0)</f>
        <v>0</v>
      </c>
      <c r="EY18" t="e">
        <f>AND('Planilla_General_29-11-2012_10_'!A266,"AAAAAH93a5o=")</f>
        <v>#VALUE!</v>
      </c>
      <c r="EZ18" t="e">
        <f>AND('Planilla_General_29-11-2012_10_'!B266,"AAAAAH93a5s=")</f>
        <v>#VALUE!</v>
      </c>
      <c r="FA18" t="e">
        <f>AND('Planilla_General_29-11-2012_10_'!C266,"AAAAAH93a5w=")</f>
        <v>#VALUE!</v>
      </c>
      <c r="FB18" t="e">
        <f>AND('Planilla_General_29-11-2012_10_'!D266,"AAAAAH93a50=")</f>
        <v>#VALUE!</v>
      </c>
      <c r="FC18" t="e">
        <f>AND('Planilla_General_29-11-2012_10_'!E266,"AAAAAH93a54=")</f>
        <v>#VALUE!</v>
      </c>
      <c r="FD18" t="e">
        <f>AND('Planilla_General_29-11-2012_10_'!F266,"AAAAAH93a58=")</f>
        <v>#VALUE!</v>
      </c>
      <c r="FE18" t="e">
        <f>AND('Planilla_General_29-11-2012_10_'!G266,"AAAAAH93a6A=")</f>
        <v>#VALUE!</v>
      </c>
      <c r="FF18" t="e">
        <f>AND('Planilla_General_29-11-2012_10_'!H266,"AAAAAH93a6E=")</f>
        <v>#VALUE!</v>
      </c>
      <c r="FG18" t="e">
        <f>AND('Planilla_General_29-11-2012_10_'!I266,"AAAAAH93a6I=")</f>
        <v>#VALUE!</v>
      </c>
      <c r="FH18" t="e">
        <f>AND('Planilla_General_29-11-2012_10_'!J266,"AAAAAH93a6M=")</f>
        <v>#VALUE!</v>
      </c>
      <c r="FI18" t="e">
        <f>AND('Planilla_General_29-11-2012_10_'!K266,"AAAAAH93a6Q=")</f>
        <v>#VALUE!</v>
      </c>
      <c r="FJ18" t="e">
        <f>AND('Planilla_General_29-11-2012_10_'!L266,"AAAAAH93a6U=")</f>
        <v>#VALUE!</v>
      </c>
      <c r="FK18" t="e">
        <f>AND('Planilla_General_29-11-2012_10_'!M266,"AAAAAH93a6Y=")</f>
        <v>#VALUE!</v>
      </c>
      <c r="FL18" t="e">
        <f>AND('Planilla_General_29-11-2012_10_'!N266,"AAAAAH93a6c=")</f>
        <v>#VALUE!</v>
      </c>
      <c r="FM18" t="e">
        <f>AND('Planilla_General_29-11-2012_10_'!O266,"AAAAAH93a6g=")</f>
        <v>#VALUE!</v>
      </c>
      <c r="FN18" t="e">
        <f>AND('Planilla_General_29-11-2012_10_'!P266,"AAAAAH93a6k=")</f>
        <v>#VALUE!</v>
      </c>
      <c r="FO18">
        <f>IF('Planilla_General_29-11-2012_10_'!267:267,"AAAAAH93a6o=",0)</f>
        <v>0</v>
      </c>
      <c r="FP18" t="e">
        <f>AND('Planilla_General_29-11-2012_10_'!A267,"AAAAAH93a6s=")</f>
        <v>#VALUE!</v>
      </c>
      <c r="FQ18" t="e">
        <f>AND('Planilla_General_29-11-2012_10_'!B267,"AAAAAH93a6w=")</f>
        <v>#VALUE!</v>
      </c>
      <c r="FR18" t="e">
        <f>AND('Planilla_General_29-11-2012_10_'!C267,"AAAAAH93a60=")</f>
        <v>#VALUE!</v>
      </c>
      <c r="FS18" t="e">
        <f>AND('Planilla_General_29-11-2012_10_'!D267,"AAAAAH93a64=")</f>
        <v>#VALUE!</v>
      </c>
      <c r="FT18" t="e">
        <f>AND('Planilla_General_29-11-2012_10_'!E267,"AAAAAH93a68=")</f>
        <v>#VALUE!</v>
      </c>
      <c r="FU18" t="e">
        <f>AND('Planilla_General_29-11-2012_10_'!F267,"AAAAAH93a7A=")</f>
        <v>#VALUE!</v>
      </c>
      <c r="FV18" t="e">
        <f>AND('Planilla_General_29-11-2012_10_'!G267,"AAAAAH93a7E=")</f>
        <v>#VALUE!</v>
      </c>
      <c r="FW18" t="e">
        <f>AND('Planilla_General_29-11-2012_10_'!H267,"AAAAAH93a7I=")</f>
        <v>#VALUE!</v>
      </c>
      <c r="FX18" t="e">
        <f>AND('Planilla_General_29-11-2012_10_'!I267,"AAAAAH93a7M=")</f>
        <v>#VALUE!</v>
      </c>
      <c r="FY18" t="e">
        <f>AND('Planilla_General_29-11-2012_10_'!J267,"AAAAAH93a7Q=")</f>
        <v>#VALUE!</v>
      </c>
      <c r="FZ18" t="e">
        <f>AND('Planilla_General_29-11-2012_10_'!K267,"AAAAAH93a7U=")</f>
        <v>#VALUE!</v>
      </c>
      <c r="GA18" t="e">
        <f>AND('Planilla_General_29-11-2012_10_'!L267,"AAAAAH93a7Y=")</f>
        <v>#VALUE!</v>
      </c>
      <c r="GB18" t="e">
        <f>AND('Planilla_General_29-11-2012_10_'!M267,"AAAAAH93a7c=")</f>
        <v>#VALUE!</v>
      </c>
      <c r="GC18" t="e">
        <f>AND('Planilla_General_29-11-2012_10_'!N267,"AAAAAH93a7g=")</f>
        <v>#VALUE!</v>
      </c>
      <c r="GD18" t="e">
        <f>AND('Planilla_General_29-11-2012_10_'!O267,"AAAAAH93a7k=")</f>
        <v>#VALUE!</v>
      </c>
      <c r="GE18" t="e">
        <f>AND('Planilla_General_29-11-2012_10_'!P267,"AAAAAH93a7o=")</f>
        <v>#VALUE!</v>
      </c>
      <c r="GF18">
        <f>IF('Planilla_General_29-11-2012_10_'!268:268,"AAAAAH93a7s=",0)</f>
        <v>0</v>
      </c>
      <c r="GG18" t="e">
        <f>AND('Planilla_General_29-11-2012_10_'!A268,"AAAAAH93a7w=")</f>
        <v>#VALUE!</v>
      </c>
      <c r="GH18" t="e">
        <f>AND('Planilla_General_29-11-2012_10_'!B268,"AAAAAH93a70=")</f>
        <v>#VALUE!</v>
      </c>
      <c r="GI18" t="e">
        <f>AND('Planilla_General_29-11-2012_10_'!C268,"AAAAAH93a74=")</f>
        <v>#VALUE!</v>
      </c>
      <c r="GJ18" t="e">
        <f>AND('Planilla_General_29-11-2012_10_'!D268,"AAAAAH93a78=")</f>
        <v>#VALUE!</v>
      </c>
      <c r="GK18" t="e">
        <f>AND('Planilla_General_29-11-2012_10_'!E268,"AAAAAH93a8A=")</f>
        <v>#VALUE!</v>
      </c>
      <c r="GL18" t="e">
        <f>AND('Planilla_General_29-11-2012_10_'!F268,"AAAAAH93a8E=")</f>
        <v>#VALUE!</v>
      </c>
      <c r="GM18" t="e">
        <f>AND('Planilla_General_29-11-2012_10_'!G268,"AAAAAH93a8I=")</f>
        <v>#VALUE!</v>
      </c>
      <c r="GN18" t="e">
        <f>AND('Planilla_General_29-11-2012_10_'!H268,"AAAAAH93a8M=")</f>
        <v>#VALUE!</v>
      </c>
      <c r="GO18" t="e">
        <f>AND('Planilla_General_29-11-2012_10_'!I268,"AAAAAH93a8Q=")</f>
        <v>#VALUE!</v>
      </c>
      <c r="GP18" t="e">
        <f>AND('Planilla_General_29-11-2012_10_'!J268,"AAAAAH93a8U=")</f>
        <v>#VALUE!</v>
      </c>
      <c r="GQ18" t="e">
        <f>AND('Planilla_General_29-11-2012_10_'!K268,"AAAAAH93a8Y=")</f>
        <v>#VALUE!</v>
      </c>
      <c r="GR18" t="e">
        <f>AND('Planilla_General_29-11-2012_10_'!L268,"AAAAAH93a8c=")</f>
        <v>#VALUE!</v>
      </c>
      <c r="GS18" t="e">
        <f>AND('Planilla_General_29-11-2012_10_'!M268,"AAAAAH93a8g=")</f>
        <v>#VALUE!</v>
      </c>
      <c r="GT18" t="e">
        <f>AND('Planilla_General_29-11-2012_10_'!N268,"AAAAAH93a8k=")</f>
        <v>#VALUE!</v>
      </c>
      <c r="GU18" t="e">
        <f>AND('Planilla_General_29-11-2012_10_'!O268,"AAAAAH93a8o=")</f>
        <v>#VALUE!</v>
      </c>
      <c r="GV18" t="e">
        <f>AND('Planilla_General_29-11-2012_10_'!P268,"AAAAAH93a8s=")</f>
        <v>#VALUE!</v>
      </c>
      <c r="GW18">
        <f>IF('Planilla_General_29-11-2012_10_'!269:269,"AAAAAH93a8w=",0)</f>
        <v>0</v>
      </c>
      <c r="GX18" t="e">
        <f>AND('Planilla_General_29-11-2012_10_'!A269,"AAAAAH93a80=")</f>
        <v>#VALUE!</v>
      </c>
      <c r="GY18" t="e">
        <f>AND('Planilla_General_29-11-2012_10_'!B269,"AAAAAH93a84=")</f>
        <v>#VALUE!</v>
      </c>
      <c r="GZ18" t="e">
        <f>AND('Planilla_General_29-11-2012_10_'!C269,"AAAAAH93a88=")</f>
        <v>#VALUE!</v>
      </c>
      <c r="HA18" t="e">
        <f>AND('Planilla_General_29-11-2012_10_'!D269,"AAAAAH93a9A=")</f>
        <v>#VALUE!</v>
      </c>
      <c r="HB18" t="e">
        <f>AND('Planilla_General_29-11-2012_10_'!E269,"AAAAAH93a9E=")</f>
        <v>#VALUE!</v>
      </c>
      <c r="HC18" t="e">
        <f>AND('Planilla_General_29-11-2012_10_'!F269,"AAAAAH93a9I=")</f>
        <v>#VALUE!</v>
      </c>
      <c r="HD18" t="e">
        <f>AND('Planilla_General_29-11-2012_10_'!G269,"AAAAAH93a9M=")</f>
        <v>#VALUE!</v>
      </c>
      <c r="HE18" t="e">
        <f>AND('Planilla_General_29-11-2012_10_'!H269,"AAAAAH93a9Q=")</f>
        <v>#VALUE!</v>
      </c>
      <c r="HF18" t="e">
        <f>AND('Planilla_General_29-11-2012_10_'!I269,"AAAAAH93a9U=")</f>
        <v>#VALUE!</v>
      </c>
      <c r="HG18" t="e">
        <f>AND('Planilla_General_29-11-2012_10_'!J269,"AAAAAH93a9Y=")</f>
        <v>#VALUE!</v>
      </c>
      <c r="HH18" t="e">
        <f>AND('Planilla_General_29-11-2012_10_'!K269,"AAAAAH93a9c=")</f>
        <v>#VALUE!</v>
      </c>
      <c r="HI18" t="e">
        <f>AND('Planilla_General_29-11-2012_10_'!L269,"AAAAAH93a9g=")</f>
        <v>#VALUE!</v>
      </c>
      <c r="HJ18" t="e">
        <f>AND('Planilla_General_29-11-2012_10_'!M269,"AAAAAH93a9k=")</f>
        <v>#VALUE!</v>
      </c>
      <c r="HK18" t="e">
        <f>AND('Planilla_General_29-11-2012_10_'!N269,"AAAAAH93a9o=")</f>
        <v>#VALUE!</v>
      </c>
      <c r="HL18" t="e">
        <f>AND('Planilla_General_29-11-2012_10_'!O269,"AAAAAH93a9s=")</f>
        <v>#VALUE!</v>
      </c>
      <c r="HM18" t="e">
        <f>AND('Planilla_General_29-11-2012_10_'!P269,"AAAAAH93a9w=")</f>
        <v>#VALUE!</v>
      </c>
      <c r="HN18">
        <f>IF('Planilla_General_29-11-2012_10_'!270:270,"AAAAAH93a90=",0)</f>
        <v>0</v>
      </c>
      <c r="HO18" t="e">
        <f>AND('Planilla_General_29-11-2012_10_'!A270,"AAAAAH93a94=")</f>
        <v>#VALUE!</v>
      </c>
      <c r="HP18" t="e">
        <f>AND('Planilla_General_29-11-2012_10_'!B270,"AAAAAH93a98=")</f>
        <v>#VALUE!</v>
      </c>
      <c r="HQ18" t="e">
        <f>AND('Planilla_General_29-11-2012_10_'!C270,"AAAAAH93a+A=")</f>
        <v>#VALUE!</v>
      </c>
      <c r="HR18" t="e">
        <f>AND('Planilla_General_29-11-2012_10_'!D270,"AAAAAH93a+E=")</f>
        <v>#VALUE!</v>
      </c>
      <c r="HS18" t="e">
        <f>AND('Planilla_General_29-11-2012_10_'!E270,"AAAAAH93a+I=")</f>
        <v>#VALUE!</v>
      </c>
      <c r="HT18" t="e">
        <f>AND('Planilla_General_29-11-2012_10_'!F270,"AAAAAH93a+M=")</f>
        <v>#VALUE!</v>
      </c>
      <c r="HU18" t="e">
        <f>AND('Planilla_General_29-11-2012_10_'!G270,"AAAAAH93a+Q=")</f>
        <v>#VALUE!</v>
      </c>
      <c r="HV18" t="e">
        <f>AND('Planilla_General_29-11-2012_10_'!H270,"AAAAAH93a+U=")</f>
        <v>#VALUE!</v>
      </c>
      <c r="HW18" t="e">
        <f>AND('Planilla_General_29-11-2012_10_'!I270,"AAAAAH93a+Y=")</f>
        <v>#VALUE!</v>
      </c>
      <c r="HX18" t="e">
        <f>AND('Planilla_General_29-11-2012_10_'!J270,"AAAAAH93a+c=")</f>
        <v>#VALUE!</v>
      </c>
      <c r="HY18" t="e">
        <f>AND('Planilla_General_29-11-2012_10_'!K270,"AAAAAH93a+g=")</f>
        <v>#VALUE!</v>
      </c>
      <c r="HZ18" t="e">
        <f>AND('Planilla_General_29-11-2012_10_'!L270,"AAAAAH93a+k=")</f>
        <v>#VALUE!</v>
      </c>
      <c r="IA18" t="e">
        <f>AND('Planilla_General_29-11-2012_10_'!M270,"AAAAAH93a+o=")</f>
        <v>#VALUE!</v>
      </c>
      <c r="IB18" t="e">
        <f>AND('Planilla_General_29-11-2012_10_'!N270,"AAAAAH93a+s=")</f>
        <v>#VALUE!</v>
      </c>
      <c r="IC18" t="e">
        <f>AND('Planilla_General_29-11-2012_10_'!O270,"AAAAAH93a+w=")</f>
        <v>#VALUE!</v>
      </c>
      <c r="ID18" t="e">
        <f>AND('Planilla_General_29-11-2012_10_'!P270,"AAAAAH93a+0=")</f>
        <v>#VALUE!</v>
      </c>
      <c r="IE18">
        <f>IF('Planilla_General_29-11-2012_10_'!271:271,"AAAAAH93a+4=",0)</f>
        <v>0</v>
      </c>
      <c r="IF18" t="e">
        <f>AND('Planilla_General_29-11-2012_10_'!A271,"AAAAAH93a+8=")</f>
        <v>#VALUE!</v>
      </c>
      <c r="IG18" t="e">
        <f>AND('Planilla_General_29-11-2012_10_'!B271,"AAAAAH93a/A=")</f>
        <v>#VALUE!</v>
      </c>
      <c r="IH18" t="e">
        <f>AND('Planilla_General_29-11-2012_10_'!C271,"AAAAAH93a/E=")</f>
        <v>#VALUE!</v>
      </c>
      <c r="II18" t="e">
        <f>AND('Planilla_General_29-11-2012_10_'!D271,"AAAAAH93a/I=")</f>
        <v>#VALUE!</v>
      </c>
      <c r="IJ18" t="e">
        <f>AND('Planilla_General_29-11-2012_10_'!E271,"AAAAAH93a/M=")</f>
        <v>#VALUE!</v>
      </c>
      <c r="IK18" t="e">
        <f>AND('Planilla_General_29-11-2012_10_'!F271,"AAAAAH93a/Q=")</f>
        <v>#VALUE!</v>
      </c>
      <c r="IL18" t="e">
        <f>AND('Planilla_General_29-11-2012_10_'!G271,"AAAAAH93a/U=")</f>
        <v>#VALUE!</v>
      </c>
      <c r="IM18" t="e">
        <f>AND('Planilla_General_29-11-2012_10_'!H271,"AAAAAH93a/Y=")</f>
        <v>#VALUE!</v>
      </c>
      <c r="IN18" t="e">
        <f>AND('Planilla_General_29-11-2012_10_'!I271,"AAAAAH93a/c=")</f>
        <v>#VALUE!</v>
      </c>
      <c r="IO18" t="e">
        <f>AND('Planilla_General_29-11-2012_10_'!J271,"AAAAAH93a/g=")</f>
        <v>#VALUE!</v>
      </c>
      <c r="IP18" t="e">
        <f>AND('Planilla_General_29-11-2012_10_'!K271,"AAAAAH93a/k=")</f>
        <v>#VALUE!</v>
      </c>
      <c r="IQ18" t="e">
        <f>AND('Planilla_General_29-11-2012_10_'!L271,"AAAAAH93a/o=")</f>
        <v>#VALUE!</v>
      </c>
      <c r="IR18" t="e">
        <f>AND('Planilla_General_29-11-2012_10_'!M271,"AAAAAH93a/s=")</f>
        <v>#VALUE!</v>
      </c>
      <c r="IS18" t="e">
        <f>AND('Planilla_General_29-11-2012_10_'!N271,"AAAAAH93a/w=")</f>
        <v>#VALUE!</v>
      </c>
      <c r="IT18" t="e">
        <f>AND('Planilla_General_29-11-2012_10_'!O271,"AAAAAH93a/0=")</f>
        <v>#VALUE!</v>
      </c>
      <c r="IU18" t="e">
        <f>AND('Planilla_General_29-11-2012_10_'!P271,"AAAAAH93a/4=")</f>
        <v>#VALUE!</v>
      </c>
      <c r="IV18">
        <f>IF('Planilla_General_29-11-2012_10_'!272:272,"AAAAAH93a/8=",0)</f>
        <v>0</v>
      </c>
    </row>
    <row r="19" spans="1:256" x14ac:dyDescent="0.25">
      <c r="A19" t="e">
        <f>AND('Planilla_General_29-11-2012_10_'!A272,"AAAAAF/6LgA=")</f>
        <v>#VALUE!</v>
      </c>
      <c r="B19" t="e">
        <f>AND('Planilla_General_29-11-2012_10_'!B272,"AAAAAF/6LgE=")</f>
        <v>#VALUE!</v>
      </c>
      <c r="C19" t="e">
        <f>AND('Planilla_General_29-11-2012_10_'!C272,"AAAAAF/6LgI=")</f>
        <v>#VALUE!</v>
      </c>
      <c r="D19" t="e">
        <f>AND('Planilla_General_29-11-2012_10_'!D272,"AAAAAF/6LgM=")</f>
        <v>#VALUE!</v>
      </c>
      <c r="E19" t="e">
        <f>AND('Planilla_General_29-11-2012_10_'!E272,"AAAAAF/6LgQ=")</f>
        <v>#VALUE!</v>
      </c>
      <c r="F19" t="e">
        <f>AND('Planilla_General_29-11-2012_10_'!F272,"AAAAAF/6LgU=")</f>
        <v>#VALUE!</v>
      </c>
      <c r="G19" t="e">
        <f>AND('Planilla_General_29-11-2012_10_'!G272,"AAAAAF/6LgY=")</f>
        <v>#VALUE!</v>
      </c>
      <c r="H19" t="e">
        <f>AND('Planilla_General_29-11-2012_10_'!H272,"AAAAAF/6Lgc=")</f>
        <v>#VALUE!</v>
      </c>
      <c r="I19" t="e">
        <f>AND('Planilla_General_29-11-2012_10_'!I272,"AAAAAF/6Lgg=")</f>
        <v>#VALUE!</v>
      </c>
      <c r="J19" t="e">
        <f>AND('Planilla_General_29-11-2012_10_'!J272,"AAAAAF/6Lgk=")</f>
        <v>#VALUE!</v>
      </c>
      <c r="K19" t="e">
        <f>AND('Planilla_General_29-11-2012_10_'!K272,"AAAAAF/6Lgo=")</f>
        <v>#VALUE!</v>
      </c>
      <c r="L19" t="e">
        <f>AND('Planilla_General_29-11-2012_10_'!L272,"AAAAAF/6Lgs=")</f>
        <v>#VALUE!</v>
      </c>
      <c r="M19" t="e">
        <f>AND('Planilla_General_29-11-2012_10_'!M272,"AAAAAF/6Lgw=")</f>
        <v>#VALUE!</v>
      </c>
      <c r="N19" t="e">
        <f>AND('Planilla_General_29-11-2012_10_'!N272,"AAAAAF/6Lg0=")</f>
        <v>#VALUE!</v>
      </c>
      <c r="O19" t="e">
        <f>AND('Planilla_General_29-11-2012_10_'!O272,"AAAAAF/6Lg4=")</f>
        <v>#VALUE!</v>
      </c>
      <c r="P19" t="e">
        <f>AND('Planilla_General_29-11-2012_10_'!P272,"AAAAAF/6Lg8=")</f>
        <v>#VALUE!</v>
      </c>
      <c r="Q19">
        <f>IF('Planilla_General_29-11-2012_10_'!273:273,"AAAAAF/6LhA=",0)</f>
        <v>0</v>
      </c>
      <c r="R19" t="e">
        <f>AND('Planilla_General_29-11-2012_10_'!A273,"AAAAAF/6LhE=")</f>
        <v>#VALUE!</v>
      </c>
      <c r="S19" t="e">
        <f>AND('Planilla_General_29-11-2012_10_'!B273,"AAAAAF/6LhI=")</f>
        <v>#VALUE!</v>
      </c>
      <c r="T19" t="e">
        <f>AND('Planilla_General_29-11-2012_10_'!C273,"AAAAAF/6LhM=")</f>
        <v>#VALUE!</v>
      </c>
      <c r="U19" t="e">
        <f>AND('Planilla_General_29-11-2012_10_'!D273,"AAAAAF/6LhQ=")</f>
        <v>#VALUE!</v>
      </c>
      <c r="V19" t="e">
        <f>AND('Planilla_General_29-11-2012_10_'!E273,"AAAAAF/6LhU=")</f>
        <v>#VALUE!</v>
      </c>
      <c r="W19" t="e">
        <f>AND('Planilla_General_29-11-2012_10_'!F273,"AAAAAF/6LhY=")</f>
        <v>#VALUE!</v>
      </c>
      <c r="X19" t="e">
        <f>AND('Planilla_General_29-11-2012_10_'!G273,"AAAAAF/6Lhc=")</f>
        <v>#VALUE!</v>
      </c>
      <c r="Y19" t="e">
        <f>AND('Planilla_General_29-11-2012_10_'!H273,"AAAAAF/6Lhg=")</f>
        <v>#VALUE!</v>
      </c>
      <c r="Z19" t="e">
        <f>AND('Planilla_General_29-11-2012_10_'!I273,"AAAAAF/6Lhk=")</f>
        <v>#VALUE!</v>
      </c>
      <c r="AA19" t="e">
        <f>AND('Planilla_General_29-11-2012_10_'!J273,"AAAAAF/6Lho=")</f>
        <v>#VALUE!</v>
      </c>
      <c r="AB19" t="e">
        <f>AND('Planilla_General_29-11-2012_10_'!K273,"AAAAAF/6Lhs=")</f>
        <v>#VALUE!</v>
      </c>
      <c r="AC19" t="e">
        <f>AND('Planilla_General_29-11-2012_10_'!L273,"AAAAAF/6Lhw=")</f>
        <v>#VALUE!</v>
      </c>
      <c r="AD19" t="e">
        <f>AND('Planilla_General_29-11-2012_10_'!M273,"AAAAAF/6Lh0=")</f>
        <v>#VALUE!</v>
      </c>
      <c r="AE19" t="e">
        <f>AND('Planilla_General_29-11-2012_10_'!N273,"AAAAAF/6Lh4=")</f>
        <v>#VALUE!</v>
      </c>
      <c r="AF19" t="e">
        <f>AND('Planilla_General_29-11-2012_10_'!O273,"AAAAAF/6Lh8=")</f>
        <v>#VALUE!</v>
      </c>
      <c r="AG19" t="e">
        <f>AND('Planilla_General_29-11-2012_10_'!P273,"AAAAAF/6LiA=")</f>
        <v>#VALUE!</v>
      </c>
      <c r="AH19">
        <f>IF('Planilla_General_29-11-2012_10_'!274:274,"AAAAAF/6LiE=",0)</f>
        <v>0</v>
      </c>
      <c r="AI19" t="e">
        <f>AND('Planilla_General_29-11-2012_10_'!A274,"AAAAAF/6LiI=")</f>
        <v>#VALUE!</v>
      </c>
      <c r="AJ19" t="e">
        <f>AND('Planilla_General_29-11-2012_10_'!B274,"AAAAAF/6LiM=")</f>
        <v>#VALUE!</v>
      </c>
      <c r="AK19" t="e">
        <f>AND('Planilla_General_29-11-2012_10_'!C274,"AAAAAF/6LiQ=")</f>
        <v>#VALUE!</v>
      </c>
      <c r="AL19" t="e">
        <f>AND('Planilla_General_29-11-2012_10_'!D274,"AAAAAF/6LiU=")</f>
        <v>#VALUE!</v>
      </c>
      <c r="AM19" t="e">
        <f>AND('Planilla_General_29-11-2012_10_'!E274,"AAAAAF/6LiY=")</f>
        <v>#VALUE!</v>
      </c>
      <c r="AN19" t="e">
        <f>AND('Planilla_General_29-11-2012_10_'!F274,"AAAAAF/6Lic=")</f>
        <v>#VALUE!</v>
      </c>
      <c r="AO19" t="e">
        <f>AND('Planilla_General_29-11-2012_10_'!G274,"AAAAAF/6Lig=")</f>
        <v>#VALUE!</v>
      </c>
      <c r="AP19" t="e">
        <f>AND('Planilla_General_29-11-2012_10_'!H274,"AAAAAF/6Lik=")</f>
        <v>#VALUE!</v>
      </c>
      <c r="AQ19" t="e">
        <f>AND('Planilla_General_29-11-2012_10_'!I274,"AAAAAF/6Lio=")</f>
        <v>#VALUE!</v>
      </c>
      <c r="AR19" t="e">
        <f>AND('Planilla_General_29-11-2012_10_'!J274,"AAAAAF/6Lis=")</f>
        <v>#VALUE!</v>
      </c>
      <c r="AS19" t="e">
        <f>AND('Planilla_General_29-11-2012_10_'!K274,"AAAAAF/6Liw=")</f>
        <v>#VALUE!</v>
      </c>
      <c r="AT19" t="e">
        <f>AND('Planilla_General_29-11-2012_10_'!L274,"AAAAAF/6Li0=")</f>
        <v>#VALUE!</v>
      </c>
      <c r="AU19" t="e">
        <f>AND('Planilla_General_29-11-2012_10_'!M274,"AAAAAF/6Li4=")</f>
        <v>#VALUE!</v>
      </c>
      <c r="AV19" t="e">
        <f>AND('Planilla_General_29-11-2012_10_'!N274,"AAAAAF/6Li8=")</f>
        <v>#VALUE!</v>
      </c>
      <c r="AW19" t="e">
        <f>AND('Planilla_General_29-11-2012_10_'!O274,"AAAAAF/6LjA=")</f>
        <v>#VALUE!</v>
      </c>
      <c r="AX19" t="e">
        <f>AND('Planilla_General_29-11-2012_10_'!P274,"AAAAAF/6LjE=")</f>
        <v>#VALUE!</v>
      </c>
      <c r="AY19">
        <f>IF('Planilla_General_29-11-2012_10_'!275:275,"AAAAAF/6LjI=",0)</f>
        <v>0</v>
      </c>
      <c r="AZ19" t="e">
        <f>AND('Planilla_General_29-11-2012_10_'!A275,"AAAAAF/6LjM=")</f>
        <v>#VALUE!</v>
      </c>
      <c r="BA19" t="e">
        <f>AND('Planilla_General_29-11-2012_10_'!B275,"AAAAAF/6LjQ=")</f>
        <v>#VALUE!</v>
      </c>
      <c r="BB19" t="e">
        <f>AND('Planilla_General_29-11-2012_10_'!C275,"AAAAAF/6LjU=")</f>
        <v>#VALUE!</v>
      </c>
      <c r="BC19" t="e">
        <f>AND('Planilla_General_29-11-2012_10_'!D275,"AAAAAF/6LjY=")</f>
        <v>#VALUE!</v>
      </c>
      <c r="BD19" t="e">
        <f>AND('Planilla_General_29-11-2012_10_'!E275,"AAAAAF/6Ljc=")</f>
        <v>#VALUE!</v>
      </c>
      <c r="BE19" t="e">
        <f>AND('Planilla_General_29-11-2012_10_'!F275,"AAAAAF/6Ljg=")</f>
        <v>#VALUE!</v>
      </c>
      <c r="BF19" t="e">
        <f>AND('Planilla_General_29-11-2012_10_'!G275,"AAAAAF/6Ljk=")</f>
        <v>#VALUE!</v>
      </c>
      <c r="BG19" t="e">
        <f>AND('Planilla_General_29-11-2012_10_'!H275,"AAAAAF/6Ljo=")</f>
        <v>#VALUE!</v>
      </c>
      <c r="BH19" t="e">
        <f>AND('Planilla_General_29-11-2012_10_'!I275,"AAAAAF/6Ljs=")</f>
        <v>#VALUE!</v>
      </c>
      <c r="BI19" t="e">
        <f>AND('Planilla_General_29-11-2012_10_'!J275,"AAAAAF/6Ljw=")</f>
        <v>#VALUE!</v>
      </c>
      <c r="BJ19" t="e">
        <f>AND('Planilla_General_29-11-2012_10_'!K275,"AAAAAF/6Lj0=")</f>
        <v>#VALUE!</v>
      </c>
      <c r="BK19" t="e">
        <f>AND('Planilla_General_29-11-2012_10_'!L275,"AAAAAF/6Lj4=")</f>
        <v>#VALUE!</v>
      </c>
      <c r="BL19" t="e">
        <f>AND('Planilla_General_29-11-2012_10_'!M275,"AAAAAF/6Lj8=")</f>
        <v>#VALUE!</v>
      </c>
      <c r="BM19" t="e">
        <f>AND('Planilla_General_29-11-2012_10_'!N275,"AAAAAF/6LkA=")</f>
        <v>#VALUE!</v>
      </c>
      <c r="BN19" t="e">
        <f>AND('Planilla_General_29-11-2012_10_'!O275,"AAAAAF/6LkE=")</f>
        <v>#VALUE!</v>
      </c>
      <c r="BO19" t="e">
        <f>AND('Planilla_General_29-11-2012_10_'!P275,"AAAAAF/6LkI=")</f>
        <v>#VALUE!</v>
      </c>
      <c r="BP19">
        <f>IF('Planilla_General_29-11-2012_10_'!276:276,"AAAAAF/6LkM=",0)</f>
        <v>0</v>
      </c>
      <c r="BQ19" t="e">
        <f>AND('Planilla_General_29-11-2012_10_'!A276,"AAAAAF/6LkQ=")</f>
        <v>#VALUE!</v>
      </c>
      <c r="BR19" t="e">
        <f>AND('Planilla_General_29-11-2012_10_'!B276,"AAAAAF/6LkU=")</f>
        <v>#VALUE!</v>
      </c>
      <c r="BS19" t="e">
        <f>AND('Planilla_General_29-11-2012_10_'!C276,"AAAAAF/6LkY=")</f>
        <v>#VALUE!</v>
      </c>
      <c r="BT19" t="e">
        <f>AND('Planilla_General_29-11-2012_10_'!D276,"AAAAAF/6Lkc=")</f>
        <v>#VALUE!</v>
      </c>
      <c r="BU19" t="e">
        <f>AND('Planilla_General_29-11-2012_10_'!E276,"AAAAAF/6Lkg=")</f>
        <v>#VALUE!</v>
      </c>
      <c r="BV19" t="e">
        <f>AND('Planilla_General_29-11-2012_10_'!F276,"AAAAAF/6Lkk=")</f>
        <v>#VALUE!</v>
      </c>
      <c r="BW19" t="e">
        <f>AND('Planilla_General_29-11-2012_10_'!G276,"AAAAAF/6Lko=")</f>
        <v>#VALUE!</v>
      </c>
      <c r="BX19" t="e">
        <f>AND('Planilla_General_29-11-2012_10_'!H276,"AAAAAF/6Lks=")</f>
        <v>#VALUE!</v>
      </c>
      <c r="BY19" t="e">
        <f>AND('Planilla_General_29-11-2012_10_'!I276,"AAAAAF/6Lkw=")</f>
        <v>#VALUE!</v>
      </c>
      <c r="BZ19" t="e">
        <f>AND('Planilla_General_29-11-2012_10_'!J276,"AAAAAF/6Lk0=")</f>
        <v>#VALUE!</v>
      </c>
      <c r="CA19" t="e">
        <f>AND('Planilla_General_29-11-2012_10_'!K276,"AAAAAF/6Lk4=")</f>
        <v>#VALUE!</v>
      </c>
      <c r="CB19" t="e">
        <f>AND('Planilla_General_29-11-2012_10_'!L276,"AAAAAF/6Lk8=")</f>
        <v>#VALUE!</v>
      </c>
      <c r="CC19" t="e">
        <f>AND('Planilla_General_29-11-2012_10_'!M276,"AAAAAF/6LlA=")</f>
        <v>#VALUE!</v>
      </c>
      <c r="CD19" t="e">
        <f>AND('Planilla_General_29-11-2012_10_'!N276,"AAAAAF/6LlE=")</f>
        <v>#VALUE!</v>
      </c>
      <c r="CE19" t="e">
        <f>AND('Planilla_General_29-11-2012_10_'!O276,"AAAAAF/6LlI=")</f>
        <v>#VALUE!</v>
      </c>
      <c r="CF19" t="e">
        <f>AND('Planilla_General_29-11-2012_10_'!P276,"AAAAAF/6LlM=")</f>
        <v>#VALUE!</v>
      </c>
      <c r="CG19">
        <f>IF('Planilla_General_29-11-2012_10_'!277:277,"AAAAAF/6LlQ=",0)</f>
        <v>0</v>
      </c>
      <c r="CH19" t="e">
        <f>AND('Planilla_General_29-11-2012_10_'!A277,"AAAAAF/6LlU=")</f>
        <v>#VALUE!</v>
      </c>
      <c r="CI19" t="e">
        <f>AND('Planilla_General_29-11-2012_10_'!B277,"AAAAAF/6LlY=")</f>
        <v>#VALUE!</v>
      </c>
      <c r="CJ19" t="e">
        <f>AND('Planilla_General_29-11-2012_10_'!C277,"AAAAAF/6Llc=")</f>
        <v>#VALUE!</v>
      </c>
      <c r="CK19" t="e">
        <f>AND('Planilla_General_29-11-2012_10_'!D277,"AAAAAF/6Llg=")</f>
        <v>#VALUE!</v>
      </c>
      <c r="CL19" t="e">
        <f>AND('Planilla_General_29-11-2012_10_'!E277,"AAAAAF/6Llk=")</f>
        <v>#VALUE!</v>
      </c>
      <c r="CM19" t="e">
        <f>AND('Planilla_General_29-11-2012_10_'!F277,"AAAAAF/6Llo=")</f>
        <v>#VALUE!</v>
      </c>
      <c r="CN19" t="e">
        <f>AND('Planilla_General_29-11-2012_10_'!G277,"AAAAAF/6Lls=")</f>
        <v>#VALUE!</v>
      </c>
      <c r="CO19" t="e">
        <f>AND('Planilla_General_29-11-2012_10_'!H277,"AAAAAF/6Llw=")</f>
        <v>#VALUE!</v>
      </c>
      <c r="CP19" t="e">
        <f>AND('Planilla_General_29-11-2012_10_'!I277,"AAAAAF/6Ll0=")</f>
        <v>#VALUE!</v>
      </c>
      <c r="CQ19" t="e">
        <f>AND('Planilla_General_29-11-2012_10_'!J277,"AAAAAF/6Ll4=")</f>
        <v>#VALUE!</v>
      </c>
      <c r="CR19" t="e">
        <f>AND('Planilla_General_29-11-2012_10_'!K277,"AAAAAF/6Ll8=")</f>
        <v>#VALUE!</v>
      </c>
      <c r="CS19" t="e">
        <f>AND('Planilla_General_29-11-2012_10_'!L277,"AAAAAF/6LmA=")</f>
        <v>#VALUE!</v>
      </c>
      <c r="CT19" t="e">
        <f>AND('Planilla_General_29-11-2012_10_'!M277,"AAAAAF/6LmE=")</f>
        <v>#VALUE!</v>
      </c>
      <c r="CU19" t="e">
        <f>AND('Planilla_General_29-11-2012_10_'!N277,"AAAAAF/6LmI=")</f>
        <v>#VALUE!</v>
      </c>
      <c r="CV19" t="e">
        <f>AND('Planilla_General_29-11-2012_10_'!O277,"AAAAAF/6LmM=")</f>
        <v>#VALUE!</v>
      </c>
      <c r="CW19" t="e">
        <f>AND('Planilla_General_29-11-2012_10_'!P277,"AAAAAF/6LmQ=")</f>
        <v>#VALUE!</v>
      </c>
      <c r="CX19">
        <f>IF('Planilla_General_29-11-2012_10_'!278:278,"AAAAAF/6LmU=",0)</f>
        <v>0</v>
      </c>
      <c r="CY19" t="e">
        <f>AND('Planilla_General_29-11-2012_10_'!A278,"AAAAAF/6LmY=")</f>
        <v>#VALUE!</v>
      </c>
      <c r="CZ19" t="e">
        <f>AND('Planilla_General_29-11-2012_10_'!B278,"AAAAAF/6Lmc=")</f>
        <v>#VALUE!</v>
      </c>
      <c r="DA19" t="e">
        <f>AND('Planilla_General_29-11-2012_10_'!C278,"AAAAAF/6Lmg=")</f>
        <v>#VALUE!</v>
      </c>
      <c r="DB19" t="e">
        <f>AND('Planilla_General_29-11-2012_10_'!D278,"AAAAAF/6Lmk=")</f>
        <v>#VALUE!</v>
      </c>
      <c r="DC19" t="e">
        <f>AND('Planilla_General_29-11-2012_10_'!E278,"AAAAAF/6Lmo=")</f>
        <v>#VALUE!</v>
      </c>
      <c r="DD19" t="e">
        <f>AND('Planilla_General_29-11-2012_10_'!F278,"AAAAAF/6Lms=")</f>
        <v>#VALUE!</v>
      </c>
      <c r="DE19" t="e">
        <f>AND('Planilla_General_29-11-2012_10_'!G278,"AAAAAF/6Lmw=")</f>
        <v>#VALUE!</v>
      </c>
      <c r="DF19" t="e">
        <f>AND('Planilla_General_29-11-2012_10_'!H278,"AAAAAF/6Lm0=")</f>
        <v>#VALUE!</v>
      </c>
      <c r="DG19" t="e">
        <f>AND('Planilla_General_29-11-2012_10_'!I278,"AAAAAF/6Lm4=")</f>
        <v>#VALUE!</v>
      </c>
      <c r="DH19" t="e">
        <f>AND('Planilla_General_29-11-2012_10_'!J278,"AAAAAF/6Lm8=")</f>
        <v>#VALUE!</v>
      </c>
      <c r="DI19" t="e">
        <f>AND('Planilla_General_29-11-2012_10_'!K278,"AAAAAF/6LnA=")</f>
        <v>#VALUE!</v>
      </c>
      <c r="DJ19" t="e">
        <f>AND('Planilla_General_29-11-2012_10_'!L278,"AAAAAF/6LnE=")</f>
        <v>#VALUE!</v>
      </c>
      <c r="DK19" t="e">
        <f>AND('Planilla_General_29-11-2012_10_'!M278,"AAAAAF/6LnI=")</f>
        <v>#VALUE!</v>
      </c>
      <c r="DL19" t="e">
        <f>AND('Planilla_General_29-11-2012_10_'!N278,"AAAAAF/6LnM=")</f>
        <v>#VALUE!</v>
      </c>
      <c r="DM19" t="e">
        <f>AND('Planilla_General_29-11-2012_10_'!O278,"AAAAAF/6LnQ=")</f>
        <v>#VALUE!</v>
      </c>
      <c r="DN19" t="e">
        <f>AND('Planilla_General_29-11-2012_10_'!P278,"AAAAAF/6LnU=")</f>
        <v>#VALUE!</v>
      </c>
      <c r="DO19">
        <f>IF('Planilla_General_29-11-2012_10_'!279:279,"AAAAAF/6LnY=",0)</f>
        <v>0</v>
      </c>
      <c r="DP19" t="e">
        <f>AND('Planilla_General_29-11-2012_10_'!A279,"AAAAAF/6Lnc=")</f>
        <v>#VALUE!</v>
      </c>
      <c r="DQ19" t="e">
        <f>AND('Planilla_General_29-11-2012_10_'!B279,"AAAAAF/6Lng=")</f>
        <v>#VALUE!</v>
      </c>
      <c r="DR19" t="e">
        <f>AND('Planilla_General_29-11-2012_10_'!C279,"AAAAAF/6Lnk=")</f>
        <v>#VALUE!</v>
      </c>
      <c r="DS19" t="e">
        <f>AND('Planilla_General_29-11-2012_10_'!D279,"AAAAAF/6Lno=")</f>
        <v>#VALUE!</v>
      </c>
      <c r="DT19" t="e">
        <f>AND('Planilla_General_29-11-2012_10_'!E279,"AAAAAF/6Lns=")</f>
        <v>#VALUE!</v>
      </c>
      <c r="DU19" t="e">
        <f>AND('Planilla_General_29-11-2012_10_'!F279,"AAAAAF/6Lnw=")</f>
        <v>#VALUE!</v>
      </c>
      <c r="DV19" t="e">
        <f>AND('Planilla_General_29-11-2012_10_'!G279,"AAAAAF/6Ln0=")</f>
        <v>#VALUE!</v>
      </c>
      <c r="DW19" t="e">
        <f>AND('Planilla_General_29-11-2012_10_'!H279,"AAAAAF/6Ln4=")</f>
        <v>#VALUE!</v>
      </c>
      <c r="DX19" t="e">
        <f>AND('Planilla_General_29-11-2012_10_'!I279,"AAAAAF/6Ln8=")</f>
        <v>#VALUE!</v>
      </c>
      <c r="DY19" t="e">
        <f>AND('Planilla_General_29-11-2012_10_'!J279,"AAAAAF/6LoA=")</f>
        <v>#VALUE!</v>
      </c>
      <c r="DZ19" t="e">
        <f>AND('Planilla_General_29-11-2012_10_'!K279,"AAAAAF/6LoE=")</f>
        <v>#VALUE!</v>
      </c>
      <c r="EA19" t="e">
        <f>AND('Planilla_General_29-11-2012_10_'!L279,"AAAAAF/6LoI=")</f>
        <v>#VALUE!</v>
      </c>
      <c r="EB19" t="e">
        <f>AND('Planilla_General_29-11-2012_10_'!M279,"AAAAAF/6LoM=")</f>
        <v>#VALUE!</v>
      </c>
      <c r="EC19" t="e">
        <f>AND('Planilla_General_29-11-2012_10_'!N279,"AAAAAF/6LoQ=")</f>
        <v>#VALUE!</v>
      </c>
      <c r="ED19" t="e">
        <f>AND('Planilla_General_29-11-2012_10_'!O279,"AAAAAF/6LoU=")</f>
        <v>#VALUE!</v>
      </c>
      <c r="EE19" t="e">
        <f>AND('Planilla_General_29-11-2012_10_'!P279,"AAAAAF/6LoY=")</f>
        <v>#VALUE!</v>
      </c>
      <c r="EF19">
        <f>IF('Planilla_General_29-11-2012_10_'!280:280,"AAAAAF/6Loc=",0)</f>
        <v>0</v>
      </c>
      <c r="EG19" t="e">
        <f>AND('Planilla_General_29-11-2012_10_'!A280,"AAAAAF/6Log=")</f>
        <v>#VALUE!</v>
      </c>
      <c r="EH19" t="e">
        <f>AND('Planilla_General_29-11-2012_10_'!B280,"AAAAAF/6Lok=")</f>
        <v>#VALUE!</v>
      </c>
      <c r="EI19" t="e">
        <f>AND('Planilla_General_29-11-2012_10_'!C280,"AAAAAF/6Loo=")</f>
        <v>#VALUE!</v>
      </c>
      <c r="EJ19" t="e">
        <f>AND('Planilla_General_29-11-2012_10_'!D280,"AAAAAF/6Los=")</f>
        <v>#VALUE!</v>
      </c>
      <c r="EK19" t="e">
        <f>AND('Planilla_General_29-11-2012_10_'!E280,"AAAAAF/6Low=")</f>
        <v>#VALUE!</v>
      </c>
      <c r="EL19" t="e">
        <f>AND('Planilla_General_29-11-2012_10_'!F280,"AAAAAF/6Lo0=")</f>
        <v>#VALUE!</v>
      </c>
      <c r="EM19" t="e">
        <f>AND('Planilla_General_29-11-2012_10_'!G280,"AAAAAF/6Lo4=")</f>
        <v>#VALUE!</v>
      </c>
      <c r="EN19" t="e">
        <f>AND('Planilla_General_29-11-2012_10_'!H280,"AAAAAF/6Lo8=")</f>
        <v>#VALUE!</v>
      </c>
      <c r="EO19" t="e">
        <f>AND('Planilla_General_29-11-2012_10_'!I280,"AAAAAF/6LpA=")</f>
        <v>#VALUE!</v>
      </c>
      <c r="EP19" t="e">
        <f>AND('Planilla_General_29-11-2012_10_'!J280,"AAAAAF/6LpE=")</f>
        <v>#VALUE!</v>
      </c>
      <c r="EQ19" t="e">
        <f>AND('Planilla_General_29-11-2012_10_'!K280,"AAAAAF/6LpI=")</f>
        <v>#VALUE!</v>
      </c>
      <c r="ER19" t="e">
        <f>AND('Planilla_General_29-11-2012_10_'!L280,"AAAAAF/6LpM=")</f>
        <v>#VALUE!</v>
      </c>
      <c r="ES19" t="e">
        <f>AND('Planilla_General_29-11-2012_10_'!M280,"AAAAAF/6LpQ=")</f>
        <v>#VALUE!</v>
      </c>
      <c r="ET19" t="e">
        <f>AND('Planilla_General_29-11-2012_10_'!N280,"AAAAAF/6LpU=")</f>
        <v>#VALUE!</v>
      </c>
      <c r="EU19" t="e">
        <f>AND('Planilla_General_29-11-2012_10_'!O280,"AAAAAF/6LpY=")</f>
        <v>#VALUE!</v>
      </c>
      <c r="EV19" t="e">
        <f>AND('Planilla_General_29-11-2012_10_'!P280,"AAAAAF/6Lpc=")</f>
        <v>#VALUE!</v>
      </c>
      <c r="EW19">
        <f>IF('Planilla_General_29-11-2012_10_'!281:281,"AAAAAF/6Lpg=",0)</f>
        <v>0</v>
      </c>
      <c r="EX19" t="e">
        <f>AND('Planilla_General_29-11-2012_10_'!A281,"AAAAAF/6Lpk=")</f>
        <v>#VALUE!</v>
      </c>
      <c r="EY19" t="e">
        <f>AND('Planilla_General_29-11-2012_10_'!B281,"AAAAAF/6Lpo=")</f>
        <v>#VALUE!</v>
      </c>
      <c r="EZ19" t="e">
        <f>AND('Planilla_General_29-11-2012_10_'!C281,"AAAAAF/6Lps=")</f>
        <v>#VALUE!</v>
      </c>
      <c r="FA19" t="e">
        <f>AND('Planilla_General_29-11-2012_10_'!D281,"AAAAAF/6Lpw=")</f>
        <v>#VALUE!</v>
      </c>
      <c r="FB19" t="e">
        <f>AND('Planilla_General_29-11-2012_10_'!E281,"AAAAAF/6Lp0=")</f>
        <v>#VALUE!</v>
      </c>
      <c r="FC19" t="e">
        <f>AND('Planilla_General_29-11-2012_10_'!F281,"AAAAAF/6Lp4=")</f>
        <v>#VALUE!</v>
      </c>
      <c r="FD19" t="e">
        <f>AND('Planilla_General_29-11-2012_10_'!G281,"AAAAAF/6Lp8=")</f>
        <v>#VALUE!</v>
      </c>
      <c r="FE19" t="e">
        <f>AND('Planilla_General_29-11-2012_10_'!H281,"AAAAAF/6LqA=")</f>
        <v>#VALUE!</v>
      </c>
      <c r="FF19" t="e">
        <f>AND('Planilla_General_29-11-2012_10_'!I281,"AAAAAF/6LqE=")</f>
        <v>#VALUE!</v>
      </c>
      <c r="FG19" t="e">
        <f>AND('Planilla_General_29-11-2012_10_'!J281,"AAAAAF/6LqI=")</f>
        <v>#VALUE!</v>
      </c>
      <c r="FH19" t="e">
        <f>AND('Planilla_General_29-11-2012_10_'!K281,"AAAAAF/6LqM=")</f>
        <v>#VALUE!</v>
      </c>
      <c r="FI19" t="e">
        <f>AND('Planilla_General_29-11-2012_10_'!L281,"AAAAAF/6LqQ=")</f>
        <v>#VALUE!</v>
      </c>
      <c r="FJ19" t="e">
        <f>AND('Planilla_General_29-11-2012_10_'!M281,"AAAAAF/6LqU=")</f>
        <v>#VALUE!</v>
      </c>
      <c r="FK19" t="e">
        <f>AND('Planilla_General_29-11-2012_10_'!N281,"AAAAAF/6LqY=")</f>
        <v>#VALUE!</v>
      </c>
      <c r="FL19" t="e">
        <f>AND('Planilla_General_29-11-2012_10_'!O281,"AAAAAF/6Lqc=")</f>
        <v>#VALUE!</v>
      </c>
      <c r="FM19" t="e">
        <f>AND('Planilla_General_29-11-2012_10_'!P281,"AAAAAF/6Lqg=")</f>
        <v>#VALUE!</v>
      </c>
      <c r="FN19">
        <f>IF('Planilla_General_29-11-2012_10_'!282:282,"AAAAAF/6Lqk=",0)</f>
        <v>0</v>
      </c>
      <c r="FO19" t="e">
        <f>AND('Planilla_General_29-11-2012_10_'!A282,"AAAAAF/6Lqo=")</f>
        <v>#VALUE!</v>
      </c>
      <c r="FP19" t="e">
        <f>AND('Planilla_General_29-11-2012_10_'!B282,"AAAAAF/6Lqs=")</f>
        <v>#VALUE!</v>
      </c>
      <c r="FQ19" t="e">
        <f>AND('Planilla_General_29-11-2012_10_'!C282,"AAAAAF/6Lqw=")</f>
        <v>#VALUE!</v>
      </c>
      <c r="FR19" t="e">
        <f>AND('Planilla_General_29-11-2012_10_'!D282,"AAAAAF/6Lq0=")</f>
        <v>#VALUE!</v>
      </c>
      <c r="FS19" t="e">
        <f>AND('Planilla_General_29-11-2012_10_'!E282,"AAAAAF/6Lq4=")</f>
        <v>#VALUE!</v>
      </c>
      <c r="FT19" t="e">
        <f>AND('Planilla_General_29-11-2012_10_'!F282,"AAAAAF/6Lq8=")</f>
        <v>#VALUE!</v>
      </c>
      <c r="FU19" t="e">
        <f>AND('Planilla_General_29-11-2012_10_'!G282,"AAAAAF/6LrA=")</f>
        <v>#VALUE!</v>
      </c>
      <c r="FV19" t="e">
        <f>AND('Planilla_General_29-11-2012_10_'!H282,"AAAAAF/6LrE=")</f>
        <v>#VALUE!</v>
      </c>
      <c r="FW19" t="e">
        <f>AND('Planilla_General_29-11-2012_10_'!I282,"AAAAAF/6LrI=")</f>
        <v>#VALUE!</v>
      </c>
      <c r="FX19" t="e">
        <f>AND('Planilla_General_29-11-2012_10_'!J282,"AAAAAF/6LrM=")</f>
        <v>#VALUE!</v>
      </c>
      <c r="FY19" t="e">
        <f>AND('Planilla_General_29-11-2012_10_'!K282,"AAAAAF/6LrQ=")</f>
        <v>#VALUE!</v>
      </c>
      <c r="FZ19" t="e">
        <f>AND('Planilla_General_29-11-2012_10_'!L282,"AAAAAF/6LrU=")</f>
        <v>#VALUE!</v>
      </c>
      <c r="GA19" t="e">
        <f>AND('Planilla_General_29-11-2012_10_'!M282,"AAAAAF/6LrY=")</f>
        <v>#VALUE!</v>
      </c>
      <c r="GB19" t="e">
        <f>AND('Planilla_General_29-11-2012_10_'!N282,"AAAAAF/6Lrc=")</f>
        <v>#VALUE!</v>
      </c>
      <c r="GC19" t="e">
        <f>AND('Planilla_General_29-11-2012_10_'!O282,"AAAAAF/6Lrg=")</f>
        <v>#VALUE!</v>
      </c>
      <c r="GD19" t="e">
        <f>AND('Planilla_General_29-11-2012_10_'!P282,"AAAAAF/6Lrk=")</f>
        <v>#VALUE!</v>
      </c>
      <c r="GE19">
        <f>IF('Planilla_General_29-11-2012_10_'!283:283,"AAAAAF/6Lro=",0)</f>
        <v>0</v>
      </c>
      <c r="GF19" t="e">
        <f>AND('Planilla_General_29-11-2012_10_'!A283,"AAAAAF/6Lrs=")</f>
        <v>#VALUE!</v>
      </c>
      <c r="GG19" t="e">
        <f>AND('Planilla_General_29-11-2012_10_'!B283,"AAAAAF/6Lrw=")</f>
        <v>#VALUE!</v>
      </c>
      <c r="GH19" t="e">
        <f>AND('Planilla_General_29-11-2012_10_'!C283,"AAAAAF/6Lr0=")</f>
        <v>#VALUE!</v>
      </c>
      <c r="GI19" t="e">
        <f>AND('Planilla_General_29-11-2012_10_'!D283,"AAAAAF/6Lr4=")</f>
        <v>#VALUE!</v>
      </c>
      <c r="GJ19" t="e">
        <f>AND('Planilla_General_29-11-2012_10_'!E283,"AAAAAF/6Lr8=")</f>
        <v>#VALUE!</v>
      </c>
      <c r="GK19" t="e">
        <f>AND('Planilla_General_29-11-2012_10_'!F283,"AAAAAF/6LsA=")</f>
        <v>#VALUE!</v>
      </c>
      <c r="GL19" t="e">
        <f>AND('Planilla_General_29-11-2012_10_'!G283,"AAAAAF/6LsE=")</f>
        <v>#VALUE!</v>
      </c>
      <c r="GM19" t="e">
        <f>AND('Planilla_General_29-11-2012_10_'!H283,"AAAAAF/6LsI=")</f>
        <v>#VALUE!</v>
      </c>
      <c r="GN19" t="e">
        <f>AND('Planilla_General_29-11-2012_10_'!I283,"AAAAAF/6LsM=")</f>
        <v>#VALUE!</v>
      </c>
      <c r="GO19" t="e">
        <f>AND('Planilla_General_29-11-2012_10_'!J283,"AAAAAF/6LsQ=")</f>
        <v>#VALUE!</v>
      </c>
      <c r="GP19" t="e">
        <f>AND('Planilla_General_29-11-2012_10_'!K283,"AAAAAF/6LsU=")</f>
        <v>#VALUE!</v>
      </c>
      <c r="GQ19" t="e">
        <f>AND('Planilla_General_29-11-2012_10_'!L283,"AAAAAF/6LsY=")</f>
        <v>#VALUE!</v>
      </c>
      <c r="GR19" t="e">
        <f>AND('Planilla_General_29-11-2012_10_'!M283,"AAAAAF/6Lsc=")</f>
        <v>#VALUE!</v>
      </c>
      <c r="GS19" t="e">
        <f>AND('Planilla_General_29-11-2012_10_'!N283,"AAAAAF/6Lsg=")</f>
        <v>#VALUE!</v>
      </c>
      <c r="GT19" t="e">
        <f>AND('Planilla_General_29-11-2012_10_'!O283,"AAAAAF/6Lsk=")</f>
        <v>#VALUE!</v>
      </c>
      <c r="GU19" t="e">
        <f>AND('Planilla_General_29-11-2012_10_'!P283,"AAAAAF/6Lso=")</f>
        <v>#VALUE!</v>
      </c>
      <c r="GV19">
        <f>IF('Planilla_General_29-11-2012_10_'!284:284,"AAAAAF/6Lss=",0)</f>
        <v>0</v>
      </c>
      <c r="GW19" t="e">
        <f>AND('Planilla_General_29-11-2012_10_'!A284,"AAAAAF/6Lsw=")</f>
        <v>#VALUE!</v>
      </c>
      <c r="GX19" t="e">
        <f>AND('Planilla_General_29-11-2012_10_'!B284,"AAAAAF/6Ls0=")</f>
        <v>#VALUE!</v>
      </c>
      <c r="GY19" t="e">
        <f>AND('Planilla_General_29-11-2012_10_'!C284,"AAAAAF/6Ls4=")</f>
        <v>#VALUE!</v>
      </c>
      <c r="GZ19" t="e">
        <f>AND('Planilla_General_29-11-2012_10_'!D284,"AAAAAF/6Ls8=")</f>
        <v>#VALUE!</v>
      </c>
      <c r="HA19" t="e">
        <f>AND('Planilla_General_29-11-2012_10_'!E284,"AAAAAF/6LtA=")</f>
        <v>#VALUE!</v>
      </c>
      <c r="HB19" t="e">
        <f>AND('Planilla_General_29-11-2012_10_'!F284,"AAAAAF/6LtE=")</f>
        <v>#VALUE!</v>
      </c>
      <c r="HC19" t="e">
        <f>AND('Planilla_General_29-11-2012_10_'!G284,"AAAAAF/6LtI=")</f>
        <v>#VALUE!</v>
      </c>
      <c r="HD19" t="e">
        <f>AND('Planilla_General_29-11-2012_10_'!H284,"AAAAAF/6LtM=")</f>
        <v>#VALUE!</v>
      </c>
      <c r="HE19" t="e">
        <f>AND('Planilla_General_29-11-2012_10_'!I284,"AAAAAF/6LtQ=")</f>
        <v>#VALUE!</v>
      </c>
      <c r="HF19" t="e">
        <f>AND('Planilla_General_29-11-2012_10_'!J284,"AAAAAF/6LtU=")</f>
        <v>#VALUE!</v>
      </c>
      <c r="HG19" t="e">
        <f>AND('Planilla_General_29-11-2012_10_'!K284,"AAAAAF/6LtY=")</f>
        <v>#VALUE!</v>
      </c>
      <c r="HH19" t="e">
        <f>AND('Planilla_General_29-11-2012_10_'!L284,"AAAAAF/6Ltc=")</f>
        <v>#VALUE!</v>
      </c>
      <c r="HI19" t="e">
        <f>AND('Planilla_General_29-11-2012_10_'!M284,"AAAAAF/6Ltg=")</f>
        <v>#VALUE!</v>
      </c>
      <c r="HJ19" t="e">
        <f>AND('Planilla_General_29-11-2012_10_'!N284,"AAAAAF/6Ltk=")</f>
        <v>#VALUE!</v>
      </c>
      <c r="HK19" t="e">
        <f>AND('Planilla_General_29-11-2012_10_'!O284,"AAAAAF/6Lto=")</f>
        <v>#VALUE!</v>
      </c>
      <c r="HL19" t="e">
        <f>AND('Planilla_General_29-11-2012_10_'!P284,"AAAAAF/6Lts=")</f>
        <v>#VALUE!</v>
      </c>
      <c r="HM19">
        <f>IF('Planilla_General_29-11-2012_10_'!285:285,"AAAAAF/6Ltw=",0)</f>
        <v>0</v>
      </c>
      <c r="HN19" t="e">
        <f>AND('Planilla_General_29-11-2012_10_'!A285,"AAAAAF/6Lt0=")</f>
        <v>#VALUE!</v>
      </c>
      <c r="HO19" t="e">
        <f>AND('Planilla_General_29-11-2012_10_'!B285,"AAAAAF/6Lt4=")</f>
        <v>#VALUE!</v>
      </c>
      <c r="HP19" t="e">
        <f>AND('Planilla_General_29-11-2012_10_'!C285,"AAAAAF/6Lt8=")</f>
        <v>#VALUE!</v>
      </c>
      <c r="HQ19" t="e">
        <f>AND('Planilla_General_29-11-2012_10_'!D285,"AAAAAF/6LuA=")</f>
        <v>#VALUE!</v>
      </c>
      <c r="HR19" t="e">
        <f>AND('Planilla_General_29-11-2012_10_'!E285,"AAAAAF/6LuE=")</f>
        <v>#VALUE!</v>
      </c>
      <c r="HS19" t="e">
        <f>AND('Planilla_General_29-11-2012_10_'!F285,"AAAAAF/6LuI=")</f>
        <v>#VALUE!</v>
      </c>
      <c r="HT19" t="e">
        <f>AND('Planilla_General_29-11-2012_10_'!G285,"AAAAAF/6LuM=")</f>
        <v>#VALUE!</v>
      </c>
      <c r="HU19" t="e">
        <f>AND('Planilla_General_29-11-2012_10_'!H285,"AAAAAF/6LuQ=")</f>
        <v>#VALUE!</v>
      </c>
      <c r="HV19" t="e">
        <f>AND('Planilla_General_29-11-2012_10_'!I285,"AAAAAF/6LuU=")</f>
        <v>#VALUE!</v>
      </c>
      <c r="HW19" t="e">
        <f>AND('Planilla_General_29-11-2012_10_'!J285,"AAAAAF/6LuY=")</f>
        <v>#VALUE!</v>
      </c>
      <c r="HX19" t="e">
        <f>AND('Planilla_General_29-11-2012_10_'!K285,"AAAAAF/6Luc=")</f>
        <v>#VALUE!</v>
      </c>
      <c r="HY19" t="e">
        <f>AND('Planilla_General_29-11-2012_10_'!L285,"AAAAAF/6Lug=")</f>
        <v>#VALUE!</v>
      </c>
      <c r="HZ19" t="e">
        <f>AND('Planilla_General_29-11-2012_10_'!M285,"AAAAAF/6Luk=")</f>
        <v>#VALUE!</v>
      </c>
      <c r="IA19" t="e">
        <f>AND('Planilla_General_29-11-2012_10_'!N285,"AAAAAF/6Luo=")</f>
        <v>#VALUE!</v>
      </c>
      <c r="IB19" t="e">
        <f>AND('Planilla_General_29-11-2012_10_'!O285,"AAAAAF/6Lus=")</f>
        <v>#VALUE!</v>
      </c>
      <c r="IC19" t="e">
        <f>AND('Planilla_General_29-11-2012_10_'!P285,"AAAAAF/6Luw=")</f>
        <v>#VALUE!</v>
      </c>
      <c r="ID19">
        <f>IF('Planilla_General_29-11-2012_10_'!286:286,"AAAAAF/6Lu0=",0)</f>
        <v>0</v>
      </c>
      <c r="IE19" t="e">
        <f>AND('Planilla_General_29-11-2012_10_'!A286,"AAAAAF/6Lu4=")</f>
        <v>#VALUE!</v>
      </c>
      <c r="IF19" t="e">
        <f>AND('Planilla_General_29-11-2012_10_'!B286,"AAAAAF/6Lu8=")</f>
        <v>#VALUE!</v>
      </c>
      <c r="IG19" t="e">
        <f>AND('Planilla_General_29-11-2012_10_'!C286,"AAAAAF/6LvA=")</f>
        <v>#VALUE!</v>
      </c>
      <c r="IH19" t="e">
        <f>AND('Planilla_General_29-11-2012_10_'!D286,"AAAAAF/6LvE=")</f>
        <v>#VALUE!</v>
      </c>
      <c r="II19" t="e">
        <f>AND('Planilla_General_29-11-2012_10_'!E286,"AAAAAF/6LvI=")</f>
        <v>#VALUE!</v>
      </c>
      <c r="IJ19" t="e">
        <f>AND('Planilla_General_29-11-2012_10_'!F286,"AAAAAF/6LvM=")</f>
        <v>#VALUE!</v>
      </c>
      <c r="IK19" t="e">
        <f>AND('Planilla_General_29-11-2012_10_'!G286,"AAAAAF/6LvQ=")</f>
        <v>#VALUE!</v>
      </c>
      <c r="IL19" t="e">
        <f>AND('Planilla_General_29-11-2012_10_'!H286,"AAAAAF/6LvU=")</f>
        <v>#VALUE!</v>
      </c>
      <c r="IM19" t="e">
        <f>AND('Planilla_General_29-11-2012_10_'!I286,"AAAAAF/6LvY=")</f>
        <v>#VALUE!</v>
      </c>
      <c r="IN19" t="e">
        <f>AND('Planilla_General_29-11-2012_10_'!J286,"AAAAAF/6Lvc=")</f>
        <v>#VALUE!</v>
      </c>
      <c r="IO19" t="e">
        <f>AND('Planilla_General_29-11-2012_10_'!K286,"AAAAAF/6Lvg=")</f>
        <v>#VALUE!</v>
      </c>
      <c r="IP19" t="e">
        <f>AND('Planilla_General_29-11-2012_10_'!L286,"AAAAAF/6Lvk=")</f>
        <v>#VALUE!</v>
      </c>
      <c r="IQ19" t="e">
        <f>AND('Planilla_General_29-11-2012_10_'!M286,"AAAAAF/6Lvo=")</f>
        <v>#VALUE!</v>
      </c>
      <c r="IR19" t="e">
        <f>AND('Planilla_General_29-11-2012_10_'!N286,"AAAAAF/6Lvs=")</f>
        <v>#VALUE!</v>
      </c>
      <c r="IS19" t="e">
        <f>AND('Planilla_General_29-11-2012_10_'!O286,"AAAAAF/6Lvw=")</f>
        <v>#VALUE!</v>
      </c>
      <c r="IT19" t="e">
        <f>AND('Planilla_General_29-11-2012_10_'!P286,"AAAAAF/6Lv0=")</f>
        <v>#VALUE!</v>
      </c>
      <c r="IU19">
        <f>IF('Planilla_General_29-11-2012_10_'!287:287,"AAAAAF/6Lv4=",0)</f>
        <v>0</v>
      </c>
      <c r="IV19" t="e">
        <f>AND('Planilla_General_29-11-2012_10_'!A287,"AAAAAF/6Lv8=")</f>
        <v>#VALUE!</v>
      </c>
    </row>
    <row r="20" spans="1:256" x14ac:dyDescent="0.25">
      <c r="A20" t="e">
        <f>AND('Planilla_General_29-11-2012_10_'!B287,"AAAAAHv//wA=")</f>
        <v>#VALUE!</v>
      </c>
      <c r="B20" t="e">
        <f>AND('Planilla_General_29-11-2012_10_'!C287,"AAAAAHv//wE=")</f>
        <v>#VALUE!</v>
      </c>
      <c r="C20" t="e">
        <f>AND('Planilla_General_29-11-2012_10_'!D287,"AAAAAHv//wI=")</f>
        <v>#VALUE!</v>
      </c>
      <c r="D20" t="e">
        <f>AND('Planilla_General_29-11-2012_10_'!E287,"AAAAAHv//wM=")</f>
        <v>#VALUE!</v>
      </c>
      <c r="E20" t="e">
        <f>AND('Planilla_General_29-11-2012_10_'!F287,"AAAAAHv//wQ=")</f>
        <v>#VALUE!</v>
      </c>
      <c r="F20" t="e">
        <f>AND('Planilla_General_29-11-2012_10_'!G287,"AAAAAHv//wU=")</f>
        <v>#VALUE!</v>
      </c>
      <c r="G20" t="e">
        <f>AND('Planilla_General_29-11-2012_10_'!H287,"AAAAAHv//wY=")</f>
        <v>#VALUE!</v>
      </c>
      <c r="H20" t="e">
        <f>AND('Planilla_General_29-11-2012_10_'!I287,"AAAAAHv//wc=")</f>
        <v>#VALUE!</v>
      </c>
      <c r="I20" t="e">
        <f>AND('Planilla_General_29-11-2012_10_'!J287,"AAAAAHv//wg=")</f>
        <v>#VALUE!</v>
      </c>
      <c r="J20" t="e">
        <f>AND('Planilla_General_29-11-2012_10_'!K287,"AAAAAHv//wk=")</f>
        <v>#VALUE!</v>
      </c>
      <c r="K20" t="e">
        <f>AND('Planilla_General_29-11-2012_10_'!L287,"AAAAAHv//wo=")</f>
        <v>#VALUE!</v>
      </c>
      <c r="L20" t="e">
        <f>AND('Planilla_General_29-11-2012_10_'!M287,"AAAAAHv//ws=")</f>
        <v>#VALUE!</v>
      </c>
      <c r="M20" t="e">
        <f>AND('Planilla_General_29-11-2012_10_'!N287,"AAAAAHv//ww=")</f>
        <v>#VALUE!</v>
      </c>
      <c r="N20" t="e">
        <f>AND('Planilla_General_29-11-2012_10_'!O287,"AAAAAHv//w0=")</f>
        <v>#VALUE!</v>
      </c>
      <c r="O20" t="e">
        <f>AND('Planilla_General_29-11-2012_10_'!P287,"AAAAAHv//w4=")</f>
        <v>#VALUE!</v>
      </c>
      <c r="P20">
        <f>IF('Planilla_General_29-11-2012_10_'!288:288,"AAAAAHv//w8=",0)</f>
        <v>0</v>
      </c>
      <c r="Q20" t="e">
        <f>AND('Planilla_General_29-11-2012_10_'!A288,"AAAAAHv//xA=")</f>
        <v>#VALUE!</v>
      </c>
      <c r="R20" t="e">
        <f>AND('Planilla_General_29-11-2012_10_'!B288,"AAAAAHv//xE=")</f>
        <v>#VALUE!</v>
      </c>
      <c r="S20" t="e">
        <f>AND('Planilla_General_29-11-2012_10_'!C288,"AAAAAHv//xI=")</f>
        <v>#VALUE!</v>
      </c>
      <c r="T20" t="e">
        <f>AND('Planilla_General_29-11-2012_10_'!D288,"AAAAAHv//xM=")</f>
        <v>#VALUE!</v>
      </c>
      <c r="U20" t="e">
        <f>AND('Planilla_General_29-11-2012_10_'!E288,"AAAAAHv//xQ=")</f>
        <v>#VALUE!</v>
      </c>
      <c r="V20" t="e">
        <f>AND('Planilla_General_29-11-2012_10_'!F288,"AAAAAHv//xU=")</f>
        <v>#VALUE!</v>
      </c>
      <c r="W20" t="e">
        <f>AND('Planilla_General_29-11-2012_10_'!G288,"AAAAAHv//xY=")</f>
        <v>#VALUE!</v>
      </c>
      <c r="X20" t="e">
        <f>AND('Planilla_General_29-11-2012_10_'!H288,"AAAAAHv//xc=")</f>
        <v>#VALUE!</v>
      </c>
      <c r="Y20" t="e">
        <f>AND('Planilla_General_29-11-2012_10_'!I288,"AAAAAHv//xg=")</f>
        <v>#VALUE!</v>
      </c>
      <c r="Z20" t="e">
        <f>AND('Planilla_General_29-11-2012_10_'!J288,"AAAAAHv//xk=")</f>
        <v>#VALUE!</v>
      </c>
      <c r="AA20" t="e">
        <f>AND('Planilla_General_29-11-2012_10_'!K288,"AAAAAHv//xo=")</f>
        <v>#VALUE!</v>
      </c>
      <c r="AB20" t="e">
        <f>AND('Planilla_General_29-11-2012_10_'!L288,"AAAAAHv//xs=")</f>
        <v>#VALUE!</v>
      </c>
      <c r="AC20" t="e">
        <f>AND('Planilla_General_29-11-2012_10_'!M288,"AAAAAHv//xw=")</f>
        <v>#VALUE!</v>
      </c>
      <c r="AD20" t="e">
        <f>AND('Planilla_General_29-11-2012_10_'!N288,"AAAAAHv//x0=")</f>
        <v>#VALUE!</v>
      </c>
      <c r="AE20" t="e">
        <f>AND('Planilla_General_29-11-2012_10_'!O288,"AAAAAHv//x4=")</f>
        <v>#VALUE!</v>
      </c>
      <c r="AF20" t="e">
        <f>AND('Planilla_General_29-11-2012_10_'!P288,"AAAAAHv//x8=")</f>
        <v>#VALUE!</v>
      </c>
      <c r="AG20">
        <f>IF('Planilla_General_29-11-2012_10_'!289:289,"AAAAAHv//yA=",0)</f>
        <v>0</v>
      </c>
      <c r="AH20" t="e">
        <f>AND('Planilla_General_29-11-2012_10_'!A289,"AAAAAHv//yE=")</f>
        <v>#VALUE!</v>
      </c>
      <c r="AI20" t="e">
        <f>AND('Planilla_General_29-11-2012_10_'!B289,"AAAAAHv//yI=")</f>
        <v>#VALUE!</v>
      </c>
      <c r="AJ20" t="e">
        <f>AND('Planilla_General_29-11-2012_10_'!C289,"AAAAAHv//yM=")</f>
        <v>#VALUE!</v>
      </c>
      <c r="AK20" t="e">
        <f>AND('Planilla_General_29-11-2012_10_'!D289,"AAAAAHv//yQ=")</f>
        <v>#VALUE!</v>
      </c>
      <c r="AL20" t="e">
        <f>AND('Planilla_General_29-11-2012_10_'!E289,"AAAAAHv//yU=")</f>
        <v>#VALUE!</v>
      </c>
      <c r="AM20" t="e">
        <f>AND('Planilla_General_29-11-2012_10_'!F289,"AAAAAHv//yY=")</f>
        <v>#VALUE!</v>
      </c>
      <c r="AN20" t="e">
        <f>AND('Planilla_General_29-11-2012_10_'!G289,"AAAAAHv//yc=")</f>
        <v>#VALUE!</v>
      </c>
      <c r="AO20" t="e">
        <f>AND('Planilla_General_29-11-2012_10_'!H289,"AAAAAHv//yg=")</f>
        <v>#VALUE!</v>
      </c>
      <c r="AP20" t="e">
        <f>AND('Planilla_General_29-11-2012_10_'!I289,"AAAAAHv//yk=")</f>
        <v>#VALUE!</v>
      </c>
      <c r="AQ20" t="e">
        <f>AND('Planilla_General_29-11-2012_10_'!J289,"AAAAAHv//yo=")</f>
        <v>#VALUE!</v>
      </c>
      <c r="AR20" t="e">
        <f>AND('Planilla_General_29-11-2012_10_'!K289,"AAAAAHv//ys=")</f>
        <v>#VALUE!</v>
      </c>
      <c r="AS20" t="e">
        <f>AND('Planilla_General_29-11-2012_10_'!L289,"AAAAAHv//yw=")</f>
        <v>#VALUE!</v>
      </c>
      <c r="AT20" t="e">
        <f>AND('Planilla_General_29-11-2012_10_'!M289,"AAAAAHv//y0=")</f>
        <v>#VALUE!</v>
      </c>
      <c r="AU20" t="e">
        <f>AND('Planilla_General_29-11-2012_10_'!N289,"AAAAAHv//y4=")</f>
        <v>#VALUE!</v>
      </c>
      <c r="AV20" t="e">
        <f>AND('Planilla_General_29-11-2012_10_'!O289,"AAAAAHv//y8=")</f>
        <v>#VALUE!</v>
      </c>
      <c r="AW20" t="e">
        <f>AND('Planilla_General_29-11-2012_10_'!P289,"AAAAAHv//zA=")</f>
        <v>#VALUE!</v>
      </c>
      <c r="AX20">
        <f>IF('Planilla_General_29-11-2012_10_'!290:290,"AAAAAHv//zE=",0)</f>
        <v>0</v>
      </c>
      <c r="AY20" t="e">
        <f>AND('Planilla_General_29-11-2012_10_'!A290,"AAAAAHv//zI=")</f>
        <v>#VALUE!</v>
      </c>
      <c r="AZ20" t="e">
        <f>AND('Planilla_General_29-11-2012_10_'!B290,"AAAAAHv//zM=")</f>
        <v>#VALUE!</v>
      </c>
      <c r="BA20" t="e">
        <f>AND('Planilla_General_29-11-2012_10_'!C290,"AAAAAHv//zQ=")</f>
        <v>#VALUE!</v>
      </c>
      <c r="BB20" t="e">
        <f>AND('Planilla_General_29-11-2012_10_'!D290,"AAAAAHv//zU=")</f>
        <v>#VALUE!</v>
      </c>
      <c r="BC20" t="e">
        <f>AND('Planilla_General_29-11-2012_10_'!E290,"AAAAAHv//zY=")</f>
        <v>#VALUE!</v>
      </c>
      <c r="BD20" t="e">
        <f>AND('Planilla_General_29-11-2012_10_'!F290,"AAAAAHv//zc=")</f>
        <v>#VALUE!</v>
      </c>
      <c r="BE20" t="e">
        <f>AND('Planilla_General_29-11-2012_10_'!G290,"AAAAAHv//zg=")</f>
        <v>#VALUE!</v>
      </c>
      <c r="BF20" t="e">
        <f>AND('Planilla_General_29-11-2012_10_'!H290,"AAAAAHv//zk=")</f>
        <v>#VALUE!</v>
      </c>
      <c r="BG20" t="e">
        <f>AND('Planilla_General_29-11-2012_10_'!I290,"AAAAAHv//zo=")</f>
        <v>#VALUE!</v>
      </c>
      <c r="BH20" t="e">
        <f>AND('Planilla_General_29-11-2012_10_'!J290,"AAAAAHv//zs=")</f>
        <v>#VALUE!</v>
      </c>
      <c r="BI20" t="e">
        <f>AND('Planilla_General_29-11-2012_10_'!K290,"AAAAAHv//zw=")</f>
        <v>#VALUE!</v>
      </c>
      <c r="BJ20" t="e">
        <f>AND('Planilla_General_29-11-2012_10_'!L290,"AAAAAHv//z0=")</f>
        <v>#VALUE!</v>
      </c>
      <c r="BK20" t="e">
        <f>AND('Planilla_General_29-11-2012_10_'!M290,"AAAAAHv//z4=")</f>
        <v>#VALUE!</v>
      </c>
      <c r="BL20" t="e">
        <f>AND('Planilla_General_29-11-2012_10_'!N290,"AAAAAHv//z8=")</f>
        <v>#VALUE!</v>
      </c>
      <c r="BM20" t="e">
        <f>AND('Planilla_General_29-11-2012_10_'!O290,"AAAAAHv//0A=")</f>
        <v>#VALUE!</v>
      </c>
      <c r="BN20" t="e">
        <f>AND('Planilla_General_29-11-2012_10_'!P290,"AAAAAHv//0E=")</f>
        <v>#VALUE!</v>
      </c>
      <c r="BO20">
        <f>IF('Planilla_General_29-11-2012_10_'!291:291,"AAAAAHv//0I=",0)</f>
        <v>0</v>
      </c>
      <c r="BP20" t="e">
        <f>AND('Planilla_General_29-11-2012_10_'!A291,"AAAAAHv//0M=")</f>
        <v>#VALUE!</v>
      </c>
      <c r="BQ20" t="e">
        <f>AND('Planilla_General_29-11-2012_10_'!B291,"AAAAAHv//0Q=")</f>
        <v>#VALUE!</v>
      </c>
      <c r="BR20" t="e">
        <f>AND('Planilla_General_29-11-2012_10_'!C291,"AAAAAHv//0U=")</f>
        <v>#VALUE!</v>
      </c>
      <c r="BS20" t="e">
        <f>AND('Planilla_General_29-11-2012_10_'!D291,"AAAAAHv//0Y=")</f>
        <v>#VALUE!</v>
      </c>
      <c r="BT20" t="e">
        <f>AND('Planilla_General_29-11-2012_10_'!E291,"AAAAAHv//0c=")</f>
        <v>#VALUE!</v>
      </c>
      <c r="BU20" t="e">
        <f>AND('Planilla_General_29-11-2012_10_'!F291,"AAAAAHv//0g=")</f>
        <v>#VALUE!</v>
      </c>
      <c r="BV20" t="e">
        <f>AND('Planilla_General_29-11-2012_10_'!G291,"AAAAAHv//0k=")</f>
        <v>#VALUE!</v>
      </c>
      <c r="BW20" t="e">
        <f>AND('Planilla_General_29-11-2012_10_'!H291,"AAAAAHv//0o=")</f>
        <v>#VALUE!</v>
      </c>
      <c r="BX20" t="e">
        <f>AND('Planilla_General_29-11-2012_10_'!I291,"AAAAAHv//0s=")</f>
        <v>#VALUE!</v>
      </c>
      <c r="BY20" t="e">
        <f>AND('Planilla_General_29-11-2012_10_'!J291,"AAAAAHv//0w=")</f>
        <v>#VALUE!</v>
      </c>
      <c r="BZ20" t="e">
        <f>AND('Planilla_General_29-11-2012_10_'!K291,"AAAAAHv//00=")</f>
        <v>#VALUE!</v>
      </c>
      <c r="CA20" t="e">
        <f>AND('Planilla_General_29-11-2012_10_'!L291,"AAAAAHv//04=")</f>
        <v>#VALUE!</v>
      </c>
      <c r="CB20" t="e">
        <f>AND('Planilla_General_29-11-2012_10_'!M291,"AAAAAHv//08=")</f>
        <v>#VALUE!</v>
      </c>
      <c r="CC20" t="e">
        <f>AND('Planilla_General_29-11-2012_10_'!N291,"AAAAAHv//1A=")</f>
        <v>#VALUE!</v>
      </c>
      <c r="CD20" t="e">
        <f>AND('Planilla_General_29-11-2012_10_'!O291,"AAAAAHv//1E=")</f>
        <v>#VALUE!</v>
      </c>
      <c r="CE20" t="e">
        <f>AND('Planilla_General_29-11-2012_10_'!P291,"AAAAAHv//1I=")</f>
        <v>#VALUE!</v>
      </c>
      <c r="CF20">
        <f>IF('Planilla_General_29-11-2012_10_'!292:292,"AAAAAHv//1M=",0)</f>
        <v>0</v>
      </c>
      <c r="CG20" t="e">
        <f>AND('Planilla_General_29-11-2012_10_'!A292,"AAAAAHv//1Q=")</f>
        <v>#VALUE!</v>
      </c>
      <c r="CH20" t="e">
        <f>AND('Planilla_General_29-11-2012_10_'!B292,"AAAAAHv//1U=")</f>
        <v>#VALUE!</v>
      </c>
      <c r="CI20" t="e">
        <f>AND('Planilla_General_29-11-2012_10_'!C292,"AAAAAHv//1Y=")</f>
        <v>#VALUE!</v>
      </c>
      <c r="CJ20" t="e">
        <f>AND('Planilla_General_29-11-2012_10_'!D292,"AAAAAHv//1c=")</f>
        <v>#VALUE!</v>
      </c>
      <c r="CK20" t="e">
        <f>AND('Planilla_General_29-11-2012_10_'!E292,"AAAAAHv//1g=")</f>
        <v>#VALUE!</v>
      </c>
      <c r="CL20" t="e">
        <f>AND('Planilla_General_29-11-2012_10_'!F292,"AAAAAHv//1k=")</f>
        <v>#VALUE!</v>
      </c>
      <c r="CM20" t="e">
        <f>AND('Planilla_General_29-11-2012_10_'!G292,"AAAAAHv//1o=")</f>
        <v>#VALUE!</v>
      </c>
      <c r="CN20" t="e">
        <f>AND('Planilla_General_29-11-2012_10_'!H292,"AAAAAHv//1s=")</f>
        <v>#VALUE!</v>
      </c>
      <c r="CO20" t="e">
        <f>AND('Planilla_General_29-11-2012_10_'!I292,"AAAAAHv//1w=")</f>
        <v>#VALUE!</v>
      </c>
      <c r="CP20" t="e">
        <f>AND('Planilla_General_29-11-2012_10_'!J292,"AAAAAHv//10=")</f>
        <v>#VALUE!</v>
      </c>
      <c r="CQ20" t="e">
        <f>AND('Planilla_General_29-11-2012_10_'!K292,"AAAAAHv//14=")</f>
        <v>#VALUE!</v>
      </c>
      <c r="CR20" t="e">
        <f>AND('Planilla_General_29-11-2012_10_'!L292,"AAAAAHv//18=")</f>
        <v>#VALUE!</v>
      </c>
      <c r="CS20" t="e">
        <f>AND('Planilla_General_29-11-2012_10_'!M292,"AAAAAHv//2A=")</f>
        <v>#VALUE!</v>
      </c>
      <c r="CT20" t="e">
        <f>AND('Planilla_General_29-11-2012_10_'!N292,"AAAAAHv//2E=")</f>
        <v>#VALUE!</v>
      </c>
      <c r="CU20" t="e">
        <f>AND('Planilla_General_29-11-2012_10_'!O292,"AAAAAHv//2I=")</f>
        <v>#VALUE!</v>
      </c>
      <c r="CV20" t="e">
        <f>AND('Planilla_General_29-11-2012_10_'!P292,"AAAAAHv//2M=")</f>
        <v>#VALUE!</v>
      </c>
      <c r="CW20">
        <f>IF('Planilla_General_29-11-2012_10_'!293:293,"AAAAAHv//2Q=",0)</f>
        <v>0</v>
      </c>
      <c r="CX20" t="e">
        <f>AND('Planilla_General_29-11-2012_10_'!A293,"AAAAAHv//2U=")</f>
        <v>#VALUE!</v>
      </c>
      <c r="CY20" t="e">
        <f>AND('Planilla_General_29-11-2012_10_'!B293,"AAAAAHv//2Y=")</f>
        <v>#VALUE!</v>
      </c>
      <c r="CZ20" t="e">
        <f>AND('Planilla_General_29-11-2012_10_'!C293,"AAAAAHv//2c=")</f>
        <v>#VALUE!</v>
      </c>
      <c r="DA20" t="e">
        <f>AND('Planilla_General_29-11-2012_10_'!D293,"AAAAAHv//2g=")</f>
        <v>#VALUE!</v>
      </c>
      <c r="DB20" t="e">
        <f>AND('Planilla_General_29-11-2012_10_'!E293,"AAAAAHv//2k=")</f>
        <v>#VALUE!</v>
      </c>
      <c r="DC20" t="e">
        <f>AND('Planilla_General_29-11-2012_10_'!F293,"AAAAAHv//2o=")</f>
        <v>#VALUE!</v>
      </c>
      <c r="DD20" t="e">
        <f>AND('Planilla_General_29-11-2012_10_'!G293,"AAAAAHv//2s=")</f>
        <v>#VALUE!</v>
      </c>
      <c r="DE20" t="e">
        <f>AND('Planilla_General_29-11-2012_10_'!H293,"AAAAAHv//2w=")</f>
        <v>#VALUE!</v>
      </c>
      <c r="DF20" t="e">
        <f>AND('Planilla_General_29-11-2012_10_'!I293,"AAAAAHv//20=")</f>
        <v>#VALUE!</v>
      </c>
      <c r="DG20" t="e">
        <f>AND('Planilla_General_29-11-2012_10_'!J293,"AAAAAHv//24=")</f>
        <v>#VALUE!</v>
      </c>
      <c r="DH20" t="e">
        <f>AND('Planilla_General_29-11-2012_10_'!K293,"AAAAAHv//28=")</f>
        <v>#VALUE!</v>
      </c>
      <c r="DI20" t="e">
        <f>AND('Planilla_General_29-11-2012_10_'!L293,"AAAAAHv//3A=")</f>
        <v>#VALUE!</v>
      </c>
      <c r="DJ20" t="e">
        <f>AND('Planilla_General_29-11-2012_10_'!M293,"AAAAAHv//3E=")</f>
        <v>#VALUE!</v>
      </c>
      <c r="DK20" t="e">
        <f>AND('Planilla_General_29-11-2012_10_'!N293,"AAAAAHv//3I=")</f>
        <v>#VALUE!</v>
      </c>
      <c r="DL20" t="e">
        <f>AND('Planilla_General_29-11-2012_10_'!O293,"AAAAAHv//3M=")</f>
        <v>#VALUE!</v>
      </c>
      <c r="DM20" t="e">
        <f>AND('Planilla_General_29-11-2012_10_'!P293,"AAAAAHv//3Q=")</f>
        <v>#VALUE!</v>
      </c>
      <c r="DN20">
        <f>IF('Planilla_General_29-11-2012_10_'!294:294,"AAAAAHv//3U=",0)</f>
        <v>0</v>
      </c>
      <c r="DO20" t="e">
        <f>AND('Planilla_General_29-11-2012_10_'!A294,"AAAAAHv//3Y=")</f>
        <v>#VALUE!</v>
      </c>
      <c r="DP20" t="e">
        <f>AND('Planilla_General_29-11-2012_10_'!B294,"AAAAAHv//3c=")</f>
        <v>#VALUE!</v>
      </c>
      <c r="DQ20" t="e">
        <f>AND('Planilla_General_29-11-2012_10_'!C294,"AAAAAHv//3g=")</f>
        <v>#VALUE!</v>
      </c>
      <c r="DR20" t="e">
        <f>AND('Planilla_General_29-11-2012_10_'!D294,"AAAAAHv//3k=")</f>
        <v>#VALUE!</v>
      </c>
      <c r="DS20" t="e">
        <f>AND('Planilla_General_29-11-2012_10_'!E294,"AAAAAHv//3o=")</f>
        <v>#VALUE!</v>
      </c>
      <c r="DT20" t="e">
        <f>AND('Planilla_General_29-11-2012_10_'!F294,"AAAAAHv//3s=")</f>
        <v>#VALUE!</v>
      </c>
      <c r="DU20" t="e">
        <f>AND('Planilla_General_29-11-2012_10_'!G294,"AAAAAHv//3w=")</f>
        <v>#VALUE!</v>
      </c>
      <c r="DV20" t="e">
        <f>AND('Planilla_General_29-11-2012_10_'!H294,"AAAAAHv//30=")</f>
        <v>#VALUE!</v>
      </c>
      <c r="DW20" t="e">
        <f>AND('Planilla_General_29-11-2012_10_'!I294,"AAAAAHv//34=")</f>
        <v>#VALUE!</v>
      </c>
      <c r="DX20" t="e">
        <f>AND('Planilla_General_29-11-2012_10_'!J294,"AAAAAHv//38=")</f>
        <v>#VALUE!</v>
      </c>
      <c r="DY20" t="e">
        <f>AND('Planilla_General_29-11-2012_10_'!K294,"AAAAAHv//4A=")</f>
        <v>#VALUE!</v>
      </c>
      <c r="DZ20" t="e">
        <f>AND('Planilla_General_29-11-2012_10_'!L294,"AAAAAHv//4E=")</f>
        <v>#VALUE!</v>
      </c>
      <c r="EA20" t="e">
        <f>AND('Planilla_General_29-11-2012_10_'!M294,"AAAAAHv//4I=")</f>
        <v>#VALUE!</v>
      </c>
      <c r="EB20" t="e">
        <f>AND('Planilla_General_29-11-2012_10_'!N294,"AAAAAHv//4M=")</f>
        <v>#VALUE!</v>
      </c>
      <c r="EC20" t="e">
        <f>AND('Planilla_General_29-11-2012_10_'!O294,"AAAAAHv//4Q=")</f>
        <v>#VALUE!</v>
      </c>
      <c r="ED20" t="e">
        <f>AND('Planilla_General_29-11-2012_10_'!P294,"AAAAAHv//4U=")</f>
        <v>#VALUE!</v>
      </c>
      <c r="EE20">
        <f>IF('Planilla_General_29-11-2012_10_'!295:295,"AAAAAHv//4Y=",0)</f>
        <v>0</v>
      </c>
      <c r="EF20" t="e">
        <f>AND('Planilla_General_29-11-2012_10_'!A295,"AAAAAHv//4c=")</f>
        <v>#VALUE!</v>
      </c>
      <c r="EG20" t="e">
        <f>AND('Planilla_General_29-11-2012_10_'!B295,"AAAAAHv//4g=")</f>
        <v>#VALUE!</v>
      </c>
      <c r="EH20" t="e">
        <f>AND('Planilla_General_29-11-2012_10_'!C295,"AAAAAHv//4k=")</f>
        <v>#VALUE!</v>
      </c>
      <c r="EI20" t="e">
        <f>AND('Planilla_General_29-11-2012_10_'!D295,"AAAAAHv//4o=")</f>
        <v>#VALUE!</v>
      </c>
      <c r="EJ20" t="e">
        <f>AND('Planilla_General_29-11-2012_10_'!E295,"AAAAAHv//4s=")</f>
        <v>#VALUE!</v>
      </c>
      <c r="EK20" t="e">
        <f>AND('Planilla_General_29-11-2012_10_'!F295,"AAAAAHv//4w=")</f>
        <v>#VALUE!</v>
      </c>
      <c r="EL20" t="e">
        <f>AND('Planilla_General_29-11-2012_10_'!G295,"AAAAAHv//40=")</f>
        <v>#VALUE!</v>
      </c>
      <c r="EM20" t="e">
        <f>AND('Planilla_General_29-11-2012_10_'!H295,"AAAAAHv//44=")</f>
        <v>#VALUE!</v>
      </c>
      <c r="EN20" t="e">
        <f>AND('Planilla_General_29-11-2012_10_'!I295,"AAAAAHv//48=")</f>
        <v>#VALUE!</v>
      </c>
      <c r="EO20" t="e">
        <f>AND('Planilla_General_29-11-2012_10_'!J295,"AAAAAHv//5A=")</f>
        <v>#VALUE!</v>
      </c>
      <c r="EP20" t="e">
        <f>AND('Planilla_General_29-11-2012_10_'!K295,"AAAAAHv//5E=")</f>
        <v>#VALUE!</v>
      </c>
      <c r="EQ20" t="e">
        <f>AND('Planilla_General_29-11-2012_10_'!L295,"AAAAAHv//5I=")</f>
        <v>#VALUE!</v>
      </c>
      <c r="ER20" t="e">
        <f>AND('Planilla_General_29-11-2012_10_'!M295,"AAAAAHv//5M=")</f>
        <v>#VALUE!</v>
      </c>
      <c r="ES20" t="e">
        <f>AND('Planilla_General_29-11-2012_10_'!N295,"AAAAAHv//5Q=")</f>
        <v>#VALUE!</v>
      </c>
      <c r="ET20" t="e">
        <f>AND('Planilla_General_29-11-2012_10_'!O295,"AAAAAHv//5U=")</f>
        <v>#VALUE!</v>
      </c>
      <c r="EU20" t="e">
        <f>AND('Planilla_General_29-11-2012_10_'!P295,"AAAAAHv//5Y=")</f>
        <v>#VALUE!</v>
      </c>
      <c r="EV20">
        <f>IF('Planilla_General_29-11-2012_10_'!296:296,"AAAAAHv//5c=",0)</f>
        <v>0</v>
      </c>
      <c r="EW20" t="e">
        <f>AND('Planilla_General_29-11-2012_10_'!A296,"AAAAAHv//5g=")</f>
        <v>#VALUE!</v>
      </c>
      <c r="EX20" t="e">
        <f>AND('Planilla_General_29-11-2012_10_'!B296,"AAAAAHv//5k=")</f>
        <v>#VALUE!</v>
      </c>
      <c r="EY20" t="e">
        <f>AND('Planilla_General_29-11-2012_10_'!C296,"AAAAAHv//5o=")</f>
        <v>#VALUE!</v>
      </c>
      <c r="EZ20" t="e">
        <f>AND('Planilla_General_29-11-2012_10_'!D296,"AAAAAHv//5s=")</f>
        <v>#VALUE!</v>
      </c>
      <c r="FA20" t="e">
        <f>AND('Planilla_General_29-11-2012_10_'!E296,"AAAAAHv//5w=")</f>
        <v>#VALUE!</v>
      </c>
      <c r="FB20" t="e">
        <f>AND('Planilla_General_29-11-2012_10_'!F296,"AAAAAHv//50=")</f>
        <v>#VALUE!</v>
      </c>
      <c r="FC20" t="e">
        <f>AND('Planilla_General_29-11-2012_10_'!G296,"AAAAAHv//54=")</f>
        <v>#VALUE!</v>
      </c>
      <c r="FD20" t="e">
        <f>AND('Planilla_General_29-11-2012_10_'!H296,"AAAAAHv//58=")</f>
        <v>#VALUE!</v>
      </c>
      <c r="FE20" t="e">
        <f>AND('Planilla_General_29-11-2012_10_'!I296,"AAAAAHv//6A=")</f>
        <v>#VALUE!</v>
      </c>
      <c r="FF20" t="e">
        <f>AND('Planilla_General_29-11-2012_10_'!J296,"AAAAAHv//6E=")</f>
        <v>#VALUE!</v>
      </c>
      <c r="FG20" t="e">
        <f>AND('Planilla_General_29-11-2012_10_'!K296,"AAAAAHv//6I=")</f>
        <v>#VALUE!</v>
      </c>
      <c r="FH20" t="e">
        <f>AND('Planilla_General_29-11-2012_10_'!L296,"AAAAAHv//6M=")</f>
        <v>#VALUE!</v>
      </c>
      <c r="FI20" t="e">
        <f>AND('Planilla_General_29-11-2012_10_'!M296,"AAAAAHv//6Q=")</f>
        <v>#VALUE!</v>
      </c>
      <c r="FJ20" t="e">
        <f>AND('Planilla_General_29-11-2012_10_'!N296,"AAAAAHv//6U=")</f>
        <v>#VALUE!</v>
      </c>
      <c r="FK20" t="e">
        <f>AND('Planilla_General_29-11-2012_10_'!O296,"AAAAAHv//6Y=")</f>
        <v>#VALUE!</v>
      </c>
      <c r="FL20" t="e">
        <f>AND('Planilla_General_29-11-2012_10_'!P296,"AAAAAHv//6c=")</f>
        <v>#VALUE!</v>
      </c>
      <c r="FM20">
        <f>IF('Planilla_General_29-11-2012_10_'!297:297,"AAAAAHv//6g=",0)</f>
        <v>0</v>
      </c>
      <c r="FN20" t="e">
        <f>AND('Planilla_General_29-11-2012_10_'!A297,"AAAAAHv//6k=")</f>
        <v>#VALUE!</v>
      </c>
      <c r="FO20" t="e">
        <f>AND('Planilla_General_29-11-2012_10_'!B297,"AAAAAHv//6o=")</f>
        <v>#VALUE!</v>
      </c>
      <c r="FP20" t="e">
        <f>AND('Planilla_General_29-11-2012_10_'!C297,"AAAAAHv//6s=")</f>
        <v>#VALUE!</v>
      </c>
      <c r="FQ20" t="e">
        <f>AND('Planilla_General_29-11-2012_10_'!D297,"AAAAAHv//6w=")</f>
        <v>#VALUE!</v>
      </c>
      <c r="FR20" t="e">
        <f>AND('Planilla_General_29-11-2012_10_'!E297,"AAAAAHv//60=")</f>
        <v>#VALUE!</v>
      </c>
      <c r="FS20" t="e">
        <f>AND('Planilla_General_29-11-2012_10_'!F297,"AAAAAHv//64=")</f>
        <v>#VALUE!</v>
      </c>
      <c r="FT20" t="e">
        <f>AND('Planilla_General_29-11-2012_10_'!G297,"AAAAAHv//68=")</f>
        <v>#VALUE!</v>
      </c>
      <c r="FU20" t="e">
        <f>AND('Planilla_General_29-11-2012_10_'!H297,"AAAAAHv//7A=")</f>
        <v>#VALUE!</v>
      </c>
      <c r="FV20" t="e">
        <f>AND('Planilla_General_29-11-2012_10_'!I297,"AAAAAHv//7E=")</f>
        <v>#VALUE!</v>
      </c>
      <c r="FW20" t="e">
        <f>AND('Planilla_General_29-11-2012_10_'!J297,"AAAAAHv//7I=")</f>
        <v>#VALUE!</v>
      </c>
      <c r="FX20" t="e">
        <f>AND('Planilla_General_29-11-2012_10_'!K297,"AAAAAHv//7M=")</f>
        <v>#VALUE!</v>
      </c>
      <c r="FY20" t="e">
        <f>AND('Planilla_General_29-11-2012_10_'!L297,"AAAAAHv//7Q=")</f>
        <v>#VALUE!</v>
      </c>
      <c r="FZ20" t="e">
        <f>AND('Planilla_General_29-11-2012_10_'!M297,"AAAAAHv//7U=")</f>
        <v>#VALUE!</v>
      </c>
      <c r="GA20" t="e">
        <f>AND('Planilla_General_29-11-2012_10_'!N297,"AAAAAHv//7Y=")</f>
        <v>#VALUE!</v>
      </c>
      <c r="GB20" t="e">
        <f>AND('Planilla_General_29-11-2012_10_'!O297,"AAAAAHv//7c=")</f>
        <v>#VALUE!</v>
      </c>
      <c r="GC20" t="e">
        <f>AND('Planilla_General_29-11-2012_10_'!P297,"AAAAAHv//7g=")</f>
        <v>#VALUE!</v>
      </c>
      <c r="GD20">
        <f>IF('Planilla_General_29-11-2012_10_'!298:298,"AAAAAHv//7k=",0)</f>
        <v>0</v>
      </c>
      <c r="GE20" t="e">
        <f>AND('Planilla_General_29-11-2012_10_'!A298,"AAAAAHv//7o=")</f>
        <v>#VALUE!</v>
      </c>
      <c r="GF20" t="e">
        <f>AND('Planilla_General_29-11-2012_10_'!B298,"AAAAAHv//7s=")</f>
        <v>#VALUE!</v>
      </c>
      <c r="GG20" t="e">
        <f>AND('Planilla_General_29-11-2012_10_'!C298,"AAAAAHv//7w=")</f>
        <v>#VALUE!</v>
      </c>
      <c r="GH20" t="e">
        <f>AND('Planilla_General_29-11-2012_10_'!D298,"AAAAAHv//70=")</f>
        <v>#VALUE!</v>
      </c>
      <c r="GI20" t="e">
        <f>AND('Planilla_General_29-11-2012_10_'!E298,"AAAAAHv//74=")</f>
        <v>#VALUE!</v>
      </c>
      <c r="GJ20" t="e">
        <f>AND('Planilla_General_29-11-2012_10_'!F298,"AAAAAHv//78=")</f>
        <v>#VALUE!</v>
      </c>
      <c r="GK20" t="e">
        <f>AND('Planilla_General_29-11-2012_10_'!G298,"AAAAAHv//8A=")</f>
        <v>#VALUE!</v>
      </c>
      <c r="GL20" t="e">
        <f>AND('Planilla_General_29-11-2012_10_'!H298,"AAAAAHv//8E=")</f>
        <v>#VALUE!</v>
      </c>
      <c r="GM20" t="e">
        <f>AND('Planilla_General_29-11-2012_10_'!I298,"AAAAAHv//8I=")</f>
        <v>#VALUE!</v>
      </c>
      <c r="GN20" t="e">
        <f>AND('Planilla_General_29-11-2012_10_'!J298,"AAAAAHv//8M=")</f>
        <v>#VALUE!</v>
      </c>
      <c r="GO20" t="e">
        <f>AND('Planilla_General_29-11-2012_10_'!K298,"AAAAAHv//8Q=")</f>
        <v>#VALUE!</v>
      </c>
      <c r="GP20" t="e">
        <f>AND('Planilla_General_29-11-2012_10_'!L298,"AAAAAHv//8U=")</f>
        <v>#VALUE!</v>
      </c>
      <c r="GQ20" t="e">
        <f>AND('Planilla_General_29-11-2012_10_'!M298,"AAAAAHv//8Y=")</f>
        <v>#VALUE!</v>
      </c>
      <c r="GR20" t="e">
        <f>AND('Planilla_General_29-11-2012_10_'!N298,"AAAAAHv//8c=")</f>
        <v>#VALUE!</v>
      </c>
      <c r="GS20" t="e">
        <f>AND('Planilla_General_29-11-2012_10_'!O298,"AAAAAHv//8g=")</f>
        <v>#VALUE!</v>
      </c>
      <c r="GT20" t="e">
        <f>AND('Planilla_General_29-11-2012_10_'!P298,"AAAAAHv//8k=")</f>
        <v>#VALUE!</v>
      </c>
      <c r="GU20">
        <f>IF('Planilla_General_29-11-2012_10_'!299:299,"AAAAAHv//8o=",0)</f>
        <v>0</v>
      </c>
      <c r="GV20" t="e">
        <f>AND('Planilla_General_29-11-2012_10_'!A299,"AAAAAHv//8s=")</f>
        <v>#VALUE!</v>
      </c>
      <c r="GW20" t="e">
        <f>AND('Planilla_General_29-11-2012_10_'!B299,"AAAAAHv//8w=")</f>
        <v>#VALUE!</v>
      </c>
      <c r="GX20" t="e">
        <f>AND('Planilla_General_29-11-2012_10_'!C299,"AAAAAHv//80=")</f>
        <v>#VALUE!</v>
      </c>
      <c r="GY20" t="e">
        <f>AND('Planilla_General_29-11-2012_10_'!D299,"AAAAAHv//84=")</f>
        <v>#VALUE!</v>
      </c>
      <c r="GZ20" t="e">
        <f>AND('Planilla_General_29-11-2012_10_'!E299,"AAAAAHv//88=")</f>
        <v>#VALUE!</v>
      </c>
      <c r="HA20" t="e">
        <f>AND('Planilla_General_29-11-2012_10_'!F299,"AAAAAHv//9A=")</f>
        <v>#VALUE!</v>
      </c>
      <c r="HB20" t="e">
        <f>AND('Planilla_General_29-11-2012_10_'!G299,"AAAAAHv//9E=")</f>
        <v>#VALUE!</v>
      </c>
      <c r="HC20" t="e">
        <f>AND('Planilla_General_29-11-2012_10_'!H299,"AAAAAHv//9I=")</f>
        <v>#VALUE!</v>
      </c>
      <c r="HD20" t="e">
        <f>AND('Planilla_General_29-11-2012_10_'!I299,"AAAAAHv//9M=")</f>
        <v>#VALUE!</v>
      </c>
      <c r="HE20" t="e">
        <f>AND('Planilla_General_29-11-2012_10_'!J299,"AAAAAHv//9Q=")</f>
        <v>#VALUE!</v>
      </c>
      <c r="HF20" t="e">
        <f>AND('Planilla_General_29-11-2012_10_'!K299,"AAAAAHv//9U=")</f>
        <v>#VALUE!</v>
      </c>
      <c r="HG20" t="e">
        <f>AND('Planilla_General_29-11-2012_10_'!L299,"AAAAAHv//9Y=")</f>
        <v>#VALUE!</v>
      </c>
      <c r="HH20" t="e">
        <f>AND('Planilla_General_29-11-2012_10_'!M299,"AAAAAHv//9c=")</f>
        <v>#VALUE!</v>
      </c>
      <c r="HI20" t="e">
        <f>AND('Planilla_General_29-11-2012_10_'!N299,"AAAAAHv//9g=")</f>
        <v>#VALUE!</v>
      </c>
      <c r="HJ20" t="e">
        <f>AND('Planilla_General_29-11-2012_10_'!O299,"AAAAAHv//9k=")</f>
        <v>#VALUE!</v>
      </c>
      <c r="HK20" t="e">
        <f>AND('Planilla_General_29-11-2012_10_'!P299,"AAAAAHv//9o=")</f>
        <v>#VALUE!</v>
      </c>
      <c r="HL20">
        <f>IF('Planilla_General_29-11-2012_10_'!300:300,"AAAAAHv//9s=",0)</f>
        <v>0</v>
      </c>
      <c r="HM20" t="e">
        <f>AND('Planilla_General_29-11-2012_10_'!A300,"AAAAAHv//9w=")</f>
        <v>#VALUE!</v>
      </c>
      <c r="HN20" t="e">
        <f>AND('Planilla_General_29-11-2012_10_'!B300,"AAAAAHv//90=")</f>
        <v>#VALUE!</v>
      </c>
      <c r="HO20" t="e">
        <f>AND('Planilla_General_29-11-2012_10_'!C300,"AAAAAHv//94=")</f>
        <v>#VALUE!</v>
      </c>
      <c r="HP20" t="e">
        <f>AND('Planilla_General_29-11-2012_10_'!D300,"AAAAAHv//98=")</f>
        <v>#VALUE!</v>
      </c>
      <c r="HQ20" t="e">
        <f>AND('Planilla_General_29-11-2012_10_'!E300,"AAAAAHv//+A=")</f>
        <v>#VALUE!</v>
      </c>
      <c r="HR20" t="e">
        <f>AND('Planilla_General_29-11-2012_10_'!F300,"AAAAAHv//+E=")</f>
        <v>#VALUE!</v>
      </c>
      <c r="HS20" t="e">
        <f>AND('Planilla_General_29-11-2012_10_'!G300,"AAAAAHv//+I=")</f>
        <v>#VALUE!</v>
      </c>
      <c r="HT20" t="e">
        <f>AND('Planilla_General_29-11-2012_10_'!H300,"AAAAAHv//+M=")</f>
        <v>#VALUE!</v>
      </c>
      <c r="HU20" t="e">
        <f>AND('Planilla_General_29-11-2012_10_'!I300,"AAAAAHv//+Q=")</f>
        <v>#VALUE!</v>
      </c>
      <c r="HV20" t="e">
        <f>AND('Planilla_General_29-11-2012_10_'!J300,"AAAAAHv//+U=")</f>
        <v>#VALUE!</v>
      </c>
      <c r="HW20" t="e">
        <f>AND('Planilla_General_29-11-2012_10_'!K300,"AAAAAHv//+Y=")</f>
        <v>#VALUE!</v>
      </c>
      <c r="HX20" t="e">
        <f>AND('Planilla_General_29-11-2012_10_'!L300,"AAAAAHv//+c=")</f>
        <v>#VALUE!</v>
      </c>
      <c r="HY20" t="e">
        <f>AND('Planilla_General_29-11-2012_10_'!M300,"AAAAAHv//+g=")</f>
        <v>#VALUE!</v>
      </c>
      <c r="HZ20" t="e">
        <f>AND('Planilla_General_29-11-2012_10_'!N300,"AAAAAHv//+k=")</f>
        <v>#VALUE!</v>
      </c>
      <c r="IA20" t="e">
        <f>AND('Planilla_General_29-11-2012_10_'!O300,"AAAAAHv//+o=")</f>
        <v>#VALUE!</v>
      </c>
      <c r="IB20" t="e">
        <f>AND('Planilla_General_29-11-2012_10_'!P300,"AAAAAHv//+s=")</f>
        <v>#VALUE!</v>
      </c>
      <c r="IC20">
        <f>IF('Planilla_General_29-11-2012_10_'!301:301,"AAAAAHv//+w=",0)</f>
        <v>0</v>
      </c>
      <c r="ID20" t="e">
        <f>AND('Planilla_General_29-11-2012_10_'!A301,"AAAAAHv//+0=")</f>
        <v>#VALUE!</v>
      </c>
      <c r="IE20" t="e">
        <f>AND('Planilla_General_29-11-2012_10_'!B301,"AAAAAHv//+4=")</f>
        <v>#VALUE!</v>
      </c>
      <c r="IF20" t="e">
        <f>AND('Planilla_General_29-11-2012_10_'!C301,"AAAAAHv//+8=")</f>
        <v>#VALUE!</v>
      </c>
      <c r="IG20" t="e">
        <f>AND('Planilla_General_29-11-2012_10_'!D301,"AAAAAHv///A=")</f>
        <v>#VALUE!</v>
      </c>
      <c r="IH20" t="e">
        <f>AND('Planilla_General_29-11-2012_10_'!E301,"AAAAAHv///E=")</f>
        <v>#VALUE!</v>
      </c>
      <c r="II20" t="e">
        <f>AND('Planilla_General_29-11-2012_10_'!F301,"AAAAAHv///I=")</f>
        <v>#VALUE!</v>
      </c>
      <c r="IJ20" t="e">
        <f>AND('Planilla_General_29-11-2012_10_'!G301,"AAAAAHv///M=")</f>
        <v>#VALUE!</v>
      </c>
      <c r="IK20" t="e">
        <f>AND('Planilla_General_29-11-2012_10_'!H301,"AAAAAHv///Q=")</f>
        <v>#VALUE!</v>
      </c>
      <c r="IL20" t="e">
        <f>AND('Planilla_General_29-11-2012_10_'!I301,"AAAAAHv///U=")</f>
        <v>#VALUE!</v>
      </c>
      <c r="IM20" t="e">
        <f>AND('Planilla_General_29-11-2012_10_'!J301,"AAAAAHv///Y=")</f>
        <v>#VALUE!</v>
      </c>
      <c r="IN20" t="e">
        <f>AND('Planilla_General_29-11-2012_10_'!K301,"AAAAAHv///c=")</f>
        <v>#VALUE!</v>
      </c>
      <c r="IO20" t="e">
        <f>AND('Planilla_General_29-11-2012_10_'!L301,"AAAAAHv///g=")</f>
        <v>#VALUE!</v>
      </c>
      <c r="IP20" t="e">
        <f>AND('Planilla_General_29-11-2012_10_'!M301,"AAAAAHv///k=")</f>
        <v>#VALUE!</v>
      </c>
      <c r="IQ20" t="e">
        <f>AND('Planilla_General_29-11-2012_10_'!N301,"AAAAAHv///o=")</f>
        <v>#VALUE!</v>
      </c>
      <c r="IR20" t="e">
        <f>AND('Planilla_General_29-11-2012_10_'!O301,"AAAAAHv///s=")</f>
        <v>#VALUE!</v>
      </c>
      <c r="IS20" t="e">
        <f>AND('Planilla_General_29-11-2012_10_'!P301,"AAAAAHv///w=")</f>
        <v>#VALUE!</v>
      </c>
      <c r="IT20">
        <f>IF('Planilla_General_29-11-2012_10_'!302:302,"AAAAAHv///0=",0)</f>
        <v>0</v>
      </c>
      <c r="IU20" t="e">
        <f>AND('Planilla_General_29-11-2012_10_'!A302,"AAAAAHv///4=")</f>
        <v>#VALUE!</v>
      </c>
      <c r="IV20" t="e">
        <f>AND('Planilla_General_29-11-2012_10_'!B302,"AAAAAHv///8=")</f>
        <v>#VALUE!</v>
      </c>
    </row>
    <row r="21" spans="1:256" x14ac:dyDescent="0.25">
      <c r="A21" t="e">
        <f>AND('Planilla_General_29-11-2012_10_'!C302,"AAAAAHftBwA=")</f>
        <v>#VALUE!</v>
      </c>
      <c r="B21" t="e">
        <f>AND('Planilla_General_29-11-2012_10_'!D302,"AAAAAHftBwE=")</f>
        <v>#VALUE!</v>
      </c>
      <c r="C21" t="e">
        <f>AND('Planilla_General_29-11-2012_10_'!E302,"AAAAAHftBwI=")</f>
        <v>#VALUE!</v>
      </c>
      <c r="D21" t="e">
        <f>AND('Planilla_General_29-11-2012_10_'!F302,"AAAAAHftBwM=")</f>
        <v>#VALUE!</v>
      </c>
      <c r="E21" t="e">
        <f>AND('Planilla_General_29-11-2012_10_'!G302,"AAAAAHftBwQ=")</f>
        <v>#VALUE!</v>
      </c>
      <c r="F21" t="e">
        <f>AND('Planilla_General_29-11-2012_10_'!H302,"AAAAAHftBwU=")</f>
        <v>#VALUE!</v>
      </c>
      <c r="G21" t="e">
        <f>AND('Planilla_General_29-11-2012_10_'!I302,"AAAAAHftBwY=")</f>
        <v>#VALUE!</v>
      </c>
      <c r="H21" t="e">
        <f>AND('Planilla_General_29-11-2012_10_'!J302,"AAAAAHftBwc=")</f>
        <v>#VALUE!</v>
      </c>
      <c r="I21" t="e">
        <f>AND('Planilla_General_29-11-2012_10_'!K302,"AAAAAHftBwg=")</f>
        <v>#VALUE!</v>
      </c>
      <c r="J21" t="e">
        <f>AND('Planilla_General_29-11-2012_10_'!L302,"AAAAAHftBwk=")</f>
        <v>#VALUE!</v>
      </c>
      <c r="K21" t="e">
        <f>AND('Planilla_General_29-11-2012_10_'!M302,"AAAAAHftBwo=")</f>
        <v>#VALUE!</v>
      </c>
      <c r="L21" t="e">
        <f>AND('Planilla_General_29-11-2012_10_'!N302,"AAAAAHftBws=")</f>
        <v>#VALUE!</v>
      </c>
      <c r="M21" t="e">
        <f>AND('Planilla_General_29-11-2012_10_'!O302,"AAAAAHftBww=")</f>
        <v>#VALUE!</v>
      </c>
      <c r="N21" t="e">
        <f>AND('Planilla_General_29-11-2012_10_'!P302,"AAAAAHftBw0=")</f>
        <v>#VALUE!</v>
      </c>
      <c r="O21" t="str">
        <f>IF('Planilla_General_29-11-2012_10_'!303:303,"AAAAAHftBw4=",0)</f>
        <v>AAAAAHftBw4=</v>
      </c>
      <c r="P21" t="e">
        <f>AND('Planilla_General_29-11-2012_10_'!A303,"AAAAAHftBw8=")</f>
        <v>#VALUE!</v>
      </c>
      <c r="Q21" t="e">
        <f>AND('Planilla_General_29-11-2012_10_'!B303,"AAAAAHftBxA=")</f>
        <v>#VALUE!</v>
      </c>
      <c r="R21" t="e">
        <f>AND('Planilla_General_29-11-2012_10_'!C303,"AAAAAHftBxE=")</f>
        <v>#VALUE!</v>
      </c>
      <c r="S21" t="e">
        <f>AND('Planilla_General_29-11-2012_10_'!D303,"AAAAAHftBxI=")</f>
        <v>#VALUE!</v>
      </c>
      <c r="T21" t="e">
        <f>AND('Planilla_General_29-11-2012_10_'!E303,"AAAAAHftBxM=")</f>
        <v>#VALUE!</v>
      </c>
      <c r="U21" t="e">
        <f>AND('Planilla_General_29-11-2012_10_'!F303,"AAAAAHftBxQ=")</f>
        <v>#VALUE!</v>
      </c>
      <c r="V21" t="e">
        <f>AND('Planilla_General_29-11-2012_10_'!G303,"AAAAAHftBxU=")</f>
        <v>#VALUE!</v>
      </c>
      <c r="W21" t="e">
        <f>AND('Planilla_General_29-11-2012_10_'!H303,"AAAAAHftBxY=")</f>
        <v>#VALUE!</v>
      </c>
      <c r="X21" t="e">
        <f>AND('Planilla_General_29-11-2012_10_'!I303,"AAAAAHftBxc=")</f>
        <v>#VALUE!</v>
      </c>
      <c r="Y21" t="e">
        <f>AND('Planilla_General_29-11-2012_10_'!J303,"AAAAAHftBxg=")</f>
        <v>#VALUE!</v>
      </c>
      <c r="Z21" t="e">
        <f>AND('Planilla_General_29-11-2012_10_'!K303,"AAAAAHftBxk=")</f>
        <v>#VALUE!</v>
      </c>
      <c r="AA21" t="e">
        <f>AND('Planilla_General_29-11-2012_10_'!L303,"AAAAAHftBxo=")</f>
        <v>#VALUE!</v>
      </c>
      <c r="AB21" t="e">
        <f>AND('Planilla_General_29-11-2012_10_'!M303,"AAAAAHftBxs=")</f>
        <v>#VALUE!</v>
      </c>
      <c r="AC21" t="e">
        <f>AND('Planilla_General_29-11-2012_10_'!N303,"AAAAAHftBxw=")</f>
        <v>#VALUE!</v>
      </c>
      <c r="AD21" t="e">
        <f>AND('Planilla_General_29-11-2012_10_'!O303,"AAAAAHftBx0=")</f>
        <v>#VALUE!</v>
      </c>
      <c r="AE21" t="e">
        <f>AND('Planilla_General_29-11-2012_10_'!P303,"AAAAAHftBx4=")</f>
        <v>#VALUE!</v>
      </c>
      <c r="AF21">
        <f>IF('Planilla_General_29-11-2012_10_'!304:304,"AAAAAHftBx8=",0)</f>
        <v>0</v>
      </c>
      <c r="AG21" t="e">
        <f>AND('Planilla_General_29-11-2012_10_'!A304,"AAAAAHftByA=")</f>
        <v>#VALUE!</v>
      </c>
      <c r="AH21" t="e">
        <f>AND('Planilla_General_29-11-2012_10_'!B304,"AAAAAHftByE=")</f>
        <v>#VALUE!</v>
      </c>
      <c r="AI21" t="e">
        <f>AND('Planilla_General_29-11-2012_10_'!C304,"AAAAAHftByI=")</f>
        <v>#VALUE!</v>
      </c>
      <c r="AJ21" t="e">
        <f>AND('Planilla_General_29-11-2012_10_'!D304,"AAAAAHftByM=")</f>
        <v>#VALUE!</v>
      </c>
      <c r="AK21" t="e">
        <f>AND('Planilla_General_29-11-2012_10_'!E304,"AAAAAHftByQ=")</f>
        <v>#VALUE!</v>
      </c>
      <c r="AL21" t="e">
        <f>AND('Planilla_General_29-11-2012_10_'!F304,"AAAAAHftByU=")</f>
        <v>#VALUE!</v>
      </c>
      <c r="AM21" t="e">
        <f>AND('Planilla_General_29-11-2012_10_'!G304,"AAAAAHftByY=")</f>
        <v>#VALUE!</v>
      </c>
      <c r="AN21" t="e">
        <f>AND('Planilla_General_29-11-2012_10_'!H304,"AAAAAHftByc=")</f>
        <v>#VALUE!</v>
      </c>
      <c r="AO21" t="e">
        <f>AND('Planilla_General_29-11-2012_10_'!I304,"AAAAAHftByg=")</f>
        <v>#VALUE!</v>
      </c>
      <c r="AP21" t="e">
        <f>AND('Planilla_General_29-11-2012_10_'!J304,"AAAAAHftByk=")</f>
        <v>#VALUE!</v>
      </c>
      <c r="AQ21" t="e">
        <f>AND('Planilla_General_29-11-2012_10_'!K304,"AAAAAHftByo=")</f>
        <v>#VALUE!</v>
      </c>
      <c r="AR21" t="e">
        <f>AND('Planilla_General_29-11-2012_10_'!L304,"AAAAAHftBys=")</f>
        <v>#VALUE!</v>
      </c>
      <c r="AS21" t="e">
        <f>AND('Planilla_General_29-11-2012_10_'!M304,"AAAAAHftByw=")</f>
        <v>#VALUE!</v>
      </c>
      <c r="AT21" t="e">
        <f>AND('Planilla_General_29-11-2012_10_'!N304,"AAAAAHftBy0=")</f>
        <v>#VALUE!</v>
      </c>
      <c r="AU21" t="e">
        <f>AND('Planilla_General_29-11-2012_10_'!O304,"AAAAAHftBy4=")</f>
        <v>#VALUE!</v>
      </c>
      <c r="AV21" t="e">
        <f>AND('Planilla_General_29-11-2012_10_'!P304,"AAAAAHftBy8=")</f>
        <v>#VALUE!</v>
      </c>
      <c r="AW21">
        <f>IF('Planilla_General_29-11-2012_10_'!305:305,"AAAAAHftBzA=",0)</f>
        <v>0</v>
      </c>
      <c r="AX21" t="e">
        <f>AND('Planilla_General_29-11-2012_10_'!A305,"AAAAAHftBzE=")</f>
        <v>#VALUE!</v>
      </c>
      <c r="AY21" t="e">
        <f>AND('Planilla_General_29-11-2012_10_'!B305,"AAAAAHftBzI=")</f>
        <v>#VALUE!</v>
      </c>
      <c r="AZ21" t="e">
        <f>AND('Planilla_General_29-11-2012_10_'!C305,"AAAAAHftBzM=")</f>
        <v>#VALUE!</v>
      </c>
      <c r="BA21" t="e">
        <f>AND('Planilla_General_29-11-2012_10_'!D305,"AAAAAHftBzQ=")</f>
        <v>#VALUE!</v>
      </c>
      <c r="BB21" t="e">
        <f>AND('Planilla_General_29-11-2012_10_'!E305,"AAAAAHftBzU=")</f>
        <v>#VALUE!</v>
      </c>
      <c r="BC21" t="e">
        <f>AND('Planilla_General_29-11-2012_10_'!F305,"AAAAAHftBzY=")</f>
        <v>#VALUE!</v>
      </c>
      <c r="BD21" t="e">
        <f>AND('Planilla_General_29-11-2012_10_'!G305,"AAAAAHftBzc=")</f>
        <v>#VALUE!</v>
      </c>
      <c r="BE21" t="e">
        <f>AND('Planilla_General_29-11-2012_10_'!H305,"AAAAAHftBzg=")</f>
        <v>#VALUE!</v>
      </c>
      <c r="BF21" t="e">
        <f>AND('Planilla_General_29-11-2012_10_'!I305,"AAAAAHftBzk=")</f>
        <v>#VALUE!</v>
      </c>
      <c r="BG21" t="e">
        <f>AND('Planilla_General_29-11-2012_10_'!J305,"AAAAAHftBzo=")</f>
        <v>#VALUE!</v>
      </c>
      <c r="BH21" t="e">
        <f>AND('Planilla_General_29-11-2012_10_'!K305,"AAAAAHftBzs=")</f>
        <v>#VALUE!</v>
      </c>
      <c r="BI21" t="e">
        <f>AND('Planilla_General_29-11-2012_10_'!L305,"AAAAAHftBzw=")</f>
        <v>#VALUE!</v>
      </c>
      <c r="BJ21" t="e">
        <f>AND('Planilla_General_29-11-2012_10_'!M305,"AAAAAHftBz0=")</f>
        <v>#VALUE!</v>
      </c>
      <c r="BK21" t="e">
        <f>AND('Planilla_General_29-11-2012_10_'!N305,"AAAAAHftBz4=")</f>
        <v>#VALUE!</v>
      </c>
      <c r="BL21" t="e">
        <f>AND('Planilla_General_29-11-2012_10_'!O305,"AAAAAHftBz8=")</f>
        <v>#VALUE!</v>
      </c>
      <c r="BM21" t="e">
        <f>AND('Planilla_General_29-11-2012_10_'!P305,"AAAAAHftB0A=")</f>
        <v>#VALUE!</v>
      </c>
      <c r="BN21">
        <f>IF('Planilla_General_29-11-2012_10_'!306:306,"AAAAAHftB0E=",0)</f>
        <v>0</v>
      </c>
      <c r="BO21" t="e">
        <f>AND('Planilla_General_29-11-2012_10_'!A306,"AAAAAHftB0I=")</f>
        <v>#VALUE!</v>
      </c>
      <c r="BP21" t="e">
        <f>AND('Planilla_General_29-11-2012_10_'!B306,"AAAAAHftB0M=")</f>
        <v>#VALUE!</v>
      </c>
      <c r="BQ21" t="e">
        <f>AND('Planilla_General_29-11-2012_10_'!C306,"AAAAAHftB0Q=")</f>
        <v>#VALUE!</v>
      </c>
      <c r="BR21" t="e">
        <f>AND('Planilla_General_29-11-2012_10_'!D306,"AAAAAHftB0U=")</f>
        <v>#VALUE!</v>
      </c>
      <c r="BS21" t="e">
        <f>AND('Planilla_General_29-11-2012_10_'!E306,"AAAAAHftB0Y=")</f>
        <v>#VALUE!</v>
      </c>
      <c r="BT21" t="e">
        <f>AND('Planilla_General_29-11-2012_10_'!F306,"AAAAAHftB0c=")</f>
        <v>#VALUE!</v>
      </c>
      <c r="BU21" t="e">
        <f>AND('Planilla_General_29-11-2012_10_'!G306,"AAAAAHftB0g=")</f>
        <v>#VALUE!</v>
      </c>
      <c r="BV21" t="e">
        <f>AND('Planilla_General_29-11-2012_10_'!H306,"AAAAAHftB0k=")</f>
        <v>#VALUE!</v>
      </c>
      <c r="BW21" t="e">
        <f>AND('Planilla_General_29-11-2012_10_'!I306,"AAAAAHftB0o=")</f>
        <v>#VALUE!</v>
      </c>
      <c r="BX21" t="e">
        <f>AND('Planilla_General_29-11-2012_10_'!J306,"AAAAAHftB0s=")</f>
        <v>#VALUE!</v>
      </c>
      <c r="BY21" t="e">
        <f>AND('Planilla_General_29-11-2012_10_'!K306,"AAAAAHftB0w=")</f>
        <v>#VALUE!</v>
      </c>
      <c r="BZ21" t="e">
        <f>AND('Planilla_General_29-11-2012_10_'!L306,"AAAAAHftB00=")</f>
        <v>#VALUE!</v>
      </c>
      <c r="CA21" t="e">
        <f>AND('Planilla_General_29-11-2012_10_'!M306,"AAAAAHftB04=")</f>
        <v>#VALUE!</v>
      </c>
      <c r="CB21" t="e">
        <f>AND('Planilla_General_29-11-2012_10_'!N306,"AAAAAHftB08=")</f>
        <v>#VALUE!</v>
      </c>
      <c r="CC21" t="e">
        <f>AND('Planilla_General_29-11-2012_10_'!O306,"AAAAAHftB1A=")</f>
        <v>#VALUE!</v>
      </c>
      <c r="CD21" t="e">
        <f>AND('Planilla_General_29-11-2012_10_'!P306,"AAAAAHftB1E=")</f>
        <v>#VALUE!</v>
      </c>
      <c r="CE21">
        <f>IF('Planilla_General_29-11-2012_10_'!307:307,"AAAAAHftB1I=",0)</f>
        <v>0</v>
      </c>
      <c r="CF21" t="e">
        <f>AND('Planilla_General_29-11-2012_10_'!A307,"AAAAAHftB1M=")</f>
        <v>#VALUE!</v>
      </c>
      <c r="CG21" t="e">
        <f>AND('Planilla_General_29-11-2012_10_'!B307,"AAAAAHftB1Q=")</f>
        <v>#VALUE!</v>
      </c>
      <c r="CH21" t="e">
        <f>AND('Planilla_General_29-11-2012_10_'!C307,"AAAAAHftB1U=")</f>
        <v>#VALUE!</v>
      </c>
      <c r="CI21" t="e">
        <f>AND('Planilla_General_29-11-2012_10_'!D307,"AAAAAHftB1Y=")</f>
        <v>#VALUE!</v>
      </c>
      <c r="CJ21" t="e">
        <f>AND('Planilla_General_29-11-2012_10_'!E307,"AAAAAHftB1c=")</f>
        <v>#VALUE!</v>
      </c>
      <c r="CK21" t="e">
        <f>AND('Planilla_General_29-11-2012_10_'!F307,"AAAAAHftB1g=")</f>
        <v>#VALUE!</v>
      </c>
      <c r="CL21" t="e">
        <f>AND('Planilla_General_29-11-2012_10_'!G307,"AAAAAHftB1k=")</f>
        <v>#VALUE!</v>
      </c>
      <c r="CM21" t="e">
        <f>AND('Planilla_General_29-11-2012_10_'!H307,"AAAAAHftB1o=")</f>
        <v>#VALUE!</v>
      </c>
      <c r="CN21" t="e">
        <f>AND('Planilla_General_29-11-2012_10_'!I307,"AAAAAHftB1s=")</f>
        <v>#VALUE!</v>
      </c>
      <c r="CO21" t="e">
        <f>AND('Planilla_General_29-11-2012_10_'!J307,"AAAAAHftB1w=")</f>
        <v>#VALUE!</v>
      </c>
      <c r="CP21" t="e">
        <f>AND('Planilla_General_29-11-2012_10_'!K307,"AAAAAHftB10=")</f>
        <v>#VALUE!</v>
      </c>
      <c r="CQ21" t="e">
        <f>AND('Planilla_General_29-11-2012_10_'!L307,"AAAAAHftB14=")</f>
        <v>#VALUE!</v>
      </c>
      <c r="CR21" t="e">
        <f>AND('Planilla_General_29-11-2012_10_'!M307,"AAAAAHftB18=")</f>
        <v>#VALUE!</v>
      </c>
      <c r="CS21" t="e">
        <f>AND('Planilla_General_29-11-2012_10_'!N307,"AAAAAHftB2A=")</f>
        <v>#VALUE!</v>
      </c>
      <c r="CT21" t="e">
        <f>AND('Planilla_General_29-11-2012_10_'!O307,"AAAAAHftB2E=")</f>
        <v>#VALUE!</v>
      </c>
      <c r="CU21" t="e">
        <f>AND('Planilla_General_29-11-2012_10_'!P307,"AAAAAHftB2I=")</f>
        <v>#VALUE!</v>
      </c>
      <c r="CV21">
        <f>IF('Planilla_General_29-11-2012_10_'!308:308,"AAAAAHftB2M=",0)</f>
        <v>0</v>
      </c>
      <c r="CW21" t="e">
        <f>AND('Planilla_General_29-11-2012_10_'!A308,"AAAAAHftB2Q=")</f>
        <v>#VALUE!</v>
      </c>
      <c r="CX21" t="e">
        <f>AND('Planilla_General_29-11-2012_10_'!B308,"AAAAAHftB2U=")</f>
        <v>#VALUE!</v>
      </c>
      <c r="CY21" t="e">
        <f>AND('Planilla_General_29-11-2012_10_'!C308,"AAAAAHftB2Y=")</f>
        <v>#VALUE!</v>
      </c>
      <c r="CZ21" t="e">
        <f>AND('Planilla_General_29-11-2012_10_'!D308,"AAAAAHftB2c=")</f>
        <v>#VALUE!</v>
      </c>
      <c r="DA21" t="e">
        <f>AND('Planilla_General_29-11-2012_10_'!E308,"AAAAAHftB2g=")</f>
        <v>#VALUE!</v>
      </c>
      <c r="DB21" t="e">
        <f>AND('Planilla_General_29-11-2012_10_'!F308,"AAAAAHftB2k=")</f>
        <v>#VALUE!</v>
      </c>
      <c r="DC21" t="e">
        <f>AND('Planilla_General_29-11-2012_10_'!G308,"AAAAAHftB2o=")</f>
        <v>#VALUE!</v>
      </c>
      <c r="DD21" t="e">
        <f>AND('Planilla_General_29-11-2012_10_'!H308,"AAAAAHftB2s=")</f>
        <v>#VALUE!</v>
      </c>
      <c r="DE21" t="e">
        <f>AND('Planilla_General_29-11-2012_10_'!I308,"AAAAAHftB2w=")</f>
        <v>#VALUE!</v>
      </c>
      <c r="DF21" t="e">
        <f>AND('Planilla_General_29-11-2012_10_'!J308,"AAAAAHftB20=")</f>
        <v>#VALUE!</v>
      </c>
      <c r="DG21" t="e">
        <f>AND('Planilla_General_29-11-2012_10_'!K308,"AAAAAHftB24=")</f>
        <v>#VALUE!</v>
      </c>
      <c r="DH21" t="e">
        <f>AND('Planilla_General_29-11-2012_10_'!L308,"AAAAAHftB28=")</f>
        <v>#VALUE!</v>
      </c>
      <c r="DI21" t="e">
        <f>AND('Planilla_General_29-11-2012_10_'!M308,"AAAAAHftB3A=")</f>
        <v>#VALUE!</v>
      </c>
      <c r="DJ21" t="e">
        <f>AND('Planilla_General_29-11-2012_10_'!N308,"AAAAAHftB3E=")</f>
        <v>#VALUE!</v>
      </c>
      <c r="DK21" t="e">
        <f>AND('Planilla_General_29-11-2012_10_'!O308,"AAAAAHftB3I=")</f>
        <v>#VALUE!</v>
      </c>
      <c r="DL21" t="e">
        <f>AND('Planilla_General_29-11-2012_10_'!P308,"AAAAAHftB3M=")</f>
        <v>#VALUE!</v>
      </c>
      <c r="DM21">
        <f>IF('Planilla_General_29-11-2012_10_'!309:309,"AAAAAHftB3Q=",0)</f>
        <v>0</v>
      </c>
      <c r="DN21" t="e">
        <f>AND('Planilla_General_29-11-2012_10_'!A309,"AAAAAHftB3U=")</f>
        <v>#VALUE!</v>
      </c>
      <c r="DO21" t="e">
        <f>AND('Planilla_General_29-11-2012_10_'!B309,"AAAAAHftB3Y=")</f>
        <v>#VALUE!</v>
      </c>
      <c r="DP21" t="e">
        <f>AND('Planilla_General_29-11-2012_10_'!C309,"AAAAAHftB3c=")</f>
        <v>#VALUE!</v>
      </c>
      <c r="DQ21" t="e">
        <f>AND('Planilla_General_29-11-2012_10_'!D309,"AAAAAHftB3g=")</f>
        <v>#VALUE!</v>
      </c>
      <c r="DR21" t="e">
        <f>AND('Planilla_General_29-11-2012_10_'!E309,"AAAAAHftB3k=")</f>
        <v>#VALUE!</v>
      </c>
      <c r="DS21" t="e">
        <f>AND('Planilla_General_29-11-2012_10_'!F309,"AAAAAHftB3o=")</f>
        <v>#VALUE!</v>
      </c>
      <c r="DT21" t="e">
        <f>AND('Planilla_General_29-11-2012_10_'!G309,"AAAAAHftB3s=")</f>
        <v>#VALUE!</v>
      </c>
      <c r="DU21" t="e">
        <f>AND('Planilla_General_29-11-2012_10_'!H309,"AAAAAHftB3w=")</f>
        <v>#VALUE!</v>
      </c>
      <c r="DV21" t="e">
        <f>AND('Planilla_General_29-11-2012_10_'!I309,"AAAAAHftB30=")</f>
        <v>#VALUE!</v>
      </c>
      <c r="DW21" t="e">
        <f>AND('Planilla_General_29-11-2012_10_'!J309,"AAAAAHftB34=")</f>
        <v>#VALUE!</v>
      </c>
      <c r="DX21" t="e">
        <f>AND('Planilla_General_29-11-2012_10_'!K309,"AAAAAHftB38=")</f>
        <v>#VALUE!</v>
      </c>
      <c r="DY21" t="e">
        <f>AND('Planilla_General_29-11-2012_10_'!L309,"AAAAAHftB4A=")</f>
        <v>#VALUE!</v>
      </c>
      <c r="DZ21" t="e">
        <f>AND('Planilla_General_29-11-2012_10_'!M309,"AAAAAHftB4E=")</f>
        <v>#VALUE!</v>
      </c>
      <c r="EA21" t="e">
        <f>AND('Planilla_General_29-11-2012_10_'!N309,"AAAAAHftB4I=")</f>
        <v>#VALUE!</v>
      </c>
      <c r="EB21" t="e">
        <f>AND('Planilla_General_29-11-2012_10_'!O309,"AAAAAHftB4M=")</f>
        <v>#VALUE!</v>
      </c>
      <c r="EC21" t="e">
        <f>AND('Planilla_General_29-11-2012_10_'!P309,"AAAAAHftB4Q=")</f>
        <v>#VALUE!</v>
      </c>
      <c r="ED21">
        <f>IF('Planilla_General_29-11-2012_10_'!310:310,"AAAAAHftB4U=",0)</f>
        <v>0</v>
      </c>
      <c r="EE21" t="e">
        <f>AND('Planilla_General_29-11-2012_10_'!A310,"AAAAAHftB4Y=")</f>
        <v>#VALUE!</v>
      </c>
      <c r="EF21" t="e">
        <f>AND('Planilla_General_29-11-2012_10_'!B310,"AAAAAHftB4c=")</f>
        <v>#VALUE!</v>
      </c>
      <c r="EG21" t="e">
        <f>AND('Planilla_General_29-11-2012_10_'!C310,"AAAAAHftB4g=")</f>
        <v>#VALUE!</v>
      </c>
      <c r="EH21" t="e">
        <f>AND('Planilla_General_29-11-2012_10_'!D310,"AAAAAHftB4k=")</f>
        <v>#VALUE!</v>
      </c>
      <c r="EI21" t="e">
        <f>AND('Planilla_General_29-11-2012_10_'!E310,"AAAAAHftB4o=")</f>
        <v>#VALUE!</v>
      </c>
      <c r="EJ21" t="e">
        <f>AND('Planilla_General_29-11-2012_10_'!F310,"AAAAAHftB4s=")</f>
        <v>#VALUE!</v>
      </c>
      <c r="EK21" t="e">
        <f>AND('Planilla_General_29-11-2012_10_'!G310,"AAAAAHftB4w=")</f>
        <v>#VALUE!</v>
      </c>
      <c r="EL21" t="e">
        <f>AND('Planilla_General_29-11-2012_10_'!H310,"AAAAAHftB40=")</f>
        <v>#VALUE!</v>
      </c>
      <c r="EM21" t="e">
        <f>AND('Planilla_General_29-11-2012_10_'!I310,"AAAAAHftB44=")</f>
        <v>#VALUE!</v>
      </c>
      <c r="EN21" t="e">
        <f>AND('Planilla_General_29-11-2012_10_'!J310,"AAAAAHftB48=")</f>
        <v>#VALUE!</v>
      </c>
      <c r="EO21" t="e">
        <f>AND('Planilla_General_29-11-2012_10_'!K310,"AAAAAHftB5A=")</f>
        <v>#VALUE!</v>
      </c>
      <c r="EP21" t="e">
        <f>AND('Planilla_General_29-11-2012_10_'!L310,"AAAAAHftB5E=")</f>
        <v>#VALUE!</v>
      </c>
      <c r="EQ21" t="e">
        <f>AND('Planilla_General_29-11-2012_10_'!M310,"AAAAAHftB5I=")</f>
        <v>#VALUE!</v>
      </c>
      <c r="ER21" t="e">
        <f>AND('Planilla_General_29-11-2012_10_'!N310,"AAAAAHftB5M=")</f>
        <v>#VALUE!</v>
      </c>
      <c r="ES21" t="e">
        <f>AND('Planilla_General_29-11-2012_10_'!O310,"AAAAAHftB5Q=")</f>
        <v>#VALUE!</v>
      </c>
      <c r="ET21" t="e">
        <f>AND('Planilla_General_29-11-2012_10_'!P310,"AAAAAHftB5U=")</f>
        <v>#VALUE!</v>
      </c>
      <c r="EU21">
        <f>IF('Planilla_General_29-11-2012_10_'!311:311,"AAAAAHftB5Y=",0)</f>
        <v>0</v>
      </c>
      <c r="EV21" t="e">
        <f>AND('Planilla_General_29-11-2012_10_'!A311,"AAAAAHftB5c=")</f>
        <v>#VALUE!</v>
      </c>
      <c r="EW21" t="e">
        <f>AND('Planilla_General_29-11-2012_10_'!B311,"AAAAAHftB5g=")</f>
        <v>#VALUE!</v>
      </c>
      <c r="EX21" t="e">
        <f>AND('Planilla_General_29-11-2012_10_'!C311,"AAAAAHftB5k=")</f>
        <v>#VALUE!</v>
      </c>
      <c r="EY21" t="e">
        <f>AND('Planilla_General_29-11-2012_10_'!D311,"AAAAAHftB5o=")</f>
        <v>#VALUE!</v>
      </c>
      <c r="EZ21" t="e">
        <f>AND('Planilla_General_29-11-2012_10_'!E311,"AAAAAHftB5s=")</f>
        <v>#VALUE!</v>
      </c>
      <c r="FA21" t="e">
        <f>AND('Planilla_General_29-11-2012_10_'!F311,"AAAAAHftB5w=")</f>
        <v>#VALUE!</v>
      </c>
      <c r="FB21" t="e">
        <f>AND('Planilla_General_29-11-2012_10_'!G311,"AAAAAHftB50=")</f>
        <v>#VALUE!</v>
      </c>
      <c r="FC21" t="e">
        <f>AND('Planilla_General_29-11-2012_10_'!H311,"AAAAAHftB54=")</f>
        <v>#VALUE!</v>
      </c>
      <c r="FD21" t="e">
        <f>AND('Planilla_General_29-11-2012_10_'!I311,"AAAAAHftB58=")</f>
        <v>#VALUE!</v>
      </c>
      <c r="FE21" t="e">
        <f>AND('Planilla_General_29-11-2012_10_'!J311,"AAAAAHftB6A=")</f>
        <v>#VALUE!</v>
      </c>
      <c r="FF21" t="e">
        <f>AND('Planilla_General_29-11-2012_10_'!K311,"AAAAAHftB6E=")</f>
        <v>#VALUE!</v>
      </c>
      <c r="FG21" t="e">
        <f>AND('Planilla_General_29-11-2012_10_'!L311,"AAAAAHftB6I=")</f>
        <v>#VALUE!</v>
      </c>
      <c r="FH21" t="e">
        <f>AND('Planilla_General_29-11-2012_10_'!M311,"AAAAAHftB6M=")</f>
        <v>#VALUE!</v>
      </c>
      <c r="FI21" t="e">
        <f>AND('Planilla_General_29-11-2012_10_'!N311,"AAAAAHftB6Q=")</f>
        <v>#VALUE!</v>
      </c>
      <c r="FJ21" t="e">
        <f>AND('Planilla_General_29-11-2012_10_'!O311,"AAAAAHftB6U=")</f>
        <v>#VALUE!</v>
      </c>
      <c r="FK21" t="e">
        <f>AND('Planilla_General_29-11-2012_10_'!P311,"AAAAAHftB6Y=")</f>
        <v>#VALUE!</v>
      </c>
      <c r="FL21">
        <f>IF('Planilla_General_29-11-2012_10_'!312:312,"AAAAAHftB6c=",0)</f>
        <v>0</v>
      </c>
      <c r="FM21" t="e">
        <f>AND('Planilla_General_29-11-2012_10_'!A312,"AAAAAHftB6g=")</f>
        <v>#VALUE!</v>
      </c>
      <c r="FN21" t="e">
        <f>AND('Planilla_General_29-11-2012_10_'!B312,"AAAAAHftB6k=")</f>
        <v>#VALUE!</v>
      </c>
      <c r="FO21" t="e">
        <f>AND('Planilla_General_29-11-2012_10_'!C312,"AAAAAHftB6o=")</f>
        <v>#VALUE!</v>
      </c>
      <c r="FP21" t="e">
        <f>AND('Planilla_General_29-11-2012_10_'!D312,"AAAAAHftB6s=")</f>
        <v>#VALUE!</v>
      </c>
      <c r="FQ21" t="e">
        <f>AND('Planilla_General_29-11-2012_10_'!E312,"AAAAAHftB6w=")</f>
        <v>#VALUE!</v>
      </c>
      <c r="FR21" t="e">
        <f>AND('Planilla_General_29-11-2012_10_'!F312,"AAAAAHftB60=")</f>
        <v>#VALUE!</v>
      </c>
      <c r="FS21" t="e">
        <f>AND('Planilla_General_29-11-2012_10_'!G312,"AAAAAHftB64=")</f>
        <v>#VALUE!</v>
      </c>
      <c r="FT21" t="e">
        <f>AND('Planilla_General_29-11-2012_10_'!H312,"AAAAAHftB68=")</f>
        <v>#VALUE!</v>
      </c>
      <c r="FU21" t="e">
        <f>AND('Planilla_General_29-11-2012_10_'!I312,"AAAAAHftB7A=")</f>
        <v>#VALUE!</v>
      </c>
      <c r="FV21" t="e">
        <f>AND('Planilla_General_29-11-2012_10_'!J312,"AAAAAHftB7E=")</f>
        <v>#VALUE!</v>
      </c>
      <c r="FW21" t="e">
        <f>AND('Planilla_General_29-11-2012_10_'!K312,"AAAAAHftB7I=")</f>
        <v>#VALUE!</v>
      </c>
      <c r="FX21" t="e">
        <f>AND('Planilla_General_29-11-2012_10_'!L312,"AAAAAHftB7M=")</f>
        <v>#VALUE!</v>
      </c>
      <c r="FY21" t="e">
        <f>AND('Planilla_General_29-11-2012_10_'!M312,"AAAAAHftB7Q=")</f>
        <v>#VALUE!</v>
      </c>
      <c r="FZ21" t="e">
        <f>AND('Planilla_General_29-11-2012_10_'!N312,"AAAAAHftB7U=")</f>
        <v>#VALUE!</v>
      </c>
      <c r="GA21" t="e">
        <f>AND('Planilla_General_29-11-2012_10_'!O312,"AAAAAHftB7Y=")</f>
        <v>#VALUE!</v>
      </c>
      <c r="GB21" t="e">
        <f>AND('Planilla_General_29-11-2012_10_'!P312,"AAAAAHftB7c=")</f>
        <v>#VALUE!</v>
      </c>
      <c r="GC21">
        <f>IF('Planilla_General_29-11-2012_10_'!313:313,"AAAAAHftB7g=",0)</f>
        <v>0</v>
      </c>
      <c r="GD21" t="e">
        <f>AND('Planilla_General_29-11-2012_10_'!A313,"AAAAAHftB7k=")</f>
        <v>#VALUE!</v>
      </c>
      <c r="GE21" t="e">
        <f>AND('Planilla_General_29-11-2012_10_'!B313,"AAAAAHftB7o=")</f>
        <v>#VALUE!</v>
      </c>
      <c r="GF21" t="e">
        <f>AND('Planilla_General_29-11-2012_10_'!C313,"AAAAAHftB7s=")</f>
        <v>#VALUE!</v>
      </c>
      <c r="GG21" t="e">
        <f>AND('Planilla_General_29-11-2012_10_'!D313,"AAAAAHftB7w=")</f>
        <v>#VALUE!</v>
      </c>
      <c r="GH21" t="e">
        <f>AND('Planilla_General_29-11-2012_10_'!E313,"AAAAAHftB70=")</f>
        <v>#VALUE!</v>
      </c>
      <c r="GI21" t="e">
        <f>AND('Planilla_General_29-11-2012_10_'!F313,"AAAAAHftB74=")</f>
        <v>#VALUE!</v>
      </c>
      <c r="GJ21" t="e">
        <f>AND('Planilla_General_29-11-2012_10_'!G313,"AAAAAHftB78=")</f>
        <v>#VALUE!</v>
      </c>
      <c r="GK21" t="e">
        <f>AND('Planilla_General_29-11-2012_10_'!H313,"AAAAAHftB8A=")</f>
        <v>#VALUE!</v>
      </c>
      <c r="GL21" t="e">
        <f>AND('Planilla_General_29-11-2012_10_'!I313,"AAAAAHftB8E=")</f>
        <v>#VALUE!</v>
      </c>
      <c r="GM21" t="e">
        <f>AND('Planilla_General_29-11-2012_10_'!J313,"AAAAAHftB8I=")</f>
        <v>#VALUE!</v>
      </c>
      <c r="GN21" t="e">
        <f>AND('Planilla_General_29-11-2012_10_'!K313,"AAAAAHftB8M=")</f>
        <v>#VALUE!</v>
      </c>
      <c r="GO21" t="e">
        <f>AND('Planilla_General_29-11-2012_10_'!L313,"AAAAAHftB8Q=")</f>
        <v>#VALUE!</v>
      </c>
      <c r="GP21" t="e">
        <f>AND('Planilla_General_29-11-2012_10_'!M313,"AAAAAHftB8U=")</f>
        <v>#VALUE!</v>
      </c>
      <c r="GQ21" t="e">
        <f>AND('Planilla_General_29-11-2012_10_'!N313,"AAAAAHftB8Y=")</f>
        <v>#VALUE!</v>
      </c>
      <c r="GR21" t="e">
        <f>AND('Planilla_General_29-11-2012_10_'!O313,"AAAAAHftB8c=")</f>
        <v>#VALUE!</v>
      </c>
      <c r="GS21" t="e">
        <f>AND('Planilla_General_29-11-2012_10_'!P313,"AAAAAHftB8g=")</f>
        <v>#VALUE!</v>
      </c>
      <c r="GT21">
        <f>IF('Planilla_General_29-11-2012_10_'!314:314,"AAAAAHftB8k=",0)</f>
        <v>0</v>
      </c>
      <c r="GU21" t="e">
        <f>AND('Planilla_General_29-11-2012_10_'!A314,"AAAAAHftB8o=")</f>
        <v>#VALUE!</v>
      </c>
      <c r="GV21" t="e">
        <f>AND('Planilla_General_29-11-2012_10_'!B314,"AAAAAHftB8s=")</f>
        <v>#VALUE!</v>
      </c>
      <c r="GW21" t="e">
        <f>AND('Planilla_General_29-11-2012_10_'!C314,"AAAAAHftB8w=")</f>
        <v>#VALUE!</v>
      </c>
      <c r="GX21" t="e">
        <f>AND('Planilla_General_29-11-2012_10_'!D314,"AAAAAHftB80=")</f>
        <v>#VALUE!</v>
      </c>
      <c r="GY21" t="e">
        <f>AND('Planilla_General_29-11-2012_10_'!E314,"AAAAAHftB84=")</f>
        <v>#VALUE!</v>
      </c>
      <c r="GZ21" t="e">
        <f>AND('Planilla_General_29-11-2012_10_'!F314,"AAAAAHftB88=")</f>
        <v>#VALUE!</v>
      </c>
      <c r="HA21" t="e">
        <f>AND('Planilla_General_29-11-2012_10_'!G314,"AAAAAHftB9A=")</f>
        <v>#VALUE!</v>
      </c>
      <c r="HB21" t="e">
        <f>AND('Planilla_General_29-11-2012_10_'!H314,"AAAAAHftB9E=")</f>
        <v>#VALUE!</v>
      </c>
      <c r="HC21" t="e">
        <f>AND('Planilla_General_29-11-2012_10_'!I314,"AAAAAHftB9I=")</f>
        <v>#VALUE!</v>
      </c>
      <c r="HD21" t="e">
        <f>AND('Planilla_General_29-11-2012_10_'!J314,"AAAAAHftB9M=")</f>
        <v>#VALUE!</v>
      </c>
      <c r="HE21" t="e">
        <f>AND('Planilla_General_29-11-2012_10_'!K314,"AAAAAHftB9Q=")</f>
        <v>#VALUE!</v>
      </c>
      <c r="HF21" t="e">
        <f>AND('Planilla_General_29-11-2012_10_'!L314,"AAAAAHftB9U=")</f>
        <v>#VALUE!</v>
      </c>
      <c r="HG21" t="e">
        <f>AND('Planilla_General_29-11-2012_10_'!M314,"AAAAAHftB9Y=")</f>
        <v>#VALUE!</v>
      </c>
      <c r="HH21" t="e">
        <f>AND('Planilla_General_29-11-2012_10_'!N314,"AAAAAHftB9c=")</f>
        <v>#VALUE!</v>
      </c>
      <c r="HI21" t="e">
        <f>AND('Planilla_General_29-11-2012_10_'!O314,"AAAAAHftB9g=")</f>
        <v>#VALUE!</v>
      </c>
      <c r="HJ21" t="e">
        <f>AND('Planilla_General_29-11-2012_10_'!P314,"AAAAAHftB9k=")</f>
        <v>#VALUE!</v>
      </c>
      <c r="HK21">
        <f>IF('Planilla_General_29-11-2012_10_'!315:315,"AAAAAHftB9o=",0)</f>
        <v>0</v>
      </c>
      <c r="HL21" t="e">
        <f>AND('Planilla_General_29-11-2012_10_'!A315,"AAAAAHftB9s=")</f>
        <v>#VALUE!</v>
      </c>
      <c r="HM21" t="e">
        <f>AND('Planilla_General_29-11-2012_10_'!B315,"AAAAAHftB9w=")</f>
        <v>#VALUE!</v>
      </c>
      <c r="HN21" t="e">
        <f>AND('Planilla_General_29-11-2012_10_'!C315,"AAAAAHftB90=")</f>
        <v>#VALUE!</v>
      </c>
      <c r="HO21" t="e">
        <f>AND('Planilla_General_29-11-2012_10_'!D315,"AAAAAHftB94=")</f>
        <v>#VALUE!</v>
      </c>
      <c r="HP21" t="e">
        <f>AND('Planilla_General_29-11-2012_10_'!E315,"AAAAAHftB98=")</f>
        <v>#VALUE!</v>
      </c>
      <c r="HQ21" t="e">
        <f>AND('Planilla_General_29-11-2012_10_'!F315,"AAAAAHftB+A=")</f>
        <v>#VALUE!</v>
      </c>
      <c r="HR21" t="e">
        <f>AND('Planilla_General_29-11-2012_10_'!G315,"AAAAAHftB+E=")</f>
        <v>#VALUE!</v>
      </c>
      <c r="HS21" t="e">
        <f>AND('Planilla_General_29-11-2012_10_'!H315,"AAAAAHftB+I=")</f>
        <v>#VALUE!</v>
      </c>
      <c r="HT21" t="e">
        <f>AND('Planilla_General_29-11-2012_10_'!I315,"AAAAAHftB+M=")</f>
        <v>#VALUE!</v>
      </c>
      <c r="HU21" t="e">
        <f>AND('Planilla_General_29-11-2012_10_'!J315,"AAAAAHftB+Q=")</f>
        <v>#VALUE!</v>
      </c>
      <c r="HV21" t="e">
        <f>AND('Planilla_General_29-11-2012_10_'!K315,"AAAAAHftB+U=")</f>
        <v>#VALUE!</v>
      </c>
      <c r="HW21" t="e">
        <f>AND('Planilla_General_29-11-2012_10_'!L315,"AAAAAHftB+Y=")</f>
        <v>#VALUE!</v>
      </c>
      <c r="HX21" t="e">
        <f>AND('Planilla_General_29-11-2012_10_'!M315,"AAAAAHftB+c=")</f>
        <v>#VALUE!</v>
      </c>
      <c r="HY21" t="e">
        <f>AND('Planilla_General_29-11-2012_10_'!N315,"AAAAAHftB+g=")</f>
        <v>#VALUE!</v>
      </c>
      <c r="HZ21" t="e">
        <f>AND('Planilla_General_29-11-2012_10_'!O315,"AAAAAHftB+k=")</f>
        <v>#VALUE!</v>
      </c>
      <c r="IA21" t="e">
        <f>AND('Planilla_General_29-11-2012_10_'!P315,"AAAAAHftB+o=")</f>
        <v>#VALUE!</v>
      </c>
      <c r="IB21">
        <f>IF('Planilla_General_29-11-2012_10_'!316:316,"AAAAAHftB+s=",0)</f>
        <v>0</v>
      </c>
      <c r="IC21" t="e">
        <f>AND('Planilla_General_29-11-2012_10_'!A316,"AAAAAHftB+w=")</f>
        <v>#VALUE!</v>
      </c>
      <c r="ID21" t="e">
        <f>AND('Planilla_General_29-11-2012_10_'!B316,"AAAAAHftB+0=")</f>
        <v>#VALUE!</v>
      </c>
      <c r="IE21" t="e">
        <f>AND('Planilla_General_29-11-2012_10_'!C316,"AAAAAHftB+4=")</f>
        <v>#VALUE!</v>
      </c>
      <c r="IF21" t="e">
        <f>AND('Planilla_General_29-11-2012_10_'!D316,"AAAAAHftB+8=")</f>
        <v>#VALUE!</v>
      </c>
      <c r="IG21" t="e">
        <f>AND('Planilla_General_29-11-2012_10_'!E316,"AAAAAHftB/A=")</f>
        <v>#VALUE!</v>
      </c>
      <c r="IH21" t="e">
        <f>AND('Planilla_General_29-11-2012_10_'!F316,"AAAAAHftB/E=")</f>
        <v>#VALUE!</v>
      </c>
      <c r="II21" t="e">
        <f>AND('Planilla_General_29-11-2012_10_'!G316,"AAAAAHftB/I=")</f>
        <v>#VALUE!</v>
      </c>
      <c r="IJ21" t="e">
        <f>AND('Planilla_General_29-11-2012_10_'!H316,"AAAAAHftB/M=")</f>
        <v>#VALUE!</v>
      </c>
      <c r="IK21" t="e">
        <f>AND('Planilla_General_29-11-2012_10_'!I316,"AAAAAHftB/Q=")</f>
        <v>#VALUE!</v>
      </c>
      <c r="IL21" t="e">
        <f>AND('Planilla_General_29-11-2012_10_'!J316,"AAAAAHftB/U=")</f>
        <v>#VALUE!</v>
      </c>
      <c r="IM21" t="e">
        <f>AND('Planilla_General_29-11-2012_10_'!K316,"AAAAAHftB/Y=")</f>
        <v>#VALUE!</v>
      </c>
      <c r="IN21" t="e">
        <f>AND('Planilla_General_29-11-2012_10_'!L316,"AAAAAHftB/c=")</f>
        <v>#VALUE!</v>
      </c>
      <c r="IO21" t="e">
        <f>AND('Planilla_General_29-11-2012_10_'!M316,"AAAAAHftB/g=")</f>
        <v>#VALUE!</v>
      </c>
      <c r="IP21" t="e">
        <f>AND('Planilla_General_29-11-2012_10_'!N316,"AAAAAHftB/k=")</f>
        <v>#VALUE!</v>
      </c>
      <c r="IQ21" t="e">
        <f>AND('Planilla_General_29-11-2012_10_'!O316,"AAAAAHftB/o=")</f>
        <v>#VALUE!</v>
      </c>
      <c r="IR21" t="e">
        <f>AND('Planilla_General_29-11-2012_10_'!P316,"AAAAAHftB/s=")</f>
        <v>#VALUE!</v>
      </c>
      <c r="IS21">
        <f>IF('Planilla_General_29-11-2012_10_'!317:317,"AAAAAHftB/w=",0)</f>
        <v>0</v>
      </c>
      <c r="IT21" t="e">
        <f>AND('Planilla_General_29-11-2012_10_'!A317,"AAAAAHftB/0=")</f>
        <v>#VALUE!</v>
      </c>
      <c r="IU21" t="e">
        <f>AND('Planilla_General_29-11-2012_10_'!B317,"AAAAAHftB/4=")</f>
        <v>#VALUE!</v>
      </c>
      <c r="IV21" t="e">
        <f>AND('Planilla_General_29-11-2012_10_'!C317,"AAAAAHftB/8=")</f>
        <v>#VALUE!</v>
      </c>
    </row>
    <row r="22" spans="1:256" x14ac:dyDescent="0.25">
      <c r="A22" t="e">
        <f>AND('Planilla_General_29-11-2012_10_'!D317,"AAAAAF/v/wA=")</f>
        <v>#VALUE!</v>
      </c>
      <c r="B22" t="e">
        <f>AND('Planilla_General_29-11-2012_10_'!E317,"AAAAAF/v/wE=")</f>
        <v>#VALUE!</v>
      </c>
      <c r="C22" t="e">
        <f>AND('Planilla_General_29-11-2012_10_'!F317,"AAAAAF/v/wI=")</f>
        <v>#VALUE!</v>
      </c>
      <c r="D22" t="e">
        <f>AND('Planilla_General_29-11-2012_10_'!G317,"AAAAAF/v/wM=")</f>
        <v>#VALUE!</v>
      </c>
      <c r="E22" t="e">
        <f>AND('Planilla_General_29-11-2012_10_'!H317,"AAAAAF/v/wQ=")</f>
        <v>#VALUE!</v>
      </c>
      <c r="F22" t="e">
        <f>AND('Planilla_General_29-11-2012_10_'!I317,"AAAAAF/v/wU=")</f>
        <v>#VALUE!</v>
      </c>
      <c r="G22" t="e">
        <f>AND('Planilla_General_29-11-2012_10_'!J317,"AAAAAF/v/wY=")</f>
        <v>#VALUE!</v>
      </c>
      <c r="H22" t="e">
        <f>AND('Planilla_General_29-11-2012_10_'!K317,"AAAAAF/v/wc=")</f>
        <v>#VALUE!</v>
      </c>
      <c r="I22" t="e">
        <f>AND('Planilla_General_29-11-2012_10_'!L317,"AAAAAF/v/wg=")</f>
        <v>#VALUE!</v>
      </c>
      <c r="J22" t="e">
        <f>AND('Planilla_General_29-11-2012_10_'!M317,"AAAAAF/v/wk=")</f>
        <v>#VALUE!</v>
      </c>
      <c r="K22" t="e">
        <f>AND('Planilla_General_29-11-2012_10_'!N317,"AAAAAF/v/wo=")</f>
        <v>#VALUE!</v>
      </c>
      <c r="L22" t="e">
        <f>AND('Planilla_General_29-11-2012_10_'!O317,"AAAAAF/v/ws=")</f>
        <v>#VALUE!</v>
      </c>
      <c r="M22" t="e">
        <f>AND('Planilla_General_29-11-2012_10_'!P317,"AAAAAF/v/ww=")</f>
        <v>#VALUE!</v>
      </c>
      <c r="N22" t="str">
        <f>IF('Planilla_General_29-11-2012_10_'!318:318,"AAAAAF/v/w0=",0)</f>
        <v>AAAAAF/v/w0=</v>
      </c>
      <c r="O22" t="e">
        <f>AND('Planilla_General_29-11-2012_10_'!A318,"AAAAAF/v/w4=")</f>
        <v>#VALUE!</v>
      </c>
      <c r="P22" t="e">
        <f>AND('Planilla_General_29-11-2012_10_'!B318,"AAAAAF/v/w8=")</f>
        <v>#VALUE!</v>
      </c>
      <c r="Q22" t="e">
        <f>AND('Planilla_General_29-11-2012_10_'!C318,"AAAAAF/v/xA=")</f>
        <v>#VALUE!</v>
      </c>
      <c r="R22" t="e">
        <f>AND('Planilla_General_29-11-2012_10_'!D318,"AAAAAF/v/xE=")</f>
        <v>#VALUE!</v>
      </c>
      <c r="S22" t="e">
        <f>AND('Planilla_General_29-11-2012_10_'!E318,"AAAAAF/v/xI=")</f>
        <v>#VALUE!</v>
      </c>
      <c r="T22" t="e">
        <f>AND('Planilla_General_29-11-2012_10_'!F318,"AAAAAF/v/xM=")</f>
        <v>#VALUE!</v>
      </c>
      <c r="U22" t="e">
        <f>AND('Planilla_General_29-11-2012_10_'!G318,"AAAAAF/v/xQ=")</f>
        <v>#VALUE!</v>
      </c>
      <c r="V22" t="e">
        <f>AND('Planilla_General_29-11-2012_10_'!H318,"AAAAAF/v/xU=")</f>
        <v>#VALUE!</v>
      </c>
      <c r="W22" t="e">
        <f>AND('Planilla_General_29-11-2012_10_'!I318,"AAAAAF/v/xY=")</f>
        <v>#VALUE!</v>
      </c>
      <c r="X22" t="e">
        <f>AND('Planilla_General_29-11-2012_10_'!J318,"AAAAAF/v/xc=")</f>
        <v>#VALUE!</v>
      </c>
      <c r="Y22" t="e">
        <f>AND('Planilla_General_29-11-2012_10_'!K318,"AAAAAF/v/xg=")</f>
        <v>#VALUE!</v>
      </c>
      <c r="Z22" t="e">
        <f>AND('Planilla_General_29-11-2012_10_'!L318,"AAAAAF/v/xk=")</f>
        <v>#VALUE!</v>
      </c>
      <c r="AA22" t="e">
        <f>AND('Planilla_General_29-11-2012_10_'!M318,"AAAAAF/v/xo=")</f>
        <v>#VALUE!</v>
      </c>
      <c r="AB22" t="e">
        <f>AND('Planilla_General_29-11-2012_10_'!N318,"AAAAAF/v/xs=")</f>
        <v>#VALUE!</v>
      </c>
      <c r="AC22" t="e">
        <f>AND('Planilla_General_29-11-2012_10_'!O318,"AAAAAF/v/xw=")</f>
        <v>#VALUE!</v>
      </c>
      <c r="AD22" t="e">
        <f>AND('Planilla_General_29-11-2012_10_'!P318,"AAAAAF/v/x0=")</f>
        <v>#VALUE!</v>
      </c>
      <c r="AE22">
        <f>IF('Planilla_General_29-11-2012_10_'!319:319,"AAAAAF/v/x4=",0)</f>
        <v>0</v>
      </c>
      <c r="AF22" t="e">
        <f>AND('Planilla_General_29-11-2012_10_'!A319,"AAAAAF/v/x8=")</f>
        <v>#VALUE!</v>
      </c>
      <c r="AG22" t="e">
        <f>AND('Planilla_General_29-11-2012_10_'!B319,"AAAAAF/v/yA=")</f>
        <v>#VALUE!</v>
      </c>
      <c r="AH22" t="e">
        <f>AND('Planilla_General_29-11-2012_10_'!C319,"AAAAAF/v/yE=")</f>
        <v>#VALUE!</v>
      </c>
      <c r="AI22" t="e">
        <f>AND('Planilla_General_29-11-2012_10_'!D319,"AAAAAF/v/yI=")</f>
        <v>#VALUE!</v>
      </c>
      <c r="AJ22" t="e">
        <f>AND('Planilla_General_29-11-2012_10_'!E319,"AAAAAF/v/yM=")</f>
        <v>#VALUE!</v>
      </c>
      <c r="AK22" t="e">
        <f>AND('Planilla_General_29-11-2012_10_'!F319,"AAAAAF/v/yQ=")</f>
        <v>#VALUE!</v>
      </c>
      <c r="AL22" t="e">
        <f>AND('Planilla_General_29-11-2012_10_'!G319,"AAAAAF/v/yU=")</f>
        <v>#VALUE!</v>
      </c>
      <c r="AM22" t="e">
        <f>AND('Planilla_General_29-11-2012_10_'!H319,"AAAAAF/v/yY=")</f>
        <v>#VALUE!</v>
      </c>
      <c r="AN22" t="e">
        <f>AND('Planilla_General_29-11-2012_10_'!I319,"AAAAAF/v/yc=")</f>
        <v>#VALUE!</v>
      </c>
      <c r="AO22" t="e">
        <f>AND('Planilla_General_29-11-2012_10_'!J319,"AAAAAF/v/yg=")</f>
        <v>#VALUE!</v>
      </c>
      <c r="AP22" t="e">
        <f>AND('Planilla_General_29-11-2012_10_'!K319,"AAAAAF/v/yk=")</f>
        <v>#VALUE!</v>
      </c>
      <c r="AQ22" t="e">
        <f>AND('Planilla_General_29-11-2012_10_'!L319,"AAAAAF/v/yo=")</f>
        <v>#VALUE!</v>
      </c>
      <c r="AR22" t="e">
        <f>AND('Planilla_General_29-11-2012_10_'!M319,"AAAAAF/v/ys=")</f>
        <v>#VALUE!</v>
      </c>
      <c r="AS22" t="e">
        <f>AND('Planilla_General_29-11-2012_10_'!N319,"AAAAAF/v/yw=")</f>
        <v>#VALUE!</v>
      </c>
      <c r="AT22" t="e">
        <f>AND('Planilla_General_29-11-2012_10_'!O319,"AAAAAF/v/y0=")</f>
        <v>#VALUE!</v>
      </c>
      <c r="AU22" t="e">
        <f>AND('Planilla_General_29-11-2012_10_'!P319,"AAAAAF/v/y4=")</f>
        <v>#VALUE!</v>
      </c>
      <c r="AV22">
        <f>IF('Planilla_General_29-11-2012_10_'!320:320,"AAAAAF/v/y8=",0)</f>
        <v>0</v>
      </c>
      <c r="AW22" t="e">
        <f>AND('Planilla_General_29-11-2012_10_'!A320,"AAAAAF/v/zA=")</f>
        <v>#VALUE!</v>
      </c>
      <c r="AX22" t="e">
        <f>AND('Planilla_General_29-11-2012_10_'!B320,"AAAAAF/v/zE=")</f>
        <v>#VALUE!</v>
      </c>
      <c r="AY22" t="e">
        <f>AND('Planilla_General_29-11-2012_10_'!C320,"AAAAAF/v/zI=")</f>
        <v>#VALUE!</v>
      </c>
      <c r="AZ22" t="e">
        <f>AND('Planilla_General_29-11-2012_10_'!D320,"AAAAAF/v/zM=")</f>
        <v>#VALUE!</v>
      </c>
      <c r="BA22" t="e">
        <f>AND('Planilla_General_29-11-2012_10_'!E320,"AAAAAF/v/zQ=")</f>
        <v>#VALUE!</v>
      </c>
      <c r="BB22" t="e">
        <f>AND('Planilla_General_29-11-2012_10_'!F320,"AAAAAF/v/zU=")</f>
        <v>#VALUE!</v>
      </c>
      <c r="BC22" t="e">
        <f>AND('Planilla_General_29-11-2012_10_'!G320,"AAAAAF/v/zY=")</f>
        <v>#VALUE!</v>
      </c>
      <c r="BD22" t="e">
        <f>AND('Planilla_General_29-11-2012_10_'!H320,"AAAAAF/v/zc=")</f>
        <v>#VALUE!</v>
      </c>
      <c r="BE22" t="e">
        <f>AND('Planilla_General_29-11-2012_10_'!I320,"AAAAAF/v/zg=")</f>
        <v>#VALUE!</v>
      </c>
      <c r="BF22" t="e">
        <f>AND('Planilla_General_29-11-2012_10_'!J320,"AAAAAF/v/zk=")</f>
        <v>#VALUE!</v>
      </c>
      <c r="BG22" t="e">
        <f>AND('Planilla_General_29-11-2012_10_'!K320,"AAAAAF/v/zo=")</f>
        <v>#VALUE!</v>
      </c>
      <c r="BH22" t="e">
        <f>AND('Planilla_General_29-11-2012_10_'!L320,"AAAAAF/v/zs=")</f>
        <v>#VALUE!</v>
      </c>
      <c r="BI22" t="e">
        <f>AND('Planilla_General_29-11-2012_10_'!M320,"AAAAAF/v/zw=")</f>
        <v>#VALUE!</v>
      </c>
      <c r="BJ22" t="e">
        <f>AND('Planilla_General_29-11-2012_10_'!N320,"AAAAAF/v/z0=")</f>
        <v>#VALUE!</v>
      </c>
      <c r="BK22" t="e">
        <f>AND('Planilla_General_29-11-2012_10_'!O320,"AAAAAF/v/z4=")</f>
        <v>#VALUE!</v>
      </c>
      <c r="BL22" t="e">
        <f>AND('Planilla_General_29-11-2012_10_'!P320,"AAAAAF/v/z8=")</f>
        <v>#VALUE!</v>
      </c>
      <c r="BM22">
        <f>IF('Planilla_General_29-11-2012_10_'!321:321,"AAAAAF/v/0A=",0)</f>
        <v>0</v>
      </c>
      <c r="BN22" t="e">
        <f>AND('Planilla_General_29-11-2012_10_'!A321,"AAAAAF/v/0E=")</f>
        <v>#VALUE!</v>
      </c>
      <c r="BO22" t="e">
        <f>AND('Planilla_General_29-11-2012_10_'!B321,"AAAAAF/v/0I=")</f>
        <v>#VALUE!</v>
      </c>
      <c r="BP22" t="e">
        <f>AND('Planilla_General_29-11-2012_10_'!C321,"AAAAAF/v/0M=")</f>
        <v>#VALUE!</v>
      </c>
      <c r="BQ22" t="e">
        <f>AND('Planilla_General_29-11-2012_10_'!D321,"AAAAAF/v/0Q=")</f>
        <v>#VALUE!</v>
      </c>
      <c r="BR22" t="e">
        <f>AND('Planilla_General_29-11-2012_10_'!E321,"AAAAAF/v/0U=")</f>
        <v>#VALUE!</v>
      </c>
      <c r="BS22" t="e">
        <f>AND('Planilla_General_29-11-2012_10_'!F321,"AAAAAF/v/0Y=")</f>
        <v>#VALUE!</v>
      </c>
      <c r="BT22" t="e">
        <f>AND('Planilla_General_29-11-2012_10_'!G321,"AAAAAF/v/0c=")</f>
        <v>#VALUE!</v>
      </c>
      <c r="BU22" t="e">
        <f>AND('Planilla_General_29-11-2012_10_'!H321,"AAAAAF/v/0g=")</f>
        <v>#VALUE!</v>
      </c>
      <c r="BV22" t="e">
        <f>AND('Planilla_General_29-11-2012_10_'!I321,"AAAAAF/v/0k=")</f>
        <v>#VALUE!</v>
      </c>
      <c r="BW22" t="e">
        <f>AND('Planilla_General_29-11-2012_10_'!J321,"AAAAAF/v/0o=")</f>
        <v>#VALUE!</v>
      </c>
      <c r="BX22" t="e">
        <f>AND('Planilla_General_29-11-2012_10_'!K321,"AAAAAF/v/0s=")</f>
        <v>#VALUE!</v>
      </c>
      <c r="BY22" t="e">
        <f>AND('Planilla_General_29-11-2012_10_'!L321,"AAAAAF/v/0w=")</f>
        <v>#VALUE!</v>
      </c>
      <c r="BZ22" t="e">
        <f>AND('Planilla_General_29-11-2012_10_'!M321,"AAAAAF/v/00=")</f>
        <v>#VALUE!</v>
      </c>
      <c r="CA22" t="e">
        <f>AND('Planilla_General_29-11-2012_10_'!N321,"AAAAAF/v/04=")</f>
        <v>#VALUE!</v>
      </c>
      <c r="CB22" t="e">
        <f>AND('Planilla_General_29-11-2012_10_'!O321,"AAAAAF/v/08=")</f>
        <v>#VALUE!</v>
      </c>
      <c r="CC22" t="e">
        <f>AND('Planilla_General_29-11-2012_10_'!P321,"AAAAAF/v/1A=")</f>
        <v>#VALUE!</v>
      </c>
      <c r="CD22">
        <f>IF('Planilla_General_29-11-2012_10_'!322:322,"AAAAAF/v/1E=",0)</f>
        <v>0</v>
      </c>
      <c r="CE22" t="e">
        <f>AND('Planilla_General_29-11-2012_10_'!A322,"AAAAAF/v/1I=")</f>
        <v>#VALUE!</v>
      </c>
      <c r="CF22" t="e">
        <f>AND('Planilla_General_29-11-2012_10_'!B322,"AAAAAF/v/1M=")</f>
        <v>#VALUE!</v>
      </c>
      <c r="CG22" t="e">
        <f>AND('Planilla_General_29-11-2012_10_'!C322,"AAAAAF/v/1Q=")</f>
        <v>#VALUE!</v>
      </c>
      <c r="CH22" t="e">
        <f>AND('Planilla_General_29-11-2012_10_'!D322,"AAAAAF/v/1U=")</f>
        <v>#VALUE!</v>
      </c>
      <c r="CI22" t="e">
        <f>AND('Planilla_General_29-11-2012_10_'!E322,"AAAAAF/v/1Y=")</f>
        <v>#VALUE!</v>
      </c>
      <c r="CJ22" t="e">
        <f>AND('Planilla_General_29-11-2012_10_'!F322,"AAAAAF/v/1c=")</f>
        <v>#VALUE!</v>
      </c>
      <c r="CK22" t="e">
        <f>AND('Planilla_General_29-11-2012_10_'!G322,"AAAAAF/v/1g=")</f>
        <v>#VALUE!</v>
      </c>
      <c r="CL22" t="e">
        <f>AND('Planilla_General_29-11-2012_10_'!H322,"AAAAAF/v/1k=")</f>
        <v>#VALUE!</v>
      </c>
      <c r="CM22" t="e">
        <f>AND('Planilla_General_29-11-2012_10_'!I322,"AAAAAF/v/1o=")</f>
        <v>#VALUE!</v>
      </c>
      <c r="CN22" t="e">
        <f>AND('Planilla_General_29-11-2012_10_'!J322,"AAAAAF/v/1s=")</f>
        <v>#VALUE!</v>
      </c>
      <c r="CO22" t="e">
        <f>AND('Planilla_General_29-11-2012_10_'!K322,"AAAAAF/v/1w=")</f>
        <v>#VALUE!</v>
      </c>
      <c r="CP22" t="e">
        <f>AND('Planilla_General_29-11-2012_10_'!L322,"AAAAAF/v/10=")</f>
        <v>#VALUE!</v>
      </c>
      <c r="CQ22" t="e">
        <f>AND('Planilla_General_29-11-2012_10_'!M322,"AAAAAF/v/14=")</f>
        <v>#VALUE!</v>
      </c>
      <c r="CR22" t="e">
        <f>AND('Planilla_General_29-11-2012_10_'!N322,"AAAAAF/v/18=")</f>
        <v>#VALUE!</v>
      </c>
      <c r="CS22" t="e">
        <f>AND('Planilla_General_29-11-2012_10_'!O322,"AAAAAF/v/2A=")</f>
        <v>#VALUE!</v>
      </c>
      <c r="CT22" t="e">
        <f>AND('Planilla_General_29-11-2012_10_'!P322,"AAAAAF/v/2E=")</f>
        <v>#VALUE!</v>
      </c>
      <c r="CU22">
        <f>IF('Planilla_General_29-11-2012_10_'!323:323,"AAAAAF/v/2I=",0)</f>
        <v>0</v>
      </c>
      <c r="CV22" t="e">
        <f>AND('Planilla_General_29-11-2012_10_'!A323,"AAAAAF/v/2M=")</f>
        <v>#VALUE!</v>
      </c>
      <c r="CW22" t="e">
        <f>AND('Planilla_General_29-11-2012_10_'!B323,"AAAAAF/v/2Q=")</f>
        <v>#VALUE!</v>
      </c>
      <c r="CX22" t="e">
        <f>AND('Planilla_General_29-11-2012_10_'!C323,"AAAAAF/v/2U=")</f>
        <v>#VALUE!</v>
      </c>
      <c r="CY22" t="e">
        <f>AND('Planilla_General_29-11-2012_10_'!D323,"AAAAAF/v/2Y=")</f>
        <v>#VALUE!</v>
      </c>
      <c r="CZ22" t="e">
        <f>AND('Planilla_General_29-11-2012_10_'!E323,"AAAAAF/v/2c=")</f>
        <v>#VALUE!</v>
      </c>
      <c r="DA22" t="e">
        <f>AND('Planilla_General_29-11-2012_10_'!F323,"AAAAAF/v/2g=")</f>
        <v>#VALUE!</v>
      </c>
      <c r="DB22" t="e">
        <f>AND('Planilla_General_29-11-2012_10_'!G323,"AAAAAF/v/2k=")</f>
        <v>#VALUE!</v>
      </c>
      <c r="DC22" t="e">
        <f>AND('Planilla_General_29-11-2012_10_'!H323,"AAAAAF/v/2o=")</f>
        <v>#VALUE!</v>
      </c>
      <c r="DD22" t="e">
        <f>AND('Planilla_General_29-11-2012_10_'!I323,"AAAAAF/v/2s=")</f>
        <v>#VALUE!</v>
      </c>
      <c r="DE22" t="e">
        <f>AND('Planilla_General_29-11-2012_10_'!J323,"AAAAAF/v/2w=")</f>
        <v>#VALUE!</v>
      </c>
      <c r="DF22" t="e">
        <f>AND('Planilla_General_29-11-2012_10_'!K323,"AAAAAF/v/20=")</f>
        <v>#VALUE!</v>
      </c>
      <c r="DG22" t="e">
        <f>AND('Planilla_General_29-11-2012_10_'!L323,"AAAAAF/v/24=")</f>
        <v>#VALUE!</v>
      </c>
      <c r="DH22" t="e">
        <f>AND('Planilla_General_29-11-2012_10_'!M323,"AAAAAF/v/28=")</f>
        <v>#VALUE!</v>
      </c>
      <c r="DI22" t="e">
        <f>AND('Planilla_General_29-11-2012_10_'!N323,"AAAAAF/v/3A=")</f>
        <v>#VALUE!</v>
      </c>
      <c r="DJ22" t="e">
        <f>AND('Planilla_General_29-11-2012_10_'!O323,"AAAAAF/v/3E=")</f>
        <v>#VALUE!</v>
      </c>
      <c r="DK22" t="e">
        <f>AND('Planilla_General_29-11-2012_10_'!P323,"AAAAAF/v/3I=")</f>
        <v>#VALUE!</v>
      </c>
      <c r="DL22">
        <f>IF('Planilla_General_29-11-2012_10_'!324:324,"AAAAAF/v/3M=",0)</f>
        <v>0</v>
      </c>
      <c r="DM22" t="e">
        <f>AND('Planilla_General_29-11-2012_10_'!A324,"AAAAAF/v/3Q=")</f>
        <v>#VALUE!</v>
      </c>
      <c r="DN22" t="e">
        <f>AND('Planilla_General_29-11-2012_10_'!B324,"AAAAAF/v/3U=")</f>
        <v>#VALUE!</v>
      </c>
      <c r="DO22" t="e">
        <f>AND('Planilla_General_29-11-2012_10_'!C324,"AAAAAF/v/3Y=")</f>
        <v>#VALUE!</v>
      </c>
      <c r="DP22" t="e">
        <f>AND('Planilla_General_29-11-2012_10_'!D324,"AAAAAF/v/3c=")</f>
        <v>#VALUE!</v>
      </c>
      <c r="DQ22" t="e">
        <f>AND('Planilla_General_29-11-2012_10_'!E324,"AAAAAF/v/3g=")</f>
        <v>#VALUE!</v>
      </c>
      <c r="DR22" t="e">
        <f>AND('Planilla_General_29-11-2012_10_'!F324,"AAAAAF/v/3k=")</f>
        <v>#VALUE!</v>
      </c>
      <c r="DS22" t="e">
        <f>AND('Planilla_General_29-11-2012_10_'!G324,"AAAAAF/v/3o=")</f>
        <v>#VALUE!</v>
      </c>
      <c r="DT22" t="e">
        <f>AND('Planilla_General_29-11-2012_10_'!H324,"AAAAAF/v/3s=")</f>
        <v>#VALUE!</v>
      </c>
      <c r="DU22" t="e">
        <f>AND('Planilla_General_29-11-2012_10_'!I324,"AAAAAF/v/3w=")</f>
        <v>#VALUE!</v>
      </c>
      <c r="DV22" t="e">
        <f>AND('Planilla_General_29-11-2012_10_'!J324,"AAAAAF/v/30=")</f>
        <v>#VALUE!</v>
      </c>
      <c r="DW22" t="e">
        <f>AND('Planilla_General_29-11-2012_10_'!K324,"AAAAAF/v/34=")</f>
        <v>#VALUE!</v>
      </c>
      <c r="DX22" t="e">
        <f>AND('Planilla_General_29-11-2012_10_'!L324,"AAAAAF/v/38=")</f>
        <v>#VALUE!</v>
      </c>
      <c r="DY22" t="e">
        <f>AND('Planilla_General_29-11-2012_10_'!M324,"AAAAAF/v/4A=")</f>
        <v>#VALUE!</v>
      </c>
      <c r="DZ22" t="e">
        <f>AND('Planilla_General_29-11-2012_10_'!N324,"AAAAAF/v/4E=")</f>
        <v>#VALUE!</v>
      </c>
      <c r="EA22" t="e">
        <f>AND('Planilla_General_29-11-2012_10_'!O324,"AAAAAF/v/4I=")</f>
        <v>#VALUE!</v>
      </c>
      <c r="EB22" t="e">
        <f>AND('Planilla_General_29-11-2012_10_'!P324,"AAAAAF/v/4M=")</f>
        <v>#VALUE!</v>
      </c>
      <c r="EC22">
        <f>IF('Planilla_General_29-11-2012_10_'!325:325,"AAAAAF/v/4Q=",0)</f>
        <v>0</v>
      </c>
      <c r="ED22" t="e">
        <f>AND('Planilla_General_29-11-2012_10_'!A325,"AAAAAF/v/4U=")</f>
        <v>#VALUE!</v>
      </c>
      <c r="EE22" t="e">
        <f>AND('Planilla_General_29-11-2012_10_'!B325,"AAAAAF/v/4Y=")</f>
        <v>#VALUE!</v>
      </c>
      <c r="EF22" t="e">
        <f>AND('Planilla_General_29-11-2012_10_'!C325,"AAAAAF/v/4c=")</f>
        <v>#VALUE!</v>
      </c>
      <c r="EG22" t="e">
        <f>AND('Planilla_General_29-11-2012_10_'!D325,"AAAAAF/v/4g=")</f>
        <v>#VALUE!</v>
      </c>
      <c r="EH22" t="e">
        <f>AND('Planilla_General_29-11-2012_10_'!E325,"AAAAAF/v/4k=")</f>
        <v>#VALUE!</v>
      </c>
      <c r="EI22" t="e">
        <f>AND('Planilla_General_29-11-2012_10_'!F325,"AAAAAF/v/4o=")</f>
        <v>#VALUE!</v>
      </c>
      <c r="EJ22" t="e">
        <f>AND('Planilla_General_29-11-2012_10_'!G325,"AAAAAF/v/4s=")</f>
        <v>#VALUE!</v>
      </c>
      <c r="EK22" t="e">
        <f>AND('Planilla_General_29-11-2012_10_'!H325,"AAAAAF/v/4w=")</f>
        <v>#VALUE!</v>
      </c>
      <c r="EL22" t="e">
        <f>AND('Planilla_General_29-11-2012_10_'!I325,"AAAAAF/v/40=")</f>
        <v>#VALUE!</v>
      </c>
      <c r="EM22" t="e">
        <f>AND('Planilla_General_29-11-2012_10_'!J325,"AAAAAF/v/44=")</f>
        <v>#VALUE!</v>
      </c>
      <c r="EN22" t="e">
        <f>AND('Planilla_General_29-11-2012_10_'!K325,"AAAAAF/v/48=")</f>
        <v>#VALUE!</v>
      </c>
      <c r="EO22" t="e">
        <f>AND('Planilla_General_29-11-2012_10_'!L325,"AAAAAF/v/5A=")</f>
        <v>#VALUE!</v>
      </c>
      <c r="EP22" t="e">
        <f>AND('Planilla_General_29-11-2012_10_'!M325,"AAAAAF/v/5E=")</f>
        <v>#VALUE!</v>
      </c>
      <c r="EQ22" t="e">
        <f>AND('Planilla_General_29-11-2012_10_'!N325,"AAAAAF/v/5I=")</f>
        <v>#VALUE!</v>
      </c>
      <c r="ER22" t="e">
        <f>AND('Planilla_General_29-11-2012_10_'!O325,"AAAAAF/v/5M=")</f>
        <v>#VALUE!</v>
      </c>
      <c r="ES22" t="e">
        <f>AND('Planilla_General_29-11-2012_10_'!P325,"AAAAAF/v/5Q=")</f>
        <v>#VALUE!</v>
      </c>
      <c r="ET22">
        <f>IF('Planilla_General_29-11-2012_10_'!326:326,"AAAAAF/v/5U=",0)</f>
        <v>0</v>
      </c>
      <c r="EU22" t="e">
        <f>AND('Planilla_General_29-11-2012_10_'!A326,"AAAAAF/v/5Y=")</f>
        <v>#VALUE!</v>
      </c>
      <c r="EV22" t="e">
        <f>AND('Planilla_General_29-11-2012_10_'!B326,"AAAAAF/v/5c=")</f>
        <v>#VALUE!</v>
      </c>
      <c r="EW22" t="e">
        <f>AND('Planilla_General_29-11-2012_10_'!C326,"AAAAAF/v/5g=")</f>
        <v>#VALUE!</v>
      </c>
      <c r="EX22" t="e">
        <f>AND('Planilla_General_29-11-2012_10_'!D326,"AAAAAF/v/5k=")</f>
        <v>#VALUE!</v>
      </c>
      <c r="EY22" t="e">
        <f>AND('Planilla_General_29-11-2012_10_'!E326,"AAAAAF/v/5o=")</f>
        <v>#VALUE!</v>
      </c>
      <c r="EZ22" t="e">
        <f>AND('Planilla_General_29-11-2012_10_'!F326,"AAAAAF/v/5s=")</f>
        <v>#VALUE!</v>
      </c>
      <c r="FA22" t="e">
        <f>AND('Planilla_General_29-11-2012_10_'!G326,"AAAAAF/v/5w=")</f>
        <v>#VALUE!</v>
      </c>
      <c r="FB22" t="e">
        <f>AND('Planilla_General_29-11-2012_10_'!H326,"AAAAAF/v/50=")</f>
        <v>#VALUE!</v>
      </c>
      <c r="FC22" t="e">
        <f>AND('Planilla_General_29-11-2012_10_'!I326,"AAAAAF/v/54=")</f>
        <v>#VALUE!</v>
      </c>
      <c r="FD22" t="e">
        <f>AND('Planilla_General_29-11-2012_10_'!J326,"AAAAAF/v/58=")</f>
        <v>#VALUE!</v>
      </c>
      <c r="FE22" t="e">
        <f>AND('Planilla_General_29-11-2012_10_'!K326,"AAAAAF/v/6A=")</f>
        <v>#VALUE!</v>
      </c>
      <c r="FF22" t="e">
        <f>AND('Planilla_General_29-11-2012_10_'!L326,"AAAAAF/v/6E=")</f>
        <v>#VALUE!</v>
      </c>
      <c r="FG22" t="e">
        <f>AND('Planilla_General_29-11-2012_10_'!M326,"AAAAAF/v/6I=")</f>
        <v>#VALUE!</v>
      </c>
      <c r="FH22" t="e">
        <f>AND('Planilla_General_29-11-2012_10_'!N326,"AAAAAF/v/6M=")</f>
        <v>#VALUE!</v>
      </c>
      <c r="FI22" t="e">
        <f>AND('Planilla_General_29-11-2012_10_'!O326,"AAAAAF/v/6Q=")</f>
        <v>#VALUE!</v>
      </c>
      <c r="FJ22" t="e">
        <f>AND('Planilla_General_29-11-2012_10_'!P326,"AAAAAF/v/6U=")</f>
        <v>#VALUE!</v>
      </c>
      <c r="FK22">
        <f>IF('Planilla_General_29-11-2012_10_'!327:327,"AAAAAF/v/6Y=",0)</f>
        <v>0</v>
      </c>
      <c r="FL22" t="e">
        <f>AND('Planilla_General_29-11-2012_10_'!A327,"AAAAAF/v/6c=")</f>
        <v>#VALUE!</v>
      </c>
      <c r="FM22" t="e">
        <f>AND('Planilla_General_29-11-2012_10_'!B327,"AAAAAF/v/6g=")</f>
        <v>#VALUE!</v>
      </c>
      <c r="FN22" t="e">
        <f>AND('Planilla_General_29-11-2012_10_'!C327,"AAAAAF/v/6k=")</f>
        <v>#VALUE!</v>
      </c>
      <c r="FO22" t="e">
        <f>AND('Planilla_General_29-11-2012_10_'!D327,"AAAAAF/v/6o=")</f>
        <v>#VALUE!</v>
      </c>
      <c r="FP22" t="e">
        <f>AND('Planilla_General_29-11-2012_10_'!E327,"AAAAAF/v/6s=")</f>
        <v>#VALUE!</v>
      </c>
      <c r="FQ22" t="e">
        <f>AND('Planilla_General_29-11-2012_10_'!F327,"AAAAAF/v/6w=")</f>
        <v>#VALUE!</v>
      </c>
      <c r="FR22" t="e">
        <f>AND('Planilla_General_29-11-2012_10_'!G327,"AAAAAF/v/60=")</f>
        <v>#VALUE!</v>
      </c>
      <c r="FS22" t="e">
        <f>AND('Planilla_General_29-11-2012_10_'!H327,"AAAAAF/v/64=")</f>
        <v>#VALUE!</v>
      </c>
      <c r="FT22" t="e">
        <f>AND('Planilla_General_29-11-2012_10_'!I327,"AAAAAF/v/68=")</f>
        <v>#VALUE!</v>
      </c>
      <c r="FU22" t="e">
        <f>AND('Planilla_General_29-11-2012_10_'!J327,"AAAAAF/v/7A=")</f>
        <v>#VALUE!</v>
      </c>
      <c r="FV22" t="e">
        <f>AND('Planilla_General_29-11-2012_10_'!K327,"AAAAAF/v/7E=")</f>
        <v>#VALUE!</v>
      </c>
      <c r="FW22" t="e">
        <f>AND('Planilla_General_29-11-2012_10_'!L327,"AAAAAF/v/7I=")</f>
        <v>#VALUE!</v>
      </c>
      <c r="FX22" t="e">
        <f>AND('Planilla_General_29-11-2012_10_'!M327,"AAAAAF/v/7M=")</f>
        <v>#VALUE!</v>
      </c>
      <c r="FY22" t="e">
        <f>AND('Planilla_General_29-11-2012_10_'!N327,"AAAAAF/v/7Q=")</f>
        <v>#VALUE!</v>
      </c>
      <c r="FZ22" t="e">
        <f>AND('Planilla_General_29-11-2012_10_'!O327,"AAAAAF/v/7U=")</f>
        <v>#VALUE!</v>
      </c>
      <c r="GA22" t="e">
        <f>AND('Planilla_General_29-11-2012_10_'!P327,"AAAAAF/v/7Y=")</f>
        <v>#VALUE!</v>
      </c>
      <c r="GB22">
        <f>IF('Planilla_General_29-11-2012_10_'!328:328,"AAAAAF/v/7c=",0)</f>
        <v>0</v>
      </c>
      <c r="GC22" t="e">
        <f>AND('Planilla_General_29-11-2012_10_'!A328,"AAAAAF/v/7g=")</f>
        <v>#VALUE!</v>
      </c>
      <c r="GD22" t="e">
        <f>AND('Planilla_General_29-11-2012_10_'!B328,"AAAAAF/v/7k=")</f>
        <v>#VALUE!</v>
      </c>
      <c r="GE22" t="e">
        <f>AND('Planilla_General_29-11-2012_10_'!C328,"AAAAAF/v/7o=")</f>
        <v>#VALUE!</v>
      </c>
      <c r="GF22" t="e">
        <f>AND('Planilla_General_29-11-2012_10_'!D328,"AAAAAF/v/7s=")</f>
        <v>#VALUE!</v>
      </c>
      <c r="GG22" t="e">
        <f>AND('Planilla_General_29-11-2012_10_'!E328,"AAAAAF/v/7w=")</f>
        <v>#VALUE!</v>
      </c>
      <c r="GH22" t="e">
        <f>AND('Planilla_General_29-11-2012_10_'!F328,"AAAAAF/v/70=")</f>
        <v>#VALUE!</v>
      </c>
      <c r="GI22" t="e">
        <f>AND('Planilla_General_29-11-2012_10_'!G328,"AAAAAF/v/74=")</f>
        <v>#VALUE!</v>
      </c>
      <c r="GJ22" t="e">
        <f>AND('Planilla_General_29-11-2012_10_'!H328,"AAAAAF/v/78=")</f>
        <v>#VALUE!</v>
      </c>
      <c r="GK22" t="e">
        <f>AND('Planilla_General_29-11-2012_10_'!I328,"AAAAAF/v/8A=")</f>
        <v>#VALUE!</v>
      </c>
      <c r="GL22" t="e">
        <f>AND('Planilla_General_29-11-2012_10_'!J328,"AAAAAF/v/8E=")</f>
        <v>#VALUE!</v>
      </c>
      <c r="GM22" t="e">
        <f>AND('Planilla_General_29-11-2012_10_'!K328,"AAAAAF/v/8I=")</f>
        <v>#VALUE!</v>
      </c>
      <c r="GN22" t="e">
        <f>AND('Planilla_General_29-11-2012_10_'!L328,"AAAAAF/v/8M=")</f>
        <v>#VALUE!</v>
      </c>
      <c r="GO22" t="e">
        <f>AND('Planilla_General_29-11-2012_10_'!M328,"AAAAAF/v/8Q=")</f>
        <v>#VALUE!</v>
      </c>
      <c r="GP22" t="e">
        <f>AND('Planilla_General_29-11-2012_10_'!N328,"AAAAAF/v/8U=")</f>
        <v>#VALUE!</v>
      </c>
      <c r="GQ22" t="e">
        <f>AND('Planilla_General_29-11-2012_10_'!O328,"AAAAAF/v/8Y=")</f>
        <v>#VALUE!</v>
      </c>
      <c r="GR22" t="e">
        <f>AND('Planilla_General_29-11-2012_10_'!P328,"AAAAAF/v/8c=")</f>
        <v>#VALUE!</v>
      </c>
      <c r="GS22">
        <f>IF('Planilla_General_29-11-2012_10_'!329:329,"AAAAAF/v/8g=",0)</f>
        <v>0</v>
      </c>
      <c r="GT22" t="e">
        <f>AND('Planilla_General_29-11-2012_10_'!A329,"AAAAAF/v/8k=")</f>
        <v>#VALUE!</v>
      </c>
      <c r="GU22" t="e">
        <f>AND('Planilla_General_29-11-2012_10_'!B329,"AAAAAF/v/8o=")</f>
        <v>#VALUE!</v>
      </c>
      <c r="GV22" t="e">
        <f>AND('Planilla_General_29-11-2012_10_'!C329,"AAAAAF/v/8s=")</f>
        <v>#VALUE!</v>
      </c>
      <c r="GW22" t="e">
        <f>AND('Planilla_General_29-11-2012_10_'!D329,"AAAAAF/v/8w=")</f>
        <v>#VALUE!</v>
      </c>
      <c r="GX22" t="e">
        <f>AND('Planilla_General_29-11-2012_10_'!E329,"AAAAAF/v/80=")</f>
        <v>#VALUE!</v>
      </c>
      <c r="GY22" t="e">
        <f>AND('Planilla_General_29-11-2012_10_'!F329,"AAAAAF/v/84=")</f>
        <v>#VALUE!</v>
      </c>
      <c r="GZ22" t="e">
        <f>AND('Planilla_General_29-11-2012_10_'!G329,"AAAAAF/v/88=")</f>
        <v>#VALUE!</v>
      </c>
      <c r="HA22" t="e">
        <f>AND('Planilla_General_29-11-2012_10_'!H329,"AAAAAF/v/9A=")</f>
        <v>#VALUE!</v>
      </c>
      <c r="HB22" t="e">
        <f>AND('Planilla_General_29-11-2012_10_'!I329,"AAAAAF/v/9E=")</f>
        <v>#VALUE!</v>
      </c>
      <c r="HC22" t="e">
        <f>AND('Planilla_General_29-11-2012_10_'!J329,"AAAAAF/v/9I=")</f>
        <v>#VALUE!</v>
      </c>
      <c r="HD22" t="e">
        <f>AND('Planilla_General_29-11-2012_10_'!K329,"AAAAAF/v/9M=")</f>
        <v>#VALUE!</v>
      </c>
      <c r="HE22" t="e">
        <f>AND('Planilla_General_29-11-2012_10_'!L329,"AAAAAF/v/9Q=")</f>
        <v>#VALUE!</v>
      </c>
      <c r="HF22" t="e">
        <f>AND('Planilla_General_29-11-2012_10_'!M329,"AAAAAF/v/9U=")</f>
        <v>#VALUE!</v>
      </c>
      <c r="HG22" t="e">
        <f>AND('Planilla_General_29-11-2012_10_'!N329,"AAAAAF/v/9Y=")</f>
        <v>#VALUE!</v>
      </c>
      <c r="HH22" t="e">
        <f>AND('Planilla_General_29-11-2012_10_'!O329,"AAAAAF/v/9c=")</f>
        <v>#VALUE!</v>
      </c>
      <c r="HI22" t="e">
        <f>AND('Planilla_General_29-11-2012_10_'!P329,"AAAAAF/v/9g=")</f>
        <v>#VALUE!</v>
      </c>
      <c r="HJ22">
        <f>IF('Planilla_General_29-11-2012_10_'!330:330,"AAAAAF/v/9k=",0)</f>
        <v>0</v>
      </c>
      <c r="HK22" t="e">
        <f>AND('Planilla_General_29-11-2012_10_'!A330,"AAAAAF/v/9o=")</f>
        <v>#VALUE!</v>
      </c>
      <c r="HL22" t="e">
        <f>AND('Planilla_General_29-11-2012_10_'!B330,"AAAAAF/v/9s=")</f>
        <v>#VALUE!</v>
      </c>
      <c r="HM22" t="e">
        <f>AND('Planilla_General_29-11-2012_10_'!C330,"AAAAAF/v/9w=")</f>
        <v>#VALUE!</v>
      </c>
      <c r="HN22" t="e">
        <f>AND('Planilla_General_29-11-2012_10_'!D330,"AAAAAF/v/90=")</f>
        <v>#VALUE!</v>
      </c>
      <c r="HO22" t="e">
        <f>AND('Planilla_General_29-11-2012_10_'!E330,"AAAAAF/v/94=")</f>
        <v>#VALUE!</v>
      </c>
      <c r="HP22" t="e">
        <f>AND('Planilla_General_29-11-2012_10_'!F330,"AAAAAF/v/98=")</f>
        <v>#VALUE!</v>
      </c>
      <c r="HQ22" t="e">
        <f>AND('Planilla_General_29-11-2012_10_'!G330,"AAAAAF/v/+A=")</f>
        <v>#VALUE!</v>
      </c>
      <c r="HR22" t="e">
        <f>AND('Planilla_General_29-11-2012_10_'!H330,"AAAAAF/v/+E=")</f>
        <v>#VALUE!</v>
      </c>
      <c r="HS22" t="e">
        <f>AND('Planilla_General_29-11-2012_10_'!I330,"AAAAAF/v/+I=")</f>
        <v>#VALUE!</v>
      </c>
      <c r="HT22" t="e">
        <f>AND('Planilla_General_29-11-2012_10_'!J330,"AAAAAF/v/+M=")</f>
        <v>#VALUE!</v>
      </c>
      <c r="HU22" t="e">
        <f>AND('Planilla_General_29-11-2012_10_'!K330,"AAAAAF/v/+Q=")</f>
        <v>#VALUE!</v>
      </c>
      <c r="HV22" t="e">
        <f>AND('Planilla_General_29-11-2012_10_'!L330,"AAAAAF/v/+U=")</f>
        <v>#VALUE!</v>
      </c>
      <c r="HW22" t="e">
        <f>AND('Planilla_General_29-11-2012_10_'!M330,"AAAAAF/v/+Y=")</f>
        <v>#VALUE!</v>
      </c>
      <c r="HX22" t="e">
        <f>AND('Planilla_General_29-11-2012_10_'!N330,"AAAAAF/v/+c=")</f>
        <v>#VALUE!</v>
      </c>
      <c r="HY22" t="e">
        <f>AND('Planilla_General_29-11-2012_10_'!O330,"AAAAAF/v/+g=")</f>
        <v>#VALUE!</v>
      </c>
      <c r="HZ22" t="e">
        <f>AND('Planilla_General_29-11-2012_10_'!P330,"AAAAAF/v/+k=")</f>
        <v>#VALUE!</v>
      </c>
      <c r="IA22">
        <f>IF('Planilla_General_29-11-2012_10_'!331:331,"AAAAAF/v/+o=",0)</f>
        <v>0</v>
      </c>
      <c r="IB22" t="e">
        <f>AND('Planilla_General_29-11-2012_10_'!A331,"AAAAAF/v/+s=")</f>
        <v>#VALUE!</v>
      </c>
      <c r="IC22" t="e">
        <f>AND('Planilla_General_29-11-2012_10_'!B331,"AAAAAF/v/+w=")</f>
        <v>#VALUE!</v>
      </c>
      <c r="ID22" t="e">
        <f>AND('Planilla_General_29-11-2012_10_'!C331,"AAAAAF/v/+0=")</f>
        <v>#VALUE!</v>
      </c>
      <c r="IE22" t="e">
        <f>AND('Planilla_General_29-11-2012_10_'!D331,"AAAAAF/v/+4=")</f>
        <v>#VALUE!</v>
      </c>
      <c r="IF22" t="e">
        <f>AND('Planilla_General_29-11-2012_10_'!E331,"AAAAAF/v/+8=")</f>
        <v>#VALUE!</v>
      </c>
      <c r="IG22" t="e">
        <f>AND('Planilla_General_29-11-2012_10_'!F331,"AAAAAF/v//A=")</f>
        <v>#VALUE!</v>
      </c>
      <c r="IH22" t="e">
        <f>AND('Planilla_General_29-11-2012_10_'!G331,"AAAAAF/v//E=")</f>
        <v>#VALUE!</v>
      </c>
      <c r="II22" t="e">
        <f>AND('Planilla_General_29-11-2012_10_'!H331,"AAAAAF/v//I=")</f>
        <v>#VALUE!</v>
      </c>
      <c r="IJ22" t="e">
        <f>AND('Planilla_General_29-11-2012_10_'!I331,"AAAAAF/v//M=")</f>
        <v>#VALUE!</v>
      </c>
      <c r="IK22" t="e">
        <f>AND('Planilla_General_29-11-2012_10_'!J331,"AAAAAF/v//Q=")</f>
        <v>#VALUE!</v>
      </c>
      <c r="IL22" t="e">
        <f>AND('Planilla_General_29-11-2012_10_'!K331,"AAAAAF/v//U=")</f>
        <v>#VALUE!</v>
      </c>
      <c r="IM22" t="e">
        <f>AND('Planilla_General_29-11-2012_10_'!L331,"AAAAAF/v//Y=")</f>
        <v>#VALUE!</v>
      </c>
      <c r="IN22" t="e">
        <f>AND('Planilla_General_29-11-2012_10_'!M331,"AAAAAF/v//c=")</f>
        <v>#VALUE!</v>
      </c>
      <c r="IO22" t="e">
        <f>AND('Planilla_General_29-11-2012_10_'!N331,"AAAAAF/v//g=")</f>
        <v>#VALUE!</v>
      </c>
      <c r="IP22" t="e">
        <f>AND('Planilla_General_29-11-2012_10_'!O331,"AAAAAF/v//k=")</f>
        <v>#VALUE!</v>
      </c>
      <c r="IQ22" t="e">
        <f>AND('Planilla_General_29-11-2012_10_'!P331,"AAAAAF/v//o=")</f>
        <v>#VALUE!</v>
      </c>
      <c r="IR22">
        <f>IF('Planilla_General_29-11-2012_10_'!332:332,"AAAAAF/v//s=",0)</f>
        <v>0</v>
      </c>
      <c r="IS22" t="e">
        <f>AND('Planilla_General_29-11-2012_10_'!A332,"AAAAAF/v//w=")</f>
        <v>#VALUE!</v>
      </c>
      <c r="IT22" t="e">
        <f>AND('Planilla_General_29-11-2012_10_'!B332,"AAAAAF/v//0=")</f>
        <v>#VALUE!</v>
      </c>
      <c r="IU22" t="e">
        <f>AND('Planilla_General_29-11-2012_10_'!C332,"AAAAAF/v//4=")</f>
        <v>#VALUE!</v>
      </c>
      <c r="IV22" t="e">
        <f>AND('Planilla_General_29-11-2012_10_'!D332,"AAAAAF/v//8=")</f>
        <v>#VALUE!</v>
      </c>
    </row>
    <row r="23" spans="1:256" x14ac:dyDescent="0.25">
      <c r="A23" t="e">
        <f>AND('Planilla_General_29-11-2012_10_'!E332,"AAAAAD//jgA=")</f>
        <v>#VALUE!</v>
      </c>
      <c r="B23" t="e">
        <f>AND('Planilla_General_29-11-2012_10_'!F332,"AAAAAD//jgE=")</f>
        <v>#VALUE!</v>
      </c>
      <c r="C23" t="e">
        <f>AND('Planilla_General_29-11-2012_10_'!G332,"AAAAAD//jgI=")</f>
        <v>#VALUE!</v>
      </c>
      <c r="D23" t="e">
        <f>AND('Planilla_General_29-11-2012_10_'!H332,"AAAAAD//jgM=")</f>
        <v>#VALUE!</v>
      </c>
      <c r="E23" t="e">
        <f>AND('Planilla_General_29-11-2012_10_'!I332,"AAAAAD//jgQ=")</f>
        <v>#VALUE!</v>
      </c>
      <c r="F23" t="e">
        <f>AND('Planilla_General_29-11-2012_10_'!J332,"AAAAAD//jgU=")</f>
        <v>#VALUE!</v>
      </c>
      <c r="G23" t="e">
        <f>AND('Planilla_General_29-11-2012_10_'!K332,"AAAAAD//jgY=")</f>
        <v>#VALUE!</v>
      </c>
      <c r="H23" t="e">
        <f>AND('Planilla_General_29-11-2012_10_'!L332,"AAAAAD//jgc=")</f>
        <v>#VALUE!</v>
      </c>
      <c r="I23" t="e">
        <f>AND('Planilla_General_29-11-2012_10_'!M332,"AAAAAD//jgg=")</f>
        <v>#VALUE!</v>
      </c>
      <c r="J23" t="e">
        <f>AND('Planilla_General_29-11-2012_10_'!N332,"AAAAAD//jgk=")</f>
        <v>#VALUE!</v>
      </c>
      <c r="K23" t="e">
        <f>AND('Planilla_General_29-11-2012_10_'!O332,"AAAAAD//jgo=")</f>
        <v>#VALUE!</v>
      </c>
      <c r="L23" t="e">
        <f>AND('Planilla_General_29-11-2012_10_'!P332,"AAAAAD//jgs=")</f>
        <v>#VALUE!</v>
      </c>
      <c r="M23" t="str">
        <f>IF('Planilla_General_29-11-2012_10_'!333:333,"AAAAAD//jgw=",0)</f>
        <v>AAAAAD//jgw=</v>
      </c>
      <c r="N23" t="e">
        <f>AND('Planilla_General_29-11-2012_10_'!A333,"AAAAAD//jg0=")</f>
        <v>#VALUE!</v>
      </c>
      <c r="O23" t="e">
        <f>AND('Planilla_General_29-11-2012_10_'!B333,"AAAAAD//jg4=")</f>
        <v>#VALUE!</v>
      </c>
      <c r="P23" t="e">
        <f>AND('Planilla_General_29-11-2012_10_'!C333,"AAAAAD//jg8=")</f>
        <v>#VALUE!</v>
      </c>
      <c r="Q23" t="e">
        <f>AND('Planilla_General_29-11-2012_10_'!D333,"AAAAAD//jhA=")</f>
        <v>#VALUE!</v>
      </c>
      <c r="R23" t="e">
        <f>AND('Planilla_General_29-11-2012_10_'!E333,"AAAAAD//jhE=")</f>
        <v>#VALUE!</v>
      </c>
      <c r="S23" t="e">
        <f>AND('Planilla_General_29-11-2012_10_'!F333,"AAAAAD//jhI=")</f>
        <v>#VALUE!</v>
      </c>
      <c r="T23" t="e">
        <f>AND('Planilla_General_29-11-2012_10_'!G333,"AAAAAD//jhM=")</f>
        <v>#VALUE!</v>
      </c>
      <c r="U23" t="e">
        <f>AND('Planilla_General_29-11-2012_10_'!H333,"AAAAAD//jhQ=")</f>
        <v>#VALUE!</v>
      </c>
      <c r="V23" t="e">
        <f>AND('Planilla_General_29-11-2012_10_'!I333,"AAAAAD//jhU=")</f>
        <v>#VALUE!</v>
      </c>
      <c r="W23" t="e">
        <f>AND('Planilla_General_29-11-2012_10_'!J333,"AAAAAD//jhY=")</f>
        <v>#VALUE!</v>
      </c>
      <c r="X23" t="e">
        <f>AND('Planilla_General_29-11-2012_10_'!K333,"AAAAAD//jhc=")</f>
        <v>#VALUE!</v>
      </c>
      <c r="Y23" t="e">
        <f>AND('Planilla_General_29-11-2012_10_'!L333,"AAAAAD//jhg=")</f>
        <v>#VALUE!</v>
      </c>
      <c r="Z23" t="e">
        <f>AND('Planilla_General_29-11-2012_10_'!M333,"AAAAAD//jhk=")</f>
        <v>#VALUE!</v>
      </c>
      <c r="AA23" t="e">
        <f>AND('Planilla_General_29-11-2012_10_'!N333,"AAAAAD//jho=")</f>
        <v>#VALUE!</v>
      </c>
      <c r="AB23" t="e">
        <f>AND('Planilla_General_29-11-2012_10_'!O333,"AAAAAD//jhs=")</f>
        <v>#VALUE!</v>
      </c>
      <c r="AC23" t="e">
        <f>AND('Planilla_General_29-11-2012_10_'!P333,"AAAAAD//jhw=")</f>
        <v>#VALUE!</v>
      </c>
      <c r="AD23">
        <f>IF('Planilla_General_29-11-2012_10_'!334:334,"AAAAAD//jh0=",0)</f>
        <v>0</v>
      </c>
      <c r="AE23" t="e">
        <f>AND('Planilla_General_29-11-2012_10_'!A334,"AAAAAD//jh4=")</f>
        <v>#VALUE!</v>
      </c>
      <c r="AF23" t="e">
        <f>AND('Planilla_General_29-11-2012_10_'!B334,"AAAAAD//jh8=")</f>
        <v>#VALUE!</v>
      </c>
      <c r="AG23" t="e">
        <f>AND('Planilla_General_29-11-2012_10_'!C334,"AAAAAD//jiA=")</f>
        <v>#VALUE!</v>
      </c>
      <c r="AH23" t="e">
        <f>AND('Planilla_General_29-11-2012_10_'!D334,"AAAAAD//jiE=")</f>
        <v>#VALUE!</v>
      </c>
      <c r="AI23" t="e">
        <f>AND('Planilla_General_29-11-2012_10_'!E334,"AAAAAD//jiI=")</f>
        <v>#VALUE!</v>
      </c>
      <c r="AJ23" t="e">
        <f>AND('Planilla_General_29-11-2012_10_'!F334,"AAAAAD//jiM=")</f>
        <v>#VALUE!</v>
      </c>
      <c r="AK23" t="e">
        <f>AND('Planilla_General_29-11-2012_10_'!G334,"AAAAAD//jiQ=")</f>
        <v>#VALUE!</v>
      </c>
      <c r="AL23" t="e">
        <f>AND('Planilla_General_29-11-2012_10_'!H334,"AAAAAD//jiU=")</f>
        <v>#VALUE!</v>
      </c>
      <c r="AM23" t="e">
        <f>AND('Planilla_General_29-11-2012_10_'!I334,"AAAAAD//jiY=")</f>
        <v>#VALUE!</v>
      </c>
      <c r="AN23" t="e">
        <f>AND('Planilla_General_29-11-2012_10_'!J334,"AAAAAD//jic=")</f>
        <v>#VALUE!</v>
      </c>
      <c r="AO23" t="e">
        <f>AND('Planilla_General_29-11-2012_10_'!K334,"AAAAAD//jig=")</f>
        <v>#VALUE!</v>
      </c>
      <c r="AP23" t="e">
        <f>AND('Planilla_General_29-11-2012_10_'!L334,"AAAAAD//jik=")</f>
        <v>#VALUE!</v>
      </c>
      <c r="AQ23" t="e">
        <f>AND('Planilla_General_29-11-2012_10_'!M334,"AAAAAD//jio=")</f>
        <v>#VALUE!</v>
      </c>
      <c r="AR23" t="e">
        <f>AND('Planilla_General_29-11-2012_10_'!N334,"AAAAAD//jis=")</f>
        <v>#VALUE!</v>
      </c>
      <c r="AS23" t="e">
        <f>AND('Planilla_General_29-11-2012_10_'!O334,"AAAAAD//jiw=")</f>
        <v>#VALUE!</v>
      </c>
      <c r="AT23" t="e">
        <f>AND('Planilla_General_29-11-2012_10_'!P334,"AAAAAD//ji0=")</f>
        <v>#VALUE!</v>
      </c>
      <c r="AU23">
        <f>IF('Planilla_General_29-11-2012_10_'!335:335,"AAAAAD//ji4=",0)</f>
        <v>0</v>
      </c>
      <c r="AV23" t="e">
        <f>AND('Planilla_General_29-11-2012_10_'!A335,"AAAAAD//ji8=")</f>
        <v>#VALUE!</v>
      </c>
      <c r="AW23" t="e">
        <f>AND('Planilla_General_29-11-2012_10_'!B335,"AAAAAD//jjA=")</f>
        <v>#VALUE!</v>
      </c>
      <c r="AX23" t="e">
        <f>AND('Planilla_General_29-11-2012_10_'!C335,"AAAAAD//jjE=")</f>
        <v>#VALUE!</v>
      </c>
      <c r="AY23" t="e">
        <f>AND('Planilla_General_29-11-2012_10_'!D335,"AAAAAD//jjI=")</f>
        <v>#VALUE!</v>
      </c>
      <c r="AZ23" t="e">
        <f>AND('Planilla_General_29-11-2012_10_'!E335,"AAAAAD//jjM=")</f>
        <v>#VALUE!</v>
      </c>
      <c r="BA23" t="e">
        <f>AND('Planilla_General_29-11-2012_10_'!F335,"AAAAAD//jjQ=")</f>
        <v>#VALUE!</v>
      </c>
      <c r="BB23" t="e">
        <f>AND('Planilla_General_29-11-2012_10_'!G335,"AAAAAD//jjU=")</f>
        <v>#VALUE!</v>
      </c>
      <c r="BC23" t="e">
        <f>AND('Planilla_General_29-11-2012_10_'!H335,"AAAAAD//jjY=")</f>
        <v>#VALUE!</v>
      </c>
      <c r="BD23" t="e">
        <f>AND('Planilla_General_29-11-2012_10_'!I335,"AAAAAD//jjc=")</f>
        <v>#VALUE!</v>
      </c>
      <c r="BE23" t="e">
        <f>AND('Planilla_General_29-11-2012_10_'!J335,"AAAAAD//jjg=")</f>
        <v>#VALUE!</v>
      </c>
      <c r="BF23" t="e">
        <f>AND('Planilla_General_29-11-2012_10_'!K335,"AAAAAD//jjk=")</f>
        <v>#VALUE!</v>
      </c>
      <c r="BG23" t="e">
        <f>AND('Planilla_General_29-11-2012_10_'!L335,"AAAAAD//jjo=")</f>
        <v>#VALUE!</v>
      </c>
      <c r="BH23" t="e">
        <f>AND('Planilla_General_29-11-2012_10_'!M335,"AAAAAD//jjs=")</f>
        <v>#VALUE!</v>
      </c>
      <c r="BI23" t="e">
        <f>AND('Planilla_General_29-11-2012_10_'!N335,"AAAAAD//jjw=")</f>
        <v>#VALUE!</v>
      </c>
      <c r="BJ23" t="e">
        <f>AND('Planilla_General_29-11-2012_10_'!O335,"AAAAAD//jj0=")</f>
        <v>#VALUE!</v>
      </c>
      <c r="BK23" t="e">
        <f>AND('Planilla_General_29-11-2012_10_'!P335,"AAAAAD//jj4=")</f>
        <v>#VALUE!</v>
      </c>
      <c r="BL23">
        <f>IF('Planilla_General_29-11-2012_10_'!336:336,"AAAAAD//jj8=",0)</f>
        <v>0</v>
      </c>
      <c r="BM23" t="e">
        <f>AND('Planilla_General_29-11-2012_10_'!A336,"AAAAAD//jkA=")</f>
        <v>#VALUE!</v>
      </c>
      <c r="BN23" t="e">
        <f>AND('Planilla_General_29-11-2012_10_'!B336,"AAAAAD//jkE=")</f>
        <v>#VALUE!</v>
      </c>
      <c r="BO23" t="e">
        <f>AND('Planilla_General_29-11-2012_10_'!C336,"AAAAAD//jkI=")</f>
        <v>#VALUE!</v>
      </c>
      <c r="BP23" t="e">
        <f>AND('Planilla_General_29-11-2012_10_'!D336,"AAAAAD//jkM=")</f>
        <v>#VALUE!</v>
      </c>
      <c r="BQ23" t="e">
        <f>AND('Planilla_General_29-11-2012_10_'!E336,"AAAAAD//jkQ=")</f>
        <v>#VALUE!</v>
      </c>
      <c r="BR23" t="e">
        <f>AND('Planilla_General_29-11-2012_10_'!F336,"AAAAAD//jkU=")</f>
        <v>#VALUE!</v>
      </c>
      <c r="BS23" t="e">
        <f>AND('Planilla_General_29-11-2012_10_'!G336,"AAAAAD//jkY=")</f>
        <v>#VALUE!</v>
      </c>
      <c r="BT23" t="e">
        <f>AND('Planilla_General_29-11-2012_10_'!H336,"AAAAAD//jkc=")</f>
        <v>#VALUE!</v>
      </c>
      <c r="BU23" t="e">
        <f>AND('Planilla_General_29-11-2012_10_'!I336,"AAAAAD//jkg=")</f>
        <v>#VALUE!</v>
      </c>
      <c r="BV23" t="e">
        <f>AND('Planilla_General_29-11-2012_10_'!J336,"AAAAAD//jkk=")</f>
        <v>#VALUE!</v>
      </c>
      <c r="BW23" t="e">
        <f>AND('Planilla_General_29-11-2012_10_'!K336,"AAAAAD//jko=")</f>
        <v>#VALUE!</v>
      </c>
      <c r="BX23" t="e">
        <f>AND('Planilla_General_29-11-2012_10_'!L336,"AAAAAD//jks=")</f>
        <v>#VALUE!</v>
      </c>
      <c r="BY23" t="e">
        <f>AND('Planilla_General_29-11-2012_10_'!M336,"AAAAAD//jkw=")</f>
        <v>#VALUE!</v>
      </c>
      <c r="BZ23" t="e">
        <f>AND('Planilla_General_29-11-2012_10_'!N336,"AAAAAD//jk0=")</f>
        <v>#VALUE!</v>
      </c>
      <c r="CA23" t="e">
        <f>AND('Planilla_General_29-11-2012_10_'!O336,"AAAAAD//jk4=")</f>
        <v>#VALUE!</v>
      </c>
      <c r="CB23" t="e">
        <f>AND('Planilla_General_29-11-2012_10_'!P336,"AAAAAD//jk8=")</f>
        <v>#VALUE!</v>
      </c>
      <c r="CC23">
        <f>IF('Planilla_General_29-11-2012_10_'!337:337,"AAAAAD//jlA=",0)</f>
        <v>0</v>
      </c>
      <c r="CD23" t="e">
        <f>AND('Planilla_General_29-11-2012_10_'!A337,"AAAAAD//jlE=")</f>
        <v>#VALUE!</v>
      </c>
      <c r="CE23" t="e">
        <f>AND('Planilla_General_29-11-2012_10_'!B337,"AAAAAD//jlI=")</f>
        <v>#VALUE!</v>
      </c>
      <c r="CF23" t="e">
        <f>AND('Planilla_General_29-11-2012_10_'!C337,"AAAAAD//jlM=")</f>
        <v>#VALUE!</v>
      </c>
      <c r="CG23" t="e">
        <f>AND('Planilla_General_29-11-2012_10_'!D337,"AAAAAD//jlQ=")</f>
        <v>#VALUE!</v>
      </c>
      <c r="CH23" t="e">
        <f>AND('Planilla_General_29-11-2012_10_'!E337,"AAAAAD//jlU=")</f>
        <v>#VALUE!</v>
      </c>
      <c r="CI23" t="e">
        <f>AND('Planilla_General_29-11-2012_10_'!F337,"AAAAAD//jlY=")</f>
        <v>#VALUE!</v>
      </c>
      <c r="CJ23" t="e">
        <f>AND('Planilla_General_29-11-2012_10_'!G337,"AAAAAD//jlc=")</f>
        <v>#VALUE!</v>
      </c>
      <c r="CK23" t="e">
        <f>AND('Planilla_General_29-11-2012_10_'!H337,"AAAAAD//jlg=")</f>
        <v>#VALUE!</v>
      </c>
      <c r="CL23" t="e">
        <f>AND('Planilla_General_29-11-2012_10_'!I337,"AAAAAD//jlk=")</f>
        <v>#VALUE!</v>
      </c>
      <c r="CM23" t="e">
        <f>AND('Planilla_General_29-11-2012_10_'!J337,"AAAAAD//jlo=")</f>
        <v>#VALUE!</v>
      </c>
      <c r="CN23" t="e">
        <f>AND('Planilla_General_29-11-2012_10_'!K337,"AAAAAD//jls=")</f>
        <v>#VALUE!</v>
      </c>
      <c r="CO23" t="e">
        <f>AND('Planilla_General_29-11-2012_10_'!L337,"AAAAAD//jlw=")</f>
        <v>#VALUE!</v>
      </c>
      <c r="CP23" t="e">
        <f>AND('Planilla_General_29-11-2012_10_'!M337,"AAAAAD//jl0=")</f>
        <v>#VALUE!</v>
      </c>
      <c r="CQ23" t="e">
        <f>AND('Planilla_General_29-11-2012_10_'!N337,"AAAAAD//jl4=")</f>
        <v>#VALUE!</v>
      </c>
      <c r="CR23" t="e">
        <f>AND('Planilla_General_29-11-2012_10_'!O337,"AAAAAD//jl8=")</f>
        <v>#VALUE!</v>
      </c>
      <c r="CS23" t="e">
        <f>AND('Planilla_General_29-11-2012_10_'!P337,"AAAAAD//jmA=")</f>
        <v>#VALUE!</v>
      </c>
      <c r="CT23">
        <f>IF('Planilla_General_29-11-2012_10_'!338:338,"AAAAAD//jmE=",0)</f>
        <v>0</v>
      </c>
      <c r="CU23" t="e">
        <f>AND('Planilla_General_29-11-2012_10_'!A338,"AAAAAD//jmI=")</f>
        <v>#VALUE!</v>
      </c>
      <c r="CV23" t="e">
        <f>AND('Planilla_General_29-11-2012_10_'!B338,"AAAAAD//jmM=")</f>
        <v>#VALUE!</v>
      </c>
      <c r="CW23" t="e">
        <f>AND('Planilla_General_29-11-2012_10_'!C338,"AAAAAD//jmQ=")</f>
        <v>#VALUE!</v>
      </c>
      <c r="CX23" t="e">
        <f>AND('Planilla_General_29-11-2012_10_'!D338,"AAAAAD//jmU=")</f>
        <v>#VALUE!</v>
      </c>
      <c r="CY23" t="e">
        <f>AND('Planilla_General_29-11-2012_10_'!E338,"AAAAAD//jmY=")</f>
        <v>#VALUE!</v>
      </c>
      <c r="CZ23" t="e">
        <f>AND('Planilla_General_29-11-2012_10_'!F338,"AAAAAD//jmc=")</f>
        <v>#VALUE!</v>
      </c>
      <c r="DA23" t="e">
        <f>AND('Planilla_General_29-11-2012_10_'!G338,"AAAAAD//jmg=")</f>
        <v>#VALUE!</v>
      </c>
      <c r="DB23" t="e">
        <f>AND('Planilla_General_29-11-2012_10_'!H338,"AAAAAD//jmk=")</f>
        <v>#VALUE!</v>
      </c>
      <c r="DC23" t="e">
        <f>AND('Planilla_General_29-11-2012_10_'!I338,"AAAAAD//jmo=")</f>
        <v>#VALUE!</v>
      </c>
      <c r="DD23" t="e">
        <f>AND('Planilla_General_29-11-2012_10_'!J338,"AAAAAD//jms=")</f>
        <v>#VALUE!</v>
      </c>
      <c r="DE23" t="e">
        <f>AND('Planilla_General_29-11-2012_10_'!K338,"AAAAAD//jmw=")</f>
        <v>#VALUE!</v>
      </c>
      <c r="DF23" t="e">
        <f>AND('Planilla_General_29-11-2012_10_'!L338,"AAAAAD//jm0=")</f>
        <v>#VALUE!</v>
      </c>
      <c r="DG23" t="e">
        <f>AND('Planilla_General_29-11-2012_10_'!M338,"AAAAAD//jm4=")</f>
        <v>#VALUE!</v>
      </c>
      <c r="DH23" t="e">
        <f>AND('Planilla_General_29-11-2012_10_'!N338,"AAAAAD//jm8=")</f>
        <v>#VALUE!</v>
      </c>
      <c r="DI23" t="e">
        <f>AND('Planilla_General_29-11-2012_10_'!O338,"AAAAAD//jnA=")</f>
        <v>#VALUE!</v>
      </c>
      <c r="DJ23" t="e">
        <f>AND('Planilla_General_29-11-2012_10_'!P338,"AAAAAD//jnE=")</f>
        <v>#VALUE!</v>
      </c>
      <c r="DK23">
        <f>IF('Planilla_General_29-11-2012_10_'!339:339,"AAAAAD//jnI=",0)</f>
        <v>0</v>
      </c>
      <c r="DL23" t="e">
        <f>AND('Planilla_General_29-11-2012_10_'!A339,"AAAAAD//jnM=")</f>
        <v>#VALUE!</v>
      </c>
      <c r="DM23" t="e">
        <f>AND('Planilla_General_29-11-2012_10_'!B339,"AAAAAD//jnQ=")</f>
        <v>#VALUE!</v>
      </c>
      <c r="DN23" t="e">
        <f>AND('Planilla_General_29-11-2012_10_'!C339,"AAAAAD//jnU=")</f>
        <v>#VALUE!</v>
      </c>
      <c r="DO23" t="e">
        <f>AND('Planilla_General_29-11-2012_10_'!D339,"AAAAAD//jnY=")</f>
        <v>#VALUE!</v>
      </c>
      <c r="DP23" t="e">
        <f>AND('Planilla_General_29-11-2012_10_'!E339,"AAAAAD//jnc=")</f>
        <v>#VALUE!</v>
      </c>
      <c r="DQ23" t="e">
        <f>AND('Planilla_General_29-11-2012_10_'!F339,"AAAAAD//jng=")</f>
        <v>#VALUE!</v>
      </c>
      <c r="DR23" t="e">
        <f>AND('Planilla_General_29-11-2012_10_'!G339,"AAAAAD//jnk=")</f>
        <v>#VALUE!</v>
      </c>
      <c r="DS23" t="e">
        <f>AND('Planilla_General_29-11-2012_10_'!H339,"AAAAAD//jno=")</f>
        <v>#VALUE!</v>
      </c>
      <c r="DT23" t="e">
        <f>AND('Planilla_General_29-11-2012_10_'!I339,"AAAAAD//jns=")</f>
        <v>#VALUE!</v>
      </c>
      <c r="DU23" t="e">
        <f>AND('Planilla_General_29-11-2012_10_'!J339,"AAAAAD//jnw=")</f>
        <v>#VALUE!</v>
      </c>
      <c r="DV23" t="e">
        <f>AND('Planilla_General_29-11-2012_10_'!K339,"AAAAAD//jn0=")</f>
        <v>#VALUE!</v>
      </c>
      <c r="DW23" t="e">
        <f>AND('Planilla_General_29-11-2012_10_'!L339,"AAAAAD//jn4=")</f>
        <v>#VALUE!</v>
      </c>
      <c r="DX23" t="e">
        <f>AND('Planilla_General_29-11-2012_10_'!M339,"AAAAAD//jn8=")</f>
        <v>#VALUE!</v>
      </c>
      <c r="DY23" t="e">
        <f>AND('Planilla_General_29-11-2012_10_'!N339,"AAAAAD//joA=")</f>
        <v>#VALUE!</v>
      </c>
      <c r="DZ23" t="e">
        <f>AND('Planilla_General_29-11-2012_10_'!O339,"AAAAAD//joE=")</f>
        <v>#VALUE!</v>
      </c>
      <c r="EA23" t="e">
        <f>AND('Planilla_General_29-11-2012_10_'!P339,"AAAAAD//joI=")</f>
        <v>#VALUE!</v>
      </c>
      <c r="EB23">
        <f>IF('Planilla_General_29-11-2012_10_'!340:340,"AAAAAD//joM=",0)</f>
        <v>0</v>
      </c>
      <c r="EC23" t="e">
        <f>AND('Planilla_General_29-11-2012_10_'!A340,"AAAAAD//joQ=")</f>
        <v>#VALUE!</v>
      </c>
      <c r="ED23" t="e">
        <f>AND('Planilla_General_29-11-2012_10_'!B340,"AAAAAD//joU=")</f>
        <v>#VALUE!</v>
      </c>
      <c r="EE23" t="e">
        <f>AND('Planilla_General_29-11-2012_10_'!C340,"AAAAAD//joY=")</f>
        <v>#VALUE!</v>
      </c>
      <c r="EF23" t="e">
        <f>AND('Planilla_General_29-11-2012_10_'!D340,"AAAAAD//joc=")</f>
        <v>#VALUE!</v>
      </c>
      <c r="EG23" t="e">
        <f>AND('Planilla_General_29-11-2012_10_'!E340,"AAAAAD//jog=")</f>
        <v>#VALUE!</v>
      </c>
      <c r="EH23" t="e">
        <f>AND('Planilla_General_29-11-2012_10_'!F340,"AAAAAD//jok=")</f>
        <v>#VALUE!</v>
      </c>
      <c r="EI23" t="e">
        <f>AND('Planilla_General_29-11-2012_10_'!G340,"AAAAAD//joo=")</f>
        <v>#VALUE!</v>
      </c>
      <c r="EJ23" t="e">
        <f>AND('Planilla_General_29-11-2012_10_'!H340,"AAAAAD//jos=")</f>
        <v>#VALUE!</v>
      </c>
      <c r="EK23" t="e">
        <f>AND('Planilla_General_29-11-2012_10_'!I340,"AAAAAD//jow=")</f>
        <v>#VALUE!</v>
      </c>
      <c r="EL23" t="e">
        <f>AND('Planilla_General_29-11-2012_10_'!J340,"AAAAAD//jo0=")</f>
        <v>#VALUE!</v>
      </c>
      <c r="EM23" t="e">
        <f>AND('Planilla_General_29-11-2012_10_'!K340,"AAAAAD//jo4=")</f>
        <v>#VALUE!</v>
      </c>
      <c r="EN23" t="e">
        <f>AND('Planilla_General_29-11-2012_10_'!L340,"AAAAAD//jo8=")</f>
        <v>#VALUE!</v>
      </c>
      <c r="EO23" t="e">
        <f>AND('Planilla_General_29-11-2012_10_'!M340,"AAAAAD//jpA=")</f>
        <v>#VALUE!</v>
      </c>
      <c r="EP23" t="e">
        <f>AND('Planilla_General_29-11-2012_10_'!N340,"AAAAAD//jpE=")</f>
        <v>#VALUE!</v>
      </c>
      <c r="EQ23" t="e">
        <f>AND('Planilla_General_29-11-2012_10_'!O340,"AAAAAD//jpI=")</f>
        <v>#VALUE!</v>
      </c>
      <c r="ER23" t="e">
        <f>AND('Planilla_General_29-11-2012_10_'!P340,"AAAAAD//jpM=")</f>
        <v>#VALUE!</v>
      </c>
      <c r="ES23">
        <f>IF('Planilla_General_29-11-2012_10_'!341:341,"AAAAAD//jpQ=",0)</f>
        <v>0</v>
      </c>
      <c r="ET23" t="e">
        <f>AND('Planilla_General_29-11-2012_10_'!A341,"AAAAAD//jpU=")</f>
        <v>#VALUE!</v>
      </c>
      <c r="EU23" t="e">
        <f>AND('Planilla_General_29-11-2012_10_'!B341,"AAAAAD//jpY=")</f>
        <v>#VALUE!</v>
      </c>
      <c r="EV23" t="e">
        <f>AND('Planilla_General_29-11-2012_10_'!C341,"AAAAAD//jpc=")</f>
        <v>#VALUE!</v>
      </c>
      <c r="EW23" t="e">
        <f>AND('Planilla_General_29-11-2012_10_'!D341,"AAAAAD//jpg=")</f>
        <v>#VALUE!</v>
      </c>
      <c r="EX23" t="e">
        <f>AND('Planilla_General_29-11-2012_10_'!E341,"AAAAAD//jpk=")</f>
        <v>#VALUE!</v>
      </c>
      <c r="EY23" t="e">
        <f>AND('Planilla_General_29-11-2012_10_'!F341,"AAAAAD//jpo=")</f>
        <v>#VALUE!</v>
      </c>
      <c r="EZ23" t="e">
        <f>AND('Planilla_General_29-11-2012_10_'!G341,"AAAAAD//jps=")</f>
        <v>#VALUE!</v>
      </c>
      <c r="FA23" t="e">
        <f>AND('Planilla_General_29-11-2012_10_'!H341,"AAAAAD//jpw=")</f>
        <v>#VALUE!</v>
      </c>
      <c r="FB23" t="e">
        <f>AND('Planilla_General_29-11-2012_10_'!I341,"AAAAAD//jp0=")</f>
        <v>#VALUE!</v>
      </c>
      <c r="FC23" t="e">
        <f>AND('Planilla_General_29-11-2012_10_'!J341,"AAAAAD//jp4=")</f>
        <v>#VALUE!</v>
      </c>
      <c r="FD23" t="e">
        <f>AND('Planilla_General_29-11-2012_10_'!K341,"AAAAAD//jp8=")</f>
        <v>#VALUE!</v>
      </c>
      <c r="FE23" t="e">
        <f>AND('Planilla_General_29-11-2012_10_'!L341,"AAAAAD//jqA=")</f>
        <v>#VALUE!</v>
      </c>
      <c r="FF23" t="e">
        <f>AND('Planilla_General_29-11-2012_10_'!M341,"AAAAAD//jqE=")</f>
        <v>#VALUE!</v>
      </c>
      <c r="FG23" t="e">
        <f>AND('Planilla_General_29-11-2012_10_'!N341,"AAAAAD//jqI=")</f>
        <v>#VALUE!</v>
      </c>
      <c r="FH23" t="e">
        <f>AND('Planilla_General_29-11-2012_10_'!O341,"AAAAAD//jqM=")</f>
        <v>#VALUE!</v>
      </c>
      <c r="FI23" t="e">
        <f>AND('Planilla_General_29-11-2012_10_'!P341,"AAAAAD//jqQ=")</f>
        <v>#VALUE!</v>
      </c>
      <c r="FJ23">
        <f>IF('Planilla_General_29-11-2012_10_'!342:342,"AAAAAD//jqU=",0)</f>
        <v>0</v>
      </c>
      <c r="FK23" t="e">
        <f>AND('Planilla_General_29-11-2012_10_'!A342,"AAAAAD//jqY=")</f>
        <v>#VALUE!</v>
      </c>
      <c r="FL23" t="e">
        <f>AND('Planilla_General_29-11-2012_10_'!B342,"AAAAAD//jqc=")</f>
        <v>#VALUE!</v>
      </c>
      <c r="FM23" t="e">
        <f>AND('Planilla_General_29-11-2012_10_'!C342,"AAAAAD//jqg=")</f>
        <v>#VALUE!</v>
      </c>
      <c r="FN23" t="e">
        <f>AND('Planilla_General_29-11-2012_10_'!D342,"AAAAAD//jqk=")</f>
        <v>#VALUE!</v>
      </c>
      <c r="FO23" t="e">
        <f>AND('Planilla_General_29-11-2012_10_'!E342,"AAAAAD//jqo=")</f>
        <v>#VALUE!</v>
      </c>
      <c r="FP23" t="e">
        <f>AND('Planilla_General_29-11-2012_10_'!F342,"AAAAAD//jqs=")</f>
        <v>#VALUE!</v>
      </c>
      <c r="FQ23" t="e">
        <f>AND('Planilla_General_29-11-2012_10_'!G342,"AAAAAD//jqw=")</f>
        <v>#VALUE!</v>
      </c>
      <c r="FR23" t="e">
        <f>AND('Planilla_General_29-11-2012_10_'!H342,"AAAAAD//jq0=")</f>
        <v>#VALUE!</v>
      </c>
      <c r="FS23" t="e">
        <f>AND('Planilla_General_29-11-2012_10_'!I342,"AAAAAD//jq4=")</f>
        <v>#VALUE!</v>
      </c>
      <c r="FT23" t="e">
        <f>AND('Planilla_General_29-11-2012_10_'!J342,"AAAAAD//jq8=")</f>
        <v>#VALUE!</v>
      </c>
      <c r="FU23" t="e">
        <f>AND('Planilla_General_29-11-2012_10_'!K342,"AAAAAD//jrA=")</f>
        <v>#VALUE!</v>
      </c>
      <c r="FV23" t="e">
        <f>AND('Planilla_General_29-11-2012_10_'!L342,"AAAAAD//jrE=")</f>
        <v>#VALUE!</v>
      </c>
      <c r="FW23" t="e">
        <f>AND('Planilla_General_29-11-2012_10_'!M342,"AAAAAD//jrI=")</f>
        <v>#VALUE!</v>
      </c>
      <c r="FX23" t="e">
        <f>AND('Planilla_General_29-11-2012_10_'!N342,"AAAAAD//jrM=")</f>
        <v>#VALUE!</v>
      </c>
      <c r="FY23" t="e">
        <f>AND('Planilla_General_29-11-2012_10_'!O342,"AAAAAD//jrQ=")</f>
        <v>#VALUE!</v>
      </c>
      <c r="FZ23" t="e">
        <f>AND('Planilla_General_29-11-2012_10_'!P342,"AAAAAD//jrU=")</f>
        <v>#VALUE!</v>
      </c>
      <c r="GA23">
        <f>IF('Planilla_General_29-11-2012_10_'!343:343,"AAAAAD//jrY=",0)</f>
        <v>0</v>
      </c>
      <c r="GB23" t="e">
        <f>AND('Planilla_General_29-11-2012_10_'!A343,"AAAAAD//jrc=")</f>
        <v>#VALUE!</v>
      </c>
      <c r="GC23" t="e">
        <f>AND('Planilla_General_29-11-2012_10_'!B343,"AAAAAD//jrg=")</f>
        <v>#VALUE!</v>
      </c>
      <c r="GD23" t="e">
        <f>AND('Planilla_General_29-11-2012_10_'!C343,"AAAAAD//jrk=")</f>
        <v>#VALUE!</v>
      </c>
      <c r="GE23" t="e">
        <f>AND('Planilla_General_29-11-2012_10_'!D343,"AAAAAD//jro=")</f>
        <v>#VALUE!</v>
      </c>
      <c r="GF23" t="e">
        <f>AND('Planilla_General_29-11-2012_10_'!E343,"AAAAAD//jrs=")</f>
        <v>#VALUE!</v>
      </c>
      <c r="GG23" t="e">
        <f>AND('Planilla_General_29-11-2012_10_'!F343,"AAAAAD//jrw=")</f>
        <v>#VALUE!</v>
      </c>
      <c r="GH23" t="e">
        <f>AND('Planilla_General_29-11-2012_10_'!G343,"AAAAAD//jr0=")</f>
        <v>#VALUE!</v>
      </c>
      <c r="GI23" t="e">
        <f>AND('Planilla_General_29-11-2012_10_'!H343,"AAAAAD//jr4=")</f>
        <v>#VALUE!</v>
      </c>
      <c r="GJ23" t="e">
        <f>AND('Planilla_General_29-11-2012_10_'!I343,"AAAAAD//jr8=")</f>
        <v>#VALUE!</v>
      </c>
      <c r="GK23" t="e">
        <f>AND('Planilla_General_29-11-2012_10_'!J343,"AAAAAD//jsA=")</f>
        <v>#VALUE!</v>
      </c>
      <c r="GL23" t="e">
        <f>AND('Planilla_General_29-11-2012_10_'!K343,"AAAAAD//jsE=")</f>
        <v>#VALUE!</v>
      </c>
      <c r="GM23" t="e">
        <f>AND('Planilla_General_29-11-2012_10_'!L343,"AAAAAD//jsI=")</f>
        <v>#VALUE!</v>
      </c>
      <c r="GN23" t="e">
        <f>AND('Planilla_General_29-11-2012_10_'!M343,"AAAAAD//jsM=")</f>
        <v>#VALUE!</v>
      </c>
      <c r="GO23" t="e">
        <f>AND('Planilla_General_29-11-2012_10_'!N343,"AAAAAD//jsQ=")</f>
        <v>#VALUE!</v>
      </c>
      <c r="GP23" t="e">
        <f>AND('Planilla_General_29-11-2012_10_'!O343,"AAAAAD//jsU=")</f>
        <v>#VALUE!</v>
      </c>
      <c r="GQ23" t="e">
        <f>AND('Planilla_General_29-11-2012_10_'!P343,"AAAAAD//jsY=")</f>
        <v>#VALUE!</v>
      </c>
      <c r="GR23">
        <f>IF('Planilla_General_29-11-2012_10_'!344:344,"AAAAAD//jsc=",0)</f>
        <v>0</v>
      </c>
      <c r="GS23" t="e">
        <f>AND('Planilla_General_29-11-2012_10_'!A344,"AAAAAD//jsg=")</f>
        <v>#VALUE!</v>
      </c>
      <c r="GT23" t="e">
        <f>AND('Planilla_General_29-11-2012_10_'!B344,"AAAAAD//jsk=")</f>
        <v>#VALUE!</v>
      </c>
      <c r="GU23" t="e">
        <f>AND('Planilla_General_29-11-2012_10_'!C344,"AAAAAD//jso=")</f>
        <v>#VALUE!</v>
      </c>
      <c r="GV23" t="e">
        <f>AND('Planilla_General_29-11-2012_10_'!D344,"AAAAAD//jss=")</f>
        <v>#VALUE!</v>
      </c>
      <c r="GW23" t="e">
        <f>AND('Planilla_General_29-11-2012_10_'!E344,"AAAAAD//jsw=")</f>
        <v>#VALUE!</v>
      </c>
      <c r="GX23" t="e">
        <f>AND('Planilla_General_29-11-2012_10_'!F344,"AAAAAD//js0=")</f>
        <v>#VALUE!</v>
      </c>
      <c r="GY23" t="e">
        <f>AND('Planilla_General_29-11-2012_10_'!G344,"AAAAAD//js4=")</f>
        <v>#VALUE!</v>
      </c>
      <c r="GZ23" t="e">
        <f>AND('Planilla_General_29-11-2012_10_'!H344,"AAAAAD//js8=")</f>
        <v>#VALUE!</v>
      </c>
      <c r="HA23" t="e">
        <f>AND('Planilla_General_29-11-2012_10_'!I344,"AAAAAD//jtA=")</f>
        <v>#VALUE!</v>
      </c>
      <c r="HB23" t="e">
        <f>AND('Planilla_General_29-11-2012_10_'!J344,"AAAAAD//jtE=")</f>
        <v>#VALUE!</v>
      </c>
      <c r="HC23" t="e">
        <f>AND('Planilla_General_29-11-2012_10_'!K344,"AAAAAD//jtI=")</f>
        <v>#VALUE!</v>
      </c>
      <c r="HD23" t="e">
        <f>AND('Planilla_General_29-11-2012_10_'!L344,"AAAAAD//jtM=")</f>
        <v>#VALUE!</v>
      </c>
      <c r="HE23" t="e">
        <f>AND('Planilla_General_29-11-2012_10_'!M344,"AAAAAD//jtQ=")</f>
        <v>#VALUE!</v>
      </c>
      <c r="HF23" t="e">
        <f>AND('Planilla_General_29-11-2012_10_'!N344,"AAAAAD//jtU=")</f>
        <v>#VALUE!</v>
      </c>
      <c r="HG23" t="e">
        <f>AND('Planilla_General_29-11-2012_10_'!O344,"AAAAAD//jtY=")</f>
        <v>#VALUE!</v>
      </c>
      <c r="HH23" t="e">
        <f>AND('Planilla_General_29-11-2012_10_'!P344,"AAAAAD//jtc=")</f>
        <v>#VALUE!</v>
      </c>
      <c r="HI23">
        <f>IF('Planilla_General_29-11-2012_10_'!345:345,"AAAAAD//jtg=",0)</f>
        <v>0</v>
      </c>
      <c r="HJ23" t="e">
        <f>AND('Planilla_General_29-11-2012_10_'!A345,"AAAAAD//jtk=")</f>
        <v>#VALUE!</v>
      </c>
      <c r="HK23" t="e">
        <f>AND('Planilla_General_29-11-2012_10_'!B345,"AAAAAD//jto=")</f>
        <v>#VALUE!</v>
      </c>
      <c r="HL23" t="e">
        <f>AND('Planilla_General_29-11-2012_10_'!C345,"AAAAAD//jts=")</f>
        <v>#VALUE!</v>
      </c>
      <c r="HM23" t="e">
        <f>AND('Planilla_General_29-11-2012_10_'!D345,"AAAAAD//jtw=")</f>
        <v>#VALUE!</v>
      </c>
      <c r="HN23" t="e">
        <f>AND('Planilla_General_29-11-2012_10_'!E345,"AAAAAD//jt0=")</f>
        <v>#VALUE!</v>
      </c>
      <c r="HO23" t="e">
        <f>AND('Planilla_General_29-11-2012_10_'!F345,"AAAAAD//jt4=")</f>
        <v>#VALUE!</v>
      </c>
      <c r="HP23" t="e">
        <f>AND('Planilla_General_29-11-2012_10_'!G345,"AAAAAD//jt8=")</f>
        <v>#VALUE!</v>
      </c>
      <c r="HQ23" t="e">
        <f>AND('Planilla_General_29-11-2012_10_'!H345,"AAAAAD//juA=")</f>
        <v>#VALUE!</v>
      </c>
      <c r="HR23" t="e">
        <f>AND('Planilla_General_29-11-2012_10_'!I345,"AAAAAD//juE=")</f>
        <v>#VALUE!</v>
      </c>
      <c r="HS23" t="e">
        <f>AND('Planilla_General_29-11-2012_10_'!J345,"AAAAAD//juI=")</f>
        <v>#VALUE!</v>
      </c>
      <c r="HT23" t="e">
        <f>AND('Planilla_General_29-11-2012_10_'!K345,"AAAAAD//juM=")</f>
        <v>#VALUE!</v>
      </c>
      <c r="HU23" t="e">
        <f>AND('Planilla_General_29-11-2012_10_'!L345,"AAAAAD//juQ=")</f>
        <v>#VALUE!</v>
      </c>
      <c r="HV23" t="e">
        <f>AND('Planilla_General_29-11-2012_10_'!M345,"AAAAAD//juU=")</f>
        <v>#VALUE!</v>
      </c>
      <c r="HW23" t="e">
        <f>AND('Planilla_General_29-11-2012_10_'!N345,"AAAAAD//juY=")</f>
        <v>#VALUE!</v>
      </c>
      <c r="HX23" t="e">
        <f>AND('Planilla_General_29-11-2012_10_'!O345,"AAAAAD//juc=")</f>
        <v>#VALUE!</v>
      </c>
      <c r="HY23" t="e">
        <f>AND('Planilla_General_29-11-2012_10_'!P345,"AAAAAD//jug=")</f>
        <v>#VALUE!</v>
      </c>
      <c r="HZ23">
        <f>IF('Planilla_General_29-11-2012_10_'!346:346,"AAAAAD//juk=",0)</f>
        <v>0</v>
      </c>
      <c r="IA23" t="e">
        <f>AND('Planilla_General_29-11-2012_10_'!A346,"AAAAAD//juo=")</f>
        <v>#VALUE!</v>
      </c>
      <c r="IB23" t="e">
        <f>AND('Planilla_General_29-11-2012_10_'!B346,"AAAAAD//jus=")</f>
        <v>#VALUE!</v>
      </c>
      <c r="IC23" t="e">
        <f>AND('Planilla_General_29-11-2012_10_'!C346,"AAAAAD//juw=")</f>
        <v>#VALUE!</v>
      </c>
      <c r="ID23" t="e">
        <f>AND('Planilla_General_29-11-2012_10_'!D346,"AAAAAD//ju0=")</f>
        <v>#VALUE!</v>
      </c>
      <c r="IE23" t="e">
        <f>AND('Planilla_General_29-11-2012_10_'!E346,"AAAAAD//ju4=")</f>
        <v>#VALUE!</v>
      </c>
      <c r="IF23" t="e">
        <f>AND('Planilla_General_29-11-2012_10_'!F346,"AAAAAD//ju8=")</f>
        <v>#VALUE!</v>
      </c>
      <c r="IG23" t="e">
        <f>AND('Planilla_General_29-11-2012_10_'!G346,"AAAAAD//jvA=")</f>
        <v>#VALUE!</v>
      </c>
      <c r="IH23" t="e">
        <f>AND('Planilla_General_29-11-2012_10_'!H346,"AAAAAD//jvE=")</f>
        <v>#VALUE!</v>
      </c>
      <c r="II23" t="e">
        <f>AND('Planilla_General_29-11-2012_10_'!I346,"AAAAAD//jvI=")</f>
        <v>#VALUE!</v>
      </c>
      <c r="IJ23" t="e">
        <f>AND('Planilla_General_29-11-2012_10_'!J346,"AAAAAD//jvM=")</f>
        <v>#VALUE!</v>
      </c>
      <c r="IK23" t="e">
        <f>AND('Planilla_General_29-11-2012_10_'!K346,"AAAAAD//jvQ=")</f>
        <v>#VALUE!</v>
      </c>
      <c r="IL23" t="e">
        <f>AND('Planilla_General_29-11-2012_10_'!L346,"AAAAAD//jvU=")</f>
        <v>#VALUE!</v>
      </c>
      <c r="IM23" t="e">
        <f>AND('Planilla_General_29-11-2012_10_'!M346,"AAAAAD//jvY=")</f>
        <v>#VALUE!</v>
      </c>
      <c r="IN23" t="e">
        <f>AND('Planilla_General_29-11-2012_10_'!N346,"AAAAAD//jvc=")</f>
        <v>#VALUE!</v>
      </c>
      <c r="IO23" t="e">
        <f>AND('Planilla_General_29-11-2012_10_'!O346,"AAAAAD//jvg=")</f>
        <v>#VALUE!</v>
      </c>
      <c r="IP23" t="e">
        <f>AND('Planilla_General_29-11-2012_10_'!P346,"AAAAAD//jvk=")</f>
        <v>#VALUE!</v>
      </c>
      <c r="IQ23">
        <f>IF('Planilla_General_29-11-2012_10_'!347:347,"AAAAAD//jvo=",0)</f>
        <v>0</v>
      </c>
      <c r="IR23" t="e">
        <f>AND('Planilla_General_29-11-2012_10_'!A347,"AAAAAD//jvs=")</f>
        <v>#VALUE!</v>
      </c>
      <c r="IS23" t="e">
        <f>AND('Planilla_General_29-11-2012_10_'!B347,"AAAAAD//jvw=")</f>
        <v>#VALUE!</v>
      </c>
      <c r="IT23" t="e">
        <f>AND('Planilla_General_29-11-2012_10_'!C347,"AAAAAD//jv0=")</f>
        <v>#VALUE!</v>
      </c>
      <c r="IU23" t="e">
        <f>AND('Planilla_General_29-11-2012_10_'!D347,"AAAAAD//jv4=")</f>
        <v>#VALUE!</v>
      </c>
      <c r="IV23" t="e">
        <f>AND('Planilla_General_29-11-2012_10_'!E347,"AAAAAD//jv8=")</f>
        <v>#VALUE!</v>
      </c>
    </row>
    <row r="24" spans="1:256" x14ac:dyDescent="0.25">
      <c r="A24" t="e">
        <f>AND('Planilla_General_29-11-2012_10_'!F347,"AAAAAF8eLgA=")</f>
        <v>#VALUE!</v>
      </c>
      <c r="B24" t="e">
        <f>AND('Planilla_General_29-11-2012_10_'!G347,"AAAAAF8eLgE=")</f>
        <v>#VALUE!</v>
      </c>
      <c r="C24" t="e">
        <f>AND('Planilla_General_29-11-2012_10_'!H347,"AAAAAF8eLgI=")</f>
        <v>#VALUE!</v>
      </c>
      <c r="D24" t="e">
        <f>AND('Planilla_General_29-11-2012_10_'!I347,"AAAAAF8eLgM=")</f>
        <v>#VALUE!</v>
      </c>
      <c r="E24" t="e">
        <f>AND('Planilla_General_29-11-2012_10_'!J347,"AAAAAF8eLgQ=")</f>
        <v>#VALUE!</v>
      </c>
      <c r="F24" t="e">
        <f>AND('Planilla_General_29-11-2012_10_'!K347,"AAAAAF8eLgU=")</f>
        <v>#VALUE!</v>
      </c>
      <c r="G24" t="e">
        <f>AND('Planilla_General_29-11-2012_10_'!L347,"AAAAAF8eLgY=")</f>
        <v>#VALUE!</v>
      </c>
      <c r="H24" t="e">
        <f>AND('Planilla_General_29-11-2012_10_'!M347,"AAAAAF8eLgc=")</f>
        <v>#VALUE!</v>
      </c>
      <c r="I24" t="e">
        <f>AND('Planilla_General_29-11-2012_10_'!N347,"AAAAAF8eLgg=")</f>
        <v>#VALUE!</v>
      </c>
      <c r="J24" t="e">
        <f>AND('Planilla_General_29-11-2012_10_'!O347,"AAAAAF8eLgk=")</f>
        <v>#VALUE!</v>
      </c>
      <c r="K24" t="e">
        <f>AND('Planilla_General_29-11-2012_10_'!P347,"AAAAAF8eLgo=")</f>
        <v>#VALUE!</v>
      </c>
      <c r="L24" t="str">
        <f>IF('Planilla_General_29-11-2012_10_'!348:348,"AAAAAF8eLgs=",0)</f>
        <v>AAAAAF8eLgs=</v>
      </c>
      <c r="M24" t="e">
        <f>AND('Planilla_General_29-11-2012_10_'!A348,"AAAAAF8eLgw=")</f>
        <v>#VALUE!</v>
      </c>
      <c r="N24" t="e">
        <f>AND('Planilla_General_29-11-2012_10_'!B348,"AAAAAF8eLg0=")</f>
        <v>#VALUE!</v>
      </c>
      <c r="O24" t="e">
        <f>AND('Planilla_General_29-11-2012_10_'!C348,"AAAAAF8eLg4=")</f>
        <v>#VALUE!</v>
      </c>
      <c r="P24" t="e">
        <f>AND('Planilla_General_29-11-2012_10_'!D348,"AAAAAF8eLg8=")</f>
        <v>#VALUE!</v>
      </c>
      <c r="Q24" t="e">
        <f>AND('Planilla_General_29-11-2012_10_'!E348,"AAAAAF8eLhA=")</f>
        <v>#VALUE!</v>
      </c>
      <c r="R24" t="e">
        <f>AND('Planilla_General_29-11-2012_10_'!F348,"AAAAAF8eLhE=")</f>
        <v>#VALUE!</v>
      </c>
      <c r="S24" t="e">
        <f>AND('Planilla_General_29-11-2012_10_'!G348,"AAAAAF8eLhI=")</f>
        <v>#VALUE!</v>
      </c>
      <c r="T24" t="e">
        <f>AND('Planilla_General_29-11-2012_10_'!H348,"AAAAAF8eLhM=")</f>
        <v>#VALUE!</v>
      </c>
      <c r="U24" t="e">
        <f>AND('Planilla_General_29-11-2012_10_'!I348,"AAAAAF8eLhQ=")</f>
        <v>#VALUE!</v>
      </c>
      <c r="V24" t="e">
        <f>AND('Planilla_General_29-11-2012_10_'!J348,"AAAAAF8eLhU=")</f>
        <v>#VALUE!</v>
      </c>
      <c r="W24" t="e">
        <f>AND('Planilla_General_29-11-2012_10_'!K348,"AAAAAF8eLhY=")</f>
        <v>#VALUE!</v>
      </c>
      <c r="X24" t="e">
        <f>AND('Planilla_General_29-11-2012_10_'!L348,"AAAAAF8eLhc=")</f>
        <v>#VALUE!</v>
      </c>
      <c r="Y24" t="e">
        <f>AND('Planilla_General_29-11-2012_10_'!M348,"AAAAAF8eLhg=")</f>
        <v>#VALUE!</v>
      </c>
      <c r="Z24" t="e">
        <f>AND('Planilla_General_29-11-2012_10_'!N348,"AAAAAF8eLhk=")</f>
        <v>#VALUE!</v>
      </c>
      <c r="AA24" t="e">
        <f>AND('Planilla_General_29-11-2012_10_'!O348,"AAAAAF8eLho=")</f>
        <v>#VALUE!</v>
      </c>
      <c r="AB24" t="e">
        <f>AND('Planilla_General_29-11-2012_10_'!P348,"AAAAAF8eLhs=")</f>
        <v>#VALUE!</v>
      </c>
      <c r="AC24">
        <f>IF('Planilla_General_29-11-2012_10_'!349:349,"AAAAAF8eLhw=",0)</f>
        <v>0</v>
      </c>
      <c r="AD24" t="e">
        <f>AND('Planilla_General_29-11-2012_10_'!A349,"AAAAAF8eLh0=")</f>
        <v>#VALUE!</v>
      </c>
      <c r="AE24" t="e">
        <f>AND('Planilla_General_29-11-2012_10_'!B349,"AAAAAF8eLh4=")</f>
        <v>#VALUE!</v>
      </c>
      <c r="AF24" t="e">
        <f>AND('Planilla_General_29-11-2012_10_'!C349,"AAAAAF8eLh8=")</f>
        <v>#VALUE!</v>
      </c>
      <c r="AG24" t="e">
        <f>AND('Planilla_General_29-11-2012_10_'!D349,"AAAAAF8eLiA=")</f>
        <v>#VALUE!</v>
      </c>
      <c r="AH24" t="e">
        <f>AND('Planilla_General_29-11-2012_10_'!E349,"AAAAAF8eLiE=")</f>
        <v>#VALUE!</v>
      </c>
      <c r="AI24" t="e">
        <f>AND('Planilla_General_29-11-2012_10_'!F349,"AAAAAF8eLiI=")</f>
        <v>#VALUE!</v>
      </c>
      <c r="AJ24" t="e">
        <f>AND('Planilla_General_29-11-2012_10_'!G349,"AAAAAF8eLiM=")</f>
        <v>#VALUE!</v>
      </c>
      <c r="AK24" t="e">
        <f>AND('Planilla_General_29-11-2012_10_'!H349,"AAAAAF8eLiQ=")</f>
        <v>#VALUE!</v>
      </c>
      <c r="AL24" t="e">
        <f>AND('Planilla_General_29-11-2012_10_'!I349,"AAAAAF8eLiU=")</f>
        <v>#VALUE!</v>
      </c>
      <c r="AM24" t="e">
        <f>AND('Planilla_General_29-11-2012_10_'!J349,"AAAAAF8eLiY=")</f>
        <v>#VALUE!</v>
      </c>
      <c r="AN24" t="e">
        <f>AND('Planilla_General_29-11-2012_10_'!K349,"AAAAAF8eLic=")</f>
        <v>#VALUE!</v>
      </c>
      <c r="AO24" t="e">
        <f>AND('Planilla_General_29-11-2012_10_'!L349,"AAAAAF8eLig=")</f>
        <v>#VALUE!</v>
      </c>
      <c r="AP24" t="e">
        <f>AND('Planilla_General_29-11-2012_10_'!M349,"AAAAAF8eLik=")</f>
        <v>#VALUE!</v>
      </c>
      <c r="AQ24" t="e">
        <f>AND('Planilla_General_29-11-2012_10_'!N349,"AAAAAF8eLio=")</f>
        <v>#VALUE!</v>
      </c>
      <c r="AR24" t="e">
        <f>AND('Planilla_General_29-11-2012_10_'!O349,"AAAAAF8eLis=")</f>
        <v>#VALUE!</v>
      </c>
      <c r="AS24" t="e">
        <f>AND('Planilla_General_29-11-2012_10_'!P349,"AAAAAF8eLiw=")</f>
        <v>#VALUE!</v>
      </c>
      <c r="AT24">
        <f>IF('Planilla_General_29-11-2012_10_'!350:350,"AAAAAF8eLi0=",0)</f>
        <v>0</v>
      </c>
      <c r="AU24" t="e">
        <f>AND('Planilla_General_29-11-2012_10_'!A350,"AAAAAF8eLi4=")</f>
        <v>#VALUE!</v>
      </c>
      <c r="AV24" t="e">
        <f>AND('Planilla_General_29-11-2012_10_'!B350,"AAAAAF8eLi8=")</f>
        <v>#VALUE!</v>
      </c>
      <c r="AW24" t="e">
        <f>AND('Planilla_General_29-11-2012_10_'!C350,"AAAAAF8eLjA=")</f>
        <v>#VALUE!</v>
      </c>
      <c r="AX24" t="e">
        <f>AND('Planilla_General_29-11-2012_10_'!D350,"AAAAAF8eLjE=")</f>
        <v>#VALUE!</v>
      </c>
      <c r="AY24" t="e">
        <f>AND('Planilla_General_29-11-2012_10_'!E350,"AAAAAF8eLjI=")</f>
        <v>#VALUE!</v>
      </c>
      <c r="AZ24" t="e">
        <f>AND('Planilla_General_29-11-2012_10_'!F350,"AAAAAF8eLjM=")</f>
        <v>#VALUE!</v>
      </c>
      <c r="BA24" t="e">
        <f>AND('Planilla_General_29-11-2012_10_'!G350,"AAAAAF8eLjQ=")</f>
        <v>#VALUE!</v>
      </c>
      <c r="BB24" t="e">
        <f>AND('Planilla_General_29-11-2012_10_'!H350,"AAAAAF8eLjU=")</f>
        <v>#VALUE!</v>
      </c>
      <c r="BC24" t="e">
        <f>AND('Planilla_General_29-11-2012_10_'!I350,"AAAAAF8eLjY=")</f>
        <v>#VALUE!</v>
      </c>
      <c r="BD24" t="e">
        <f>AND('Planilla_General_29-11-2012_10_'!J350,"AAAAAF8eLjc=")</f>
        <v>#VALUE!</v>
      </c>
      <c r="BE24" t="e">
        <f>AND('Planilla_General_29-11-2012_10_'!K350,"AAAAAF8eLjg=")</f>
        <v>#VALUE!</v>
      </c>
      <c r="BF24" t="e">
        <f>AND('Planilla_General_29-11-2012_10_'!L350,"AAAAAF8eLjk=")</f>
        <v>#VALUE!</v>
      </c>
      <c r="BG24" t="e">
        <f>AND('Planilla_General_29-11-2012_10_'!M350,"AAAAAF8eLjo=")</f>
        <v>#VALUE!</v>
      </c>
      <c r="BH24" t="e">
        <f>AND('Planilla_General_29-11-2012_10_'!N350,"AAAAAF8eLjs=")</f>
        <v>#VALUE!</v>
      </c>
      <c r="BI24" t="e">
        <f>AND('Planilla_General_29-11-2012_10_'!O350,"AAAAAF8eLjw=")</f>
        <v>#VALUE!</v>
      </c>
      <c r="BJ24" t="e">
        <f>AND('Planilla_General_29-11-2012_10_'!P350,"AAAAAF8eLj0=")</f>
        <v>#VALUE!</v>
      </c>
      <c r="BK24">
        <f>IF('Planilla_General_29-11-2012_10_'!351:351,"AAAAAF8eLj4=",0)</f>
        <v>0</v>
      </c>
      <c r="BL24" t="e">
        <f>AND('Planilla_General_29-11-2012_10_'!A351,"AAAAAF8eLj8=")</f>
        <v>#VALUE!</v>
      </c>
      <c r="BM24" t="e">
        <f>AND('Planilla_General_29-11-2012_10_'!B351,"AAAAAF8eLkA=")</f>
        <v>#VALUE!</v>
      </c>
      <c r="BN24" t="e">
        <f>AND('Planilla_General_29-11-2012_10_'!C351,"AAAAAF8eLkE=")</f>
        <v>#VALUE!</v>
      </c>
      <c r="BO24" t="e">
        <f>AND('Planilla_General_29-11-2012_10_'!D351,"AAAAAF8eLkI=")</f>
        <v>#VALUE!</v>
      </c>
      <c r="BP24" t="e">
        <f>AND('Planilla_General_29-11-2012_10_'!E351,"AAAAAF8eLkM=")</f>
        <v>#VALUE!</v>
      </c>
      <c r="BQ24" t="e">
        <f>AND('Planilla_General_29-11-2012_10_'!F351,"AAAAAF8eLkQ=")</f>
        <v>#VALUE!</v>
      </c>
      <c r="BR24" t="e">
        <f>AND('Planilla_General_29-11-2012_10_'!G351,"AAAAAF8eLkU=")</f>
        <v>#VALUE!</v>
      </c>
      <c r="BS24" t="e">
        <f>AND('Planilla_General_29-11-2012_10_'!H351,"AAAAAF8eLkY=")</f>
        <v>#VALUE!</v>
      </c>
      <c r="BT24" t="e">
        <f>AND('Planilla_General_29-11-2012_10_'!I351,"AAAAAF8eLkc=")</f>
        <v>#VALUE!</v>
      </c>
      <c r="BU24" t="e">
        <f>AND('Planilla_General_29-11-2012_10_'!J351,"AAAAAF8eLkg=")</f>
        <v>#VALUE!</v>
      </c>
      <c r="BV24" t="e">
        <f>AND('Planilla_General_29-11-2012_10_'!K351,"AAAAAF8eLkk=")</f>
        <v>#VALUE!</v>
      </c>
      <c r="BW24" t="e">
        <f>AND('Planilla_General_29-11-2012_10_'!L351,"AAAAAF8eLko=")</f>
        <v>#VALUE!</v>
      </c>
      <c r="BX24" t="e">
        <f>AND('Planilla_General_29-11-2012_10_'!M351,"AAAAAF8eLks=")</f>
        <v>#VALUE!</v>
      </c>
      <c r="BY24" t="e">
        <f>AND('Planilla_General_29-11-2012_10_'!N351,"AAAAAF8eLkw=")</f>
        <v>#VALUE!</v>
      </c>
      <c r="BZ24" t="e">
        <f>AND('Planilla_General_29-11-2012_10_'!O351,"AAAAAF8eLk0=")</f>
        <v>#VALUE!</v>
      </c>
      <c r="CA24" t="e">
        <f>AND('Planilla_General_29-11-2012_10_'!P351,"AAAAAF8eLk4=")</f>
        <v>#VALUE!</v>
      </c>
      <c r="CB24">
        <f>IF('Planilla_General_29-11-2012_10_'!352:352,"AAAAAF8eLk8=",0)</f>
        <v>0</v>
      </c>
      <c r="CC24" t="e">
        <f>AND('Planilla_General_29-11-2012_10_'!A352,"AAAAAF8eLlA=")</f>
        <v>#VALUE!</v>
      </c>
      <c r="CD24" t="e">
        <f>AND('Planilla_General_29-11-2012_10_'!B352,"AAAAAF8eLlE=")</f>
        <v>#VALUE!</v>
      </c>
      <c r="CE24" t="e">
        <f>AND('Planilla_General_29-11-2012_10_'!C352,"AAAAAF8eLlI=")</f>
        <v>#VALUE!</v>
      </c>
      <c r="CF24" t="e">
        <f>AND('Planilla_General_29-11-2012_10_'!D352,"AAAAAF8eLlM=")</f>
        <v>#VALUE!</v>
      </c>
      <c r="CG24" t="e">
        <f>AND('Planilla_General_29-11-2012_10_'!E352,"AAAAAF8eLlQ=")</f>
        <v>#VALUE!</v>
      </c>
      <c r="CH24" t="e">
        <f>AND('Planilla_General_29-11-2012_10_'!F352,"AAAAAF8eLlU=")</f>
        <v>#VALUE!</v>
      </c>
      <c r="CI24" t="e">
        <f>AND('Planilla_General_29-11-2012_10_'!G352,"AAAAAF8eLlY=")</f>
        <v>#VALUE!</v>
      </c>
      <c r="CJ24" t="e">
        <f>AND('Planilla_General_29-11-2012_10_'!H352,"AAAAAF8eLlc=")</f>
        <v>#VALUE!</v>
      </c>
      <c r="CK24" t="e">
        <f>AND('Planilla_General_29-11-2012_10_'!I352,"AAAAAF8eLlg=")</f>
        <v>#VALUE!</v>
      </c>
      <c r="CL24" t="e">
        <f>AND('Planilla_General_29-11-2012_10_'!J352,"AAAAAF8eLlk=")</f>
        <v>#VALUE!</v>
      </c>
      <c r="CM24" t="e">
        <f>AND('Planilla_General_29-11-2012_10_'!K352,"AAAAAF8eLlo=")</f>
        <v>#VALUE!</v>
      </c>
      <c r="CN24" t="e">
        <f>AND('Planilla_General_29-11-2012_10_'!L352,"AAAAAF8eLls=")</f>
        <v>#VALUE!</v>
      </c>
      <c r="CO24" t="e">
        <f>AND('Planilla_General_29-11-2012_10_'!M352,"AAAAAF8eLlw=")</f>
        <v>#VALUE!</v>
      </c>
      <c r="CP24" t="e">
        <f>AND('Planilla_General_29-11-2012_10_'!N352,"AAAAAF8eLl0=")</f>
        <v>#VALUE!</v>
      </c>
      <c r="CQ24" t="e">
        <f>AND('Planilla_General_29-11-2012_10_'!O352,"AAAAAF8eLl4=")</f>
        <v>#VALUE!</v>
      </c>
      <c r="CR24" t="e">
        <f>AND('Planilla_General_29-11-2012_10_'!P352,"AAAAAF8eLl8=")</f>
        <v>#VALUE!</v>
      </c>
      <c r="CS24">
        <f>IF('Planilla_General_29-11-2012_10_'!353:353,"AAAAAF8eLmA=",0)</f>
        <v>0</v>
      </c>
      <c r="CT24" t="e">
        <f>AND('Planilla_General_29-11-2012_10_'!A353,"AAAAAF8eLmE=")</f>
        <v>#VALUE!</v>
      </c>
      <c r="CU24" t="e">
        <f>AND('Planilla_General_29-11-2012_10_'!B353,"AAAAAF8eLmI=")</f>
        <v>#VALUE!</v>
      </c>
      <c r="CV24" t="e">
        <f>AND('Planilla_General_29-11-2012_10_'!C353,"AAAAAF8eLmM=")</f>
        <v>#VALUE!</v>
      </c>
      <c r="CW24" t="e">
        <f>AND('Planilla_General_29-11-2012_10_'!D353,"AAAAAF8eLmQ=")</f>
        <v>#VALUE!</v>
      </c>
      <c r="CX24" t="e">
        <f>AND('Planilla_General_29-11-2012_10_'!E353,"AAAAAF8eLmU=")</f>
        <v>#VALUE!</v>
      </c>
      <c r="CY24" t="e">
        <f>AND('Planilla_General_29-11-2012_10_'!F353,"AAAAAF8eLmY=")</f>
        <v>#VALUE!</v>
      </c>
      <c r="CZ24" t="e">
        <f>AND('Planilla_General_29-11-2012_10_'!G353,"AAAAAF8eLmc=")</f>
        <v>#VALUE!</v>
      </c>
      <c r="DA24" t="e">
        <f>AND('Planilla_General_29-11-2012_10_'!H353,"AAAAAF8eLmg=")</f>
        <v>#VALUE!</v>
      </c>
      <c r="DB24" t="e">
        <f>AND('Planilla_General_29-11-2012_10_'!I353,"AAAAAF8eLmk=")</f>
        <v>#VALUE!</v>
      </c>
      <c r="DC24" t="e">
        <f>AND('Planilla_General_29-11-2012_10_'!J353,"AAAAAF8eLmo=")</f>
        <v>#VALUE!</v>
      </c>
      <c r="DD24" t="e">
        <f>AND('Planilla_General_29-11-2012_10_'!K353,"AAAAAF8eLms=")</f>
        <v>#VALUE!</v>
      </c>
      <c r="DE24" t="e">
        <f>AND('Planilla_General_29-11-2012_10_'!L353,"AAAAAF8eLmw=")</f>
        <v>#VALUE!</v>
      </c>
      <c r="DF24" t="e">
        <f>AND('Planilla_General_29-11-2012_10_'!M353,"AAAAAF8eLm0=")</f>
        <v>#VALUE!</v>
      </c>
      <c r="DG24" t="e">
        <f>AND('Planilla_General_29-11-2012_10_'!N353,"AAAAAF8eLm4=")</f>
        <v>#VALUE!</v>
      </c>
      <c r="DH24" t="e">
        <f>AND('Planilla_General_29-11-2012_10_'!O353,"AAAAAF8eLm8=")</f>
        <v>#VALUE!</v>
      </c>
      <c r="DI24" t="e">
        <f>AND('Planilla_General_29-11-2012_10_'!P353,"AAAAAF8eLnA=")</f>
        <v>#VALUE!</v>
      </c>
      <c r="DJ24">
        <f>IF('Planilla_General_29-11-2012_10_'!354:354,"AAAAAF8eLnE=",0)</f>
        <v>0</v>
      </c>
      <c r="DK24" t="e">
        <f>AND('Planilla_General_29-11-2012_10_'!A354,"AAAAAF8eLnI=")</f>
        <v>#VALUE!</v>
      </c>
      <c r="DL24" t="e">
        <f>AND('Planilla_General_29-11-2012_10_'!B354,"AAAAAF8eLnM=")</f>
        <v>#VALUE!</v>
      </c>
      <c r="DM24" t="e">
        <f>AND('Planilla_General_29-11-2012_10_'!C354,"AAAAAF8eLnQ=")</f>
        <v>#VALUE!</v>
      </c>
      <c r="DN24" t="e">
        <f>AND('Planilla_General_29-11-2012_10_'!D354,"AAAAAF8eLnU=")</f>
        <v>#VALUE!</v>
      </c>
      <c r="DO24" t="e">
        <f>AND('Planilla_General_29-11-2012_10_'!E354,"AAAAAF8eLnY=")</f>
        <v>#VALUE!</v>
      </c>
      <c r="DP24" t="e">
        <f>AND('Planilla_General_29-11-2012_10_'!F354,"AAAAAF8eLnc=")</f>
        <v>#VALUE!</v>
      </c>
      <c r="DQ24" t="e">
        <f>AND('Planilla_General_29-11-2012_10_'!G354,"AAAAAF8eLng=")</f>
        <v>#VALUE!</v>
      </c>
      <c r="DR24" t="e">
        <f>AND('Planilla_General_29-11-2012_10_'!H354,"AAAAAF8eLnk=")</f>
        <v>#VALUE!</v>
      </c>
      <c r="DS24" t="e">
        <f>AND('Planilla_General_29-11-2012_10_'!I354,"AAAAAF8eLno=")</f>
        <v>#VALUE!</v>
      </c>
      <c r="DT24" t="e">
        <f>AND('Planilla_General_29-11-2012_10_'!J354,"AAAAAF8eLns=")</f>
        <v>#VALUE!</v>
      </c>
      <c r="DU24" t="e">
        <f>AND('Planilla_General_29-11-2012_10_'!K354,"AAAAAF8eLnw=")</f>
        <v>#VALUE!</v>
      </c>
      <c r="DV24" t="e">
        <f>AND('Planilla_General_29-11-2012_10_'!L354,"AAAAAF8eLn0=")</f>
        <v>#VALUE!</v>
      </c>
      <c r="DW24" t="e">
        <f>AND('Planilla_General_29-11-2012_10_'!M354,"AAAAAF8eLn4=")</f>
        <v>#VALUE!</v>
      </c>
      <c r="DX24" t="e">
        <f>AND('Planilla_General_29-11-2012_10_'!N354,"AAAAAF8eLn8=")</f>
        <v>#VALUE!</v>
      </c>
      <c r="DY24" t="e">
        <f>AND('Planilla_General_29-11-2012_10_'!O354,"AAAAAF8eLoA=")</f>
        <v>#VALUE!</v>
      </c>
      <c r="DZ24" t="e">
        <f>AND('Planilla_General_29-11-2012_10_'!P354,"AAAAAF8eLoE=")</f>
        <v>#VALUE!</v>
      </c>
      <c r="EA24">
        <f>IF('Planilla_General_29-11-2012_10_'!355:355,"AAAAAF8eLoI=",0)</f>
        <v>0</v>
      </c>
      <c r="EB24" t="e">
        <f>AND('Planilla_General_29-11-2012_10_'!A355,"AAAAAF8eLoM=")</f>
        <v>#VALUE!</v>
      </c>
      <c r="EC24" t="e">
        <f>AND('Planilla_General_29-11-2012_10_'!B355,"AAAAAF8eLoQ=")</f>
        <v>#VALUE!</v>
      </c>
      <c r="ED24" t="e">
        <f>AND('Planilla_General_29-11-2012_10_'!C355,"AAAAAF8eLoU=")</f>
        <v>#VALUE!</v>
      </c>
      <c r="EE24" t="e">
        <f>AND('Planilla_General_29-11-2012_10_'!D355,"AAAAAF8eLoY=")</f>
        <v>#VALUE!</v>
      </c>
      <c r="EF24" t="e">
        <f>AND('Planilla_General_29-11-2012_10_'!E355,"AAAAAF8eLoc=")</f>
        <v>#VALUE!</v>
      </c>
      <c r="EG24" t="e">
        <f>AND('Planilla_General_29-11-2012_10_'!F355,"AAAAAF8eLog=")</f>
        <v>#VALUE!</v>
      </c>
      <c r="EH24" t="e">
        <f>AND('Planilla_General_29-11-2012_10_'!G355,"AAAAAF8eLok=")</f>
        <v>#VALUE!</v>
      </c>
      <c r="EI24" t="e">
        <f>AND('Planilla_General_29-11-2012_10_'!H355,"AAAAAF8eLoo=")</f>
        <v>#VALUE!</v>
      </c>
      <c r="EJ24" t="e">
        <f>AND('Planilla_General_29-11-2012_10_'!I355,"AAAAAF8eLos=")</f>
        <v>#VALUE!</v>
      </c>
      <c r="EK24" t="e">
        <f>AND('Planilla_General_29-11-2012_10_'!J355,"AAAAAF8eLow=")</f>
        <v>#VALUE!</v>
      </c>
      <c r="EL24" t="e">
        <f>AND('Planilla_General_29-11-2012_10_'!K355,"AAAAAF8eLo0=")</f>
        <v>#VALUE!</v>
      </c>
      <c r="EM24" t="e">
        <f>AND('Planilla_General_29-11-2012_10_'!L355,"AAAAAF8eLo4=")</f>
        <v>#VALUE!</v>
      </c>
      <c r="EN24" t="e">
        <f>AND('Planilla_General_29-11-2012_10_'!M355,"AAAAAF8eLo8=")</f>
        <v>#VALUE!</v>
      </c>
      <c r="EO24" t="e">
        <f>AND('Planilla_General_29-11-2012_10_'!N355,"AAAAAF8eLpA=")</f>
        <v>#VALUE!</v>
      </c>
      <c r="EP24" t="e">
        <f>AND('Planilla_General_29-11-2012_10_'!O355,"AAAAAF8eLpE=")</f>
        <v>#VALUE!</v>
      </c>
      <c r="EQ24" t="e">
        <f>AND('Planilla_General_29-11-2012_10_'!P355,"AAAAAF8eLpI=")</f>
        <v>#VALUE!</v>
      </c>
      <c r="ER24">
        <f>IF('Planilla_General_29-11-2012_10_'!356:356,"AAAAAF8eLpM=",0)</f>
        <v>0</v>
      </c>
      <c r="ES24" t="e">
        <f>AND('Planilla_General_29-11-2012_10_'!A356,"AAAAAF8eLpQ=")</f>
        <v>#VALUE!</v>
      </c>
      <c r="ET24" t="e">
        <f>AND('Planilla_General_29-11-2012_10_'!B356,"AAAAAF8eLpU=")</f>
        <v>#VALUE!</v>
      </c>
      <c r="EU24" t="e">
        <f>AND('Planilla_General_29-11-2012_10_'!C356,"AAAAAF8eLpY=")</f>
        <v>#VALUE!</v>
      </c>
      <c r="EV24" t="e">
        <f>AND('Planilla_General_29-11-2012_10_'!D356,"AAAAAF8eLpc=")</f>
        <v>#VALUE!</v>
      </c>
      <c r="EW24" t="e">
        <f>AND('Planilla_General_29-11-2012_10_'!E356,"AAAAAF8eLpg=")</f>
        <v>#VALUE!</v>
      </c>
      <c r="EX24" t="e">
        <f>AND('Planilla_General_29-11-2012_10_'!F356,"AAAAAF8eLpk=")</f>
        <v>#VALUE!</v>
      </c>
      <c r="EY24" t="e">
        <f>AND('Planilla_General_29-11-2012_10_'!G356,"AAAAAF8eLpo=")</f>
        <v>#VALUE!</v>
      </c>
      <c r="EZ24" t="e">
        <f>AND('Planilla_General_29-11-2012_10_'!H356,"AAAAAF8eLps=")</f>
        <v>#VALUE!</v>
      </c>
      <c r="FA24" t="e">
        <f>AND('Planilla_General_29-11-2012_10_'!I356,"AAAAAF8eLpw=")</f>
        <v>#VALUE!</v>
      </c>
      <c r="FB24" t="e">
        <f>AND('Planilla_General_29-11-2012_10_'!J356,"AAAAAF8eLp0=")</f>
        <v>#VALUE!</v>
      </c>
      <c r="FC24" t="e">
        <f>AND('Planilla_General_29-11-2012_10_'!K356,"AAAAAF8eLp4=")</f>
        <v>#VALUE!</v>
      </c>
      <c r="FD24" t="e">
        <f>AND('Planilla_General_29-11-2012_10_'!L356,"AAAAAF8eLp8=")</f>
        <v>#VALUE!</v>
      </c>
      <c r="FE24" t="e">
        <f>AND('Planilla_General_29-11-2012_10_'!M356,"AAAAAF8eLqA=")</f>
        <v>#VALUE!</v>
      </c>
      <c r="FF24" t="e">
        <f>AND('Planilla_General_29-11-2012_10_'!N356,"AAAAAF8eLqE=")</f>
        <v>#VALUE!</v>
      </c>
      <c r="FG24" t="e">
        <f>AND('Planilla_General_29-11-2012_10_'!O356,"AAAAAF8eLqI=")</f>
        <v>#VALUE!</v>
      </c>
      <c r="FH24" t="e">
        <f>AND('Planilla_General_29-11-2012_10_'!P356,"AAAAAF8eLqM=")</f>
        <v>#VALUE!</v>
      </c>
      <c r="FI24">
        <f>IF('Planilla_General_29-11-2012_10_'!357:357,"AAAAAF8eLqQ=",0)</f>
        <v>0</v>
      </c>
      <c r="FJ24" t="e">
        <f>AND('Planilla_General_29-11-2012_10_'!A357,"AAAAAF8eLqU=")</f>
        <v>#VALUE!</v>
      </c>
      <c r="FK24" t="e">
        <f>AND('Planilla_General_29-11-2012_10_'!B357,"AAAAAF8eLqY=")</f>
        <v>#VALUE!</v>
      </c>
      <c r="FL24" t="e">
        <f>AND('Planilla_General_29-11-2012_10_'!C357,"AAAAAF8eLqc=")</f>
        <v>#VALUE!</v>
      </c>
      <c r="FM24" t="e">
        <f>AND('Planilla_General_29-11-2012_10_'!D357,"AAAAAF8eLqg=")</f>
        <v>#VALUE!</v>
      </c>
      <c r="FN24" t="e">
        <f>AND('Planilla_General_29-11-2012_10_'!E357,"AAAAAF8eLqk=")</f>
        <v>#VALUE!</v>
      </c>
      <c r="FO24" t="e">
        <f>AND('Planilla_General_29-11-2012_10_'!F357,"AAAAAF8eLqo=")</f>
        <v>#VALUE!</v>
      </c>
      <c r="FP24" t="e">
        <f>AND('Planilla_General_29-11-2012_10_'!G357,"AAAAAF8eLqs=")</f>
        <v>#VALUE!</v>
      </c>
      <c r="FQ24" t="e">
        <f>AND('Planilla_General_29-11-2012_10_'!H357,"AAAAAF8eLqw=")</f>
        <v>#VALUE!</v>
      </c>
      <c r="FR24" t="e">
        <f>AND('Planilla_General_29-11-2012_10_'!I357,"AAAAAF8eLq0=")</f>
        <v>#VALUE!</v>
      </c>
      <c r="FS24" t="e">
        <f>AND('Planilla_General_29-11-2012_10_'!J357,"AAAAAF8eLq4=")</f>
        <v>#VALUE!</v>
      </c>
      <c r="FT24" t="e">
        <f>AND('Planilla_General_29-11-2012_10_'!K357,"AAAAAF8eLq8=")</f>
        <v>#VALUE!</v>
      </c>
      <c r="FU24" t="e">
        <f>AND('Planilla_General_29-11-2012_10_'!L357,"AAAAAF8eLrA=")</f>
        <v>#VALUE!</v>
      </c>
      <c r="FV24" t="e">
        <f>AND('Planilla_General_29-11-2012_10_'!M357,"AAAAAF8eLrE=")</f>
        <v>#VALUE!</v>
      </c>
      <c r="FW24" t="e">
        <f>AND('Planilla_General_29-11-2012_10_'!N357,"AAAAAF8eLrI=")</f>
        <v>#VALUE!</v>
      </c>
      <c r="FX24" t="e">
        <f>AND('Planilla_General_29-11-2012_10_'!O357,"AAAAAF8eLrM=")</f>
        <v>#VALUE!</v>
      </c>
      <c r="FY24" t="e">
        <f>AND('Planilla_General_29-11-2012_10_'!P357,"AAAAAF8eLrQ=")</f>
        <v>#VALUE!</v>
      </c>
      <c r="FZ24">
        <f>IF('Planilla_General_29-11-2012_10_'!358:358,"AAAAAF8eLrU=",0)</f>
        <v>0</v>
      </c>
      <c r="GA24" t="e">
        <f>AND('Planilla_General_29-11-2012_10_'!A358,"AAAAAF8eLrY=")</f>
        <v>#VALUE!</v>
      </c>
      <c r="GB24" t="e">
        <f>AND('Planilla_General_29-11-2012_10_'!B358,"AAAAAF8eLrc=")</f>
        <v>#VALUE!</v>
      </c>
      <c r="GC24" t="e">
        <f>AND('Planilla_General_29-11-2012_10_'!C358,"AAAAAF8eLrg=")</f>
        <v>#VALUE!</v>
      </c>
      <c r="GD24" t="e">
        <f>AND('Planilla_General_29-11-2012_10_'!D358,"AAAAAF8eLrk=")</f>
        <v>#VALUE!</v>
      </c>
      <c r="GE24" t="e">
        <f>AND('Planilla_General_29-11-2012_10_'!E358,"AAAAAF8eLro=")</f>
        <v>#VALUE!</v>
      </c>
      <c r="GF24" t="e">
        <f>AND('Planilla_General_29-11-2012_10_'!F358,"AAAAAF8eLrs=")</f>
        <v>#VALUE!</v>
      </c>
      <c r="GG24" t="e">
        <f>AND('Planilla_General_29-11-2012_10_'!G358,"AAAAAF8eLrw=")</f>
        <v>#VALUE!</v>
      </c>
      <c r="GH24" t="e">
        <f>AND('Planilla_General_29-11-2012_10_'!H358,"AAAAAF8eLr0=")</f>
        <v>#VALUE!</v>
      </c>
      <c r="GI24" t="e">
        <f>AND('Planilla_General_29-11-2012_10_'!I358,"AAAAAF8eLr4=")</f>
        <v>#VALUE!</v>
      </c>
      <c r="GJ24" t="e">
        <f>AND('Planilla_General_29-11-2012_10_'!J358,"AAAAAF8eLr8=")</f>
        <v>#VALUE!</v>
      </c>
      <c r="GK24" t="e">
        <f>AND('Planilla_General_29-11-2012_10_'!K358,"AAAAAF8eLsA=")</f>
        <v>#VALUE!</v>
      </c>
      <c r="GL24" t="e">
        <f>AND('Planilla_General_29-11-2012_10_'!L358,"AAAAAF8eLsE=")</f>
        <v>#VALUE!</v>
      </c>
      <c r="GM24" t="e">
        <f>AND('Planilla_General_29-11-2012_10_'!M358,"AAAAAF8eLsI=")</f>
        <v>#VALUE!</v>
      </c>
      <c r="GN24" t="e">
        <f>AND('Planilla_General_29-11-2012_10_'!N358,"AAAAAF8eLsM=")</f>
        <v>#VALUE!</v>
      </c>
      <c r="GO24" t="e">
        <f>AND('Planilla_General_29-11-2012_10_'!O358,"AAAAAF8eLsQ=")</f>
        <v>#VALUE!</v>
      </c>
      <c r="GP24" t="e">
        <f>AND('Planilla_General_29-11-2012_10_'!P358,"AAAAAF8eLsU=")</f>
        <v>#VALUE!</v>
      </c>
      <c r="GQ24">
        <f>IF('Planilla_General_29-11-2012_10_'!359:359,"AAAAAF8eLsY=",0)</f>
        <v>0</v>
      </c>
      <c r="GR24" t="e">
        <f>AND('Planilla_General_29-11-2012_10_'!A359,"AAAAAF8eLsc=")</f>
        <v>#VALUE!</v>
      </c>
      <c r="GS24" t="e">
        <f>AND('Planilla_General_29-11-2012_10_'!B359,"AAAAAF8eLsg=")</f>
        <v>#VALUE!</v>
      </c>
      <c r="GT24" t="e">
        <f>AND('Planilla_General_29-11-2012_10_'!C359,"AAAAAF8eLsk=")</f>
        <v>#VALUE!</v>
      </c>
      <c r="GU24" t="e">
        <f>AND('Planilla_General_29-11-2012_10_'!D359,"AAAAAF8eLso=")</f>
        <v>#VALUE!</v>
      </c>
      <c r="GV24" t="e">
        <f>AND('Planilla_General_29-11-2012_10_'!E359,"AAAAAF8eLss=")</f>
        <v>#VALUE!</v>
      </c>
      <c r="GW24" t="e">
        <f>AND('Planilla_General_29-11-2012_10_'!F359,"AAAAAF8eLsw=")</f>
        <v>#VALUE!</v>
      </c>
      <c r="GX24" t="e">
        <f>AND('Planilla_General_29-11-2012_10_'!G359,"AAAAAF8eLs0=")</f>
        <v>#VALUE!</v>
      </c>
      <c r="GY24" t="e">
        <f>AND('Planilla_General_29-11-2012_10_'!H359,"AAAAAF8eLs4=")</f>
        <v>#VALUE!</v>
      </c>
      <c r="GZ24" t="e">
        <f>AND('Planilla_General_29-11-2012_10_'!I359,"AAAAAF8eLs8=")</f>
        <v>#VALUE!</v>
      </c>
      <c r="HA24" t="e">
        <f>AND('Planilla_General_29-11-2012_10_'!J359,"AAAAAF8eLtA=")</f>
        <v>#VALUE!</v>
      </c>
      <c r="HB24" t="e">
        <f>AND('Planilla_General_29-11-2012_10_'!K359,"AAAAAF8eLtE=")</f>
        <v>#VALUE!</v>
      </c>
      <c r="HC24" t="e">
        <f>AND('Planilla_General_29-11-2012_10_'!L359,"AAAAAF8eLtI=")</f>
        <v>#VALUE!</v>
      </c>
      <c r="HD24" t="e">
        <f>AND('Planilla_General_29-11-2012_10_'!M359,"AAAAAF8eLtM=")</f>
        <v>#VALUE!</v>
      </c>
      <c r="HE24" t="e">
        <f>AND('Planilla_General_29-11-2012_10_'!N359,"AAAAAF8eLtQ=")</f>
        <v>#VALUE!</v>
      </c>
      <c r="HF24" t="e">
        <f>AND('Planilla_General_29-11-2012_10_'!O359,"AAAAAF8eLtU=")</f>
        <v>#VALUE!</v>
      </c>
      <c r="HG24" t="e">
        <f>AND('Planilla_General_29-11-2012_10_'!P359,"AAAAAF8eLtY=")</f>
        <v>#VALUE!</v>
      </c>
      <c r="HH24">
        <f>IF('Planilla_General_29-11-2012_10_'!360:360,"AAAAAF8eLtc=",0)</f>
        <v>0</v>
      </c>
      <c r="HI24" t="e">
        <f>AND('Planilla_General_29-11-2012_10_'!A360,"AAAAAF8eLtg=")</f>
        <v>#VALUE!</v>
      </c>
      <c r="HJ24" t="e">
        <f>AND('Planilla_General_29-11-2012_10_'!B360,"AAAAAF8eLtk=")</f>
        <v>#VALUE!</v>
      </c>
      <c r="HK24" t="e">
        <f>AND('Planilla_General_29-11-2012_10_'!C360,"AAAAAF8eLto=")</f>
        <v>#VALUE!</v>
      </c>
      <c r="HL24" t="e">
        <f>AND('Planilla_General_29-11-2012_10_'!D360,"AAAAAF8eLts=")</f>
        <v>#VALUE!</v>
      </c>
      <c r="HM24" t="e">
        <f>AND('Planilla_General_29-11-2012_10_'!E360,"AAAAAF8eLtw=")</f>
        <v>#VALUE!</v>
      </c>
      <c r="HN24" t="e">
        <f>AND('Planilla_General_29-11-2012_10_'!F360,"AAAAAF8eLt0=")</f>
        <v>#VALUE!</v>
      </c>
      <c r="HO24" t="e">
        <f>AND('Planilla_General_29-11-2012_10_'!G360,"AAAAAF8eLt4=")</f>
        <v>#VALUE!</v>
      </c>
      <c r="HP24" t="e">
        <f>AND('Planilla_General_29-11-2012_10_'!H360,"AAAAAF8eLt8=")</f>
        <v>#VALUE!</v>
      </c>
      <c r="HQ24" t="e">
        <f>AND('Planilla_General_29-11-2012_10_'!I360,"AAAAAF8eLuA=")</f>
        <v>#VALUE!</v>
      </c>
      <c r="HR24" t="e">
        <f>AND('Planilla_General_29-11-2012_10_'!J360,"AAAAAF8eLuE=")</f>
        <v>#VALUE!</v>
      </c>
      <c r="HS24" t="e">
        <f>AND('Planilla_General_29-11-2012_10_'!K360,"AAAAAF8eLuI=")</f>
        <v>#VALUE!</v>
      </c>
      <c r="HT24" t="e">
        <f>AND('Planilla_General_29-11-2012_10_'!L360,"AAAAAF8eLuM=")</f>
        <v>#VALUE!</v>
      </c>
      <c r="HU24" t="e">
        <f>AND('Planilla_General_29-11-2012_10_'!M360,"AAAAAF8eLuQ=")</f>
        <v>#VALUE!</v>
      </c>
      <c r="HV24" t="e">
        <f>AND('Planilla_General_29-11-2012_10_'!N360,"AAAAAF8eLuU=")</f>
        <v>#VALUE!</v>
      </c>
      <c r="HW24" t="e">
        <f>AND('Planilla_General_29-11-2012_10_'!O360,"AAAAAF8eLuY=")</f>
        <v>#VALUE!</v>
      </c>
      <c r="HX24" t="e">
        <f>AND('Planilla_General_29-11-2012_10_'!P360,"AAAAAF8eLuc=")</f>
        <v>#VALUE!</v>
      </c>
      <c r="HY24">
        <f>IF('Planilla_General_29-11-2012_10_'!361:361,"AAAAAF8eLug=",0)</f>
        <v>0</v>
      </c>
      <c r="HZ24" t="e">
        <f>AND('Planilla_General_29-11-2012_10_'!A361,"AAAAAF8eLuk=")</f>
        <v>#VALUE!</v>
      </c>
      <c r="IA24" t="e">
        <f>AND('Planilla_General_29-11-2012_10_'!B361,"AAAAAF8eLuo=")</f>
        <v>#VALUE!</v>
      </c>
      <c r="IB24" t="e">
        <f>AND('Planilla_General_29-11-2012_10_'!C361,"AAAAAF8eLus=")</f>
        <v>#VALUE!</v>
      </c>
      <c r="IC24" t="e">
        <f>AND('Planilla_General_29-11-2012_10_'!D361,"AAAAAF8eLuw=")</f>
        <v>#VALUE!</v>
      </c>
      <c r="ID24" t="e">
        <f>AND('Planilla_General_29-11-2012_10_'!E361,"AAAAAF8eLu0=")</f>
        <v>#VALUE!</v>
      </c>
      <c r="IE24" t="e">
        <f>AND('Planilla_General_29-11-2012_10_'!F361,"AAAAAF8eLu4=")</f>
        <v>#VALUE!</v>
      </c>
      <c r="IF24" t="e">
        <f>AND('Planilla_General_29-11-2012_10_'!G361,"AAAAAF8eLu8=")</f>
        <v>#VALUE!</v>
      </c>
      <c r="IG24" t="e">
        <f>AND('Planilla_General_29-11-2012_10_'!H361,"AAAAAF8eLvA=")</f>
        <v>#VALUE!</v>
      </c>
      <c r="IH24" t="e">
        <f>AND('Planilla_General_29-11-2012_10_'!I361,"AAAAAF8eLvE=")</f>
        <v>#VALUE!</v>
      </c>
      <c r="II24" t="e">
        <f>AND('Planilla_General_29-11-2012_10_'!J361,"AAAAAF8eLvI=")</f>
        <v>#VALUE!</v>
      </c>
      <c r="IJ24" t="e">
        <f>AND('Planilla_General_29-11-2012_10_'!K361,"AAAAAF8eLvM=")</f>
        <v>#VALUE!</v>
      </c>
      <c r="IK24" t="e">
        <f>AND('Planilla_General_29-11-2012_10_'!L361,"AAAAAF8eLvQ=")</f>
        <v>#VALUE!</v>
      </c>
      <c r="IL24" t="e">
        <f>AND('Planilla_General_29-11-2012_10_'!M361,"AAAAAF8eLvU=")</f>
        <v>#VALUE!</v>
      </c>
      <c r="IM24" t="e">
        <f>AND('Planilla_General_29-11-2012_10_'!N361,"AAAAAF8eLvY=")</f>
        <v>#VALUE!</v>
      </c>
      <c r="IN24" t="e">
        <f>AND('Planilla_General_29-11-2012_10_'!O361,"AAAAAF8eLvc=")</f>
        <v>#VALUE!</v>
      </c>
      <c r="IO24" t="e">
        <f>AND('Planilla_General_29-11-2012_10_'!P361,"AAAAAF8eLvg=")</f>
        <v>#VALUE!</v>
      </c>
      <c r="IP24">
        <f>IF('Planilla_General_29-11-2012_10_'!362:362,"AAAAAF8eLvk=",0)</f>
        <v>0</v>
      </c>
      <c r="IQ24" t="e">
        <f>AND('Planilla_General_29-11-2012_10_'!A362,"AAAAAF8eLvo=")</f>
        <v>#VALUE!</v>
      </c>
      <c r="IR24" t="e">
        <f>AND('Planilla_General_29-11-2012_10_'!B362,"AAAAAF8eLvs=")</f>
        <v>#VALUE!</v>
      </c>
      <c r="IS24" t="e">
        <f>AND('Planilla_General_29-11-2012_10_'!C362,"AAAAAF8eLvw=")</f>
        <v>#VALUE!</v>
      </c>
      <c r="IT24" t="e">
        <f>AND('Planilla_General_29-11-2012_10_'!D362,"AAAAAF8eLv0=")</f>
        <v>#VALUE!</v>
      </c>
      <c r="IU24" t="e">
        <f>AND('Planilla_General_29-11-2012_10_'!E362,"AAAAAF8eLv4=")</f>
        <v>#VALUE!</v>
      </c>
      <c r="IV24" t="e">
        <f>AND('Planilla_General_29-11-2012_10_'!F362,"AAAAAF8eLv8=")</f>
        <v>#VALUE!</v>
      </c>
    </row>
    <row r="25" spans="1:256" x14ac:dyDescent="0.25">
      <c r="A25" t="e">
        <f>AND('Planilla_General_29-11-2012_10_'!G362,"AAAAAG3//wA=")</f>
        <v>#VALUE!</v>
      </c>
      <c r="B25" t="e">
        <f>AND('Planilla_General_29-11-2012_10_'!H362,"AAAAAG3//wE=")</f>
        <v>#VALUE!</v>
      </c>
      <c r="C25" t="e">
        <f>AND('Planilla_General_29-11-2012_10_'!I362,"AAAAAG3//wI=")</f>
        <v>#VALUE!</v>
      </c>
      <c r="D25" t="e">
        <f>AND('Planilla_General_29-11-2012_10_'!J362,"AAAAAG3//wM=")</f>
        <v>#VALUE!</v>
      </c>
      <c r="E25" t="e">
        <f>AND('Planilla_General_29-11-2012_10_'!K362,"AAAAAG3//wQ=")</f>
        <v>#VALUE!</v>
      </c>
      <c r="F25" t="e">
        <f>AND('Planilla_General_29-11-2012_10_'!L362,"AAAAAG3//wU=")</f>
        <v>#VALUE!</v>
      </c>
      <c r="G25" t="e">
        <f>AND('Planilla_General_29-11-2012_10_'!M362,"AAAAAG3//wY=")</f>
        <v>#VALUE!</v>
      </c>
      <c r="H25" t="e">
        <f>AND('Planilla_General_29-11-2012_10_'!N362,"AAAAAG3//wc=")</f>
        <v>#VALUE!</v>
      </c>
      <c r="I25" t="e">
        <f>AND('Planilla_General_29-11-2012_10_'!O362,"AAAAAG3//wg=")</f>
        <v>#VALUE!</v>
      </c>
      <c r="J25" t="e">
        <f>AND('Planilla_General_29-11-2012_10_'!P362,"AAAAAG3//wk=")</f>
        <v>#VALUE!</v>
      </c>
      <c r="K25" t="str">
        <f>IF('Planilla_General_29-11-2012_10_'!363:363,"AAAAAG3//wo=",0)</f>
        <v>AAAAAG3//wo=</v>
      </c>
      <c r="L25" t="e">
        <f>AND('Planilla_General_29-11-2012_10_'!A363,"AAAAAG3//ws=")</f>
        <v>#VALUE!</v>
      </c>
      <c r="M25" t="e">
        <f>AND('Planilla_General_29-11-2012_10_'!B363,"AAAAAG3//ww=")</f>
        <v>#VALUE!</v>
      </c>
      <c r="N25" t="e">
        <f>AND('Planilla_General_29-11-2012_10_'!C363,"AAAAAG3//w0=")</f>
        <v>#VALUE!</v>
      </c>
      <c r="O25" t="e">
        <f>AND('Planilla_General_29-11-2012_10_'!D363,"AAAAAG3//w4=")</f>
        <v>#VALUE!</v>
      </c>
      <c r="P25" t="e">
        <f>AND('Planilla_General_29-11-2012_10_'!E363,"AAAAAG3//w8=")</f>
        <v>#VALUE!</v>
      </c>
      <c r="Q25" t="e">
        <f>AND('Planilla_General_29-11-2012_10_'!F363,"AAAAAG3//xA=")</f>
        <v>#VALUE!</v>
      </c>
      <c r="R25" t="e">
        <f>AND('Planilla_General_29-11-2012_10_'!G363,"AAAAAG3//xE=")</f>
        <v>#VALUE!</v>
      </c>
      <c r="S25" t="e">
        <f>AND('Planilla_General_29-11-2012_10_'!H363,"AAAAAG3//xI=")</f>
        <v>#VALUE!</v>
      </c>
      <c r="T25" t="e">
        <f>AND('Planilla_General_29-11-2012_10_'!I363,"AAAAAG3//xM=")</f>
        <v>#VALUE!</v>
      </c>
      <c r="U25" t="e">
        <f>AND('Planilla_General_29-11-2012_10_'!J363,"AAAAAG3//xQ=")</f>
        <v>#VALUE!</v>
      </c>
      <c r="V25" t="e">
        <f>AND('Planilla_General_29-11-2012_10_'!K363,"AAAAAG3//xU=")</f>
        <v>#VALUE!</v>
      </c>
      <c r="W25" t="e">
        <f>AND('Planilla_General_29-11-2012_10_'!L363,"AAAAAG3//xY=")</f>
        <v>#VALUE!</v>
      </c>
      <c r="X25" t="e">
        <f>AND('Planilla_General_29-11-2012_10_'!M363,"AAAAAG3//xc=")</f>
        <v>#VALUE!</v>
      </c>
      <c r="Y25" t="e">
        <f>AND('Planilla_General_29-11-2012_10_'!N363,"AAAAAG3//xg=")</f>
        <v>#VALUE!</v>
      </c>
      <c r="Z25" t="e">
        <f>AND('Planilla_General_29-11-2012_10_'!O363,"AAAAAG3//xk=")</f>
        <v>#VALUE!</v>
      </c>
      <c r="AA25" t="e">
        <f>AND('Planilla_General_29-11-2012_10_'!P363,"AAAAAG3//xo=")</f>
        <v>#VALUE!</v>
      </c>
      <c r="AB25">
        <f>IF('Planilla_General_29-11-2012_10_'!364:364,"AAAAAG3//xs=",0)</f>
        <v>0</v>
      </c>
      <c r="AC25" t="e">
        <f>AND('Planilla_General_29-11-2012_10_'!A364,"AAAAAG3//xw=")</f>
        <v>#VALUE!</v>
      </c>
      <c r="AD25" t="e">
        <f>AND('Planilla_General_29-11-2012_10_'!B364,"AAAAAG3//x0=")</f>
        <v>#VALUE!</v>
      </c>
      <c r="AE25" t="e">
        <f>AND('Planilla_General_29-11-2012_10_'!C364,"AAAAAG3//x4=")</f>
        <v>#VALUE!</v>
      </c>
      <c r="AF25" t="e">
        <f>AND('Planilla_General_29-11-2012_10_'!D364,"AAAAAG3//x8=")</f>
        <v>#VALUE!</v>
      </c>
      <c r="AG25" t="e">
        <f>AND('Planilla_General_29-11-2012_10_'!E364,"AAAAAG3//yA=")</f>
        <v>#VALUE!</v>
      </c>
      <c r="AH25" t="e">
        <f>AND('Planilla_General_29-11-2012_10_'!F364,"AAAAAG3//yE=")</f>
        <v>#VALUE!</v>
      </c>
      <c r="AI25" t="e">
        <f>AND('Planilla_General_29-11-2012_10_'!G364,"AAAAAG3//yI=")</f>
        <v>#VALUE!</v>
      </c>
      <c r="AJ25" t="e">
        <f>AND('Planilla_General_29-11-2012_10_'!H364,"AAAAAG3//yM=")</f>
        <v>#VALUE!</v>
      </c>
      <c r="AK25" t="e">
        <f>AND('Planilla_General_29-11-2012_10_'!I364,"AAAAAG3//yQ=")</f>
        <v>#VALUE!</v>
      </c>
      <c r="AL25" t="e">
        <f>AND('Planilla_General_29-11-2012_10_'!J364,"AAAAAG3//yU=")</f>
        <v>#VALUE!</v>
      </c>
      <c r="AM25" t="e">
        <f>AND('Planilla_General_29-11-2012_10_'!K364,"AAAAAG3//yY=")</f>
        <v>#VALUE!</v>
      </c>
      <c r="AN25" t="e">
        <f>AND('Planilla_General_29-11-2012_10_'!L364,"AAAAAG3//yc=")</f>
        <v>#VALUE!</v>
      </c>
      <c r="AO25" t="e">
        <f>AND('Planilla_General_29-11-2012_10_'!M364,"AAAAAG3//yg=")</f>
        <v>#VALUE!</v>
      </c>
      <c r="AP25" t="e">
        <f>AND('Planilla_General_29-11-2012_10_'!N364,"AAAAAG3//yk=")</f>
        <v>#VALUE!</v>
      </c>
      <c r="AQ25" t="e">
        <f>AND('Planilla_General_29-11-2012_10_'!O364,"AAAAAG3//yo=")</f>
        <v>#VALUE!</v>
      </c>
      <c r="AR25" t="e">
        <f>AND('Planilla_General_29-11-2012_10_'!P364,"AAAAAG3//ys=")</f>
        <v>#VALUE!</v>
      </c>
      <c r="AS25">
        <f>IF('Planilla_General_29-11-2012_10_'!365:365,"AAAAAG3//yw=",0)</f>
        <v>0</v>
      </c>
      <c r="AT25" t="e">
        <f>AND('Planilla_General_29-11-2012_10_'!A365,"AAAAAG3//y0=")</f>
        <v>#VALUE!</v>
      </c>
      <c r="AU25" t="e">
        <f>AND('Planilla_General_29-11-2012_10_'!B365,"AAAAAG3//y4=")</f>
        <v>#VALUE!</v>
      </c>
      <c r="AV25" t="e">
        <f>AND('Planilla_General_29-11-2012_10_'!C365,"AAAAAG3//y8=")</f>
        <v>#VALUE!</v>
      </c>
      <c r="AW25" t="e">
        <f>AND('Planilla_General_29-11-2012_10_'!D365,"AAAAAG3//zA=")</f>
        <v>#VALUE!</v>
      </c>
      <c r="AX25" t="e">
        <f>AND('Planilla_General_29-11-2012_10_'!E365,"AAAAAG3//zE=")</f>
        <v>#VALUE!</v>
      </c>
      <c r="AY25" t="e">
        <f>AND('Planilla_General_29-11-2012_10_'!F365,"AAAAAG3//zI=")</f>
        <v>#VALUE!</v>
      </c>
      <c r="AZ25" t="e">
        <f>AND('Planilla_General_29-11-2012_10_'!G365,"AAAAAG3//zM=")</f>
        <v>#VALUE!</v>
      </c>
      <c r="BA25" t="e">
        <f>AND('Planilla_General_29-11-2012_10_'!H365,"AAAAAG3//zQ=")</f>
        <v>#VALUE!</v>
      </c>
      <c r="BB25" t="e">
        <f>AND('Planilla_General_29-11-2012_10_'!I365,"AAAAAG3//zU=")</f>
        <v>#VALUE!</v>
      </c>
      <c r="BC25" t="e">
        <f>AND('Planilla_General_29-11-2012_10_'!J365,"AAAAAG3//zY=")</f>
        <v>#VALUE!</v>
      </c>
      <c r="BD25" t="e">
        <f>AND('Planilla_General_29-11-2012_10_'!K365,"AAAAAG3//zc=")</f>
        <v>#VALUE!</v>
      </c>
      <c r="BE25" t="e">
        <f>AND('Planilla_General_29-11-2012_10_'!L365,"AAAAAG3//zg=")</f>
        <v>#VALUE!</v>
      </c>
      <c r="BF25" t="e">
        <f>AND('Planilla_General_29-11-2012_10_'!M365,"AAAAAG3//zk=")</f>
        <v>#VALUE!</v>
      </c>
      <c r="BG25" t="e">
        <f>AND('Planilla_General_29-11-2012_10_'!N365,"AAAAAG3//zo=")</f>
        <v>#VALUE!</v>
      </c>
      <c r="BH25" t="e">
        <f>AND('Planilla_General_29-11-2012_10_'!O365,"AAAAAG3//zs=")</f>
        <v>#VALUE!</v>
      </c>
      <c r="BI25" t="e">
        <f>AND('Planilla_General_29-11-2012_10_'!P365,"AAAAAG3//zw=")</f>
        <v>#VALUE!</v>
      </c>
      <c r="BJ25">
        <f>IF('Planilla_General_29-11-2012_10_'!366:366,"AAAAAG3//z0=",0)</f>
        <v>0</v>
      </c>
      <c r="BK25" t="e">
        <f>AND('Planilla_General_29-11-2012_10_'!A366,"AAAAAG3//z4=")</f>
        <v>#VALUE!</v>
      </c>
      <c r="BL25" t="e">
        <f>AND('Planilla_General_29-11-2012_10_'!B366,"AAAAAG3//z8=")</f>
        <v>#VALUE!</v>
      </c>
      <c r="BM25" t="e">
        <f>AND('Planilla_General_29-11-2012_10_'!C366,"AAAAAG3//0A=")</f>
        <v>#VALUE!</v>
      </c>
      <c r="BN25" t="e">
        <f>AND('Planilla_General_29-11-2012_10_'!D366,"AAAAAG3//0E=")</f>
        <v>#VALUE!</v>
      </c>
      <c r="BO25" t="e">
        <f>AND('Planilla_General_29-11-2012_10_'!E366,"AAAAAG3//0I=")</f>
        <v>#VALUE!</v>
      </c>
      <c r="BP25" t="e">
        <f>AND('Planilla_General_29-11-2012_10_'!F366,"AAAAAG3//0M=")</f>
        <v>#VALUE!</v>
      </c>
      <c r="BQ25" t="e">
        <f>AND('Planilla_General_29-11-2012_10_'!G366,"AAAAAG3//0Q=")</f>
        <v>#VALUE!</v>
      </c>
      <c r="BR25" t="e">
        <f>AND('Planilla_General_29-11-2012_10_'!H366,"AAAAAG3//0U=")</f>
        <v>#VALUE!</v>
      </c>
      <c r="BS25" t="e">
        <f>AND('Planilla_General_29-11-2012_10_'!I366,"AAAAAG3//0Y=")</f>
        <v>#VALUE!</v>
      </c>
      <c r="BT25" t="e">
        <f>AND('Planilla_General_29-11-2012_10_'!J366,"AAAAAG3//0c=")</f>
        <v>#VALUE!</v>
      </c>
      <c r="BU25" t="e">
        <f>AND('Planilla_General_29-11-2012_10_'!K366,"AAAAAG3//0g=")</f>
        <v>#VALUE!</v>
      </c>
      <c r="BV25" t="e">
        <f>AND('Planilla_General_29-11-2012_10_'!L366,"AAAAAG3//0k=")</f>
        <v>#VALUE!</v>
      </c>
      <c r="BW25" t="e">
        <f>AND('Planilla_General_29-11-2012_10_'!M366,"AAAAAG3//0o=")</f>
        <v>#VALUE!</v>
      </c>
      <c r="BX25" t="e">
        <f>AND('Planilla_General_29-11-2012_10_'!N366,"AAAAAG3//0s=")</f>
        <v>#VALUE!</v>
      </c>
      <c r="BY25" t="e">
        <f>AND('Planilla_General_29-11-2012_10_'!O366,"AAAAAG3//0w=")</f>
        <v>#VALUE!</v>
      </c>
      <c r="BZ25" t="e">
        <f>AND('Planilla_General_29-11-2012_10_'!P366,"AAAAAG3//00=")</f>
        <v>#VALUE!</v>
      </c>
      <c r="CA25">
        <f>IF('Planilla_General_29-11-2012_10_'!367:367,"AAAAAG3//04=",0)</f>
        <v>0</v>
      </c>
      <c r="CB25" t="e">
        <f>AND('Planilla_General_29-11-2012_10_'!A367,"AAAAAG3//08=")</f>
        <v>#VALUE!</v>
      </c>
      <c r="CC25" t="e">
        <f>AND('Planilla_General_29-11-2012_10_'!B367,"AAAAAG3//1A=")</f>
        <v>#VALUE!</v>
      </c>
      <c r="CD25" t="e">
        <f>AND('Planilla_General_29-11-2012_10_'!C367,"AAAAAG3//1E=")</f>
        <v>#VALUE!</v>
      </c>
      <c r="CE25" t="e">
        <f>AND('Planilla_General_29-11-2012_10_'!D367,"AAAAAG3//1I=")</f>
        <v>#VALUE!</v>
      </c>
      <c r="CF25" t="e">
        <f>AND('Planilla_General_29-11-2012_10_'!E367,"AAAAAG3//1M=")</f>
        <v>#VALUE!</v>
      </c>
      <c r="CG25" t="e">
        <f>AND('Planilla_General_29-11-2012_10_'!F367,"AAAAAG3//1Q=")</f>
        <v>#VALUE!</v>
      </c>
      <c r="CH25" t="e">
        <f>AND('Planilla_General_29-11-2012_10_'!G367,"AAAAAG3//1U=")</f>
        <v>#VALUE!</v>
      </c>
      <c r="CI25" t="e">
        <f>AND('Planilla_General_29-11-2012_10_'!H367,"AAAAAG3//1Y=")</f>
        <v>#VALUE!</v>
      </c>
      <c r="CJ25" t="e">
        <f>AND('Planilla_General_29-11-2012_10_'!I367,"AAAAAG3//1c=")</f>
        <v>#VALUE!</v>
      </c>
      <c r="CK25" t="e">
        <f>AND('Planilla_General_29-11-2012_10_'!J367,"AAAAAG3//1g=")</f>
        <v>#VALUE!</v>
      </c>
      <c r="CL25" t="e">
        <f>AND('Planilla_General_29-11-2012_10_'!K367,"AAAAAG3//1k=")</f>
        <v>#VALUE!</v>
      </c>
      <c r="CM25" t="e">
        <f>AND('Planilla_General_29-11-2012_10_'!L367,"AAAAAG3//1o=")</f>
        <v>#VALUE!</v>
      </c>
      <c r="CN25" t="e">
        <f>AND('Planilla_General_29-11-2012_10_'!M367,"AAAAAG3//1s=")</f>
        <v>#VALUE!</v>
      </c>
      <c r="CO25" t="e">
        <f>AND('Planilla_General_29-11-2012_10_'!N367,"AAAAAG3//1w=")</f>
        <v>#VALUE!</v>
      </c>
      <c r="CP25" t="e">
        <f>AND('Planilla_General_29-11-2012_10_'!O367,"AAAAAG3//10=")</f>
        <v>#VALUE!</v>
      </c>
      <c r="CQ25" t="e">
        <f>AND('Planilla_General_29-11-2012_10_'!P367,"AAAAAG3//14=")</f>
        <v>#VALUE!</v>
      </c>
      <c r="CR25">
        <f>IF('Planilla_General_29-11-2012_10_'!368:368,"AAAAAG3//18=",0)</f>
        <v>0</v>
      </c>
      <c r="CS25" t="e">
        <f>AND('Planilla_General_29-11-2012_10_'!A368,"AAAAAG3//2A=")</f>
        <v>#VALUE!</v>
      </c>
      <c r="CT25" t="e">
        <f>AND('Planilla_General_29-11-2012_10_'!B368,"AAAAAG3//2E=")</f>
        <v>#VALUE!</v>
      </c>
      <c r="CU25" t="e">
        <f>AND('Planilla_General_29-11-2012_10_'!C368,"AAAAAG3//2I=")</f>
        <v>#VALUE!</v>
      </c>
      <c r="CV25" t="e">
        <f>AND('Planilla_General_29-11-2012_10_'!D368,"AAAAAG3//2M=")</f>
        <v>#VALUE!</v>
      </c>
      <c r="CW25" t="e">
        <f>AND('Planilla_General_29-11-2012_10_'!E368,"AAAAAG3//2Q=")</f>
        <v>#VALUE!</v>
      </c>
      <c r="CX25" t="e">
        <f>AND('Planilla_General_29-11-2012_10_'!F368,"AAAAAG3//2U=")</f>
        <v>#VALUE!</v>
      </c>
      <c r="CY25" t="e">
        <f>AND('Planilla_General_29-11-2012_10_'!G368,"AAAAAG3//2Y=")</f>
        <v>#VALUE!</v>
      </c>
      <c r="CZ25" t="e">
        <f>AND('Planilla_General_29-11-2012_10_'!H368,"AAAAAG3//2c=")</f>
        <v>#VALUE!</v>
      </c>
      <c r="DA25" t="e">
        <f>AND('Planilla_General_29-11-2012_10_'!I368,"AAAAAG3//2g=")</f>
        <v>#VALUE!</v>
      </c>
      <c r="DB25" t="e">
        <f>AND('Planilla_General_29-11-2012_10_'!J368,"AAAAAG3//2k=")</f>
        <v>#VALUE!</v>
      </c>
      <c r="DC25" t="e">
        <f>AND('Planilla_General_29-11-2012_10_'!K368,"AAAAAG3//2o=")</f>
        <v>#VALUE!</v>
      </c>
      <c r="DD25" t="e">
        <f>AND('Planilla_General_29-11-2012_10_'!L368,"AAAAAG3//2s=")</f>
        <v>#VALUE!</v>
      </c>
      <c r="DE25" t="e">
        <f>AND('Planilla_General_29-11-2012_10_'!M368,"AAAAAG3//2w=")</f>
        <v>#VALUE!</v>
      </c>
      <c r="DF25" t="e">
        <f>AND('Planilla_General_29-11-2012_10_'!N368,"AAAAAG3//20=")</f>
        <v>#VALUE!</v>
      </c>
      <c r="DG25" t="e">
        <f>AND('Planilla_General_29-11-2012_10_'!O368,"AAAAAG3//24=")</f>
        <v>#VALUE!</v>
      </c>
      <c r="DH25" t="e">
        <f>AND('Planilla_General_29-11-2012_10_'!P368,"AAAAAG3//28=")</f>
        <v>#VALUE!</v>
      </c>
      <c r="DI25">
        <f>IF('Planilla_General_29-11-2012_10_'!369:369,"AAAAAG3//3A=",0)</f>
        <v>0</v>
      </c>
      <c r="DJ25" t="e">
        <f>AND('Planilla_General_29-11-2012_10_'!A369,"AAAAAG3//3E=")</f>
        <v>#VALUE!</v>
      </c>
      <c r="DK25" t="e">
        <f>AND('Planilla_General_29-11-2012_10_'!B369,"AAAAAG3//3I=")</f>
        <v>#VALUE!</v>
      </c>
      <c r="DL25" t="e">
        <f>AND('Planilla_General_29-11-2012_10_'!C369,"AAAAAG3//3M=")</f>
        <v>#VALUE!</v>
      </c>
      <c r="DM25" t="e">
        <f>AND('Planilla_General_29-11-2012_10_'!D369,"AAAAAG3//3Q=")</f>
        <v>#VALUE!</v>
      </c>
      <c r="DN25" t="e">
        <f>AND('Planilla_General_29-11-2012_10_'!E369,"AAAAAG3//3U=")</f>
        <v>#VALUE!</v>
      </c>
      <c r="DO25" t="e">
        <f>AND('Planilla_General_29-11-2012_10_'!F369,"AAAAAG3//3Y=")</f>
        <v>#VALUE!</v>
      </c>
      <c r="DP25" t="e">
        <f>AND('Planilla_General_29-11-2012_10_'!G369,"AAAAAG3//3c=")</f>
        <v>#VALUE!</v>
      </c>
      <c r="DQ25" t="e">
        <f>AND('Planilla_General_29-11-2012_10_'!H369,"AAAAAG3//3g=")</f>
        <v>#VALUE!</v>
      </c>
      <c r="DR25" t="e">
        <f>AND('Planilla_General_29-11-2012_10_'!I369,"AAAAAG3//3k=")</f>
        <v>#VALUE!</v>
      </c>
      <c r="DS25" t="e">
        <f>AND('Planilla_General_29-11-2012_10_'!J369,"AAAAAG3//3o=")</f>
        <v>#VALUE!</v>
      </c>
      <c r="DT25" t="e">
        <f>AND('Planilla_General_29-11-2012_10_'!K369,"AAAAAG3//3s=")</f>
        <v>#VALUE!</v>
      </c>
      <c r="DU25" t="e">
        <f>AND('Planilla_General_29-11-2012_10_'!L369,"AAAAAG3//3w=")</f>
        <v>#VALUE!</v>
      </c>
      <c r="DV25" t="e">
        <f>AND('Planilla_General_29-11-2012_10_'!M369,"AAAAAG3//30=")</f>
        <v>#VALUE!</v>
      </c>
      <c r="DW25" t="e">
        <f>AND('Planilla_General_29-11-2012_10_'!N369,"AAAAAG3//34=")</f>
        <v>#VALUE!</v>
      </c>
      <c r="DX25" t="e">
        <f>AND('Planilla_General_29-11-2012_10_'!O369,"AAAAAG3//38=")</f>
        <v>#VALUE!</v>
      </c>
      <c r="DY25" t="e">
        <f>AND('Planilla_General_29-11-2012_10_'!P369,"AAAAAG3//4A=")</f>
        <v>#VALUE!</v>
      </c>
      <c r="DZ25">
        <f>IF('Planilla_General_29-11-2012_10_'!370:370,"AAAAAG3//4E=",0)</f>
        <v>0</v>
      </c>
      <c r="EA25" t="e">
        <f>AND('Planilla_General_29-11-2012_10_'!A370,"AAAAAG3//4I=")</f>
        <v>#VALUE!</v>
      </c>
      <c r="EB25" t="e">
        <f>AND('Planilla_General_29-11-2012_10_'!B370,"AAAAAG3//4M=")</f>
        <v>#VALUE!</v>
      </c>
      <c r="EC25" t="e">
        <f>AND('Planilla_General_29-11-2012_10_'!C370,"AAAAAG3//4Q=")</f>
        <v>#VALUE!</v>
      </c>
      <c r="ED25" t="e">
        <f>AND('Planilla_General_29-11-2012_10_'!D370,"AAAAAG3//4U=")</f>
        <v>#VALUE!</v>
      </c>
      <c r="EE25" t="e">
        <f>AND('Planilla_General_29-11-2012_10_'!E370,"AAAAAG3//4Y=")</f>
        <v>#VALUE!</v>
      </c>
      <c r="EF25" t="e">
        <f>AND('Planilla_General_29-11-2012_10_'!F370,"AAAAAG3//4c=")</f>
        <v>#VALUE!</v>
      </c>
      <c r="EG25" t="e">
        <f>AND('Planilla_General_29-11-2012_10_'!G370,"AAAAAG3//4g=")</f>
        <v>#VALUE!</v>
      </c>
      <c r="EH25" t="e">
        <f>AND('Planilla_General_29-11-2012_10_'!H370,"AAAAAG3//4k=")</f>
        <v>#VALUE!</v>
      </c>
      <c r="EI25" t="e">
        <f>AND('Planilla_General_29-11-2012_10_'!I370,"AAAAAG3//4o=")</f>
        <v>#VALUE!</v>
      </c>
      <c r="EJ25" t="e">
        <f>AND('Planilla_General_29-11-2012_10_'!J370,"AAAAAG3//4s=")</f>
        <v>#VALUE!</v>
      </c>
      <c r="EK25" t="e">
        <f>AND('Planilla_General_29-11-2012_10_'!K370,"AAAAAG3//4w=")</f>
        <v>#VALUE!</v>
      </c>
      <c r="EL25" t="e">
        <f>AND('Planilla_General_29-11-2012_10_'!L370,"AAAAAG3//40=")</f>
        <v>#VALUE!</v>
      </c>
      <c r="EM25" t="e">
        <f>AND('Planilla_General_29-11-2012_10_'!M370,"AAAAAG3//44=")</f>
        <v>#VALUE!</v>
      </c>
      <c r="EN25" t="e">
        <f>AND('Planilla_General_29-11-2012_10_'!N370,"AAAAAG3//48=")</f>
        <v>#VALUE!</v>
      </c>
      <c r="EO25" t="e">
        <f>AND('Planilla_General_29-11-2012_10_'!O370,"AAAAAG3//5A=")</f>
        <v>#VALUE!</v>
      </c>
      <c r="EP25" t="e">
        <f>AND('Planilla_General_29-11-2012_10_'!P370,"AAAAAG3//5E=")</f>
        <v>#VALUE!</v>
      </c>
      <c r="EQ25">
        <f>IF('Planilla_General_29-11-2012_10_'!371:371,"AAAAAG3//5I=",0)</f>
        <v>0</v>
      </c>
      <c r="ER25" t="e">
        <f>AND('Planilla_General_29-11-2012_10_'!A371,"AAAAAG3//5M=")</f>
        <v>#VALUE!</v>
      </c>
      <c r="ES25" t="e">
        <f>AND('Planilla_General_29-11-2012_10_'!B371,"AAAAAG3//5Q=")</f>
        <v>#VALUE!</v>
      </c>
      <c r="ET25" t="e">
        <f>AND('Planilla_General_29-11-2012_10_'!C371,"AAAAAG3//5U=")</f>
        <v>#VALUE!</v>
      </c>
      <c r="EU25" t="e">
        <f>AND('Planilla_General_29-11-2012_10_'!D371,"AAAAAG3//5Y=")</f>
        <v>#VALUE!</v>
      </c>
      <c r="EV25" t="e">
        <f>AND('Planilla_General_29-11-2012_10_'!E371,"AAAAAG3//5c=")</f>
        <v>#VALUE!</v>
      </c>
      <c r="EW25" t="e">
        <f>AND('Planilla_General_29-11-2012_10_'!F371,"AAAAAG3//5g=")</f>
        <v>#VALUE!</v>
      </c>
      <c r="EX25" t="e">
        <f>AND('Planilla_General_29-11-2012_10_'!G371,"AAAAAG3//5k=")</f>
        <v>#VALUE!</v>
      </c>
      <c r="EY25" t="e">
        <f>AND('Planilla_General_29-11-2012_10_'!H371,"AAAAAG3//5o=")</f>
        <v>#VALUE!</v>
      </c>
      <c r="EZ25" t="e">
        <f>AND('Planilla_General_29-11-2012_10_'!I371,"AAAAAG3//5s=")</f>
        <v>#VALUE!</v>
      </c>
      <c r="FA25" t="e">
        <f>AND('Planilla_General_29-11-2012_10_'!J371,"AAAAAG3//5w=")</f>
        <v>#VALUE!</v>
      </c>
      <c r="FB25" t="e">
        <f>AND('Planilla_General_29-11-2012_10_'!K371,"AAAAAG3//50=")</f>
        <v>#VALUE!</v>
      </c>
      <c r="FC25" t="e">
        <f>AND('Planilla_General_29-11-2012_10_'!L371,"AAAAAG3//54=")</f>
        <v>#VALUE!</v>
      </c>
      <c r="FD25" t="e">
        <f>AND('Planilla_General_29-11-2012_10_'!M371,"AAAAAG3//58=")</f>
        <v>#VALUE!</v>
      </c>
      <c r="FE25" t="e">
        <f>AND('Planilla_General_29-11-2012_10_'!N371,"AAAAAG3//6A=")</f>
        <v>#VALUE!</v>
      </c>
      <c r="FF25" t="e">
        <f>AND('Planilla_General_29-11-2012_10_'!O371,"AAAAAG3//6E=")</f>
        <v>#VALUE!</v>
      </c>
      <c r="FG25" t="e">
        <f>AND('Planilla_General_29-11-2012_10_'!P371,"AAAAAG3//6I=")</f>
        <v>#VALUE!</v>
      </c>
      <c r="FH25">
        <f>IF('Planilla_General_29-11-2012_10_'!372:372,"AAAAAG3//6M=",0)</f>
        <v>0</v>
      </c>
      <c r="FI25" t="e">
        <f>AND('Planilla_General_29-11-2012_10_'!A372,"AAAAAG3//6Q=")</f>
        <v>#VALUE!</v>
      </c>
      <c r="FJ25" t="e">
        <f>AND('Planilla_General_29-11-2012_10_'!B372,"AAAAAG3//6U=")</f>
        <v>#VALUE!</v>
      </c>
      <c r="FK25" t="e">
        <f>AND('Planilla_General_29-11-2012_10_'!C372,"AAAAAG3//6Y=")</f>
        <v>#VALUE!</v>
      </c>
      <c r="FL25" t="e">
        <f>AND('Planilla_General_29-11-2012_10_'!D372,"AAAAAG3//6c=")</f>
        <v>#VALUE!</v>
      </c>
      <c r="FM25" t="e">
        <f>AND('Planilla_General_29-11-2012_10_'!E372,"AAAAAG3//6g=")</f>
        <v>#VALUE!</v>
      </c>
      <c r="FN25" t="e">
        <f>AND('Planilla_General_29-11-2012_10_'!F372,"AAAAAG3//6k=")</f>
        <v>#VALUE!</v>
      </c>
      <c r="FO25" t="e">
        <f>AND('Planilla_General_29-11-2012_10_'!G372,"AAAAAG3//6o=")</f>
        <v>#VALUE!</v>
      </c>
      <c r="FP25" t="e">
        <f>AND('Planilla_General_29-11-2012_10_'!H372,"AAAAAG3//6s=")</f>
        <v>#VALUE!</v>
      </c>
      <c r="FQ25" t="e">
        <f>AND('Planilla_General_29-11-2012_10_'!I372,"AAAAAG3//6w=")</f>
        <v>#VALUE!</v>
      </c>
      <c r="FR25" t="e">
        <f>AND('Planilla_General_29-11-2012_10_'!J372,"AAAAAG3//60=")</f>
        <v>#VALUE!</v>
      </c>
      <c r="FS25" t="e">
        <f>AND('Planilla_General_29-11-2012_10_'!K372,"AAAAAG3//64=")</f>
        <v>#VALUE!</v>
      </c>
      <c r="FT25" t="e">
        <f>AND('Planilla_General_29-11-2012_10_'!L372,"AAAAAG3//68=")</f>
        <v>#VALUE!</v>
      </c>
      <c r="FU25" t="e">
        <f>AND('Planilla_General_29-11-2012_10_'!M372,"AAAAAG3//7A=")</f>
        <v>#VALUE!</v>
      </c>
      <c r="FV25" t="e">
        <f>AND('Planilla_General_29-11-2012_10_'!N372,"AAAAAG3//7E=")</f>
        <v>#VALUE!</v>
      </c>
      <c r="FW25" t="e">
        <f>AND('Planilla_General_29-11-2012_10_'!O372,"AAAAAG3//7I=")</f>
        <v>#VALUE!</v>
      </c>
      <c r="FX25" t="e">
        <f>AND('Planilla_General_29-11-2012_10_'!P372,"AAAAAG3//7M=")</f>
        <v>#VALUE!</v>
      </c>
      <c r="FY25">
        <f>IF('Planilla_General_29-11-2012_10_'!373:373,"AAAAAG3//7Q=",0)</f>
        <v>0</v>
      </c>
      <c r="FZ25" t="e">
        <f>AND('Planilla_General_29-11-2012_10_'!A373,"AAAAAG3//7U=")</f>
        <v>#VALUE!</v>
      </c>
      <c r="GA25" t="e">
        <f>AND('Planilla_General_29-11-2012_10_'!B373,"AAAAAG3//7Y=")</f>
        <v>#VALUE!</v>
      </c>
      <c r="GB25" t="e">
        <f>AND('Planilla_General_29-11-2012_10_'!C373,"AAAAAG3//7c=")</f>
        <v>#VALUE!</v>
      </c>
      <c r="GC25" t="e">
        <f>AND('Planilla_General_29-11-2012_10_'!D373,"AAAAAG3//7g=")</f>
        <v>#VALUE!</v>
      </c>
      <c r="GD25" t="e">
        <f>AND('Planilla_General_29-11-2012_10_'!E373,"AAAAAG3//7k=")</f>
        <v>#VALUE!</v>
      </c>
      <c r="GE25" t="e">
        <f>AND('Planilla_General_29-11-2012_10_'!F373,"AAAAAG3//7o=")</f>
        <v>#VALUE!</v>
      </c>
      <c r="GF25" t="e">
        <f>AND('Planilla_General_29-11-2012_10_'!G373,"AAAAAG3//7s=")</f>
        <v>#VALUE!</v>
      </c>
      <c r="GG25" t="e">
        <f>AND('Planilla_General_29-11-2012_10_'!H373,"AAAAAG3//7w=")</f>
        <v>#VALUE!</v>
      </c>
      <c r="GH25" t="e">
        <f>AND('Planilla_General_29-11-2012_10_'!I373,"AAAAAG3//70=")</f>
        <v>#VALUE!</v>
      </c>
      <c r="GI25" t="e">
        <f>AND('Planilla_General_29-11-2012_10_'!J373,"AAAAAG3//74=")</f>
        <v>#VALUE!</v>
      </c>
      <c r="GJ25" t="e">
        <f>AND('Planilla_General_29-11-2012_10_'!K373,"AAAAAG3//78=")</f>
        <v>#VALUE!</v>
      </c>
      <c r="GK25" t="e">
        <f>AND('Planilla_General_29-11-2012_10_'!L373,"AAAAAG3//8A=")</f>
        <v>#VALUE!</v>
      </c>
      <c r="GL25" t="e">
        <f>AND('Planilla_General_29-11-2012_10_'!M373,"AAAAAG3//8E=")</f>
        <v>#VALUE!</v>
      </c>
      <c r="GM25" t="e">
        <f>AND('Planilla_General_29-11-2012_10_'!N373,"AAAAAG3//8I=")</f>
        <v>#VALUE!</v>
      </c>
      <c r="GN25" t="e">
        <f>AND('Planilla_General_29-11-2012_10_'!O373,"AAAAAG3//8M=")</f>
        <v>#VALUE!</v>
      </c>
      <c r="GO25" t="e">
        <f>AND('Planilla_General_29-11-2012_10_'!P373,"AAAAAG3//8Q=")</f>
        <v>#VALUE!</v>
      </c>
      <c r="GP25">
        <f>IF('Planilla_General_29-11-2012_10_'!374:374,"AAAAAG3//8U=",0)</f>
        <v>0</v>
      </c>
      <c r="GQ25" t="e">
        <f>AND('Planilla_General_29-11-2012_10_'!A374,"AAAAAG3//8Y=")</f>
        <v>#VALUE!</v>
      </c>
      <c r="GR25" t="e">
        <f>AND('Planilla_General_29-11-2012_10_'!B374,"AAAAAG3//8c=")</f>
        <v>#VALUE!</v>
      </c>
      <c r="GS25" t="e">
        <f>AND('Planilla_General_29-11-2012_10_'!C374,"AAAAAG3//8g=")</f>
        <v>#VALUE!</v>
      </c>
      <c r="GT25" t="e">
        <f>AND('Planilla_General_29-11-2012_10_'!D374,"AAAAAG3//8k=")</f>
        <v>#VALUE!</v>
      </c>
      <c r="GU25" t="e">
        <f>AND('Planilla_General_29-11-2012_10_'!E374,"AAAAAG3//8o=")</f>
        <v>#VALUE!</v>
      </c>
      <c r="GV25" t="e">
        <f>AND('Planilla_General_29-11-2012_10_'!F374,"AAAAAG3//8s=")</f>
        <v>#VALUE!</v>
      </c>
      <c r="GW25" t="e">
        <f>AND('Planilla_General_29-11-2012_10_'!G374,"AAAAAG3//8w=")</f>
        <v>#VALUE!</v>
      </c>
      <c r="GX25" t="e">
        <f>AND('Planilla_General_29-11-2012_10_'!H374,"AAAAAG3//80=")</f>
        <v>#VALUE!</v>
      </c>
      <c r="GY25" t="e">
        <f>AND('Planilla_General_29-11-2012_10_'!I374,"AAAAAG3//84=")</f>
        <v>#VALUE!</v>
      </c>
      <c r="GZ25" t="e">
        <f>AND('Planilla_General_29-11-2012_10_'!J374,"AAAAAG3//88=")</f>
        <v>#VALUE!</v>
      </c>
      <c r="HA25" t="e">
        <f>AND('Planilla_General_29-11-2012_10_'!K374,"AAAAAG3//9A=")</f>
        <v>#VALUE!</v>
      </c>
      <c r="HB25" t="e">
        <f>AND('Planilla_General_29-11-2012_10_'!L374,"AAAAAG3//9E=")</f>
        <v>#VALUE!</v>
      </c>
      <c r="HC25" t="e">
        <f>AND('Planilla_General_29-11-2012_10_'!M374,"AAAAAG3//9I=")</f>
        <v>#VALUE!</v>
      </c>
      <c r="HD25" t="e">
        <f>AND('Planilla_General_29-11-2012_10_'!N374,"AAAAAG3//9M=")</f>
        <v>#VALUE!</v>
      </c>
      <c r="HE25" t="e">
        <f>AND('Planilla_General_29-11-2012_10_'!O374,"AAAAAG3//9Q=")</f>
        <v>#VALUE!</v>
      </c>
      <c r="HF25" t="e">
        <f>AND('Planilla_General_29-11-2012_10_'!P374,"AAAAAG3//9U=")</f>
        <v>#VALUE!</v>
      </c>
      <c r="HG25">
        <f>IF('Planilla_General_29-11-2012_10_'!375:375,"AAAAAG3//9Y=",0)</f>
        <v>0</v>
      </c>
      <c r="HH25" t="e">
        <f>AND('Planilla_General_29-11-2012_10_'!A375,"AAAAAG3//9c=")</f>
        <v>#VALUE!</v>
      </c>
      <c r="HI25" t="e">
        <f>AND('Planilla_General_29-11-2012_10_'!B375,"AAAAAG3//9g=")</f>
        <v>#VALUE!</v>
      </c>
      <c r="HJ25" t="e">
        <f>AND('Planilla_General_29-11-2012_10_'!C375,"AAAAAG3//9k=")</f>
        <v>#VALUE!</v>
      </c>
      <c r="HK25" t="e">
        <f>AND('Planilla_General_29-11-2012_10_'!D375,"AAAAAG3//9o=")</f>
        <v>#VALUE!</v>
      </c>
      <c r="HL25" t="e">
        <f>AND('Planilla_General_29-11-2012_10_'!E375,"AAAAAG3//9s=")</f>
        <v>#VALUE!</v>
      </c>
      <c r="HM25" t="e">
        <f>AND('Planilla_General_29-11-2012_10_'!F375,"AAAAAG3//9w=")</f>
        <v>#VALUE!</v>
      </c>
      <c r="HN25" t="e">
        <f>AND('Planilla_General_29-11-2012_10_'!G375,"AAAAAG3//90=")</f>
        <v>#VALUE!</v>
      </c>
      <c r="HO25" t="e">
        <f>AND('Planilla_General_29-11-2012_10_'!H375,"AAAAAG3//94=")</f>
        <v>#VALUE!</v>
      </c>
      <c r="HP25" t="e">
        <f>AND('Planilla_General_29-11-2012_10_'!I375,"AAAAAG3//98=")</f>
        <v>#VALUE!</v>
      </c>
      <c r="HQ25" t="e">
        <f>AND('Planilla_General_29-11-2012_10_'!J375,"AAAAAG3//+A=")</f>
        <v>#VALUE!</v>
      </c>
      <c r="HR25" t="e">
        <f>AND('Planilla_General_29-11-2012_10_'!K375,"AAAAAG3//+E=")</f>
        <v>#VALUE!</v>
      </c>
      <c r="HS25" t="e">
        <f>AND('Planilla_General_29-11-2012_10_'!L375,"AAAAAG3//+I=")</f>
        <v>#VALUE!</v>
      </c>
      <c r="HT25" t="e">
        <f>AND('Planilla_General_29-11-2012_10_'!M375,"AAAAAG3//+M=")</f>
        <v>#VALUE!</v>
      </c>
      <c r="HU25" t="e">
        <f>AND('Planilla_General_29-11-2012_10_'!N375,"AAAAAG3//+Q=")</f>
        <v>#VALUE!</v>
      </c>
      <c r="HV25" t="e">
        <f>AND('Planilla_General_29-11-2012_10_'!O375,"AAAAAG3//+U=")</f>
        <v>#VALUE!</v>
      </c>
      <c r="HW25" t="e">
        <f>AND('Planilla_General_29-11-2012_10_'!P375,"AAAAAG3//+Y=")</f>
        <v>#VALUE!</v>
      </c>
      <c r="HX25">
        <f>IF('Planilla_General_29-11-2012_10_'!376:376,"AAAAAG3//+c=",0)</f>
        <v>0</v>
      </c>
      <c r="HY25" t="e">
        <f>AND('Planilla_General_29-11-2012_10_'!A376,"AAAAAG3//+g=")</f>
        <v>#VALUE!</v>
      </c>
      <c r="HZ25" t="e">
        <f>AND('Planilla_General_29-11-2012_10_'!B376,"AAAAAG3//+k=")</f>
        <v>#VALUE!</v>
      </c>
      <c r="IA25" t="e">
        <f>AND('Planilla_General_29-11-2012_10_'!C376,"AAAAAG3//+o=")</f>
        <v>#VALUE!</v>
      </c>
      <c r="IB25" t="e">
        <f>AND('Planilla_General_29-11-2012_10_'!D376,"AAAAAG3//+s=")</f>
        <v>#VALUE!</v>
      </c>
      <c r="IC25" t="e">
        <f>AND('Planilla_General_29-11-2012_10_'!E376,"AAAAAG3//+w=")</f>
        <v>#VALUE!</v>
      </c>
      <c r="ID25" t="e">
        <f>AND('Planilla_General_29-11-2012_10_'!F376,"AAAAAG3//+0=")</f>
        <v>#VALUE!</v>
      </c>
      <c r="IE25" t="e">
        <f>AND('Planilla_General_29-11-2012_10_'!G376,"AAAAAG3//+4=")</f>
        <v>#VALUE!</v>
      </c>
      <c r="IF25" t="e">
        <f>AND('Planilla_General_29-11-2012_10_'!H376,"AAAAAG3//+8=")</f>
        <v>#VALUE!</v>
      </c>
      <c r="IG25" t="e">
        <f>AND('Planilla_General_29-11-2012_10_'!I376,"AAAAAG3///A=")</f>
        <v>#VALUE!</v>
      </c>
      <c r="IH25" t="e">
        <f>AND('Planilla_General_29-11-2012_10_'!J376,"AAAAAG3///E=")</f>
        <v>#VALUE!</v>
      </c>
      <c r="II25" t="e">
        <f>AND('Planilla_General_29-11-2012_10_'!K376,"AAAAAG3///I=")</f>
        <v>#VALUE!</v>
      </c>
      <c r="IJ25" t="e">
        <f>AND('Planilla_General_29-11-2012_10_'!L376,"AAAAAG3///M=")</f>
        <v>#VALUE!</v>
      </c>
      <c r="IK25" t="e">
        <f>AND('Planilla_General_29-11-2012_10_'!M376,"AAAAAG3///Q=")</f>
        <v>#VALUE!</v>
      </c>
      <c r="IL25" t="e">
        <f>AND('Planilla_General_29-11-2012_10_'!N376,"AAAAAG3///U=")</f>
        <v>#VALUE!</v>
      </c>
      <c r="IM25" t="e">
        <f>AND('Planilla_General_29-11-2012_10_'!O376,"AAAAAG3///Y=")</f>
        <v>#VALUE!</v>
      </c>
      <c r="IN25" t="e">
        <f>AND('Planilla_General_29-11-2012_10_'!P376,"AAAAAG3///c=")</f>
        <v>#VALUE!</v>
      </c>
      <c r="IO25">
        <f>IF('Planilla_General_29-11-2012_10_'!377:377,"AAAAAG3///g=",0)</f>
        <v>0</v>
      </c>
      <c r="IP25" t="e">
        <f>AND('Planilla_General_29-11-2012_10_'!A377,"AAAAAG3///k=")</f>
        <v>#VALUE!</v>
      </c>
      <c r="IQ25" t="e">
        <f>AND('Planilla_General_29-11-2012_10_'!B377,"AAAAAG3///o=")</f>
        <v>#VALUE!</v>
      </c>
      <c r="IR25" t="e">
        <f>AND('Planilla_General_29-11-2012_10_'!C377,"AAAAAG3///s=")</f>
        <v>#VALUE!</v>
      </c>
      <c r="IS25" t="e">
        <f>AND('Planilla_General_29-11-2012_10_'!D377,"AAAAAG3///w=")</f>
        <v>#VALUE!</v>
      </c>
      <c r="IT25" t="e">
        <f>AND('Planilla_General_29-11-2012_10_'!E377,"AAAAAG3///0=")</f>
        <v>#VALUE!</v>
      </c>
      <c r="IU25" t="e">
        <f>AND('Planilla_General_29-11-2012_10_'!F377,"AAAAAG3///4=")</f>
        <v>#VALUE!</v>
      </c>
      <c r="IV25" t="e">
        <f>AND('Planilla_General_29-11-2012_10_'!G377,"AAAAAG3///8=")</f>
        <v>#VALUE!</v>
      </c>
    </row>
    <row r="26" spans="1:256" x14ac:dyDescent="0.25">
      <c r="A26" t="e">
        <f>AND('Planilla_General_29-11-2012_10_'!H377,"AAAAAF+q7wA=")</f>
        <v>#VALUE!</v>
      </c>
      <c r="B26" t="e">
        <f>AND('Planilla_General_29-11-2012_10_'!I377,"AAAAAF+q7wE=")</f>
        <v>#VALUE!</v>
      </c>
      <c r="C26" t="e">
        <f>AND('Planilla_General_29-11-2012_10_'!J377,"AAAAAF+q7wI=")</f>
        <v>#VALUE!</v>
      </c>
      <c r="D26" t="e">
        <f>AND('Planilla_General_29-11-2012_10_'!K377,"AAAAAF+q7wM=")</f>
        <v>#VALUE!</v>
      </c>
      <c r="E26" t="e">
        <f>AND('Planilla_General_29-11-2012_10_'!L377,"AAAAAF+q7wQ=")</f>
        <v>#VALUE!</v>
      </c>
      <c r="F26" t="e">
        <f>AND('Planilla_General_29-11-2012_10_'!M377,"AAAAAF+q7wU=")</f>
        <v>#VALUE!</v>
      </c>
      <c r="G26" t="e">
        <f>AND('Planilla_General_29-11-2012_10_'!N377,"AAAAAF+q7wY=")</f>
        <v>#VALUE!</v>
      </c>
      <c r="H26" t="e">
        <f>AND('Planilla_General_29-11-2012_10_'!O377,"AAAAAF+q7wc=")</f>
        <v>#VALUE!</v>
      </c>
      <c r="I26" t="e">
        <f>AND('Planilla_General_29-11-2012_10_'!P377,"AAAAAF+q7wg=")</f>
        <v>#VALUE!</v>
      </c>
      <c r="J26" t="e">
        <f>IF('Planilla_General_29-11-2012_10_'!378:378,"AAAAAF+q7wk=",0)</f>
        <v>#VALUE!</v>
      </c>
      <c r="K26" t="e">
        <f>AND('Planilla_General_29-11-2012_10_'!A378,"AAAAAF+q7wo=")</f>
        <v>#VALUE!</v>
      </c>
      <c r="L26" t="e">
        <f>AND('Planilla_General_29-11-2012_10_'!B378,"AAAAAF+q7ws=")</f>
        <v>#VALUE!</v>
      </c>
      <c r="M26" t="e">
        <f>AND('Planilla_General_29-11-2012_10_'!C378,"AAAAAF+q7ww=")</f>
        <v>#VALUE!</v>
      </c>
      <c r="N26" t="e">
        <f>AND('Planilla_General_29-11-2012_10_'!D378,"AAAAAF+q7w0=")</f>
        <v>#VALUE!</v>
      </c>
      <c r="O26" t="e">
        <f>AND('Planilla_General_29-11-2012_10_'!E378,"AAAAAF+q7w4=")</f>
        <v>#VALUE!</v>
      </c>
      <c r="P26" t="e">
        <f>AND('Planilla_General_29-11-2012_10_'!F378,"AAAAAF+q7w8=")</f>
        <v>#VALUE!</v>
      </c>
      <c r="Q26" t="e">
        <f>AND('Planilla_General_29-11-2012_10_'!G378,"AAAAAF+q7xA=")</f>
        <v>#VALUE!</v>
      </c>
      <c r="R26" t="e">
        <f>AND('Planilla_General_29-11-2012_10_'!H378,"AAAAAF+q7xE=")</f>
        <v>#VALUE!</v>
      </c>
      <c r="S26" t="e">
        <f>AND('Planilla_General_29-11-2012_10_'!I378,"AAAAAF+q7xI=")</f>
        <v>#VALUE!</v>
      </c>
      <c r="T26" t="e">
        <f>AND('Planilla_General_29-11-2012_10_'!J378,"AAAAAF+q7xM=")</f>
        <v>#VALUE!</v>
      </c>
      <c r="U26" t="e">
        <f>AND('Planilla_General_29-11-2012_10_'!K378,"AAAAAF+q7xQ=")</f>
        <v>#VALUE!</v>
      </c>
      <c r="V26" t="e">
        <f>AND('Planilla_General_29-11-2012_10_'!L378,"AAAAAF+q7xU=")</f>
        <v>#VALUE!</v>
      </c>
      <c r="W26" t="e">
        <f>AND('Planilla_General_29-11-2012_10_'!M378,"AAAAAF+q7xY=")</f>
        <v>#VALUE!</v>
      </c>
      <c r="X26" t="e">
        <f>AND('Planilla_General_29-11-2012_10_'!N378,"AAAAAF+q7xc=")</f>
        <v>#VALUE!</v>
      </c>
      <c r="Y26" t="e">
        <f>AND('Planilla_General_29-11-2012_10_'!O378,"AAAAAF+q7xg=")</f>
        <v>#VALUE!</v>
      </c>
      <c r="Z26" t="e">
        <f>AND('Planilla_General_29-11-2012_10_'!P378,"AAAAAF+q7xk=")</f>
        <v>#VALUE!</v>
      </c>
      <c r="AA26">
        <f>IF('Planilla_General_29-11-2012_10_'!379:379,"AAAAAF+q7xo=",0)</f>
        <v>0</v>
      </c>
      <c r="AB26" t="e">
        <f>AND('Planilla_General_29-11-2012_10_'!A379,"AAAAAF+q7xs=")</f>
        <v>#VALUE!</v>
      </c>
      <c r="AC26" t="e">
        <f>AND('Planilla_General_29-11-2012_10_'!B379,"AAAAAF+q7xw=")</f>
        <v>#VALUE!</v>
      </c>
      <c r="AD26" t="e">
        <f>AND('Planilla_General_29-11-2012_10_'!C379,"AAAAAF+q7x0=")</f>
        <v>#VALUE!</v>
      </c>
      <c r="AE26" t="e">
        <f>AND('Planilla_General_29-11-2012_10_'!D379,"AAAAAF+q7x4=")</f>
        <v>#VALUE!</v>
      </c>
      <c r="AF26" t="e">
        <f>AND('Planilla_General_29-11-2012_10_'!E379,"AAAAAF+q7x8=")</f>
        <v>#VALUE!</v>
      </c>
      <c r="AG26" t="e">
        <f>AND('Planilla_General_29-11-2012_10_'!F379,"AAAAAF+q7yA=")</f>
        <v>#VALUE!</v>
      </c>
      <c r="AH26" t="e">
        <f>AND('Planilla_General_29-11-2012_10_'!G379,"AAAAAF+q7yE=")</f>
        <v>#VALUE!</v>
      </c>
      <c r="AI26" t="e">
        <f>AND('Planilla_General_29-11-2012_10_'!H379,"AAAAAF+q7yI=")</f>
        <v>#VALUE!</v>
      </c>
      <c r="AJ26" t="e">
        <f>AND('Planilla_General_29-11-2012_10_'!I379,"AAAAAF+q7yM=")</f>
        <v>#VALUE!</v>
      </c>
      <c r="AK26" t="e">
        <f>AND('Planilla_General_29-11-2012_10_'!J379,"AAAAAF+q7yQ=")</f>
        <v>#VALUE!</v>
      </c>
      <c r="AL26" t="e">
        <f>AND('Planilla_General_29-11-2012_10_'!K379,"AAAAAF+q7yU=")</f>
        <v>#VALUE!</v>
      </c>
      <c r="AM26" t="e">
        <f>AND('Planilla_General_29-11-2012_10_'!L379,"AAAAAF+q7yY=")</f>
        <v>#VALUE!</v>
      </c>
      <c r="AN26" t="e">
        <f>AND('Planilla_General_29-11-2012_10_'!M379,"AAAAAF+q7yc=")</f>
        <v>#VALUE!</v>
      </c>
      <c r="AO26" t="e">
        <f>AND('Planilla_General_29-11-2012_10_'!N379,"AAAAAF+q7yg=")</f>
        <v>#VALUE!</v>
      </c>
      <c r="AP26" t="e">
        <f>AND('Planilla_General_29-11-2012_10_'!O379,"AAAAAF+q7yk=")</f>
        <v>#VALUE!</v>
      </c>
      <c r="AQ26" t="e">
        <f>AND('Planilla_General_29-11-2012_10_'!P379,"AAAAAF+q7yo=")</f>
        <v>#VALUE!</v>
      </c>
      <c r="AR26">
        <f>IF('Planilla_General_29-11-2012_10_'!380:380,"AAAAAF+q7ys=",0)</f>
        <v>0</v>
      </c>
      <c r="AS26" t="e">
        <f>AND('Planilla_General_29-11-2012_10_'!A380,"AAAAAF+q7yw=")</f>
        <v>#VALUE!</v>
      </c>
      <c r="AT26" t="e">
        <f>AND('Planilla_General_29-11-2012_10_'!B380,"AAAAAF+q7y0=")</f>
        <v>#VALUE!</v>
      </c>
      <c r="AU26" t="e">
        <f>AND('Planilla_General_29-11-2012_10_'!C380,"AAAAAF+q7y4=")</f>
        <v>#VALUE!</v>
      </c>
      <c r="AV26" t="e">
        <f>AND('Planilla_General_29-11-2012_10_'!D380,"AAAAAF+q7y8=")</f>
        <v>#VALUE!</v>
      </c>
      <c r="AW26" t="e">
        <f>AND('Planilla_General_29-11-2012_10_'!E380,"AAAAAF+q7zA=")</f>
        <v>#VALUE!</v>
      </c>
      <c r="AX26" t="e">
        <f>AND('Planilla_General_29-11-2012_10_'!F380,"AAAAAF+q7zE=")</f>
        <v>#VALUE!</v>
      </c>
      <c r="AY26" t="e">
        <f>AND('Planilla_General_29-11-2012_10_'!G380,"AAAAAF+q7zI=")</f>
        <v>#VALUE!</v>
      </c>
      <c r="AZ26" t="e">
        <f>AND('Planilla_General_29-11-2012_10_'!H380,"AAAAAF+q7zM=")</f>
        <v>#VALUE!</v>
      </c>
      <c r="BA26" t="e">
        <f>AND('Planilla_General_29-11-2012_10_'!I380,"AAAAAF+q7zQ=")</f>
        <v>#VALUE!</v>
      </c>
      <c r="BB26" t="e">
        <f>AND('Planilla_General_29-11-2012_10_'!J380,"AAAAAF+q7zU=")</f>
        <v>#VALUE!</v>
      </c>
      <c r="BC26" t="e">
        <f>AND('Planilla_General_29-11-2012_10_'!K380,"AAAAAF+q7zY=")</f>
        <v>#VALUE!</v>
      </c>
      <c r="BD26" t="e">
        <f>AND('Planilla_General_29-11-2012_10_'!L380,"AAAAAF+q7zc=")</f>
        <v>#VALUE!</v>
      </c>
      <c r="BE26" t="e">
        <f>AND('Planilla_General_29-11-2012_10_'!M380,"AAAAAF+q7zg=")</f>
        <v>#VALUE!</v>
      </c>
      <c r="BF26" t="e">
        <f>AND('Planilla_General_29-11-2012_10_'!N380,"AAAAAF+q7zk=")</f>
        <v>#VALUE!</v>
      </c>
      <c r="BG26" t="e">
        <f>AND('Planilla_General_29-11-2012_10_'!O380,"AAAAAF+q7zo=")</f>
        <v>#VALUE!</v>
      </c>
      <c r="BH26" t="e">
        <f>AND('Planilla_General_29-11-2012_10_'!P380,"AAAAAF+q7zs=")</f>
        <v>#VALUE!</v>
      </c>
      <c r="BI26">
        <f>IF('Planilla_General_29-11-2012_10_'!381:381,"AAAAAF+q7zw=",0)</f>
        <v>0</v>
      </c>
      <c r="BJ26" t="e">
        <f>AND('Planilla_General_29-11-2012_10_'!A381,"AAAAAF+q7z0=")</f>
        <v>#VALUE!</v>
      </c>
      <c r="BK26" t="e">
        <f>AND('Planilla_General_29-11-2012_10_'!B381,"AAAAAF+q7z4=")</f>
        <v>#VALUE!</v>
      </c>
      <c r="BL26" t="e">
        <f>AND('Planilla_General_29-11-2012_10_'!C381,"AAAAAF+q7z8=")</f>
        <v>#VALUE!</v>
      </c>
      <c r="BM26" t="e">
        <f>AND('Planilla_General_29-11-2012_10_'!D381,"AAAAAF+q70A=")</f>
        <v>#VALUE!</v>
      </c>
      <c r="BN26" t="e">
        <f>AND('Planilla_General_29-11-2012_10_'!E381,"AAAAAF+q70E=")</f>
        <v>#VALUE!</v>
      </c>
      <c r="BO26" t="e">
        <f>AND('Planilla_General_29-11-2012_10_'!F381,"AAAAAF+q70I=")</f>
        <v>#VALUE!</v>
      </c>
      <c r="BP26" t="e">
        <f>AND('Planilla_General_29-11-2012_10_'!G381,"AAAAAF+q70M=")</f>
        <v>#VALUE!</v>
      </c>
      <c r="BQ26" t="e">
        <f>AND('Planilla_General_29-11-2012_10_'!H381,"AAAAAF+q70Q=")</f>
        <v>#VALUE!</v>
      </c>
      <c r="BR26" t="e">
        <f>AND('Planilla_General_29-11-2012_10_'!I381,"AAAAAF+q70U=")</f>
        <v>#VALUE!</v>
      </c>
      <c r="BS26" t="e">
        <f>AND('Planilla_General_29-11-2012_10_'!J381,"AAAAAF+q70Y=")</f>
        <v>#VALUE!</v>
      </c>
      <c r="BT26" t="e">
        <f>AND('Planilla_General_29-11-2012_10_'!K381,"AAAAAF+q70c=")</f>
        <v>#VALUE!</v>
      </c>
      <c r="BU26" t="e">
        <f>AND('Planilla_General_29-11-2012_10_'!L381,"AAAAAF+q70g=")</f>
        <v>#VALUE!</v>
      </c>
      <c r="BV26" t="e">
        <f>AND('Planilla_General_29-11-2012_10_'!M381,"AAAAAF+q70k=")</f>
        <v>#VALUE!</v>
      </c>
      <c r="BW26" t="e">
        <f>AND('Planilla_General_29-11-2012_10_'!N381,"AAAAAF+q70o=")</f>
        <v>#VALUE!</v>
      </c>
      <c r="BX26" t="e">
        <f>AND('Planilla_General_29-11-2012_10_'!O381,"AAAAAF+q70s=")</f>
        <v>#VALUE!</v>
      </c>
      <c r="BY26" t="e">
        <f>AND('Planilla_General_29-11-2012_10_'!P381,"AAAAAF+q70w=")</f>
        <v>#VALUE!</v>
      </c>
      <c r="BZ26">
        <f>IF('Planilla_General_29-11-2012_10_'!382:382,"AAAAAF+q700=",0)</f>
        <v>0</v>
      </c>
      <c r="CA26" t="e">
        <f>AND('Planilla_General_29-11-2012_10_'!A382,"AAAAAF+q704=")</f>
        <v>#VALUE!</v>
      </c>
      <c r="CB26" t="e">
        <f>AND('Planilla_General_29-11-2012_10_'!B382,"AAAAAF+q708=")</f>
        <v>#VALUE!</v>
      </c>
      <c r="CC26" t="e">
        <f>AND('Planilla_General_29-11-2012_10_'!C382,"AAAAAF+q71A=")</f>
        <v>#VALUE!</v>
      </c>
      <c r="CD26" t="e">
        <f>AND('Planilla_General_29-11-2012_10_'!D382,"AAAAAF+q71E=")</f>
        <v>#VALUE!</v>
      </c>
      <c r="CE26" t="e">
        <f>AND('Planilla_General_29-11-2012_10_'!E382,"AAAAAF+q71I=")</f>
        <v>#VALUE!</v>
      </c>
      <c r="CF26" t="e">
        <f>AND('Planilla_General_29-11-2012_10_'!F382,"AAAAAF+q71M=")</f>
        <v>#VALUE!</v>
      </c>
      <c r="CG26" t="e">
        <f>AND('Planilla_General_29-11-2012_10_'!G382,"AAAAAF+q71Q=")</f>
        <v>#VALUE!</v>
      </c>
      <c r="CH26" t="e">
        <f>AND('Planilla_General_29-11-2012_10_'!H382,"AAAAAF+q71U=")</f>
        <v>#VALUE!</v>
      </c>
      <c r="CI26" t="e">
        <f>AND('Planilla_General_29-11-2012_10_'!I382,"AAAAAF+q71Y=")</f>
        <v>#VALUE!</v>
      </c>
      <c r="CJ26" t="e">
        <f>AND('Planilla_General_29-11-2012_10_'!J382,"AAAAAF+q71c=")</f>
        <v>#VALUE!</v>
      </c>
      <c r="CK26" t="e">
        <f>AND('Planilla_General_29-11-2012_10_'!K382,"AAAAAF+q71g=")</f>
        <v>#VALUE!</v>
      </c>
      <c r="CL26" t="e">
        <f>AND('Planilla_General_29-11-2012_10_'!L382,"AAAAAF+q71k=")</f>
        <v>#VALUE!</v>
      </c>
      <c r="CM26" t="e">
        <f>AND('Planilla_General_29-11-2012_10_'!M382,"AAAAAF+q71o=")</f>
        <v>#VALUE!</v>
      </c>
      <c r="CN26" t="e">
        <f>AND('Planilla_General_29-11-2012_10_'!N382,"AAAAAF+q71s=")</f>
        <v>#VALUE!</v>
      </c>
      <c r="CO26" t="e">
        <f>AND('Planilla_General_29-11-2012_10_'!O382,"AAAAAF+q71w=")</f>
        <v>#VALUE!</v>
      </c>
      <c r="CP26" t="e">
        <f>AND('Planilla_General_29-11-2012_10_'!P382,"AAAAAF+q710=")</f>
        <v>#VALUE!</v>
      </c>
      <c r="CQ26">
        <f>IF('Planilla_General_29-11-2012_10_'!383:383,"AAAAAF+q714=",0)</f>
        <v>0</v>
      </c>
      <c r="CR26" t="e">
        <f>AND('Planilla_General_29-11-2012_10_'!A383,"AAAAAF+q718=")</f>
        <v>#VALUE!</v>
      </c>
      <c r="CS26" t="e">
        <f>AND('Planilla_General_29-11-2012_10_'!B383,"AAAAAF+q72A=")</f>
        <v>#VALUE!</v>
      </c>
      <c r="CT26" t="e">
        <f>AND('Planilla_General_29-11-2012_10_'!C383,"AAAAAF+q72E=")</f>
        <v>#VALUE!</v>
      </c>
      <c r="CU26" t="e">
        <f>AND('Planilla_General_29-11-2012_10_'!D383,"AAAAAF+q72I=")</f>
        <v>#VALUE!</v>
      </c>
      <c r="CV26" t="e">
        <f>AND('Planilla_General_29-11-2012_10_'!E383,"AAAAAF+q72M=")</f>
        <v>#VALUE!</v>
      </c>
      <c r="CW26" t="e">
        <f>AND('Planilla_General_29-11-2012_10_'!F383,"AAAAAF+q72Q=")</f>
        <v>#VALUE!</v>
      </c>
      <c r="CX26" t="e">
        <f>AND('Planilla_General_29-11-2012_10_'!G383,"AAAAAF+q72U=")</f>
        <v>#VALUE!</v>
      </c>
      <c r="CY26" t="e">
        <f>AND('Planilla_General_29-11-2012_10_'!H383,"AAAAAF+q72Y=")</f>
        <v>#VALUE!</v>
      </c>
      <c r="CZ26" t="e">
        <f>AND('Planilla_General_29-11-2012_10_'!I383,"AAAAAF+q72c=")</f>
        <v>#VALUE!</v>
      </c>
      <c r="DA26" t="e">
        <f>AND('Planilla_General_29-11-2012_10_'!J383,"AAAAAF+q72g=")</f>
        <v>#VALUE!</v>
      </c>
      <c r="DB26" t="e">
        <f>AND('Planilla_General_29-11-2012_10_'!K383,"AAAAAF+q72k=")</f>
        <v>#VALUE!</v>
      </c>
      <c r="DC26" t="e">
        <f>AND('Planilla_General_29-11-2012_10_'!L383,"AAAAAF+q72o=")</f>
        <v>#VALUE!</v>
      </c>
      <c r="DD26" t="e">
        <f>AND('Planilla_General_29-11-2012_10_'!M383,"AAAAAF+q72s=")</f>
        <v>#VALUE!</v>
      </c>
      <c r="DE26" t="e">
        <f>AND('Planilla_General_29-11-2012_10_'!N383,"AAAAAF+q72w=")</f>
        <v>#VALUE!</v>
      </c>
      <c r="DF26" t="e">
        <f>AND('Planilla_General_29-11-2012_10_'!O383,"AAAAAF+q720=")</f>
        <v>#VALUE!</v>
      </c>
      <c r="DG26" t="e">
        <f>AND('Planilla_General_29-11-2012_10_'!P383,"AAAAAF+q724=")</f>
        <v>#VALUE!</v>
      </c>
      <c r="DH26">
        <f>IF('Planilla_General_29-11-2012_10_'!384:384,"AAAAAF+q728=",0)</f>
        <v>0</v>
      </c>
      <c r="DI26" t="e">
        <f>AND('Planilla_General_29-11-2012_10_'!A384,"AAAAAF+q73A=")</f>
        <v>#VALUE!</v>
      </c>
      <c r="DJ26" t="e">
        <f>AND('Planilla_General_29-11-2012_10_'!B384,"AAAAAF+q73E=")</f>
        <v>#VALUE!</v>
      </c>
      <c r="DK26" t="e">
        <f>AND('Planilla_General_29-11-2012_10_'!C384,"AAAAAF+q73I=")</f>
        <v>#VALUE!</v>
      </c>
      <c r="DL26" t="e">
        <f>AND('Planilla_General_29-11-2012_10_'!D384,"AAAAAF+q73M=")</f>
        <v>#VALUE!</v>
      </c>
      <c r="DM26" t="e">
        <f>AND('Planilla_General_29-11-2012_10_'!E384,"AAAAAF+q73Q=")</f>
        <v>#VALUE!</v>
      </c>
      <c r="DN26" t="e">
        <f>AND('Planilla_General_29-11-2012_10_'!F384,"AAAAAF+q73U=")</f>
        <v>#VALUE!</v>
      </c>
      <c r="DO26" t="e">
        <f>AND('Planilla_General_29-11-2012_10_'!G384,"AAAAAF+q73Y=")</f>
        <v>#VALUE!</v>
      </c>
      <c r="DP26" t="e">
        <f>AND('Planilla_General_29-11-2012_10_'!H384,"AAAAAF+q73c=")</f>
        <v>#VALUE!</v>
      </c>
      <c r="DQ26" t="e">
        <f>AND('Planilla_General_29-11-2012_10_'!I384,"AAAAAF+q73g=")</f>
        <v>#VALUE!</v>
      </c>
      <c r="DR26" t="e">
        <f>AND('Planilla_General_29-11-2012_10_'!J384,"AAAAAF+q73k=")</f>
        <v>#VALUE!</v>
      </c>
      <c r="DS26" t="e">
        <f>AND('Planilla_General_29-11-2012_10_'!K384,"AAAAAF+q73o=")</f>
        <v>#VALUE!</v>
      </c>
      <c r="DT26" t="e">
        <f>AND('Planilla_General_29-11-2012_10_'!L384,"AAAAAF+q73s=")</f>
        <v>#VALUE!</v>
      </c>
      <c r="DU26" t="e">
        <f>AND('Planilla_General_29-11-2012_10_'!M384,"AAAAAF+q73w=")</f>
        <v>#VALUE!</v>
      </c>
      <c r="DV26" t="e">
        <f>AND('Planilla_General_29-11-2012_10_'!N384,"AAAAAF+q730=")</f>
        <v>#VALUE!</v>
      </c>
      <c r="DW26" t="e">
        <f>AND('Planilla_General_29-11-2012_10_'!O384,"AAAAAF+q734=")</f>
        <v>#VALUE!</v>
      </c>
      <c r="DX26" t="e">
        <f>AND('Planilla_General_29-11-2012_10_'!P384,"AAAAAF+q738=")</f>
        <v>#VALUE!</v>
      </c>
      <c r="DY26">
        <f>IF('Planilla_General_29-11-2012_10_'!385:385,"AAAAAF+q74A=",0)</f>
        <v>0</v>
      </c>
      <c r="DZ26" t="e">
        <f>AND('Planilla_General_29-11-2012_10_'!A385,"AAAAAF+q74E=")</f>
        <v>#VALUE!</v>
      </c>
      <c r="EA26" t="e">
        <f>AND('Planilla_General_29-11-2012_10_'!B385,"AAAAAF+q74I=")</f>
        <v>#VALUE!</v>
      </c>
      <c r="EB26" t="e">
        <f>AND('Planilla_General_29-11-2012_10_'!C385,"AAAAAF+q74M=")</f>
        <v>#VALUE!</v>
      </c>
      <c r="EC26" t="e">
        <f>AND('Planilla_General_29-11-2012_10_'!D385,"AAAAAF+q74Q=")</f>
        <v>#VALUE!</v>
      </c>
      <c r="ED26" t="e">
        <f>AND('Planilla_General_29-11-2012_10_'!E385,"AAAAAF+q74U=")</f>
        <v>#VALUE!</v>
      </c>
      <c r="EE26" t="e">
        <f>AND('Planilla_General_29-11-2012_10_'!F385,"AAAAAF+q74Y=")</f>
        <v>#VALUE!</v>
      </c>
      <c r="EF26" t="e">
        <f>AND('Planilla_General_29-11-2012_10_'!G385,"AAAAAF+q74c=")</f>
        <v>#VALUE!</v>
      </c>
      <c r="EG26" t="e">
        <f>AND('Planilla_General_29-11-2012_10_'!H385,"AAAAAF+q74g=")</f>
        <v>#VALUE!</v>
      </c>
      <c r="EH26" t="e">
        <f>AND('Planilla_General_29-11-2012_10_'!I385,"AAAAAF+q74k=")</f>
        <v>#VALUE!</v>
      </c>
      <c r="EI26" t="e">
        <f>AND('Planilla_General_29-11-2012_10_'!J385,"AAAAAF+q74o=")</f>
        <v>#VALUE!</v>
      </c>
      <c r="EJ26" t="e">
        <f>AND('Planilla_General_29-11-2012_10_'!K385,"AAAAAF+q74s=")</f>
        <v>#VALUE!</v>
      </c>
      <c r="EK26" t="e">
        <f>AND('Planilla_General_29-11-2012_10_'!L385,"AAAAAF+q74w=")</f>
        <v>#VALUE!</v>
      </c>
      <c r="EL26" t="e">
        <f>AND('Planilla_General_29-11-2012_10_'!M385,"AAAAAF+q740=")</f>
        <v>#VALUE!</v>
      </c>
      <c r="EM26" t="e">
        <f>AND('Planilla_General_29-11-2012_10_'!N385,"AAAAAF+q744=")</f>
        <v>#VALUE!</v>
      </c>
      <c r="EN26" t="e">
        <f>AND('Planilla_General_29-11-2012_10_'!O385,"AAAAAF+q748=")</f>
        <v>#VALUE!</v>
      </c>
      <c r="EO26" t="e">
        <f>AND('Planilla_General_29-11-2012_10_'!P385,"AAAAAF+q75A=")</f>
        <v>#VALUE!</v>
      </c>
      <c r="EP26">
        <f>IF('Planilla_General_29-11-2012_10_'!386:386,"AAAAAF+q75E=",0)</f>
        <v>0</v>
      </c>
      <c r="EQ26" t="e">
        <f>AND('Planilla_General_29-11-2012_10_'!A386,"AAAAAF+q75I=")</f>
        <v>#VALUE!</v>
      </c>
      <c r="ER26" t="e">
        <f>AND('Planilla_General_29-11-2012_10_'!B386,"AAAAAF+q75M=")</f>
        <v>#VALUE!</v>
      </c>
      <c r="ES26" t="e">
        <f>AND('Planilla_General_29-11-2012_10_'!C386,"AAAAAF+q75Q=")</f>
        <v>#VALUE!</v>
      </c>
      <c r="ET26" t="e">
        <f>AND('Planilla_General_29-11-2012_10_'!D386,"AAAAAF+q75U=")</f>
        <v>#VALUE!</v>
      </c>
      <c r="EU26" t="e">
        <f>AND('Planilla_General_29-11-2012_10_'!E386,"AAAAAF+q75Y=")</f>
        <v>#VALUE!</v>
      </c>
      <c r="EV26" t="e">
        <f>AND('Planilla_General_29-11-2012_10_'!F386,"AAAAAF+q75c=")</f>
        <v>#VALUE!</v>
      </c>
      <c r="EW26" t="e">
        <f>AND('Planilla_General_29-11-2012_10_'!G386,"AAAAAF+q75g=")</f>
        <v>#VALUE!</v>
      </c>
      <c r="EX26" t="e">
        <f>AND('Planilla_General_29-11-2012_10_'!H386,"AAAAAF+q75k=")</f>
        <v>#VALUE!</v>
      </c>
      <c r="EY26" t="e">
        <f>AND('Planilla_General_29-11-2012_10_'!I386,"AAAAAF+q75o=")</f>
        <v>#VALUE!</v>
      </c>
      <c r="EZ26" t="e">
        <f>AND('Planilla_General_29-11-2012_10_'!J386,"AAAAAF+q75s=")</f>
        <v>#VALUE!</v>
      </c>
      <c r="FA26" t="e">
        <f>AND('Planilla_General_29-11-2012_10_'!K386,"AAAAAF+q75w=")</f>
        <v>#VALUE!</v>
      </c>
      <c r="FB26" t="e">
        <f>AND('Planilla_General_29-11-2012_10_'!L386,"AAAAAF+q750=")</f>
        <v>#VALUE!</v>
      </c>
      <c r="FC26" t="e">
        <f>AND('Planilla_General_29-11-2012_10_'!M386,"AAAAAF+q754=")</f>
        <v>#VALUE!</v>
      </c>
      <c r="FD26" t="e">
        <f>AND('Planilla_General_29-11-2012_10_'!N386,"AAAAAF+q758=")</f>
        <v>#VALUE!</v>
      </c>
      <c r="FE26" t="e">
        <f>AND('Planilla_General_29-11-2012_10_'!O386,"AAAAAF+q76A=")</f>
        <v>#VALUE!</v>
      </c>
      <c r="FF26" t="e">
        <f>AND('Planilla_General_29-11-2012_10_'!P386,"AAAAAF+q76E=")</f>
        <v>#VALUE!</v>
      </c>
      <c r="FG26">
        <f>IF('Planilla_General_29-11-2012_10_'!387:387,"AAAAAF+q76I=",0)</f>
        <v>0</v>
      </c>
      <c r="FH26" t="e">
        <f>AND('Planilla_General_29-11-2012_10_'!A387,"AAAAAF+q76M=")</f>
        <v>#VALUE!</v>
      </c>
      <c r="FI26" t="e">
        <f>AND('Planilla_General_29-11-2012_10_'!B387,"AAAAAF+q76Q=")</f>
        <v>#VALUE!</v>
      </c>
      <c r="FJ26" t="e">
        <f>AND('Planilla_General_29-11-2012_10_'!C387,"AAAAAF+q76U=")</f>
        <v>#VALUE!</v>
      </c>
      <c r="FK26" t="e">
        <f>AND('Planilla_General_29-11-2012_10_'!D387,"AAAAAF+q76Y=")</f>
        <v>#VALUE!</v>
      </c>
      <c r="FL26" t="e">
        <f>AND('Planilla_General_29-11-2012_10_'!E387,"AAAAAF+q76c=")</f>
        <v>#VALUE!</v>
      </c>
      <c r="FM26" t="e">
        <f>AND('Planilla_General_29-11-2012_10_'!F387,"AAAAAF+q76g=")</f>
        <v>#VALUE!</v>
      </c>
      <c r="FN26" t="e">
        <f>AND('Planilla_General_29-11-2012_10_'!G387,"AAAAAF+q76k=")</f>
        <v>#VALUE!</v>
      </c>
      <c r="FO26" t="e">
        <f>AND('Planilla_General_29-11-2012_10_'!H387,"AAAAAF+q76o=")</f>
        <v>#VALUE!</v>
      </c>
      <c r="FP26" t="e">
        <f>AND('Planilla_General_29-11-2012_10_'!I387,"AAAAAF+q76s=")</f>
        <v>#VALUE!</v>
      </c>
      <c r="FQ26" t="e">
        <f>AND('Planilla_General_29-11-2012_10_'!J387,"AAAAAF+q76w=")</f>
        <v>#VALUE!</v>
      </c>
      <c r="FR26" t="e">
        <f>AND('Planilla_General_29-11-2012_10_'!K387,"AAAAAF+q760=")</f>
        <v>#VALUE!</v>
      </c>
      <c r="FS26" t="e">
        <f>AND('Planilla_General_29-11-2012_10_'!L387,"AAAAAF+q764=")</f>
        <v>#VALUE!</v>
      </c>
      <c r="FT26" t="e">
        <f>AND('Planilla_General_29-11-2012_10_'!M387,"AAAAAF+q768=")</f>
        <v>#VALUE!</v>
      </c>
      <c r="FU26" t="e">
        <f>AND('Planilla_General_29-11-2012_10_'!N387,"AAAAAF+q77A=")</f>
        <v>#VALUE!</v>
      </c>
      <c r="FV26" t="e">
        <f>AND('Planilla_General_29-11-2012_10_'!O387,"AAAAAF+q77E=")</f>
        <v>#VALUE!</v>
      </c>
      <c r="FW26" t="e">
        <f>AND('Planilla_General_29-11-2012_10_'!P387,"AAAAAF+q77I=")</f>
        <v>#VALUE!</v>
      </c>
      <c r="FX26">
        <f>IF('Planilla_General_29-11-2012_10_'!388:388,"AAAAAF+q77M=",0)</f>
        <v>0</v>
      </c>
      <c r="FY26" t="e">
        <f>AND('Planilla_General_29-11-2012_10_'!A388,"AAAAAF+q77Q=")</f>
        <v>#VALUE!</v>
      </c>
      <c r="FZ26" t="e">
        <f>AND('Planilla_General_29-11-2012_10_'!B388,"AAAAAF+q77U=")</f>
        <v>#VALUE!</v>
      </c>
      <c r="GA26" t="e">
        <f>AND('Planilla_General_29-11-2012_10_'!C388,"AAAAAF+q77Y=")</f>
        <v>#VALUE!</v>
      </c>
      <c r="GB26" t="e">
        <f>AND('Planilla_General_29-11-2012_10_'!D388,"AAAAAF+q77c=")</f>
        <v>#VALUE!</v>
      </c>
      <c r="GC26" t="e">
        <f>AND('Planilla_General_29-11-2012_10_'!E388,"AAAAAF+q77g=")</f>
        <v>#VALUE!</v>
      </c>
      <c r="GD26" t="e">
        <f>AND('Planilla_General_29-11-2012_10_'!F388,"AAAAAF+q77k=")</f>
        <v>#VALUE!</v>
      </c>
      <c r="GE26" t="e">
        <f>AND('Planilla_General_29-11-2012_10_'!G388,"AAAAAF+q77o=")</f>
        <v>#VALUE!</v>
      </c>
      <c r="GF26" t="e">
        <f>AND('Planilla_General_29-11-2012_10_'!H388,"AAAAAF+q77s=")</f>
        <v>#VALUE!</v>
      </c>
      <c r="GG26" t="e">
        <f>AND('Planilla_General_29-11-2012_10_'!I388,"AAAAAF+q77w=")</f>
        <v>#VALUE!</v>
      </c>
      <c r="GH26" t="e">
        <f>AND('Planilla_General_29-11-2012_10_'!J388,"AAAAAF+q770=")</f>
        <v>#VALUE!</v>
      </c>
      <c r="GI26" t="e">
        <f>AND('Planilla_General_29-11-2012_10_'!K388,"AAAAAF+q774=")</f>
        <v>#VALUE!</v>
      </c>
      <c r="GJ26" t="e">
        <f>AND('Planilla_General_29-11-2012_10_'!L388,"AAAAAF+q778=")</f>
        <v>#VALUE!</v>
      </c>
      <c r="GK26" t="e">
        <f>AND('Planilla_General_29-11-2012_10_'!M388,"AAAAAF+q78A=")</f>
        <v>#VALUE!</v>
      </c>
      <c r="GL26" t="e">
        <f>AND('Planilla_General_29-11-2012_10_'!N388,"AAAAAF+q78E=")</f>
        <v>#VALUE!</v>
      </c>
      <c r="GM26" t="e">
        <f>AND('Planilla_General_29-11-2012_10_'!O388,"AAAAAF+q78I=")</f>
        <v>#VALUE!</v>
      </c>
      <c r="GN26" t="e">
        <f>AND('Planilla_General_29-11-2012_10_'!P388,"AAAAAF+q78M=")</f>
        <v>#VALUE!</v>
      </c>
      <c r="GO26">
        <f>IF('Planilla_General_29-11-2012_10_'!389:389,"AAAAAF+q78Q=",0)</f>
        <v>0</v>
      </c>
      <c r="GP26" t="e">
        <f>AND('Planilla_General_29-11-2012_10_'!A389,"AAAAAF+q78U=")</f>
        <v>#VALUE!</v>
      </c>
      <c r="GQ26" t="e">
        <f>AND('Planilla_General_29-11-2012_10_'!B389,"AAAAAF+q78Y=")</f>
        <v>#VALUE!</v>
      </c>
      <c r="GR26" t="e">
        <f>AND('Planilla_General_29-11-2012_10_'!C389,"AAAAAF+q78c=")</f>
        <v>#VALUE!</v>
      </c>
      <c r="GS26" t="e">
        <f>AND('Planilla_General_29-11-2012_10_'!D389,"AAAAAF+q78g=")</f>
        <v>#VALUE!</v>
      </c>
      <c r="GT26" t="e">
        <f>AND('Planilla_General_29-11-2012_10_'!E389,"AAAAAF+q78k=")</f>
        <v>#VALUE!</v>
      </c>
      <c r="GU26" t="e">
        <f>AND('Planilla_General_29-11-2012_10_'!F389,"AAAAAF+q78o=")</f>
        <v>#VALUE!</v>
      </c>
      <c r="GV26" t="e">
        <f>AND('Planilla_General_29-11-2012_10_'!G389,"AAAAAF+q78s=")</f>
        <v>#VALUE!</v>
      </c>
      <c r="GW26" t="e">
        <f>AND('Planilla_General_29-11-2012_10_'!H389,"AAAAAF+q78w=")</f>
        <v>#VALUE!</v>
      </c>
      <c r="GX26" t="e">
        <f>AND('Planilla_General_29-11-2012_10_'!I389,"AAAAAF+q780=")</f>
        <v>#VALUE!</v>
      </c>
      <c r="GY26" t="e">
        <f>AND('Planilla_General_29-11-2012_10_'!J389,"AAAAAF+q784=")</f>
        <v>#VALUE!</v>
      </c>
      <c r="GZ26" t="e">
        <f>AND('Planilla_General_29-11-2012_10_'!K389,"AAAAAF+q788=")</f>
        <v>#VALUE!</v>
      </c>
      <c r="HA26" t="e">
        <f>AND('Planilla_General_29-11-2012_10_'!L389,"AAAAAF+q79A=")</f>
        <v>#VALUE!</v>
      </c>
      <c r="HB26" t="e">
        <f>AND('Planilla_General_29-11-2012_10_'!M389,"AAAAAF+q79E=")</f>
        <v>#VALUE!</v>
      </c>
      <c r="HC26" t="e">
        <f>AND('Planilla_General_29-11-2012_10_'!N389,"AAAAAF+q79I=")</f>
        <v>#VALUE!</v>
      </c>
      <c r="HD26" t="e">
        <f>AND('Planilla_General_29-11-2012_10_'!O389,"AAAAAF+q79M=")</f>
        <v>#VALUE!</v>
      </c>
      <c r="HE26" t="e">
        <f>AND('Planilla_General_29-11-2012_10_'!P389,"AAAAAF+q79Q=")</f>
        <v>#VALUE!</v>
      </c>
      <c r="HF26">
        <f>IF('Planilla_General_29-11-2012_10_'!390:390,"AAAAAF+q79U=",0)</f>
        <v>0</v>
      </c>
      <c r="HG26" t="e">
        <f>AND('Planilla_General_29-11-2012_10_'!A390,"AAAAAF+q79Y=")</f>
        <v>#VALUE!</v>
      </c>
      <c r="HH26" t="e">
        <f>AND('Planilla_General_29-11-2012_10_'!B390,"AAAAAF+q79c=")</f>
        <v>#VALUE!</v>
      </c>
      <c r="HI26" t="e">
        <f>AND('Planilla_General_29-11-2012_10_'!C390,"AAAAAF+q79g=")</f>
        <v>#VALUE!</v>
      </c>
      <c r="HJ26" t="e">
        <f>AND('Planilla_General_29-11-2012_10_'!D390,"AAAAAF+q79k=")</f>
        <v>#VALUE!</v>
      </c>
      <c r="HK26" t="e">
        <f>AND('Planilla_General_29-11-2012_10_'!E390,"AAAAAF+q79o=")</f>
        <v>#VALUE!</v>
      </c>
      <c r="HL26" t="e">
        <f>AND('Planilla_General_29-11-2012_10_'!F390,"AAAAAF+q79s=")</f>
        <v>#VALUE!</v>
      </c>
      <c r="HM26" t="e">
        <f>AND('Planilla_General_29-11-2012_10_'!G390,"AAAAAF+q79w=")</f>
        <v>#VALUE!</v>
      </c>
      <c r="HN26" t="e">
        <f>AND('Planilla_General_29-11-2012_10_'!H390,"AAAAAF+q790=")</f>
        <v>#VALUE!</v>
      </c>
      <c r="HO26" t="e">
        <f>AND('Planilla_General_29-11-2012_10_'!I390,"AAAAAF+q794=")</f>
        <v>#VALUE!</v>
      </c>
      <c r="HP26" t="e">
        <f>AND('Planilla_General_29-11-2012_10_'!J390,"AAAAAF+q798=")</f>
        <v>#VALUE!</v>
      </c>
      <c r="HQ26" t="e">
        <f>AND('Planilla_General_29-11-2012_10_'!K390,"AAAAAF+q7+A=")</f>
        <v>#VALUE!</v>
      </c>
      <c r="HR26" t="e">
        <f>AND('Planilla_General_29-11-2012_10_'!L390,"AAAAAF+q7+E=")</f>
        <v>#VALUE!</v>
      </c>
      <c r="HS26" t="e">
        <f>AND('Planilla_General_29-11-2012_10_'!M390,"AAAAAF+q7+I=")</f>
        <v>#VALUE!</v>
      </c>
      <c r="HT26" t="e">
        <f>AND('Planilla_General_29-11-2012_10_'!N390,"AAAAAF+q7+M=")</f>
        <v>#VALUE!</v>
      </c>
      <c r="HU26" t="e">
        <f>AND('Planilla_General_29-11-2012_10_'!O390,"AAAAAF+q7+Q=")</f>
        <v>#VALUE!</v>
      </c>
      <c r="HV26" t="e">
        <f>AND('Planilla_General_29-11-2012_10_'!P390,"AAAAAF+q7+U=")</f>
        <v>#VALUE!</v>
      </c>
      <c r="HW26">
        <f>IF('Planilla_General_29-11-2012_10_'!391:391,"AAAAAF+q7+Y=",0)</f>
        <v>0</v>
      </c>
      <c r="HX26" t="e">
        <f>AND('Planilla_General_29-11-2012_10_'!A391,"AAAAAF+q7+c=")</f>
        <v>#VALUE!</v>
      </c>
      <c r="HY26" t="e">
        <f>AND('Planilla_General_29-11-2012_10_'!B391,"AAAAAF+q7+g=")</f>
        <v>#VALUE!</v>
      </c>
      <c r="HZ26" t="e">
        <f>AND('Planilla_General_29-11-2012_10_'!C391,"AAAAAF+q7+k=")</f>
        <v>#VALUE!</v>
      </c>
      <c r="IA26" t="e">
        <f>AND('Planilla_General_29-11-2012_10_'!D391,"AAAAAF+q7+o=")</f>
        <v>#VALUE!</v>
      </c>
      <c r="IB26" t="e">
        <f>AND('Planilla_General_29-11-2012_10_'!E391,"AAAAAF+q7+s=")</f>
        <v>#VALUE!</v>
      </c>
      <c r="IC26" t="e">
        <f>AND('Planilla_General_29-11-2012_10_'!F391,"AAAAAF+q7+w=")</f>
        <v>#VALUE!</v>
      </c>
      <c r="ID26" t="e">
        <f>AND('Planilla_General_29-11-2012_10_'!G391,"AAAAAF+q7+0=")</f>
        <v>#VALUE!</v>
      </c>
      <c r="IE26" t="e">
        <f>AND('Planilla_General_29-11-2012_10_'!H391,"AAAAAF+q7+4=")</f>
        <v>#VALUE!</v>
      </c>
      <c r="IF26" t="e">
        <f>AND('Planilla_General_29-11-2012_10_'!I391,"AAAAAF+q7+8=")</f>
        <v>#VALUE!</v>
      </c>
      <c r="IG26" t="e">
        <f>AND('Planilla_General_29-11-2012_10_'!J391,"AAAAAF+q7/A=")</f>
        <v>#VALUE!</v>
      </c>
      <c r="IH26" t="e">
        <f>AND('Planilla_General_29-11-2012_10_'!K391,"AAAAAF+q7/E=")</f>
        <v>#VALUE!</v>
      </c>
      <c r="II26" t="e">
        <f>AND('Planilla_General_29-11-2012_10_'!L391,"AAAAAF+q7/I=")</f>
        <v>#VALUE!</v>
      </c>
      <c r="IJ26" t="e">
        <f>AND('Planilla_General_29-11-2012_10_'!M391,"AAAAAF+q7/M=")</f>
        <v>#VALUE!</v>
      </c>
      <c r="IK26" t="e">
        <f>AND('Planilla_General_29-11-2012_10_'!N391,"AAAAAF+q7/Q=")</f>
        <v>#VALUE!</v>
      </c>
      <c r="IL26" t="e">
        <f>AND('Planilla_General_29-11-2012_10_'!O391,"AAAAAF+q7/U=")</f>
        <v>#VALUE!</v>
      </c>
      <c r="IM26" t="e">
        <f>AND('Planilla_General_29-11-2012_10_'!P391,"AAAAAF+q7/Y=")</f>
        <v>#VALUE!</v>
      </c>
      <c r="IN26">
        <f>IF('Planilla_General_29-11-2012_10_'!392:392,"AAAAAF+q7/c=",0)</f>
        <v>0</v>
      </c>
      <c r="IO26" t="e">
        <f>AND('Planilla_General_29-11-2012_10_'!A392,"AAAAAF+q7/g=")</f>
        <v>#VALUE!</v>
      </c>
      <c r="IP26" t="e">
        <f>AND('Planilla_General_29-11-2012_10_'!B392,"AAAAAF+q7/k=")</f>
        <v>#VALUE!</v>
      </c>
      <c r="IQ26" t="e">
        <f>AND('Planilla_General_29-11-2012_10_'!C392,"AAAAAF+q7/o=")</f>
        <v>#VALUE!</v>
      </c>
      <c r="IR26" t="e">
        <f>AND('Planilla_General_29-11-2012_10_'!D392,"AAAAAF+q7/s=")</f>
        <v>#VALUE!</v>
      </c>
      <c r="IS26" t="e">
        <f>AND('Planilla_General_29-11-2012_10_'!E392,"AAAAAF+q7/w=")</f>
        <v>#VALUE!</v>
      </c>
      <c r="IT26" t="e">
        <f>AND('Planilla_General_29-11-2012_10_'!F392,"AAAAAF+q7/0=")</f>
        <v>#VALUE!</v>
      </c>
      <c r="IU26" t="e">
        <f>AND('Planilla_General_29-11-2012_10_'!G392,"AAAAAF+q7/4=")</f>
        <v>#VALUE!</v>
      </c>
      <c r="IV26" t="e">
        <f>AND('Planilla_General_29-11-2012_10_'!H392,"AAAAAF+q7/8=")</f>
        <v>#VALUE!</v>
      </c>
    </row>
    <row r="27" spans="1:256" x14ac:dyDescent="0.25">
      <c r="A27" t="e">
        <f>AND('Planilla_General_29-11-2012_10_'!I392,"AAAAAHP6ewA=")</f>
        <v>#VALUE!</v>
      </c>
      <c r="B27" t="e">
        <f>AND('Planilla_General_29-11-2012_10_'!J392,"AAAAAHP6ewE=")</f>
        <v>#VALUE!</v>
      </c>
      <c r="C27" t="e">
        <f>AND('Planilla_General_29-11-2012_10_'!K392,"AAAAAHP6ewI=")</f>
        <v>#VALUE!</v>
      </c>
      <c r="D27" t="e">
        <f>AND('Planilla_General_29-11-2012_10_'!L392,"AAAAAHP6ewM=")</f>
        <v>#VALUE!</v>
      </c>
      <c r="E27" t="e">
        <f>AND('Planilla_General_29-11-2012_10_'!M392,"AAAAAHP6ewQ=")</f>
        <v>#VALUE!</v>
      </c>
      <c r="F27" t="e">
        <f>AND('Planilla_General_29-11-2012_10_'!N392,"AAAAAHP6ewU=")</f>
        <v>#VALUE!</v>
      </c>
      <c r="G27" t="e">
        <f>AND('Planilla_General_29-11-2012_10_'!O392,"AAAAAHP6ewY=")</f>
        <v>#VALUE!</v>
      </c>
      <c r="H27" t="e">
        <f>AND('Planilla_General_29-11-2012_10_'!P392,"AAAAAHP6ewc=")</f>
        <v>#VALUE!</v>
      </c>
      <c r="I27" t="e">
        <f>IF('Planilla_General_29-11-2012_10_'!393:393,"AAAAAHP6ewg=",0)</f>
        <v>#VALUE!</v>
      </c>
      <c r="J27" t="e">
        <f>AND('Planilla_General_29-11-2012_10_'!A393,"AAAAAHP6ewk=")</f>
        <v>#VALUE!</v>
      </c>
      <c r="K27" t="e">
        <f>AND('Planilla_General_29-11-2012_10_'!B393,"AAAAAHP6ewo=")</f>
        <v>#VALUE!</v>
      </c>
      <c r="L27" t="e">
        <f>AND('Planilla_General_29-11-2012_10_'!C393,"AAAAAHP6ews=")</f>
        <v>#VALUE!</v>
      </c>
      <c r="M27" t="e">
        <f>AND('Planilla_General_29-11-2012_10_'!D393,"AAAAAHP6eww=")</f>
        <v>#VALUE!</v>
      </c>
      <c r="N27" t="e">
        <f>AND('Planilla_General_29-11-2012_10_'!E393,"AAAAAHP6ew0=")</f>
        <v>#VALUE!</v>
      </c>
      <c r="O27" t="e">
        <f>AND('Planilla_General_29-11-2012_10_'!F393,"AAAAAHP6ew4=")</f>
        <v>#VALUE!</v>
      </c>
      <c r="P27" t="e">
        <f>AND('Planilla_General_29-11-2012_10_'!G393,"AAAAAHP6ew8=")</f>
        <v>#VALUE!</v>
      </c>
      <c r="Q27" t="e">
        <f>AND('Planilla_General_29-11-2012_10_'!H393,"AAAAAHP6exA=")</f>
        <v>#VALUE!</v>
      </c>
      <c r="R27" t="e">
        <f>AND('Planilla_General_29-11-2012_10_'!I393,"AAAAAHP6exE=")</f>
        <v>#VALUE!</v>
      </c>
      <c r="S27" t="e">
        <f>AND('Planilla_General_29-11-2012_10_'!J393,"AAAAAHP6exI=")</f>
        <v>#VALUE!</v>
      </c>
      <c r="T27" t="e">
        <f>AND('Planilla_General_29-11-2012_10_'!K393,"AAAAAHP6exM=")</f>
        <v>#VALUE!</v>
      </c>
      <c r="U27" t="e">
        <f>AND('Planilla_General_29-11-2012_10_'!L393,"AAAAAHP6exQ=")</f>
        <v>#VALUE!</v>
      </c>
      <c r="V27" t="e">
        <f>AND('Planilla_General_29-11-2012_10_'!M393,"AAAAAHP6exU=")</f>
        <v>#VALUE!</v>
      </c>
      <c r="W27" t="e">
        <f>AND('Planilla_General_29-11-2012_10_'!N393,"AAAAAHP6exY=")</f>
        <v>#VALUE!</v>
      </c>
      <c r="X27" t="e">
        <f>AND('Planilla_General_29-11-2012_10_'!O393,"AAAAAHP6exc=")</f>
        <v>#VALUE!</v>
      </c>
      <c r="Y27" t="e">
        <f>AND('Planilla_General_29-11-2012_10_'!P393,"AAAAAHP6exg=")</f>
        <v>#VALUE!</v>
      </c>
      <c r="Z27">
        <f>IF('Planilla_General_29-11-2012_10_'!394:394,"AAAAAHP6exk=",0)</f>
        <v>0</v>
      </c>
      <c r="AA27" t="e">
        <f>AND('Planilla_General_29-11-2012_10_'!A394,"AAAAAHP6exo=")</f>
        <v>#VALUE!</v>
      </c>
      <c r="AB27" t="e">
        <f>AND('Planilla_General_29-11-2012_10_'!B394,"AAAAAHP6exs=")</f>
        <v>#VALUE!</v>
      </c>
      <c r="AC27" t="e">
        <f>AND('Planilla_General_29-11-2012_10_'!C394,"AAAAAHP6exw=")</f>
        <v>#VALUE!</v>
      </c>
      <c r="AD27" t="e">
        <f>AND('Planilla_General_29-11-2012_10_'!D394,"AAAAAHP6ex0=")</f>
        <v>#VALUE!</v>
      </c>
      <c r="AE27" t="e">
        <f>AND('Planilla_General_29-11-2012_10_'!E394,"AAAAAHP6ex4=")</f>
        <v>#VALUE!</v>
      </c>
      <c r="AF27" t="e">
        <f>AND('Planilla_General_29-11-2012_10_'!F394,"AAAAAHP6ex8=")</f>
        <v>#VALUE!</v>
      </c>
      <c r="AG27" t="e">
        <f>AND('Planilla_General_29-11-2012_10_'!G394,"AAAAAHP6eyA=")</f>
        <v>#VALUE!</v>
      </c>
      <c r="AH27" t="e">
        <f>AND('Planilla_General_29-11-2012_10_'!H394,"AAAAAHP6eyE=")</f>
        <v>#VALUE!</v>
      </c>
      <c r="AI27" t="e">
        <f>AND('Planilla_General_29-11-2012_10_'!I394,"AAAAAHP6eyI=")</f>
        <v>#VALUE!</v>
      </c>
      <c r="AJ27" t="e">
        <f>AND('Planilla_General_29-11-2012_10_'!J394,"AAAAAHP6eyM=")</f>
        <v>#VALUE!</v>
      </c>
      <c r="AK27" t="e">
        <f>AND('Planilla_General_29-11-2012_10_'!K394,"AAAAAHP6eyQ=")</f>
        <v>#VALUE!</v>
      </c>
      <c r="AL27" t="e">
        <f>AND('Planilla_General_29-11-2012_10_'!L394,"AAAAAHP6eyU=")</f>
        <v>#VALUE!</v>
      </c>
      <c r="AM27" t="e">
        <f>AND('Planilla_General_29-11-2012_10_'!M394,"AAAAAHP6eyY=")</f>
        <v>#VALUE!</v>
      </c>
      <c r="AN27" t="e">
        <f>AND('Planilla_General_29-11-2012_10_'!N394,"AAAAAHP6eyc=")</f>
        <v>#VALUE!</v>
      </c>
      <c r="AO27" t="e">
        <f>AND('Planilla_General_29-11-2012_10_'!O394,"AAAAAHP6eyg=")</f>
        <v>#VALUE!</v>
      </c>
      <c r="AP27" t="e">
        <f>AND('Planilla_General_29-11-2012_10_'!P394,"AAAAAHP6eyk=")</f>
        <v>#VALUE!</v>
      </c>
      <c r="AQ27">
        <f>IF('Planilla_General_29-11-2012_10_'!395:395,"AAAAAHP6eyo=",0)</f>
        <v>0</v>
      </c>
      <c r="AR27" t="e">
        <f>AND('Planilla_General_29-11-2012_10_'!A395,"AAAAAHP6eys=")</f>
        <v>#VALUE!</v>
      </c>
      <c r="AS27" t="e">
        <f>AND('Planilla_General_29-11-2012_10_'!B395,"AAAAAHP6eyw=")</f>
        <v>#VALUE!</v>
      </c>
      <c r="AT27" t="e">
        <f>AND('Planilla_General_29-11-2012_10_'!C395,"AAAAAHP6ey0=")</f>
        <v>#VALUE!</v>
      </c>
      <c r="AU27" t="e">
        <f>AND('Planilla_General_29-11-2012_10_'!D395,"AAAAAHP6ey4=")</f>
        <v>#VALUE!</v>
      </c>
      <c r="AV27" t="e">
        <f>AND('Planilla_General_29-11-2012_10_'!E395,"AAAAAHP6ey8=")</f>
        <v>#VALUE!</v>
      </c>
      <c r="AW27" t="e">
        <f>AND('Planilla_General_29-11-2012_10_'!F395,"AAAAAHP6ezA=")</f>
        <v>#VALUE!</v>
      </c>
      <c r="AX27" t="e">
        <f>AND('Planilla_General_29-11-2012_10_'!G395,"AAAAAHP6ezE=")</f>
        <v>#VALUE!</v>
      </c>
      <c r="AY27" t="e">
        <f>AND('Planilla_General_29-11-2012_10_'!H395,"AAAAAHP6ezI=")</f>
        <v>#VALUE!</v>
      </c>
      <c r="AZ27" t="e">
        <f>AND('Planilla_General_29-11-2012_10_'!I395,"AAAAAHP6ezM=")</f>
        <v>#VALUE!</v>
      </c>
      <c r="BA27" t="e">
        <f>AND('Planilla_General_29-11-2012_10_'!J395,"AAAAAHP6ezQ=")</f>
        <v>#VALUE!</v>
      </c>
      <c r="BB27" t="e">
        <f>AND('Planilla_General_29-11-2012_10_'!K395,"AAAAAHP6ezU=")</f>
        <v>#VALUE!</v>
      </c>
      <c r="BC27" t="e">
        <f>AND('Planilla_General_29-11-2012_10_'!L395,"AAAAAHP6ezY=")</f>
        <v>#VALUE!</v>
      </c>
      <c r="BD27" t="e">
        <f>AND('Planilla_General_29-11-2012_10_'!M395,"AAAAAHP6ezc=")</f>
        <v>#VALUE!</v>
      </c>
      <c r="BE27" t="e">
        <f>AND('Planilla_General_29-11-2012_10_'!N395,"AAAAAHP6ezg=")</f>
        <v>#VALUE!</v>
      </c>
      <c r="BF27" t="e">
        <f>AND('Planilla_General_29-11-2012_10_'!O395,"AAAAAHP6ezk=")</f>
        <v>#VALUE!</v>
      </c>
      <c r="BG27" t="e">
        <f>AND('Planilla_General_29-11-2012_10_'!P395,"AAAAAHP6ezo=")</f>
        <v>#VALUE!</v>
      </c>
      <c r="BH27">
        <f>IF('Planilla_General_29-11-2012_10_'!396:396,"AAAAAHP6ezs=",0)</f>
        <v>0</v>
      </c>
      <c r="BI27" t="e">
        <f>AND('Planilla_General_29-11-2012_10_'!A396,"AAAAAHP6ezw=")</f>
        <v>#VALUE!</v>
      </c>
      <c r="BJ27" t="e">
        <f>AND('Planilla_General_29-11-2012_10_'!B396,"AAAAAHP6ez0=")</f>
        <v>#VALUE!</v>
      </c>
      <c r="BK27" t="e">
        <f>AND('Planilla_General_29-11-2012_10_'!C396,"AAAAAHP6ez4=")</f>
        <v>#VALUE!</v>
      </c>
      <c r="BL27" t="e">
        <f>AND('Planilla_General_29-11-2012_10_'!D396,"AAAAAHP6ez8=")</f>
        <v>#VALUE!</v>
      </c>
      <c r="BM27" t="e">
        <f>AND('Planilla_General_29-11-2012_10_'!E396,"AAAAAHP6e0A=")</f>
        <v>#VALUE!</v>
      </c>
      <c r="BN27" t="e">
        <f>AND('Planilla_General_29-11-2012_10_'!F396,"AAAAAHP6e0E=")</f>
        <v>#VALUE!</v>
      </c>
      <c r="BO27" t="e">
        <f>AND('Planilla_General_29-11-2012_10_'!G396,"AAAAAHP6e0I=")</f>
        <v>#VALUE!</v>
      </c>
      <c r="BP27" t="e">
        <f>AND('Planilla_General_29-11-2012_10_'!H396,"AAAAAHP6e0M=")</f>
        <v>#VALUE!</v>
      </c>
      <c r="BQ27" t="e">
        <f>AND('Planilla_General_29-11-2012_10_'!I396,"AAAAAHP6e0Q=")</f>
        <v>#VALUE!</v>
      </c>
      <c r="BR27" t="e">
        <f>AND('Planilla_General_29-11-2012_10_'!J396,"AAAAAHP6e0U=")</f>
        <v>#VALUE!</v>
      </c>
      <c r="BS27" t="e">
        <f>AND('Planilla_General_29-11-2012_10_'!K396,"AAAAAHP6e0Y=")</f>
        <v>#VALUE!</v>
      </c>
      <c r="BT27" t="e">
        <f>AND('Planilla_General_29-11-2012_10_'!L396,"AAAAAHP6e0c=")</f>
        <v>#VALUE!</v>
      </c>
      <c r="BU27" t="e">
        <f>AND('Planilla_General_29-11-2012_10_'!M396,"AAAAAHP6e0g=")</f>
        <v>#VALUE!</v>
      </c>
      <c r="BV27" t="e">
        <f>AND('Planilla_General_29-11-2012_10_'!N396,"AAAAAHP6e0k=")</f>
        <v>#VALUE!</v>
      </c>
      <c r="BW27" t="e">
        <f>AND('Planilla_General_29-11-2012_10_'!O396,"AAAAAHP6e0o=")</f>
        <v>#VALUE!</v>
      </c>
      <c r="BX27" t="e">
        <f>AND('Planilla_General_29-11-2012_10_'!P396,"AAAAAHP6e0s=")</f>
        <v>#VALUE!</v>
      </c>
      <c r="BY27">
        <f>IF('Planilla_General_29-11-2012_10_'!397:397,"AAAAAHP6e0w=",0)</f>
        <v>0</v>
      </c>
      <c r="BZ27" t="e">
        <f>AND('Planilla_General_29-11-2012_10_'!A397,"AAAAAHP6e00=")</f>
        <v>#VALUE!</v>
      </c>
      <c r="CA27" t="e">
        <f>AND('Planilla_General_29-11-2012_10_'!B397,"AAAAAHP6e04=")</f>
        <v>#VALUE!</v>
      </c>
      <c r="CB27" t="e">
        <f>AND('Planilla_General_29-11-2012_10_'!C397,"AAAAAHP6e08=")</f>
        <v>#VALUE!</v>
      </c>
      <c r="CC27" t="e">
        <f>AND('Planilla_General_29-11-2012_10_'!D397,"AAAAAHP6e1A=")</f>
        <v>#VALUE!</v>
      </c>
      <c r="CD27" t="e">
        <f>AND('Planilla_General_29-11-2012_10_'!E397,"AAAAAHP6e1E=")</f>
        <v>#VALUE!</v>
      </c>
      <c r="CE27" t="e">
        <f>AND('Planilla_General_29-11-2012_10_'!F397,"AAAAAHP6e1I=")</f>
        <v>#VALUE!</v>
      </c>
      <c r="CF27" t="e">
        <f>AND('Planilla_General_29-11-2012_10_'!G397,"AAAAAHP6e1M=")</f>
        <v>#VALUE!</v>
      </c>
      <c r="CG27" t="e">
        <f>AND('Planilla_General_29-11-2012_10_'!H397,"AAAAAHP6e1Q=")</f>
        <v>#VALUE!</v>
      </c>
      <c r="CH27" t="e">
        <f>AND('Planilla_General_29-11-2012_10_'!I397,"AAAAAHP6e1U=")</f>
        <v>#VALUE!</v>
      </c>
      <c r="CI27" t="e">
        <f>AND('Planilla_General_29-11-2012_10_'!J397,"AAAAAHP6e1Y=")</f>
        <v>#VALUE!</v>
      </c>
      <c r="CJ27" t="e">
        <f>AND('Planilla_General_29-11-2012_10_'!K397,"AAAAAHP6e1c=")</f>
        <v>#VALUE!</v>
      </c>
      <c r="CK27" t="e">
        <f>AND('Planilla_General_29-11-2012_10_'!L397,"AAAAAHP6e1g=")</f>
        <v>#VALUE!</v>
      </c>
      <c r="CL27" t="e">
        <f>AND('Planilla_General_29-11-2012_10_'!M397,"AAAAAHP6e1k=")</f>
        <v>#VALUE!</v>
      </c>
      <c r="CM27" t="e">
        <f>AND('Planilla_General_29-11-2012_10_'!N397,"AAAAAHP6e1o=")</f>
        <v>#VALUE!</v>
      </c>
      <c r="CN27" t="e">
        <f>AND('Planilla_General_29-11-2012_10_'!O397,"AAAAAHP6e1s=")</f>
        <v>#VALUE!</v>
      </c>
      <c r="CO27" t="e">
        <f>AND('Planilla_General_29-11-2012_10_'!P397,"AAAAAHP6e1w=")</f>
        <v>#VALUE!</v>
      </c>
      <c r="CP27">
        <f>IF('Planilla_General_29-11-2012_10_'!398:398,"AAAAAHP6e10=",0)</f>
        <v>0</v>
      </c>
      <c r="CQ27" t="e">
        <f>AND('Planilla_General_29-11-2012_10_'!A398,"AAAAAHP6e14=")</f>
        <v>#VALUE!</v>
      </c>
      <c r="CR27" t="e">
        <f>AND('Planilla_General_29-11-2012_10_'!B398,"AAAAAHP6e18=")</f>
        <v>#VALUE!</v>
      </c>
      <c r="CS27" t="e">
        <f>AND('Planilla_General_29-11-2012_10_'!C398,"AAAAAHP6e2A=")</f>
        <v>#VALUE!</v>
      </c>
      <c r="CT27" t="e">
        <f>AND('Planilla_General_29-11-2012_10_'!D398,"AAAAAHP6e2E=")</f>
        <v>#VALUE!</v>
      </c>
      <c r="CU27" t="e">
        <f>AND('Planilla_General_29-11-2012_10_'!E398,"AAAAAHP6e2I=")</f>
        <v>#VALUE!</v>
      </c>
      <c r="CV27" t="e">
        <f>AND('Planilla_General_29-11-2012_10_'!F398,"AAAAAHP6e2M=")</f>
        <v>#VALUE!</v>
      </c>
      <c r="CW27" t="e">
        <f>AND('Planilla_General_29-11-2012_10_'!G398,"AAAAAHP6e2Q=")</f>
        <v>#VALUE!</v>
      </c>
      <c r="CX27" t="e">
        <f>AND('Planilla_General_29-11-2012_10_'!H398,"AAAAAHP6e2U=")</f>
        <v>#VALUE!</v>
      </c>
      <c r="CY27" t="e">
        <f>AND('Planilla_General_29-11-2012_10_'!I398,"AAAAAHP6e2Y=")</f>
        <v>#VALUE!</v>
      </c>
      <c r="CZ27" t="e">
        <f>AND('Planilla_General_29-11-2012_10_'!J398,"AAAAAHP6e2c=")</f>
        <v>#VALUE!</v>
      </c>
      <c r="DA27" t="e">
        <f>AND('Planilla_General_29-11-2012_10_'!K398,"AAAAAHP6e2g=")</f>
        <v>#VALUE!</v>
      </c>
      <c r="DB27" t="e">
        <f>AND('Planilla_General_29-11-2012_10_'!L398,"AAAAAHP6e2k=")</f>
        <v>#VALUE!</v>
      </c>
      <c r="DC27" t="e">
        <f>AND('Planilla_General_29-11-2012_10_'!M398,"AAAAAHP6e2o=")</f>
        <v>#VALUE!</v>
      </c>
      <c r="DD27" t="e">
        <f>AND('Planilla_General_29-11-2012_10_'!N398,"AAAAAHP6e2s=")</f>
        <v>#VALUE!</v>
      </c>
      <c r="DE27" t="e">
        <f>AND('Planilla_General_29-11-2012_10_'!O398,"AAAAAHP6e2w=")</f>
        <v>#VALUE!</v>
      </c>
      <c r="DF27" t="e">
        <f>AND('Planilla_General_29-11-2012_10_'!P398,"AAAAAHP6e20=")</f>
        <v>#VALUE!</v>
      </c>
      <c r="DG27">
        <f>IF('Planilla_General_29-11-2012_10_'!399:399,"AAAAAHP6e24=",0)</f>
        <v>0</v>
      </c>
      <c r="DH27" t="e">
        <f>AND('Planilla_General_29-11-2012_10_'!A399,"AAAAAHP6e28=")</f>
        <v>#VALUE!</v>
      </c>
      <c r="DI27" t="e">
        <f>AND('Planilla_General_29-11-2012_10_'!B399,"AAAAAHP6e3A=")</f>
        <v>#VALUE!</v>
      </c>
      <c r="DJ27" t="e">
        <f>AND('Planilla_General_29-11-2012_10_'!C399,"AAAAAHP6e3E=")</f>
        <v>#VALUE!</v>
      </c>
      <c r="DK27" t="e">
        <f>AND('Planilla_General_29-11-2012_10_'!D399,"AAAAAHP6e3I=")</f>
        <v>#VALUE!</v>
      </c>
      <c r="DL27" t="e">
        <f>AND('Planilla_General_29-11-2012_10_'!E399,"AAAAAHP6e3M=")</f>
        <v>#VALUE!</v>
      </c>
      <c r="DM27" t="e">
        <f>AND('Planilla_General_29-11-2012_10_'!F399,"AAAAAHP6e3Q=")</f>
        <v>#VALUE!</v>
      </c>
      <c r="DN27" t="e">
        <f>AND('Planilla_General_29-11-2012_10_'!G399,"AAAAAHP6e3U=")</f>
        <v>#VALUE!</v>
      </c>
      <c r="DO27" t="e">
        <f>AND('Planilla_General_29-11-2012_10_'!H399,"AAAAAHP6e3Y=")</f>
        <v>#VALUE!</v>
      </c>
      <c r="DP27" t="e">
        <f>AND('Planilla_General_29-11-2012_10_'!I399,"AAAAAHP6e3c=")</f>
        <v>#VALUE!</v>
      </c>
      <c r="DQ27" t="e">
        <f>AND('Planilla_General_29-11-2012_10_'!J399,"AAAAAHP6e3g=")</f>
        <v>#VALUE!</v>
      </c>
      <c r="DR27" t="e">
        <f>AND('Planilla_General_29-11-2012_10_'!K399,"AAAAAHP6e3k=")</f>
        <v>#VALUE!</v>
      </c>
      <c r="DS27" t="e">
        <f>AND('Planilla_General_29-11-2012_10_'!L399,"AAAAAHP6e3o=")</f>
        <v>#VALUE!</v>
      </c>
      <c r="DT27" t="e">
        <f>AND('Planilla_General_29-11-2012_10_'!M399,"AAAAAHP6e3s=")</f>
        <v>#VALUE!</v>
      </c>
      <c r="DU27" t="e">
        <f>AND('Planilla_General_29-11-2012_10_'!N399,"AAAAAHP6e3w=")</f>
        <v>#VALUE!</v>
      </c>
      <c r="DV27" t="e">
        <f>AND('Planilla_General_29-11-2012_10_'!O399,"AAAAAHP6e30=")</f>
        <v>#VALUE!</v>
      </c>
      <c r="DW27" t="e">
        <f>AND('Planilla_General_29-11-2012_10_'!P399,"AAAAAHP6e34=")</f>
        <v>#VALUE!</v>
      </c>
      <c r="DX27">
        <f>IF('Planilla_General_29-11-2012_10_'!400:400,"AAAAAHP6e38=",0)</f>
        <v>0</v>
      </c>
      <c r="DY27" t="e">
        <f>AND('Planilla_General_29-11-2012_10_'!A400,"AAAAAHP6e4A=")</f>
        <v>#VALUE!</v>
      </c>
      <c r="DZ27" t="e">
        <f>AND('Planilla_General_29-11-2012_10_'!B400,"AAAAAHP6e4E=")</f>
        <v>#VALUE!</v>
      </c>
      <c r="EA27" t="e">
        <f>AND('Planilla_General_29-11-2012_10_'!C400,"AAAAAHP6e4I=")</f>
        <v>#VALUE!</v>
      </c>
      <c r="EB27" t="e">
        <f>AND('Planilla_General_29-11-2012_10_'!D400,"AAAAAHP6e4M=")</f>
        <v>#VALUE!</v>
      </c>
      <c r="EC27" t="e">
        <f>AND('Planilla_General_29-11-2012_10_'!E400,"AAAAAHP6e4Q=")</f>
        <v>#VALUE!</v>
      </c>
      <c r="ED27" t="e">
        <f>AND('Planilla_General_29-11-2012_10_'!F400,"AAAAAHP6e4U=")</f>
        <v>#VALUE!</v>
      </c>
      <c r="EE27" t="e">
        <f>AND('Planilla_General_29-11-2012_10_'!G400,"AAAAAHP6e4Y=")</f>
        <v>#VALUE!</v>
      </c>
      <c r="EF27" t="e">
        <f>AND('Planilla_General_29-11-2012_10_'!H400,"AAAAAHP6e4c=")</f>
        <v>#VALUE!</v>
      </c>
      <c r="EG27" t="e">
        <f>AND('Planilla_General_29-11-2012_10_'!I400,"AAAAAHP6e4g=")</f>
        <v>#VALUE!</v>
      </c>
      <c r="EH27" t="e">
        <f>AND('Planilla_General_29-11-2012_10_'!J400,"AAAAAHP6e4k=")</f>
        <v>#VALUE!</v>
      </c>
      <c r="EI27" t="e">
        <f>AND('Planilla_General_29-11-2012_10_'!K400,"AAAAAHP6e4o=")</f>
        <v>#VALUE!</v>
      </c>
      <c r="EJ27" t="e">
        <f>AND('Planilla_General_29-11-2012_10_'!L400,"AAAAAHP6e4s=")</f>
        <v>#VALUE!</v>
      </c>
      <c r="EK27" t="e">
        <f>AND('Planilla_General_29-11-2012_10_'!M400,"AAAAAHP6e4w=")</f>
        <v>#VALUE!</v>
      </c>
      <c r="EL27" t="e">
        <f>AND('Planilla_General_29-11-2012_10_'!N400,"AAAAAHP6e40=")</f>
        <v>#VALUE!</v>
      </c>
      <c r="EM27" t="e">
        <f>AND('Planilla_General_29-11-2012_10_'!O400,"AAAAAHP6e44=")</f>
        <v>#VALUE!</v>
      </c>
      <c r="EN27" t="e">
        <f>AND('Planilla_General_29-11-2012_10_'!P400,"AAAAAHP6e48=")</f>
        <v>#VALUE!</v>
      </c>
      <c r="EO27">
        <f>IF('Planilla_General_29-11-2012_10_'!401:401,"AAAAAHP6e5A=",0)</f>
        <v>0</v>
      </c>
      <c r="EP27" t="e">
        <f>AND('Planilla_General_29-11-2012_10_'!A401,"AAAAAHP6e5E=")</f>
        <v>#VALUE!</v>
      </c>
      <c r="EQ27" t="e">
        <f>AND('Planilla_General_29-11-2012_10_'!B401,"AAAAAHP6e5I=")</f>
        <v>#VALUE!</v>
      </c>
      <c r="ER27" t="e">
        <f>AND('Planilla_General_29-11-2012_10_'!C401,"AAAAAHP6e5M=")</f>
        <v>#VALUE!</v>
      </c>
      <c r="ES27" t="e">
        <f>AND('Planilla_General_29-11-2012_10_'!D401,"AAAAAHP6e5Q=")</f>
        <v>#VALUE!</v>
      </c>
      <c r="ET27" t="e">
        <f>AND('Planilla_General_29-11-2012_10_'!E401,"AAAAAHP6e5U=")</f>
        <v>#VALUE!</v>
      </c>
      <c r="EU27" t="e">
        <f>AND('Planilla_General_29-11-2012_10_'!F401,"AAAAAHP6e5Y=")</f>
        <v>#VALUE!</v>
      </c>
      <c r="EV27" t="e">
        <f>AND('Planilla_General_29-11-2012_10_'!G401,"AAAAAHP6e5c=")</f>
        <v>#VALUE!</v>
      </c>
      <c r="EW27" t="e">
        <f>AND('Planilla_General_29-11-2012_10_'!H401,"AAAAAHP6e5g=")</f>
        <v>#VALUE!</v>
      </c>
      <c r="EX27" t="e">
        <f>AND('Planilla_General_29-11-2012_10_'!I401,"AAAAAHP6e5k=")</f>
        <v>#VALUE!</v>
      </c>
      <c r="EY27" t="e">
        <f>AND('Planilla_General_29-11-2012_10_'!J401,"AAAAAHP6e5o=")</f>
        <v>#VALUE!</v>
      </c>
      <c r="EZ27" t="e">
        <f>AND('Planilla_General_29-11-2012_10_'!K401,"AAAAAHP6e5s=")</f>
        <v>#VALUE!</v>
      </c>
      <c r="FA27" t="e">
        <f>AND('Planilla_General_29-11-2012_10_'!L401,"AAAAAHP6e5w=")</f>
        <v>#VALUE!</v>
      </c>
      <c r="FB27" t="e">
        <f>AND('Planilla_General_29-11-2012_10_'!M401,"AAAAAHP6e50=")</f>
        <v>#VALUE!</v>
      </c>
      <c r="FC27" t="e">
        <f>AND('Planilla_General_29-11-2012_10_'!N401,"AAAAAHP6e54=")</f>
        <v>#VALUE!</v>
      </c>
      <c r="FD27" t="e">
        <f>AND('Planilla_General_29-11-2012_10_'!O401,"AAAAAHP6e58=")</f>
        <v>#VALUE!</v>
      </c>
      <c r="FE27" t="e">
        <f>AND('Planilla_General_29-11-2012_10_'!P401,"AAAAAHP6e6A=")</f>
        <v>#VALUE!</v>
      </c>
      <c r="FF27">
        <f>IF('Planilla_General_29-11-2012_10_'!402:402,"AAAAAHP6e6E=",0)</f>
        <v>0</v>
      </c>
      <c r="FG27" t="e">
        <f>AND('Planilla_General_29-11-2012_10_'!A402,"AAAAAHP6e6I=")</f>
        <v>#VALUE!</v>
      </c>
      <c r="FH27" t="e">
        <f>AND('Planilla_General_29-11-2012_10_'!B402,"AAAAAHP6e6M=")</f>
        <v>#VALUE!</v>
      </c>
      <c r="FI27" t="e">
        <f>AND('Planilla_General_29-11-2012_10_'!C402,"AAAAAHP6e6Q=")</f>
        <v>#VALUE!</v>
      </c>
      <c r="FJ27" t="e">
        <f>AND('Planilla_General_29-11-2012_10_'!D402,"AAAAAHP6e6U=")</f>
        <v>#VALUE!</v>
      </c>
      <c r="FK27" t="e">
        <f>AND('Planilla_General_29-11-2012_10_'!E402,"AAAAAHP6e6Y=")</f>
        <v>#VALUE!</v>
      </c>
      <c r="FL27" t="e">
        <f>AND('Planilla_General_29-11-2012_10_'!F402,"AAAAAHP6e6c=")</f>
        <v>#VALUE!</v>
      </c>
      <c r="FM27" t="e">
        <f>AND('Planilla_General_29-11-2012_10_'!G402,"AAAAAHP6e6g=")</f>
        <v>#VALUE!</v>
      </c>
      <c r="FN27" t="e">
        <f>AND('Planilla_General_29-11-2012_10_'!H402,"AAAAAHP6e6k=")</f>
        <v>#VALUE!</v>
      </c>
      <c r="FO27" t="e">
        <f>AND('Planilla_General_29-11-2012_10_'!I402,"AAAAAHP6e6o=")</f>
        <v>#VALUE!</v>
      </c>
      <c r="FP27" t="e">
        <f>AND('Planilla_General_29-11-2012_10_'!J402,"AAAAAHP6e6s=")</f>
        <v>#VALUE!</v>
      </c>
      <c r="FQ27" t="e">
        <f>AND('Planilla_General_29-11-2012_10_'!K402,"AAAAAHP6e6w=")</f>
        <v>#VALUE!</v>
      </c>
      <c r="FR27" t="e">
        <f>AND('Planilla_General_29-11-2012_10_'!L402,"AAAAAHP6e60=")</f>
        <v>#VALUE!</v>
      </c>
      <c r="FS27" t="e">
        <f>AND('Planilla_General_29-11-2012_10_'!M402,"AAAAAHP6e64=")</f>
        <v>#VALUE!</v>
      </c>
      <c r="FT27" t="e">
        <f>AND('Planilla_General_29-11-2012_10_'!N402,"AAAAAHP6e68=")</f>
        <v>#VALUE!</v>
      </c>
      <c r="FU27" t="e">
        <f>AND('Planilla_General_29-11-2012_10_'!O402,"AAAAAHP6e7A=")</f>
        <v>#VALUE!</v>
      </c>
      <c r="FV27" t="e">
        <f>AND('Planilla_General_29-11-2012_10_'!P402,"AAAAAHP6e7E=")</f>
        <v>#VALUE!</v>
      </c>
      <c r="FW27">
        <f>IF('Planilla_General_29-11-2012_10_'!403:403,"AAAAAHP6e7I=",0)</f>
        <v>0</v>
      </c>
      <c r="FX27" t="e">
        <f>AND('Planilla_General_29-11-2012_10_'!A403,"AAAAAHP6e7M=")</f>
        <v>#VALUE!</v>
      </c>
      <c r="FY27" t="e">
        <f>AND('Planilla_General_29-11-2012_10_'!B403,"AAAAAHP6e7Q=")</f>
        <v>#VALUE!</v>
      </c>
      <c r="FZ27" t="e">
        <f>AND('Planilla_General_29-11-2012_10_'!C403,"AAAAAHP6e7U=")</f>
        <v>#VALUE!</v>
      </c>
      <c r="GA27" t="e">
        <f>AND('Planilla_General_29-11-2012_10_'!D403,"AAAAAHP6e7Y=")</f>
        <v>#VALUE!</v>
      </c>
      <c r="GB27" t="e">
        <f>AND('Planilla_General_29-11-2012_10_'!E403,"AAAAAHP6e7c=")</f>
        <v>#VALUE!</v>
      </c>
      <c r="GC27" t="e">
        <f>AND('Planilla_General_29-11-2012_10_'!F403,"AAAAAHP6e7g=")</f>
        <v>#VALUE!</v>
      </c>
      <c r="GD27" t="e">
        <f>AND('Planilla_General_29-11-2012_10_'!G403,"AAAAAHP6e7k=")</f>
        <v>#VALUE!</v>
      </c>
      <c r="GE27" t="e">
        <f>AND('Planilla_General_29-11-2012_10_'!H403,"AAAAAHP6e7o=")</f>
        <v>#VALUE!</v>
      </c>
      <c r="GF27" t="e">
        <f>AND('Planilla_General_29-11-2012_10_'!I403,"AAAAAHP6e7s=")</f>
        <v>#VALUE!</v>
      </c>
      <c r="GG27" t="e">
        <f>AND('Planilla_General_29-11-2012_10_'!J403,"AAAAAHP6e7w=")</f>
        <v>#VALUE!</v>
      </c>
      <c r="GH27" t="e">
        <f>AND('Planilla_General_29-11-2012_10_'!K403,"AAAAAHP6e70=")</f>
        <v>#VALUE!</v>
      </c>
      <c r="GI27" t="e">
        <f>AND('Planilla_General_29-11-2012_10_'!L403,"AAAAAHP6e74=")</f>
        <v>#VALUE!</v>
      </c>
      <c r="GJ27" t="e">
        <f>AND('Planilla_General_29-11-2012_10_'!M403,"AAAAAHP6e78=")</f>
        <v>#VALUE!</v>
      </c>
      <c r="GK27" t="e">
        <f>AND('Planilla_General_29-11-2012_10_'!N403,"AAAAAHP6e8A=")</f>
        <v>#VALUE!</v>
      </c>
      <c r="GL27" t="e">
        <f>AND('Planilla_General_29-11-2012_10_'!O403,"AAAAAHP6e8E=")</f>
        <v>#VALUE!</v>
      </c>
      <c r="GM27" t="e">
        <f>AND('Planilla_General_29-11-2012_10_'!P403,"AAAAAHP6e8I=")</f>
        <v>#VALUE!</v>
      </c>
      <c r="GN27">
        <f>IF('Planilla_General_29-11-2012_10_'!404:404,"AAAAAHP6e8M=",0)</f>
        <v>0</v>
      </c>
      <c r="GO27" t="e">
        <f>AND('Planilla_General_29-11-2012_10_'!A404,"AAAAAHP6e8Q=")</f>
        <v>#VALUE!</v>
      </c>
      <c r="GP27" t="e">
        <f>AND('Planilla_General_29-11-2012_10_'!B404,"AAAAAHP6e8U=")</f>
        <v>#VALUE!</v>
      </c>
      <c r="GQ27" t="e">
        <f>AND('Planilla_General_29-11-2012_10_'!C404,"AAAAAHP6e8Y=")</f>
        <v>#VALUE!</v>
      </c>
      <c r="GR27" t="e">
        <f>AND('Planilla_General_29-11-2012_10_'!D404,"AAAAAHP6e8c=")</f>
        <v>#VALUE!</v>
      </c>
      <c r="GS27" t="e">
        <f>AND('Planilla_General_29-11-2012_10_'!E404,"AAAAAHP6e8g=")</f>
        <v>#VALUE!</v>
      </c>
      <c r="GT27" t="e">
        <f>AND('Planilla_General_29-11-2012_10_'!F404,"AAAAAHP6e8k=")</f>
        <v>#VALUE!</v>
      </c>
      <c r="GU27" t="e">
        <f>AND('Planilla_General_29-11-2012_10_'!G404,"AAAAAHP6e8o=")</f>
        <v>#VALUE!</v>
      </c>
      <c r="GV27" t="e">
        <f>AND('Planilla_General_29-11-2012_10_'!H404,"AAAAAHP6e8s=")</f>
        <v>#VALUE!</v>
      </c>
      <c r="GW27" t="e">
        <f>AND('Planilla_General_29-11-2012_10_'!I404,"AAAAAHP6e8w=")</f>
        <v>#VALUE!</v>
      </c>
      <c r="GX27" t="e">
        <f>AND('Planilla_General_29-11-2012_10_'!J404,"AAAAAHP6e80=")</f>
        <v>#VALUE!</v>
      </c>
      <c r="GY27" t="e">
        <f>AND('Planilla_General_29-11-2012_10_'!K404,"AAAAAHP6e84=")</f>
        <v>#VALUE!</v>
      </c>
      <c r="GZ27" t="e">
        <f>AND('Planilla_General_29-11-2012_10_'!L404,"AAAAAHP6e88=")</f>
        <v>#VALUE!</v>
      </c>
      <c r="HA27" t="e">
        <f>AND('Planilla_General_29-11-2012_10_'!M404,"AAAAAHP6e9A=")</f>
        <v>#VALUE!</v>
      </c>
      <c r="HB27" t="e">
        <f>AND('Planilla_General_29-11-2012_10_'!N404,"AAAAAHP6e9E=")</f>
        <v>#VALUE!</v>
      </c>
      <c r="HC27" t="e">
        <f>AND('Planilla_General_29-11-2012_10_'!O404,"AAAAAHP6e9I=")</f>
        <v>#VALUE!</v>
      </c>
      <c r="HD27" t="e">
        <f>AND('Planilla_General_29-11-2012_10_'!P404,"AAAAAHP6e9M=")</f>
        <v>#VALUE!</v>
      </c>
      <c r="HE27">
        <f>IF('Planilla_General_29-11-2012_10_'!405:405,"AAAAAHP6e9Q=",0)</f>
        <v>0</v>
      </c>
      <c r="HF27" t="e">
        <f>AND('Planilla_General_29-11-2012_10_'!A405,"AAAAAHP6e9U=")</f>
        <v>#VALUE!</v>
      </c>
      <c r="HG27" t="e">
        <f>AND('Planilla_General_29-11-2012_10_'!B405,"AAAAAHP6e9Y=")</f>
        <v>#VALUE!</v>
      </c>
      <c r="HH27" t="e">
        <f>AND('Planilla_General_29-11-2012_10_'!C405,"AAAAAHP6e9c=")</f>
        <v>#VALUE!</v>
      </c>
      <c r="HI27" t="e">
        <f>AND('Planilla_General_29-11-2012_10_'!D405,"AAAAAHP6e9g=")</f>
        <v>#VALUE!</v>
      </c>
      <c r="HJ27" t="e">
        <f>AND('Planilla_General_29-11-2012_10_'!E405,"AAAAAHP6e9k=")</f>
        <v>#VALUE!</v>
      </c>
      <c r="HK27" t="e">
        <f>AND('Planilla_General_29-11-2012_10_'!F405,"AAAAAHP6e9o=")</f>
        <v>#VALUE!</v>
      </c>
      <c r="HL27" t="e">
        <f>AND('Planilla_General_29-11-2012_10_'!G405,"AAAAAHP6e9s=")</f>
        <v>#VALUE!</v>
      </c>
      <c r="HM27" t="e">
        <f>AND('Planilla_General_29-11-2012_10_'!H405,"AAAAAHP6e9w=")</f>
        <v>#VALUE!</v>
      </c>
      <c r="HN27" t="e">
        <f>AND('Planilla_General_29-11-2012_10_'!I405,"AAAAAHP6e90=")</f>
        <v>#VALUE!</v>
      </c>
      <c r="HO27" t="e">
        <f>AND('Planilla_General_29-11-2012_10_'!J405,"AAAAAHP6e94=")</f>
        <v>#VALUE!</v>
      </c>
      <c r="HP27" t="e">
        <f>AND('Planilla_General_29-11-2012_10_'!K405,"AAAAAHP6e98=")</f>
        <v>#VALUE!</v>
      </c>
      <c r="HQ27" t="e">
        <f>AND('Planilla_General_29-11-2012_10_'!L405,"AAAAAHP6e+A=")</f>
        <v>#VALUE!</v>
      </c>
      <c r="HR27" t="e">
        <f>AND('Planilla_General_29-11-2012_10_'!M405,"AAAAAHP6e+E=")</f>
        <v>#VALUE!</v>
      </c>
      <c r="HS27" t="e">
        <f>AND('Planilla_General_29-11-2012_10_'!N405,"AAAAAHP6e+I=")</f>
        <v>#VALUE!</v>
      </c>
      <c r="HT27" t="e">
        <f>AND('Planilla_General_29-11-2012_10_'!O405,"AAAAAHP6e+M=")</f>
        <v>#VALUE!</v>
      </c>
      <c r="HU27" t="e">
        <f>AND('Planilla_General_29-11-2012_10_'!P405,"AAAAAHP6e+Q=")</f>
        <v>#VALUE!</v>
      </c>
      <c r="HV27">
        <f>IF('Planilla_General_29-11-2012_10_'!406:406,"AAAAAHP6e+U=",0)</f>
        <v>0</v>
      </c>
      <c r="HW27" t="e">
        <f>AND('Planilla_General_29-11-2012_10_'!A406,"AAAAAHP6e+Y=")</f>
        <v>#VALUE!</v>
      </c>
      <c r="HX27" t="e">
        <f>AND('Planilla_General_29-11-2012_10_'!B406,"AAAAAHP6e+c=")</f>
        <v>#VALUE!</v>
      </c>
      <c r="HY27" t="e">
        <f>AND('Planilla_General_29-11-2012_10_'!C406,"AAAAAHP6e+g=")</f>
        <v>#VALUE!</v>
      </c>
      <c r="HZ27" t="e">
        <f>AND('Planilla_General_29-11-2012_10_'!D406,"AAAAAHP6e+k=")</f>
        <v>#VALUE!</v>
      </c>
      <c r="IA27" t="e">
        <f>AND('Planilla_General_29-11-2012_10_'!E406,"AAAAAHP6e+o=")</f>
        <v>#VALUE!</v>
      </c>
      <c r="IB27" t="e">
        <f>AND('Planilla_General_29-11-2012_10_'!F406,"AAAAAHP6e+s=")</f>
        <v>#VALUE!</v>
      </c>
      <c r="IC27" t="e">
        <f>AND('Planilla_General_29-11-2012_10_'!G406,"AAAAAHP6e+w=")</f>
        <v>#VALUE!</v>
      </c>
      <c r="ID27" t="e">
        <f>AND('Planilla_General_29-11-2012_10_'!H406,"AAAAAHP6e+0=")</f>
        <v>#VALUE!</v>
      </c>
      <c r="IE27" t="e">
        <f>AND('Planilla_General_29-11-2012_10_'!I406,"AAAAAHP6e+4=")</f>
        <v>#VALUE!</v>
      </c>
      <c r="IF27" t="e">
        <f>AND('Planilla_General_29-11-2012_10_'!J406,"AAAAAHP6e+8=")</f>
        <v>#VALUE!</v>
      </c>
      <c r="IG27" t="e">
        <f>AND('Planilla_General_29-11-2012_10_'!K406,"AAAAAHP6e/A=")</f>
        <v>#VALUE!</v>
      </c>
      <c r="IH27" t="e">
        <f>AND('Planilla_General_29-11-2012_10_'!L406,"AAAAAHP6e/E=")</f>
        <v>#VALUE!</v>
      </c>
      <c r="II27" t="e">
        <f>AND('Planilla_General_29-11-2012_10_'!M406,"AAAAAHP6e/I=")</f>
        <v>#VALUE!</v>
      </c>
      <c r="IJ27" t="e">
        <f>AND('Planilla_General_29-11-2012_10_'!N406,"AAAAAHP6e/M=")</f>
        <v>#VALUE!</v>
      </c>
      <c r="IK27" t="e">
        <f>AND('Planilla_General_29-11-2012_10_'!O406,"AAAAAHP6e/Q=")</f>
        <v>#VALUE!</v>
      </c>
      <c r="IL27" t="e">
        <f>AND('Planilla_General_29-11-2012_10_'!P406,"AAAAAHP6e/U=")</f>
        <v>#VALUE!</v>
      </c>
      <c r="IM27">
        <f>IF('Planilla_General_29-11-2012_10_'!407:407,"AAAAAHP6e/Y=",0)</f>
        <v>0</v>
      </c>
      <c r="IN27" t="e">
        <f>AND('Planilla_General_29-11-2012_10_'!A407,"AAAAAHP6e/c=")</f>
        <v>#VALUE!</v>
      </c>
      <c r="IO27" t="e">
        <f>AND('Planilla_General_29-11-2012_10_'!B407,"AAAAAHP6e/g=")</f>
        <v>#VALUE!</v>
      </c>
      <c r="IP27" t="e">
        <f>AND('Planilla_General_29-11-2012_10_'!C407,"AAAAAHP6e/k=")</f>
        <v>#VALUE!</v>
      </c>
      <c r="IQ27" t="e">
        <f>AND('Planilla_General_29-11-2012_10_'!D407,"AAAAAHP6e/o=")</f>
        <v>#VALUE!</v>
      </c>
      <c r="IR27" t="e">
        <f>AND('Planilla_General_29-11-2012_10_'!E407,"AAAAAHP6e/s=")</f>
        <v>#VALUE!</v>
      </c>
      <c r="IS27" t="e">
        <f>AND('Planilla_General_29-11-2012_10_'!F407,"AAAAAHP6e/w=")</f>
        <v>#VALUE!</v>
      </c>
      <c r="IT27" t="e">
        <f>AND('Planilla_General_29-11-2012_10_'!G407,"AAAAAHP6e/0=")</f>
        <v>#VALUE!</v>
      </c>
      <c r="IU27" t="e">
        <f>AND('Planilla_General_29-11-2012_10_'!H407,"AAAAAHP6e/4=")</f>
        <v>#VALUE!</v>
      </c>
      <c r="IV27" t="e">
        <f>AND('Planilla_General_29-11-2012_10_'!I407,"AAAAAHP6e/8=")</f>
        <v>#VALUE!</v>
      </c>
    </row>
    <row r="28" spans="1:256" x14ac:dyDescent="0.25">
      <c r="A28" t="e">
        <f>AND('Planilla_General_29-11-2012_10_'!J407,"AAAAAF/z/wA=")</f>
        <v>#VALUE!</v>
      </c>
      <c r="B28" t="e">
        <f>AND('Planilla_General_29-11-2012_10_'!K407,"AAAAAF/z/wE=")</f>
        <v>#VALUE!</v>
      </c>
      <c r="C28" t="e">
        <f>AND('Planilla_General_29-11-2012_10_'!L407,"AAAAAF/z/wI=")</f>
        <v>#VALUE!</v>
      </c>
      <c r="D28" t="e">
        <f>AND('Planilla_General_29-11-2012_10_'!M407,"AAAAAF/z/wM=")</f>
        <v>#VALUE!</v>
      </c>
      <c r="E28" t="e">
        <f>AND('Planilla_General_29-11-2012_10_'!N407,"AAAAAF/z/wQ=")</f>
        <v>#VALUE!</v>
      </c>
      <c r="F28" t="e">
        <f>AND('Planilla_General_29-11-2012_10_'!O407,"AAAAAF/z/wU=")</f>
        <v>#VALUE!</v>
      </c>
      <c r="G28" t="e">
        <f>AND('Planilla_General_29-11-2012_10_'!P407,"AAAAAF/z/wY=")</f>
        <v>#VALUE!</v>
      </c>
      <c r="H28" t="e">
        <f>IF('Planilla_General_29-11-2012_10_'!408:408,"AAAAAF/z/wc=",0)</f>
        <v>#VALUE!</v>
      </c>
      <c r="I28" t="e">
        <f>AND('Planilla_General_29-11-2012_10_'!A408,"AAAAAF/z/wg=")</f>
        <v>#VALUE!</v>
      </c>
      <c r="J28" t="e">
        <f>AND('Planilla_General_29-11-2012_10_'!B408,"AAAAAF/z/wk=")</f>
        <v>#VALUE!</v>
      </c>
      <c r="K28" t="e">
        <f>AND('Planilla_General_29-11-2012_10_'!C408,"AAAAAF/z/wo=")</f>
        <v>#VALUE!</v>
      </c>
      <c r="L28" t="e">
        <f>AND('Planilla_General_29-11-2012_10_'!D408,"AAAAAF/z/ws=")</f>
        <v>#VALUE!</v>
      </c>
      <c r="M28" t="e">
        <f>AND('Planilla_General_29-11-2012_10_'!E408,"AAAAAF/z/ww=")</f>
        <v>#VALUE!</v>
      </c>
      <c r="N28" t="e">
        <f>AND('Planilla_General_29-11-2012_10_'!F408,"AAAAAF/z/w0=")</f>
        <v>#VALUE!</v>
      </c>
      <c r="O28" t="e">
        <f>AND('Planilla_General_29-11-2012_10_'!G408,"AAAAAF/z/w4=")</f>
        <v>#VALUE!</v>
      </c>
      <c r="P28" t="e">
        <f>AND('Planilla_General_29-11-2012_10_'!H408,"AAAAAF/z/w8=")</f>
        <v>#VALUE!</v>
      </c>
      <c r="Q28" t="e">
        <f>AND('Planilla_General_29-11-2012_10_'!I408,"AAAAAF/z/xA=")</f>
        <v>#VALUE!</v>
      </c>
      <c r="R28" t="e">
        <f>AND('Planilla_General_29-11-2012_10_'!J408,"AAAAAF/z/xE=")</f>
        <v>#VALUE!</v>
      </c>
      <c r="S28" t="e">
        <f>AND('Planilla_General_29-11-2012_10_'!K408,"AAAAAF/z/xI=")</f>
        <v>#VALUE!</v>
      </c>
      <c r="T28" t="e">
        <f>AND('Planilla_General_29-11-2012_10_'!L408,"AAAAAF/z/xM=")</f>
        <v>#VALUE!</v>
      </c>
      <c r="U28" t="e">
        <f>AND('Planilla_General_29-11-2012_10_'!M408,"AAAAAF/z/xQ=")</f>
        <v>#VALUE!</v>
      </c>
      <c r="V28" t="e">
        <f>AND('Planilla_General_29-11-2012_10_'!N408,"AAAAAF/z/xU=")</f>
        <v>#VALUE!</v>
      </c>
      <c r="W28" t="e">
        <f>AND('Planilla_General_29-11-2012_10_'!O408,"AAAAAF/z/xY=")</f>
        <v>#VALUE!</v>
      </c>
      <c r="X28" t="e">
        <f>AND('Planilla_General_29-11-2012_10_'!P408,"AAAAAF/z/xc=")</f>
        <v>#VALUE!</v>
      </c>
      <c r="Y28">
        <f>IF('Planilla_General_29-11-2012_10_'!409:409,"AAAAAF/z/xg=",0)</f>
        <v>0</v>
      </c>
      <c r="Z28" t="e">
        <f>AND('Planilla_General_29-11-2012_10_'!A409,"AAAAAF/z/xk=")</f>
        <v>#VALUE!</v>
      </c>
      <c r="AA28" t="e">
        <f>AND('Planilla_General_29-11-2012_10_'!B409,"AAAAAF/z/xo=")</f>
        <v>#VALUE!</v>
      </c>
      <c r="AB28" t="e">
        <f>AND('Planilla_General_29-11-2012_10_'!C409,"AAAAAF/z/xs=")</f>
        <v>#VALUE!</v>
      </c>
      <c r="AC28" t="e">
        <f>AND('Planilla_General_29-11-2012_10_'!D409,"AAAAAF/z/xw=")</f>
        <v>#VALUE!</v>
      </c>
      <c r="AD28" t="e">
        <f>AND('Planilla_General_29-11-2012_10_'!E409,"AAAAAF/z/x0=")</f>
        <v>#VALUE!</v>
      </c>
      <c r="AE28" t="e">
        <f>AND('Planilla_General_29-11-2012_10_'!F409,"AAAAAF/z/x4=")</f>
        <v>#VALUE!</v>
      </c>
      <c r="AF28" t="e">
        <f>AND('Planilla_General_29-11-2012_10_'!G409,"AAAAAF/z/x8=")</f>
        <v>#VALUE!</v>
      </c>
      <c r="AG28" t="e">
        <f>AND('Planilla_General_29-11-2012_10_'!H409,"AAAAAF/z/yA=")</f>
        <v>#VALUE!</v>
      </c>
      <c r="AH28" t="e">
        <f>AND('Planilla_General_29-11-2012_10_'!I409,"AAAAAF/z/yE=")</f>
        <v>#VALUE!</v>
      </c>
      <c r="AI28" t="e">
        <f>AND('Planilla_General_29-11-2012_10_'!J409,"AAAAAF/z/yI=")</f>
        <v>#VALUE!</v>
      </c>
      <c r="AJ28" t="e">
        <f>AND('Planilla_General_29-11-2012_10_'!K409,"AAAAAF/z/yM=")</f>
        <v>#VALUE!</v>
      </c>
      <c r="AK28" t="e">
        <f>AND('Planilla_General_29-11-2012_10_'!L409,"AAAAAF/z/yQ=")</f>
        <v>#VALUE!</v>
      </c>
      <c r="AL28" t="e">
        <f>AND('Planilla_General_29-11-2012_10_'!M409,"AAAAAF/z/yU=")</f>
        <v>#VALUE!</v>
      </c>
      <c r="AM28" t="e">
        <f>AND('Planilla_General_29-11-2012_10_'!N409,"AAAAAF/z/yY=")</f>
        <v>#VALUE!</v>
      </c>
      <c r="AN28" t="e">
        <f>AND('Planilla_General_29-11-2012_10_'!O409,"AAAAAF/z/yc=")</f>
        <v>#VALUE!</v>
      </c>
      <c r="AO28" t="e">
        <f>AND('Planilla_General_29-11-2012_10_'!P409,"AAAAAF/z/yg=")</f>
        <v>#VALUE!</v>
      </c>
      <c r="AP28">
        <f>IF('Planilla_General_29-11-2012_10_'!410:410,"AAAAAF/z/yk=",0)</f>
        <v>0</v>
      </c>
      <c r="AQ28" t="e">
        <f>AND('Planilla_General_29-11-2012_10_'!A410,"AAAAAF/z/yo=")</f>
        <v>#VALUE!</v>
      </c>
      <c r="AR28" t="e">
        <f>AND('Planilla_General_29-11-2012_10_'!B410,"AAAAAF/z/ys=")</f>
        <v>#VALUE!</v>
      </c>
      <c r="AS28" t="e">
        <f>AND('Planilla_General_29-11-2012_10_'!C410,"AAAAAF/z/yw=")</f>
        <v>#VALUE!</v>
      </c>
      <c r="AT28" t="e">
        <f>AND('Planilla_General_29-11-2012_10_'!D410,"AAAAAF/z/y0=")</f>
        <v>#VALUE!</v>
      </c>
      <c r="AU28" t="e">
        <f>AND('Planilla_General_29-11-2012_10_'!E410,"AAAAAF/z/y4=")</f>
        <v>#VALUE!</v>
      </c>
      <c r="AV28" t="e">
        <f>AND('Planilla_General_29-11-2012_10_'!F410,"AAAAAF/z/y8=")</f>
        <v>#VALUE!</v>
      </c>
      <c r="AW28" t="e">
        <f>AND('Planilla_General_29-11-2012_10_'!G410,"AAAAAF/z/zA=")</f>
        <v>#VALUE!</v>
      </c>
      <c r="AX28" t="e">
        <f>AND('Planilla_General_29-11-2012_10_'!H410,"AAAAAF/z/zE=")</f>
        <v>#VALUE!</v>
      </c>
      <c r="AY28" t="e">
        <f>AND('Planilla_General_29-11-2012_10_'!I410,"AAAAAF/z/zI=")</f>
        <v>#VALUE!</v>
      </c>
      <c r="AZ28" t="e">
        <f>AND('Planilla_General_29-11-2012_10_'!J410,"AAAAAF/z/zM=")</f>
        <v>#VALUE!</v>
      </c>
      <c r="BA28" t="e">
        <f>AND('Planilla_General_29-11-2012_10_'!K410,"AAAAAF/z/zQ=")</f>
        <v>#VALUE!</v>
      </c>
      <c r="BB28" t="e">
        <f>AND('Planilla_General_29-11-2012_10_'!L410,"AAAAAF/z/zU=")</f>
        <v>#VALUE!</v>
      </c>
      <c r="BC28" t="e">
        <f>AND('Planilla_General_29-11-2012_10_'!M410,"AAAAAF/z/zY=")</f>
        <v>#VALUE!</v>
      </c>
      <c r="BD28" t="e">
        <f>AND('Planilla_General_29-11-2012_10_'!N410,"AAAAAF/z/zc=")</f>
        <v>#VALUE!</v>
      </c>
      <c r="BE28" t="e">
        <f>AND('Planilla_General_29-11-2012_10_'!O410,"AAAAAF/z/zg=")</f>
        <v>#VALUE!</v>
      </c>
      <c r="BF28" t="e">
        <f>AND('Planilla_General_29-11-2012_10_'!P410,"AAAAAF/z/zk=")</f>
        <v>#VALUE!</v>
      </c>
      <c r="BG28">
        <f>IF('Planilla_General_29-11-2012_10_'!411:411,"AAAAAF/z/zo=",0)</f>
        <v>0</v>
      </c>
      <c r="BH28" t="e">
        <f>AND('Planilla_General_29-11-2012_10_'!A411,"AAAAAF/z/zs=")</f>
        <v>#VALUE!</v>
      </c>
      <c r="BI28" t="e">
        <f>AND('Planilla_General_29-11-2012_10_'!B411,"AAAAAF/z/zw=")</f>
        <v>#VALUE!</v>
      </c>
      <c r="BJ28" t="e">
        <f>AND('Planilla_General_29-11-2012_10_'!C411,"AAAAAF/z/z0=")</f>
        <v>#VALUE!</v>
      </c>
      <c r="BK28" t="e">
        <f>AND('Planilla_General_29-11-2012_10_'!D411,"AAAAAF/z/z4=")</f>
        <v>#VALUE!</v>
      </c>
      <c r="BL28" t="e">
        <f>AND('Planilla_General_29-11-2012_10_'!E411,"AAAAAF/z/z8=")</f>
        <v>#VALUE!</v>
      </c>
      <c r="BM28" t="e">
        <f>AND('Planilla_General_29-11-2012_10_'!F411,"AAAAAF/z/0A=")</f>
        <v>#VALUE!</v>
      </c>
      <c r="BN28" t="e">
        <f>AND('Planilla_General_29-11-2012_10_'!G411,"AAAAAF/z/0E=")</f>
        <v>#VALUE!</v>
      </c>
      <c r="BO28" t="e">
        <f>AND('Planilla_General_29-11-2012_10_'!H411,"AAAAAF/z/0I=")</f>
        <v>#VALUE!</v>
      </c>
      <c r="BP28" t="e">
        <f>AND('Planilla_General_29-11-2012_10_'!I411,"AAAAAF/z/0M=")</f>
        <v>#VALUE!</v>
      </c>
      <c r="BQ28" t="e">
        <f>AND('Planilla_General_29-11-2012_10_'!J411,"AAAAAF/z/0Q=")</f>
        <v>#VALUE!</v>
      </c>
      <c r="BR28" t="e">
        <f>AND('Planilla_General_29-11-2012_10_'!K411,"AAAAAF/z/0U=")</f>
        <v>#VALUE!</v>
      </c>
      <c r="BS28" t="e">
        <f>AND('Planilla_General_29-11-2012_10_'!L411,"AAAAAF/z/0Y=")</f>
        <v>#VALUE!</v>
      </c>
      <c r="BT28" t="e">
        <f>AND('Planilla_General_29-11-2012_10_'!M411,"AAAAAF/z/0c=")</f>
        <v>#VALUE!</v>
      </c>
      <c r="BU28" t="e">
        <f>AND('Planilla_General_29-11-2012_10_'!N411,"AAAAAF/z/0g=")</f>
        <v>#VALUE!</v>
      </c>
      <c r="BV28" t="e">
        <f>AND('Planilla_General_29-11-2012_10_'!O411,"AAAAAF/z/0k=")</f>
        <v>#VALUE!</v>
      </c>
      <c r="BW28" t="e">
        <f>AND('Planilla_General_29-11-2012_10_'!P411,"AAAAAF/z/0o=")</f>
        <v>#VALUE!</v>
      </c>
      <c r="BX28">
        <f>IF('Planilla_General_29-11-2012_10_'!412:412,"AAAAAF/z/0s=",0)</f>
        <v>0</v>
      </c>
      <c r="BY28" t="e">
        <f>AND('Planilla_General_29-11-2012_10_'!A412,"AAAAAF/z/0w=")</f>
        <v>#VALUE!</v>
      </c>
      <c r="BZ28" t="e">
        <f>AND('Planilla_General_29-11-2012_10_'!B412,"AAAAAF/z/00=")</f>
        <v>#VALUE!</v>
      </c>
      <c r="CA28" t="e">
        <f>AND('Planilla_General_29-11-2012_10_'!C412,"AAAAAF/z/04=")</f>
        <v>#VALUE!</v>
      </c>
      <c r="CB28" t="e">
        <f>AND('Planilla_General_29-11-2012_10_'!D412,"AAAAAF/z/08=")</f>
        <v>#VALUE!</v>
      </c>
      <c r="CC28" t="e">
        <f>AND('Planilla_General_29-11-2012_10_'!E412,"AAAAAF/z/1A=")</f>
        <v>#VALUE!</v>
      </c>
      <c r="CD28" t="e">
        <f>AND('Planilla_General_29-11-2012_10_'!F412,"AAAAAF/z/1E=")</f>
        <v>#VALUE!</v>
      </c>
      <c r="CE28" t="e">
        <f>AND('Planilla_General_29-11-2012_10_'!G412,"AAAAAF/z/1I=")</f>
        <v>#VALUE!</v>
      </c>
      <c r="CF28" t="e">
        <f>AND('Planilla_General_29-11-2012_10_'!H412,"AAAAAF/z/1M=")</f>
        <v>#VALUE!</v>
      </c>
      <c r="CG28" t="e">
        <f>AND('Planilla_General_29-11-2012_10_'!I412,"AAAAAF/z/1Q=")</f>
        <v>#VALUE!</v>
      </c>
      <c r="CH28" t="e">
        <f>AND('Planilla_General_29-11-2012_10_'!J412,"AAAAAF/z/1U=")</f>
        <v>#VALUE!</v>
      </c>
      <c r="CI28" t="e">
        <f>AND('Planilla_General_29-11-2012_10_'!K412,"AAAAAF/z/1Y=")</f>
        <v>#VALUE!</v>
      </c>
      <c r="CJ28" t="e">
        <f>AND('Planilla_General_29-11-2012_10_'!L412,"AAAAAF/z/1c=")</f>
        <v>#VALUE!</v>
      </c>
      <c r="CK28" t="e">
        <f>AND('Planilla_General_29-11-2012_10_'!M412,"AAAAAF/z/1g=")</f>
        <v>#VALUE!</v>
      </c>
      <c r="CL28" t="e">
        <f>AND('Planilla_General_29-11-2012_10_'!N412,"AAAAAF/z/1k=")</f>
        <v>#VALUE!</v>
      </c>
      <c r="CM28" t="e">
        <f>AND('Planilla_General_29-11-2012_10_'!O412,"AAAAAF/z/1o=")</f>
        <v>#VALUE!</v>
      </c>
      <c r="CN28" t="e">
        <f>AND('Planilla_General_29-11-2012_10_'!P412,"AAAAAF/z/1s=")</f>
        <v>#VALUE!</v>
      </c>
      <c r="CO28">
        <f>IF('Planilla_General_29-11-2012_10_'!413:413,"AAAAAF/z/1w=",0)</f>
        <v>0</v>
      </c>
      <c r="CP28" t="e">
        <f>AND('Planilla_General_29-11-2012_10_'!A413,"AAAAAF/z/10=")</f>
        <v>#VALUE!</v>
      </c>
      <c r="CQ28" t="e">
        <f>AND('Planilla_General_29-11-2012_10_'!B413,"AAAAAF/z/14=")</f>
        <v>#VALUE!</v>
      </c>
      <c r="CR28" t="e">
        <f>AND('Planilla_General_29-11-2012_10_'!C413,"AAAAAF/z/18=")</f>
        <v>#VALUE!</v>
      </c>
      <c r="CS28" t="e">
        <f>AND('Planilla_General_29-11-2012_10_'!D413,"AAAAAF/z/2A=")</f>
        <v>#VALUE!</v>
      </c>
      <c r="CT28" t="e">
        <f>AND('Planilla_General_29-11-2012_10_'!E413,"AAAAAF/z/2E=")</f>
        <v>#VALUE!</v>
      </c>
      <c r="CU28" t="e">
        <f>AND('Planilla_General_29-11-2012_10_'!F413,"AAAAAF/z/2I=")</f>
        <v>#VALUE!</v>
      </c>
      <c r="CV28" t="e">
        <f>AND('Planilla_General_29-11-2012_10_'!G413,"AAAAAF/z/2M=")</f>
        <v>#VALUE!</v>
      </c>
      <c r="CW28" t="e">
        <f>AND('Planilla_General_29-11-2012_10_'!H413,"AAAAAF/z/2Q=")</f>
        <v>#VALUE!</v>
      </c>
      <c r="CX28" t="e">
        <f>AND('Planilla_General_29-11-2012_10_'!I413,"AAAAAF/z/2U=")</f>
        <v>#VALUE!</v>
      </c>
      <c r="CY28" t="e">
        <f>AND('Planilla_General_29-11-2012_10_'!J413,"AAAAAF/z/2Y=")</f>
        <v>#VALUE!</v>
      </c>
      <c r="CZ28" t="e">
        <f>AND('Planilla_General_29-11-2012_10_'!K413,"AAAAAF/z/2c=")</f>
        <v>#VALUE!</v>
      </c>
      <c r="DA28" t="e">
        <f>AND('Planilla_General_29-11-2012_10_'!L413,"AAAAAF/z/2g=")</f>
        <v>#VALUE!</v>
      </c>
      <c r="DB28" t="e">
        <f>AND('Planilla_General_29-11-2012_10_'!M413,"AAAAAF/z/2k=")</f>
        <v>#VALUE!</v>
      </c>
      <c r="DC28" t="e">
        <f>AND('Planilla_General_29-11-2012_10_'!N413,"AAAAAF/z/2o=")</f>
        <v>#VALUE!</v>
      </c>
      <c r="DD28" t="e">
        <f>AND('Planilla_General_29-11-2012_10_'!O413,"AAAAAF/z/2s=")</f>
        <v>#VALUE!</v>
      </c>
      <c r="DE28" t="e">
        <f>AND('Planilla_General_29-11-2012_10_'!P413,"AAAAAF/z/2w=")</f>
        <v>#VALUE!</v>
      </c>
      <c r="DF28">
        <f>IF('Planilla_General_29-11-2012_10_'!414:414,"AAAAAF/z/20=",0)</f>
        <v>0</v>
      </c>
      <c r="DG28" t="e">
        <f>AND('Planilla_General_29-11-2012_10_'!A414,"AAAAAF/z/24=")</f>
        <v>#VALUE!</v>
      </c>
      <c r="DH28" t="e">
        <f>AND('Planilla_General_29-11-2012_10_'!B414,"AAAAAF/z/28=")</f>
        <v>#VALUE!</v>
      </c>
      <c r="DI28" t="e">
        <f>AND('Planilla_General_29-11-2012_10_'!C414,"AAAAAF/z/3A=")</f>
        <v>#VALUE!</v>
      </c>
      <c r="DJ28" t="e">
        <f>AND('Planilla_General_29-11-2012_10_'!D414,"AAAAAF/z/3E=")</f>
        <v>#VALUE!</v>
      </c>
      <c r="DK28" t="e">
        <f>AND('Planilla_General_29-11-2012_10_'!E414,"AAAAAF/z/3I=")</f>
        <v>#VALUE!</v>
      </c>
      <c r="DL28" t="e">
        <f>AND('Planilla_General_29-11-2012_10_'!F414,"AAAAAF/z/3M=")</f>
        <v>#VALUE!</v>
      </c>
      <c r="DM28" t="e">
        <f>AND('Planilla_General_29-11-2012_10_'!G414,"AAAAAF/z/3Q=")</f>
        <v>#VALUE!</v>
      </c>
      <c r="DN28" t="e">
        <f>AND('Planilla_General_29-11-2012_10_'!H414,"AAAAAF/z/3U=")</f>
        <v>#VALUE!</v>
      </c>
      <c r="DO28" t="e">
        <f>AND('Planilla_General_29-11-2012_10_'!I414,"AAAAAF/z/3Y=")</f>
        <v>#VALUE!</v>
      </c>
      <c r="DP28" t="e">
        <f>AND('Planilla_General_29-11-2012_10_'!J414,"AAAAAF/z/3c=")</f>
        <v>#VALUE!</v>
      </c>
      <c r="DQ28" t="e">
        <f>AND('Planilla_General_29-11-2012_10_'!K414,"AAAAAF/z/3g=")</f>
        <v>#VALUE!</v>
      </c>
      <c r="DR28" t="e">
        <f>AND('Planilla_General_29-11-2012_10_'!L414,"AAAAAF/z/3k=")</f>
        <v>#VALUE!</v>
      </c>
      <c r="DS28" t="e">
        <f>AND('Planilla_General_29-11-2012_10_'!M414,"AAAAAF/z/3o=")</f>
        <v>#VALUE!</v>
      </c>
      <c r="DT28" t="e">
        <f>AND('Planilla_General_29-11-2012_10_'!N414,"AAAAAF/z/3s=")</f>
        <v>#VALUE!</v>
      </c>
      <c r="DU28" t="e">
        <f>AND('Planilla_General_29-11-2012_10_'!O414,"AAAAAF/z/3w=")</f>
        <v>#VALUE!</v>
      </c>
      <c r="DV28" t="e">
        <f>AND('Planilla_General_29-11-2012_10_'!P414,"AAAAAF/z/30=")</f>
        <v>#VALUE!</v>
      </c>
      <c r="DW28">
        <f>IF('Planilla_General_29-11-2012_10_'!415:415,"AAAAAF/z/34=",0)</f>
        <v>0</v>
      </c>
      <c r="DX28" t="e">
        <f>AND('Planilla_General_29-11-2012_10_'!A415,"AAAAAF/z/38=")</f>
        <v>#VALUE!</v>
      </c>
      <c r="DY28" t="e">
        <f>AND('Planilla_General_29-11-2012_10_'!B415,"AAAAAF/z/4A=")</f>
        <v>#VALUE!</v>
      </c>
      <c r="DZ28" t="e">
        <f>AND('Planilla_General_29-11-2012_10_'!C415,"AAAAAF/z/4E=")</f>
        <v>#VALUE!</v>
      </c>
      <c r="EA28" t="e">
        <f>AND('Planilla_General_29-11-2012_10_'!D415,"AAAAAF/z/4I=")</f>
        <v>#VALUE!</v>
      </c>
      <c r="EB28" t="e">
        <f>AND('Planilla_General_29-11-2012_10_'!E415,"AAAAAF/z/4M=")</f>
        <v>#VALUE!</v>
      </c>
      <c r="EC28" t="e">
        <f>AND('Planilla_General_29-11-2012_10_'!F415,"AAAAAF/z/4Q=")</f>
        <v>#VALUE!</v>
      </c>
      <c r="ED28" t="e">
        <f>AND('Planilla_General_29-11-2012_10_'!G415,"AAAAAF/z/4U=")</f>
        <v>#VALUE!</v>
      </c>
      <c r="EE28" t="e">
        <f>AND('Planilla_General_29-11-2012_10_'!H415,"AAAAAF/z/4Y=")</f>
        <v>#VALUE!</v>
      </c>
      <c r="EF28" t="e">
        <f>AND('Planilla_General_29-11-2012_10_'!I415,"AAAAAF/z/4c=")</f>
        <v>#VALUE!</v>
      </c>
      <c r="EG28" t="e">
        <f>AND('Planilla_General_29-11-2012_10_'!J415,"AAAAAF/z/4g=")</f>
        <v>#VALUE!</v>
      </c>
      <c r="EH28" t="e">
        <f>AND('Planilla_General_29-11-2012_10_'!K415,"AAAAAF/z/4k=")</f>
        <v>#VALUE!</v>
      </c>
      <c r="EI28" t="e">
        <f>AND('Planilla_General_29-11-2012_10_'!L415,"AAAAAF/z/4o=")</f>
        <v>#VALUE!</v>
      </c>
      <c r="EJ28" t="e">
        <f>AND('Planilla_General_29-11-2012_10_'!M415,"AAAAAF/z/4s=")</f>
        <v>#VALUE!</v>
      </c>
      <c r="EK28" t="e">
        <f>AND('Planilla_General_29-11-2012_10_'!N415,"AAAAAF/z/4w=")</f>
        <v>#VALUE!</v>
      </c>
      <c r="EL28" t="e">
        <f>AND('Planilla_General_29-11-2012_10_'!O415,"AAAAAF/z/40=")</f>
        <v>#VALUE!</v>
      </c>
      <c r="EM28" t="e">
        <f>AND('Planilla_General_29-11-2012_10_'!P415,"AAAAAF/z/44=")</f>
        <v>#VALUE!</v>
      </c>
      <c r="EN28">
        <f>IF('Planilla_General_29-11-2012_10_'!416:416,"AAAAAF/z/48=",0)</f>
        <v>0</v>
      </c>
      <c r="EO28" t="e">
        <f>AND('Planilla_General_29-11-2012_10_'!A416,"AAAAAF/z/5A=")</f>
        <v>#VALUE!</v>
      </c>
      <c r="EP28" t="e">
        <f>AND('Planilla_General_29-11-2012_10_'!B416,"AAAAAF/z/5E=")</f>
        <v>#VALUE!</v>
      </c>
      <c r="EQ28" t="e">
        <f>AND('Planilla_General_29-11-2012_10_'!C416,"AAAAAF/z/5I=")</f>
        <v>#VALUE!</v>
      </c>
      <c r="ER28" t="e">
        <f>AND('Planilla_General_29-11-2012_10_'!D416,"AAAAAF/z/5M=")</f>
        <v>#VALUE!</v>
      </c>
      <c r="ES28" t="e">
        <f>AND('Planilla_General_29-11-2012_10_'!E416,"AAAAAF/z/5Q=")</f>
        <v>#VALUE!</v>
      </c>
      <c r="ET28" t="e">
        <f>AND('Planilla_General_29-11-2012_10_'!F416,"AAAAAF/z/5U=")</f>
        <v>#VALUE!</v>
      </c>
      <c r="EU28" t="e">
        <f>AND('Planilla_General_29-11-2012_10_'!G416,"AAAAAF/z/5Y=")</f>
        <v>#VALUE!</v>
      </c>
      <c r="EV28" t="e">
        <f>AND('Planilla_General_29-11-2012_10_'!H416,"AAAAAF/z/5c=")</f>
        <v>#VALUE!</v>
      </c>
      <c r="EW28" t="e">
        <f>AND('Planilla_General_29-11-2012_10_'!I416,"AAAAAF/z/5g=")</f>
        <v>#VALUE!</v>
      </c>
      <c r="EX28" t="e">
        <f>AND('Planilla_General_29-11-2012_10_'!J416,"AAAAAF/z/5k=")</f>
        <v>#VALUE!</v>
      </c>
      <c r="EY28" t="e">
        <f>AND('Planilla_General_29-11-2012_10_'!K416,"AAAAAF/z/5o=")</f>
        <v>#VALUE!</v>
      </c>
      <c r="EZ28" t="e">
        <f>AND('Planilla_General_29-11-2012_10_'!L416,"AAAAAF/z/5s=")</f>
        <v>#VALUE!</v>
      </c>
      <c r="FA28" t="e">
        <f>AND('Planilla_General_29-11-2012_10_'!M416,"AAAAAF/z/5w=")</f>
        <v>#VALUE!</v>
      </c>
      <c r="FB28" t="e">
        <f>AND('Planilla_General_29-11-2012_10_'!N416,"AAAAAF/z/50=")</f>
        <v>#VALUE!</v>
      </c>
      <c r="FC28" t="e">
        <f>AND('Planilla_General_29-11-2012_10_'!O416,"AAAAAF/z/54=")</f>
        <v>#VALUE!</v>
      </c>
      <c r="FD28" t="e">
        <f>AND('Planilla_General_29-11-2012_10_'!P416,"AAAAAF/z/58=")</f>
        <v>#VALUE!</v>
      </c>
      <c r="FE28">
        <f>IF('Planilla_General_29-11-2012_10_'!417:417,"AAAAAF/z/6A=",0)</f>
        <v>0</v>
      </c>
      <c r="FF28" t="e">
        <f>AND('Planilla_General_29-11-2012_10_'!A417,"AAAAAF/z/6E=")</f>
        <v>#VALUE!</v>
      </c>
      <c r="FG28" t="e">
        <f>AND('Planilla_General_29-11-2012_10_'!B417,"AAAAAF/z/6I=")</f>
        <v>#VALUE!</v>
      </c>
      <c r="FH28" t="e">
        <f>AND('Planilla_General_29-11-2012_10_'!C417,"AAAAAF/z/6M=")</f>
        <v>#VALUE!</v>
      </c>
      <c r="FI28" t="e">
        <f>AND('Planilla_General_29-11-2012_10_'!D417,"AAAAAF/z/6Q=")</f>
        <v>#VALUE!</v>
      </c>
      <c r="FJ28" t="e">
        <f>AND('Planilla_General_29-11-2012_10_'!E417,"AAAAAF/z/6U=")</f>
        <v>#VALUE!</v>
      </c>
      <c r="FK28" t="e">
        <f>AND('Planilla_General_29-11-2012_10_'!F417,"AAAAAF/z/6Y=")</f>
        <v>#VALUE!</v>
      </c>
      <c r="FL28" t="e">
        <f>AND('Planilla_General_29-11-2012_10_'!G417,"AAAAAF/z/6c=")</f>
        <v>#VALUE!</v>
      </c>
      <c r="FM28" t="e">
        <f>AND('Planilla_General_29-11-2012_10_'!H417,"AAAAAF/z/6g=")</f>
        <v>#VALUE!</v>
      </c>
      <c r="FN28" t="e">
        <f>AND('Planilla_General_29-11-2012_10_'!I417,"AAAAAF/z/6k=")</f>
        <v>#VALUE!</v>
      </c>
      <c r="FO28" t="e">
        <f>AND('Planilla_General_29-11-2012_10_'!J417,"AAAAAF/z/6o=")</f>
        <v>#VALUE!</v>
      </c>
      <c r="FP28" t="e">
        <f>AND('Planilla_General_29-11-2012_10_'!K417,"AAAAAF/z/6s=")</f>
        <v>#VALUE!</v>
      </c>
      <c r="FQ28" t="e">
        <f>AND('Planilla_General_29-11-2012_10_'!L417,"AAAAAF/z/6w=")</f>
        <v>#VALUE!</v>
      </c>
      <c r="FR28" t="e">
        <f>AND('Planilla_General_29-11-2012_10_'!M417,"AAAAAF/z/60=")</f>
        <v>#VALUE!</v>
      </c>
      <c r="FS28" t="e">
        <f>AND('Planilla_General_29-11-2012_10_'!N417,"AAAAAF/z/64=")</f>
        <v>#VALUE!</v>
      </c>
      <c r="FT28" t="e">
        <f>AND('Planilla_General_29-11-2012_10_'!O417,"AAAAAF/z/68=")</f>
        <v>#VALUE!</v>
      </c>
      <c r="FU28" t="e">
        <f>AND('Planilla_General_29-11-2012_10_'!P417,"AAAAAF/z/7A=")</f>
        <v>#VALUE!</v>
      </c>
      <c r="FV28">
        <f>IF('Planilla_General_29-11-2012_10_'!418:418,"AAAAAF/z/7E=",0)</f>
        <v>0</v>
      </c>
      <c r="FW28" t="e">
        <f>AND('Planilla_General_29-11-2012_10_'!A418,"AAAAAF/z/7I=")</f>
        <v>#VALUE!</v>
      </c>
      <c r="FX28" t="e">
        <f>AND('Planilla_General_29-11-2012_10_'!B418,"AAAAAF/z/7M=")</f>
        <v>#VALUE!</v>
      </c>
      <c r="FY28" t="e">
        <f>AND('Planilla_General_29-11-2012_10_'!C418,"AAAAAF/z/7Q=")</f>
        <v>#VALUE!</v>
      </c>
      <c r="FZ28" t="e">
        <f>AND('Planilla_General_29-11-2012_10_'!D418,"AAAAAF/z/7U=")</f>
        <v>#VALUE!</v>
      </c>
      <c r="GA28" t="e">
        <f>AND('Planilla_General_29-11-2012_10_'!E418,"AAAAAF/z/7Y=")</f>
        <v>#VALUE!</v>
      </c>
      <c r="GB28" t="e">
        <f>AND('Planilla_General_29-11-2012_10_'!F418,"AAAAAF/z/7c=")</f>
        <v>#VALUE!</v>
      </c>
      <c r="GC28" t="e">
        <f>AND('Planilla_General_29-11-2012_10_'!G418,"AAAAAF/z/7g=")</f>
        <v>#VALUE!</v>
      </c>
      <c r="GD28" t="e">
        <f>AND('Planilla_General_29-11-2012_10_'!H418,"AAAAAF/z/7k=")</f>
        <v>#VALUE!</v>
      </c>
      <c r="GE28" t="e">
        <f>AND('Planilla_General_29-11-2012_10_'!I418,"AAAAAF/z/7o=")</f>
        <v>#VALUE!</v>
      </c>
      <c r="GF28" t="e">
        <f>AND('Planilla_General_29-11-2012_10_'!J418,"AAAAAF/z/7s=")</f>
        <v>#VALUE!</v>
      </c>
      <c r="GG28" t="e">
        <f>AND('Planilla_General_29-11-2012_10_'!K418,"AAAAAF/z/7w=")</f>
        <v>#VALUE!</v>
      </c>
      <c r="GH28" t="e">
        <f>AND('Planilla_General_29-11-2012_10_'!L418,"AAAAAF/z/70=")</f>
        <v>#VALUE!</v>
      </c>
      <c r="GI28" t="e">
        <f>AND('Planilla_General_29-11-2012_10_'!M418,"AAAAAF/z/74=")</f>
        <v>#VALUE!</v>
      </c>
      <c r="GJ28" t="e">
        <f>AND('Planilla_General_29-11-2012_10_'!N418,"AAAAAF/z/78=")</f>
        <v>#VALUE!</v>
      </c>
      <c r="GK28" t="e">
        <f>AND('Planilla_General_29-11-2012_10_'!O418,"AAAAAF/z/8A=")</f>
        <v>#VALUE!</v>
      </c>
      <c r="GL28" t="e">
        <f>AND('Planilla_General_29-11-2012_10_'!P418,"AAAAAF/z/8E=")</f>
        <v>#VALUE!</v>
      </c>
      <c r="GM28">
        <f>IF('Planilla_General_29-11-2012_10_'!419:419,"AAAAAF/z/8I=",0)</f>
        <v>0</v>
      </c>
      <c r="GN28" t="e">
        <f>AND('Planilla_General_29-11-2012_10_'!A419,"AAAAAF/z/8M=")</f>
        <v>#VALUE!</v>
      </c>
      <c r="GO28" t="e">
        <f>AND('Planilla_General_29-11-2012_10_'!B419,"AAAAAF/z/8Q=")</f>
        <v>#VALUE!</v>
      </c>
      <c r="GP28" t="e">
        <f>AND('Planilla_General_29-11-2012_10_'!C419,"AAAAAF/z/8U=")</f>
        <v>#VALUE!</v>
      </c>
      <c r="GQ28" t="e">
        <f>AND('Planilla_General_29-11-2012_10_'!D419,"AAAAAF/z/8Y=")</f>
        <v>#VALUE!</v>
      </c>
      <c r="GR28" t="e">
        <f>AND('Planilla_General_29-11-2012_10_'!E419,"AAAAAF/z/8c=")</f>
        <v>#VALUE!</v>
      </c>
      <c r="GS28" t="e">
        <f>AND('Planilla_General_29-11-2012_10_'!F419,"AAAAAF/z/8g=")</f>
        <v>#VALUE!</v>
      </c>
      <c r="GT28" t="e">
        <f>AND('Planilla_General_29-11-2012_10_'!G419,"AAAAAF/z/8k=")</f>
        <v>#VALUE!</v>
      </c>
      <c r="GU28" t="e">
        <f>AND('Planilla_General_29-11-2012_10_'!H419,"AAAAAF/z/8o=")</f>
        <v>#VALUE!</v>
      </c>
      <c r="GV28" t="e">
        <f>AND('Planilla_General_29-11-2012_10_'!I419,"AAAAAF/z/8s=")</f>
        <v>#VALUE!</v>
      </c>
      <c r="GW28" t="e">
        <f>AND('Planilla_General_29-11-2012_10_'!J419,"AAAAAF/z/8w=")</f>
        <v>#VALUE!</v>
      </c>
      <c r="GX28" t="e">
        <f>AND('Planilla_General_29-11-2012_10_'!K419,"AAAAAF/z/80=")</f>
        <v>#VALUE!</v>
      </c>
      <c r="GY28" t="e">
        <f>AND('Planilla_General_29-11-2012_10_'!L419,"AAAAAF/z/84=")</f>
        <v>#VALUE!</v>
      </c>
      <c r="GZ28" t="e">
        <f>AND('Planilla_General_29-11-2012_10_'!M419,"AAAAAF/z/88=")</f>
        <v>#VALUE!</v>
      </c>
      <c r="HA28" t="e">
        <f>AND('Planilla_General_29-11-2012_10_'!N419,"AAAAAF/z/9A=")</f>
        <v>#VALUE!</v>
      </c>
      <c r="HB28" t="e">
        <f>AND('Planilla_General_29-11-2012_10_'!O419,"AAAAAF/z/9E=")</f>
        <v>#VALUE!</v>
      </c>
      <c r="HC28" t="e">
        <f>AND('Planilla_General_29-11-2012_10_'!P419,"AAAAAF/z/9I=")</f>
        <v>#VALUE!</v>
      </c>
      <c r="HD28">
        <f>IF('Planilla_General_29-11-2012_10_'!420:420,"AAAAAF/z/9M=",0)</f>
        <v>0</v>
      </c>
      <c r="HE28" t="e">
        <f>AND('Planilla_General_29-11-2012_10_'!A420,"AAAAAF/z/9Q=")</f>
        <v>#VALUE!</v>
      </c>
      <c r="HF28" t="e">
        <f>AND('Planilla_General_29-11-2012_10_'!B420,"AAAAAF/z/9U=")</f>
        <v>#VALUE!</v>
      </c>
      <c r="HG28" t="e">
        <f>AND('Planilla_General_29-11-2012_10_'!C420,"AAAAAF/z/9Y=")</f>
        <v>#VALUE!</v>
      </c>
      <c r="HH28" t="e">
        <f>AND('Planilla_General_29-11-2012_10_'!D420,"AAAAAF/z/9c=")</f>
        <v>#VALUE!</v>
      </c>
      <c r="HI28" t="e">
        <f>AND('Planilla_General_29-11-2012_10_'!E420,"AAAAAF/z/9g=")</f>
        <v>#VALUE!</v>
      </c>
      <c r="HJ28" t="e">
        <f>AND('Planilla_General_29-11-2012_10_'!F420,"AAAAAF/z/9k=")</f>
        <v>#VALUE!</v>
      </c>
      <c r="HK28" t="e">
        <f>AND('Planilla_General_29-11-2012_10_'!G420,"AAAAAF/z/9o=")</f>
        <v>#VALUE!</v>
      </c>
      <c r="HL28" t="e">
        <f>AND('Planilla_General_29-11-2012_10_'!H420,"AAAAAF/z/9s=")</f>
        <v>#VALUE!</v>
      </c>
      <c r="HM28" t="e">
        <f>AND('Planilla_General_29-11-2012_10_'!I420,"AAAAAF/z/9w=")</f>
        <v>#VALUE!</v>
      </c>
      <c r="HN28" t="e">
        <f>AND('Planilla_General_29-11-2012_10_'!J420,"AAAAAF/z/90=")</f>
        <v>#VALUE!</v>
      </c>
      <c r="HO28" t="e">
        <f>AND('Planilla_General_29-11-2012_10_'!K420,"AAAAAF/z/94=")</f>
        <v>#VALUE!</v>
      </c>
      <c r="HP28" t="e">
        <f>AND('Planilla_General_29-11-2012_10_'!L420,"AAAAAF/z/98=")</f>
        <v>#VALUE!</v>
      </c>
      <c r="HQ28" t="e">
        <f>AND('Planilla_General_29-11-2012_10_'!M420,"AAAAAF/z/+A=")</f>
        <v>#VALUE!</v>
      </c>
      <c r="HR28" t="e">
        <f>AND('Planilla_General_29-11-2012_10_'!N420,"AAAAAF/z/+E=")</f>
        <v>#VALUE!</v>
      </c>
      <c r="HS28" t="e">
        <f>AND('Planilla_General_29-11-2012_10_'!O420,"AAAAAF/z/+I=")</f>
        <v>#VALUE!</v>
      </c>
      <c r="HT28" t="e">
        <f>AND('Planilla_General_29-11-2012_10_'!P420,"AAAAAF/z/+M=")</f>
        <v>#VALUE!</v>
      </c>
      <c r="HU28">
        <f>IF('Planilla_General_29-11-2012_10_'!421:421,"AAAAAF/z/+Q=",0)</f>
        <v>0</v>
      </c>
      <c r="HV28" t="e">
        <f>AND('Planilla_General_29-11-2012_10_'!A421,"AAAAAF/z/+U=")</f>
        <v>#VALUE!</v>
      </c>
      <c r="HW28" t="e">
        <f>AND('Planilla_General_29-11-2012_10_'!B421,"AAAAAF/z/+Y=")</f>
        <v>#VALUE!</v>
      </c>
      <c r="HX28" t="e">
        <f>AND('Planilla_General_29-11-2012_10_'!C421,"AAAAAF/z/+c=")</f>
        <v>#VALUE!</v>
      </c>
      <c r="HY28" t="e">
        <f>AND('Planilla_General_29-11-2012_10_'!D421,"AAAAAF/z/+g=")</f>
        <v>#VALUE!</v>
      </c>
      <c r="HZ28" t="e">
        <f>AND('Planilla_General_29-11-2012_10_'!E421,"AAAAAF/z/+k=")</f>
        <v>#VALUE!</v>
      </c>
      <c r="IA28" t="e">
        <f>AND('Planilla_General_29-11-2012_10_'!F421,"AAAAAF/z/+o=")</f>
        <v>#VALUE!</v>
      </c>
      <c r="IB28" t="e">
        <f>AND('Planilla_General_29-11-2012_10_'!G421,"AAAAAF/z/+s=")</f>
        <v>#VALUE!</v>
      </c>
      <c r="IC28" t="e">
        <f>AND('Planilla_General_29-11-2012_10_'!H421,"AAAAAF/z/+w=")</f>
        <v>#VALUE!</v>
      </c>
      <c r="ID28" t="e">
        <f>AND('Planilla_General_29-11-2012_10_'!I421,"AAAAAF/z/+0=")</f>
        <v>#VALUE!</v>
      </c>
      <c r="IE28" t="e">
        <f>AND('Planilla_General_29-11-2012_10_'!J421,"AAAAAF/z/+4=")</f>
        <v>#VALUE!</v>
      </c>
      <c r="IF28" t="e">
        <f>AND('Planilla_General_29-11-2012_10_'!K421,"AAAAAF/z/+8=")</f>
        <v>#VALUE!</v>
      </c>
      <c r="IG28" t="e">
        <f>AND('Planilla_General_29-11-2012_10_'!L421,"AAAAAF/z//A=")</f>
        <v>#VALUE!</v>
      </c>
      <c r="IH28" t="e">
        <f>AND('Planilla_General_29-11-2012_10_'!M421,"AAAAAF/z//E=")</f>
        <v>#VALUE!</v>
      </c>
      <c r="II28" t="e">
        <f>AND('Planilla_General_29-11-2012_10_'!N421,"AAAAAF/z//I=")</f>
        <v>#VALUE!</v>
      </c>
      <c r="IJ28" t="e">
        <f>AND('Planilla_General_29-11-2012_10_'!O421,"AAAAAF/z//M=")</f>
        <v>#VALUE!</v>
      </c>
      <c r="IK28" t="e">
        <f>AND('Planilla_General_29-11-2012_10_'!P421,"AAAAAF/z//Q=")</f>
        <v>#VALUE!</v>
      </c>
      <c r="IL28">
        <f>IF('Planilla_General_29-11-2012_10_'!422:422,"AAAAAF/z//U=",0)</f>
        <v>0</v>
      </c>
      <c r="IM28" t="e">
        <f>AND('Planilla_General_29-11-2012_10_'!A422,"AAAAAF/z//Y=")</f>
        <v>#VALUE!</v>
      </c>
      <c r="IN28" t="e">
        <f>AND('Planilla_General_29-11-2012_10_'!B422,"AAAAAF/z//c=")</f>
        <v>#VALUE!</v>
      </c>
      <c r="IO28" t="e">
        <f>AND('Planilla_General_29-11-2012_10_'!C422,"AAAAAF/z//g=")</f>
        <v>#VALUE!</v>
      </c>
      <c r="IP28" t="e">
        <f>AND('Planilla_General_29-11-2012_10_'!D422,"AAAAAF/z//k=")</f>
        <v>#VALUE!</v>
      </c>
      <c r="IQ28" t="e">
        <f>AND('Planilla_General_29-11-2012_10_'!E422,"AAAAAF/z//o=")</f>
        <v>#VALUE!</v>
      </c>
      <c r="IR28" t="e">
        <f>AND('Planilla_General_29-11-2012_10_'!F422,"AAAAAF/z//s=")</f>
        <v>#VALUE!</v>
      </c>
      <c r="IS28" t="e">
        <f>AND('Planilla_General_29-11-2012_10_'!G422,"AAAAAF/z//w=")</f>
        <v>#VALUE!</v>
      </c>
      <c r="IT28" t="e">
        <f>AND('Planilla_General_29-11-2012_10_'!H422,"AAAAAF/z//0=")</f>
        <v>#VALUE!</v>
      </c>
      <c r="IU28" t="e">
        <f>AND('Planilla_General_29-11-2012_10_'!I422,"AAAAAF/z//4=")</f>
        <v>#VALUE!</v>
      </c>
      <c r="IV28" t="e">
        <f>AND('Planilla_General_29-11-2012_10_'!J422,"AAAAAF/z//8=")</f>
        <v>#VALUE!</v>
      </c>
    </row>
    <row r="29" spans="1:256" x14ac:dyDescent="0.25">
      <c r="A29" t="e">
        <f>AND('Planilla_General_29-11-2012_10_'!K422,"AAAAAH79/wA=")</f>
        <v>#VALUE!</v>
      </c>
      <c r="B29" t="e">
        <f>AND('Planilla_General_29-11-2012_10_'!L422,"AAAAAH79/wE=")</f>
        <v>#VALUE!</v>
      </c>
      <c r="C29" t="e">
        <f>AND('Planilla_General_29-11-2012_10_'!M422,"AAAAAH79/wI=")</f>
        <v>#VALUE!</v>
      </c>
      <c r="D29" t="e">
        <f>AND('Planilla_General_29-11-2012_10_'!N422,"AAAAAH79/wM=")</f>
        <v>#VALUE!</v>
      </c>
      <c r="E29" t="e">
        <f>AND('Planilla_General_29-11-2012_10_'!O422,"AAAAAH79/wQ=")</f>
        <v>#VALUE!</v>
      </c>
      <c r="F29" t="e">
        <f>AND('Planilla_General_29-11-2012_10_'!P422,"AAAAAH79/wU=")</f>
        <v>#VALUE!</v>
      </c>
      <c r="G29" t="e">
        <f>IF('Planilla_General_29-11-2012_10_'!423:423,"AAAAAH79/wY=",0)</f>
        <v>#VALUE!</v>
      </c>
      <c r="H29" t="e">
        <f>AND('Planilla_General_29-11-2012_10_'!A423,"AAAAAH79/wc=")</f>
        <v>#VALUE!</v>
      </c>
      <c r="I29" t="e">
        <f>AND('Planilla_General_29-11-2012_10_'!B423,"AAAAAH79/wg=")</f>
        <v>#VALUE!</v>
      </c>
      <c r="J29" t="e">
        <f>AND('Planilla_General_29-11-2012_10_'!C423,"AAAAAH79/wk=")</f>
        <v>#VALUE!</v>
      </c>
      <c r="K29" t="e">
        <f>AND('Planilla_General_29-11-2012_10_'!D423,"AAAAAH79/wo=")</f>
        <v>#VALUE!</v>
      </c>
      <c r="L29" t="e">
        <f>AND('Planilla_General_29-11-2012_10_'!E423,"AAAAAH79/ws=")</f>
        <v>#VALUE!</v>
      </c>
      <c r="M29" t="e">
        <f>AND('Planilla_General_29-11-2012_10_'!F423,"AAAAAH79/ww=")</f>
        <v>#VALUE!</v>
      </c>
      <c r="N29" t="e">
        <f>AND('Planilla_General_29-11-2012_10_'!G423,"AAAAAH79/w0=")</f>
        <v>#VALUE!</v>
      </c>
      <c r="O29" t="e">
        <f>AND('Planilla_General_29-11-2012_10_'!H423,"AAAAAH79/w4=")</f>
        <v>#VALUE!</v>
      </c>
      <c r="P29" t="e">
        <f>AND('Planilla_General_29-11-2012_10_'!I423,"AAAAAH79/w8=")</f>
        <v>#VALUE!</v>
      </c>
      <c r="Q29" t="e">
        <f>AND('Planilla_General_29-11-2012_10_'!J423,"AAAAAH79/xA=")</f>
        <v>#VALUE!</v>
      </c>
      <c r="R29" t="e">
        <f>AND('Planilla_General_29-11-2012_10_'!K423,"AAAAAH79/xE=")</f>
        <v>#VALUE!</v>
      </c>
      <c r="S29" t="e">
        <f>AND('Planilla_General_29-11-2012_10_'!L423,"AAAAAH79/xI=")</f>
        <v>#VALUE!</v>
      </c>
      <c r="T29" t="e">
        <f>AND('Planilla_General_29-11-2012_10_'!M423,"AAAAAH79/xM=")</f>
        <v>#VALUE!</v>
      </c>
      <c r="U29" t="e">
        <f>AND('Planilla_General_29-11-2012_10_'!N423,"AAAAAH79/xQ=")</f>
        <v>#VALUE!</v>
      </c>
      <c r="V29" t="e">
        <f>AND('Planilla_General_29-11-2012_10_'!O423,"AAAAAH79/xU=")</f>
        <v>#VALUE!</v>
      </c>
      <c r="W29" t="e">
        <f>AND('Planilla_General_29-11-2012_10_'!P423,"AAAAAH79/xY=")</f>
        <v>#VALUE!</v>
      </c>
      <c r="X29">
        <f>IF('Planilla_General_29-11-2012_10_'!424:424,"AAAAAH79/xc=",0)</f>
        <v>0</v>
      </c>
      <c r="Y29" t="e">
        <f>AND('Planilla_General_29-11-2012_10_'!A424,"AAAAAH79/xg=")</f>
        <v>#VALUE!</v>
      </c>
      <c r="Z29" t="e">
        <f>AND('Planilla_General_29-11-2012_10_'!B424,"AAAAAH79/xk=")</f>
        <v>#VALUE!</v>
      </c>
      <c r="AA29" t="e">
        <f>AND('Planilla_General_29-11-2012_10_'!C424,"AAAAAH79/xo=")</f>
        <v>#VALUE!</v>
      </c>
      <c r="AB29" t="e">
        <f>AND('Planilla_General_29-11-2012_10_'!D424,"AAAAAH79/xs=")</f>
        <v>#VALUE!</v>
      </c>
      <c r="AC29" t="e">
        <f>AND('Planilla_General_29-11-2012_10_'!E424,"AAAAAH79/xw=")</f>
        <v>#VALUE!</v>
      </c>
      <c r="AD29" t="e">
        <f>AND('Planilla_General_29-11-2012_10_'!F424,"AAAAAH79/x0=")</f>
        <v>#VALUE!</v>
      </c>
      <c r="AE29" t="e">
        <f>AND('Planilla_General_29-11-2012_10_'!G424,"AAAAAH79/x4=")</f>
        <v>#VALUE!</v>
      </c>
      <c r="AF29" t="e">
        <f>AND('Planilla_General_29-11-2012_10_'!H424,"AAAAAH79/x8=")</f>
        <v>#VALUE!</v>
      </c>
      <c r="AG29" t="e">
        <f>AND('Planilla_General_29-11-2012_10_'!I424,"AAAAAH79/yA=")</f>
        <v>#VALUE!</v>
      </c>
      <c r="AH29" t="e">
        <f>AND('Planilla_General_29-11-2012_10_'!J424,"AAAAAH79/yE=")</f>
        <v>#VALUE!</v>
      </c>
      <c r="AI29" t="e">
        <f>AND('Planilla_General_29-11-2012_10_'!K424,"AAAAAH79/yI=")</f>
        <v>#VALUE!</v>
      </c>
      <c r="AJ29" t="e">
        <f>AND('Planilla_General_29-11-2012_10_'!L424,"AAAAAH79/yM=")</f>
        <v>#VALUE!</v>
      </c>
      <c r="AK29" t="e">
        <f>AND('Planilla_General_29-11-2012_10_'!M424,"AAAAAH79/yQ=")</f>
        <v>#VALUE!</v>
      </c>
      <c r="AL29" t="e">
        <f>AND('Planilla_General_29-11-2012_10_'!N424,"AAAAAH79/yU=")</f>
        <v>#VALUE!</v>
      </c>
      <c r="AM29" t="e">
        <f>AND('Planilla_General_29-11-2012_10_'!O424,"AAAAAH79/yY=")</f>
        <v>#VALUE!</v>
      </c>
      <c r="AN29" t="e">
        <f>AND('Planilla_General_29-11-2012_10_'!P424,"AAAAAH79/yc=")</f>
        <v>#VALUE!</v>
      </c>
      <c r="AO29">
        <f>IF('Planilla_General_29-11-2012_10_'!425:425,"AAAAAH79/yg=",0)</f>
        <v>0</v>
      </c>
      <c r="AP29" t="e">
        <f>AND('Planilla_General_29-11-2012_10_'!A425,"AAAAAH79/yk=")</f>
        <v>#VALUE!</v>
      </c>
      <c r="AQ29" t="e">
        <f>AND('Planilla_General_29-11-2012_10_'!B425,"AAAAAH79/yo=")</f>
        <v>#VALUE!</v>
      </c>
      <c r="AR29" t="e">
        <f>AND('Planilla_General_29-11-2012_10_'!C425,"AAAAAH79/ys=")</f>
        <v>#VALUE!</v>
      </c>
      <c r="AS29" t="e">
        <f>AND('Planilla_General_29-11-2012_10_'!D425,"AAAAAH79/yw=")</f>
        <v>#VALUE!</v>
      </c>
      <c r="AT29" t="e">
        <f>AND('Planilla_General_29-11-2012_10_'!E425,"AAAAAH79/y0=")</f>
        <v>#VALUE!</v>
      </c>
      <c r="AU29" t="e">
        <f>AND('Planilla_General_29-11-2012_10_'!F425,"AAAAAH79/y4=")</f>
        <v>#VALUE!</v>
      </c>
      <c r="AV29" t="e">
        <f>AND('Planilla_General_29-11-2012_10_'!G425,"AAAAAH79/y8=")</f>
        <v>#VALUE!</v>
      </c>
      <c r="AW29" t="e">
        <f>AND('Planilla_General_29-11-2012_10_'!H425,"AAAAAH79/zA=")</f>
        <v>#VALUE!</v>
      </c>
      <c r="AX29" t="e">
        <f>AND('Planilla_General_29-11-2012_10_'!I425,"AAAAAH79/zE=")</f>
        <v>#VALUE!</v>
      </c>
      <c r="AY29" t="e">
        <f>AND('Planilla_General_29-11-2012_10_'!J425,"AAAAAH79/zI=")</f>
        <v>#VALUE!</v>
      </c>
      <c r="AZ29" t="e">
        <f>AND('Planilla_General_29-11-2012_10_'!K425,"AAAAAH79/zM=")</f>
        <v>#VALUE!</v>
      </c>
      <c r="BA29" t="e">
        <f>AND('Planilla_General_29-11-2012_10_'!L425,"AAAAAH79/zQ=")</f>
        <v>#VALUE!</v>
      </c>
      <c r="BB29" t="e">
        <f>AND('Planilla_General_29-11-2012_10_'!M425,"AAAAAH79/zU=")</f>
        <v>#VALUE!</v>
      </c>
      <c r="BC29" t="e">
        <f>AND('Planilla_General_29-11-2012_10_'!N425,"AAAAAH79/zY=")</f>
        <v>#VALUE!</v>
      </c>
      <c r="BD29" t="e">
        <f>AND('Planilla_General_29-11-2012_10_'!O425,"AAAAAH79/zc=")</f>
        <v>#VALUE!</v>
      </c>
      <c r="BE29" t="e">
        <f>AND('Planilla_General_29-11-2012_10_'!P425,"AAAAAH79/zg=")</f>
        <v>#VALUE!</v>
      </c>
      <c r="BF29">
        <f>IF('Planilla_General_29-11-2012_10_'!426:426,"AAAAAH79/zk=",0)</f>
        <v>0</v>
      </c>
      <c r="BG29" t="e">
        <f>AND('Planilla_General_29-11-2012_10_'!A426,"AAAAAH79/zo=")</f>
        <v>#VALUE!</v>
      </c>
      <c r="BH29" t="e">
        <f>AND('Planilla_General_29-11-2012_10_'!B426,"AAAAAH79/zs=")</f>
        <v>#VALUE!</v>
      </c>
      <c r="BI29" t="e">
        <f>AND('Planilla_General_29-11-2012_10_'!C426,"AAAAAH79/zw=")</f>
        <v>#VALUE!</v>
      </c>
      <c r="BJ29" t="e">
        <f>AND('Planilla_General_29-11-2012_10_'!D426,"AAAAAH79/z0=")</f>
        <v>#VALUE!</v>
      </c>
      <c r="BK29" t="e">
        <f>AND('Planilla_General_29-11-2012_10_'!E426,"AAAAAH79/z4=")</f>
        <v>#VALUE!</v>
      </c>
      <c r="BL29" t="e">
        <f>AND('Planilla_General_29-11-2012_10_'!F426,"AAAAAH79/z8=")</f>
        <v>#VALUE!</v>
      </c>
      <c r="BM29" t="e">
        <f>AND('Planilla_General_29-11-2012_10_'!G426,"AAAAAH79/0A=")</f>
        <v>#VALUE!</v>
      </c>
      <c r="BN29" t="e">
        <f>AND('Planilla_General_29-11-2012_10_'!H426,"AAAAAH79/0E=")</f>
        <v>#VALUE!</v>
      </c>
      <c r="BO29" t="e">
        <f>AND('Planilla_General_29-11-2012_10_'!I426,"AAAAAH79/0I=")</f>
        <v>#VALUE!</v>
      </c>
      <c r="BP29" t="e">
        <f>AND('Planilla_General_29-11-2012_10_'!J426,"AAAAAH79/0M=")</f>
        <v>#VALUE!</v>
      </c>
      <c r="BQ29" t="e">
        <f>AND('Planilla_General_29-11-2012_10_'!K426,"AAAAAH79/0Q=")</f>
        <v>#VALUE!</v>
      </c>
      <c r="BR29" t="e">
        <f>AND('Planilla_General_29-11-2012_10_'!L426,"AAAAAH79/0U=")</f>
        <v>#VALUE!</v>
      </c>
      <c r="BS29" t="e">
        <f>AND('Planilla_General_29-11-2012_10_'!M426,"AAAAAH79/0Y=")</f>
        <v>#VALUE!</v>
      </c>
      <c r="BT29" t="e">
        <f>AND('Planilla_General_29-11-2012_10_'!N426,"AAAAAH79/0c=")</f>
        <v>#VALUE!</v>
      </c>
      <c r="BU29" t="e">
        <f>AND('Planilla_General_29-11-2012_10_'!O426,"AAAAAH79/0g=")</f>
        <v>#VALUE!</v>
      </c>
      <c r="BV29" t="e">
        <f>AND('Planilla_General_29-11-2012_10_'!P426,"AAAAAH79/0k=")</f>
        <v>#VALUE!</v>
      </c>
      <c r="BW29">
        <f>IF('Planilla_General_29-11-2012_10_'!427:427,"AAAAAH79/0o=",0)</f>
        <v>0</v>
      </c>
      <c r="BX29" t="e">
        <f>AND('Planilla_General_29-11-2012_10_'!A427,"AAAAAH79/0s=")</f>
        <v>#VALUE!</v>
      </c>
      <c r="BY29" t="e">
        <f>AND('Planilla_General_29-11-2012_10_'!B427,"AAAAAH79/0w=")</f>
        <v>#VALUE!</v>
      </c>
      <c r="BZ29" t="e">
        <f>AND('Planilla_General_29-11-2012_10_'!C427,"AAAAAH79/00=")</f>
        <v>#VALUE!</v>
      </c>
      <c r="CA29" t="e">
        <f>AND('Planilla_General_29-11-2012_10_'!D427,"AAAAAH79/04=")</f>
        <v>#VALUE!</v>
      </c>
      <c r="CB29" t="e">
        <f>AND('Planilla_General_29-11-2012_10_'!E427,"AAAAAH79/08=")</f>
        <v>#VALUE!</v>
      </c>
      <c r="CC29" t="e">
        <f>AND('Planilla_General_29-11-2012_10_'!F427,"AAAAAH79/1A=")</f>
        <v>#VALUE!</v>
      </c>
      <c r="CD29" t="e">
        <f>AND('Planilla_General_29-11-2012_10_'!G427,"AAAAAH79/1E=")</f>
        <v>#VALUE!</v>
      </c>
      <c r="CE29" t="e">
        <f>AND('Planilla_General_29-11-2012_10_'!H427,"AAAAAH79/1I=")</f>
        <v>#VALUE!</v>
      </c>
      <c r="CF29" t="e">
        <f>AND('Planilla_General_29-11-2012_10_'!I427,"AAAAAH79/1M=")</f>
        <v>#VALUE!</v>
      </c>
      <c r="CG29" t="e">
        <f>AND('Planilla_General_29-11-2012_10_'!J427,"AAAAAH79/1Q=")</f>
        <v>#VALUE!</v>
      </c>
      <c r="CH29" t="e">
        <f>AND('Planilla_General_29-11-2012_10_'!K427,"AAAAAH79/1U=")</f>
        <v>#VALUE!</v>
      </c>
      <c r="CI29" t="e">
        <f>AND('Planilla_General_29-11-2012_10_'!L427,"AAAAAH79/1Y=")</f>
        <v>#VALUE!</v>
      </c>
      <c r="CJ29" t="e">
        <f>AND('Planilla_General_29-11-2012_10_'!M427,"AAAAAH79/1c=")</f>
        <v>#VALUE!</v>
      </c>
      <c r="CK29" t="e">
        <f>AND('Planilla_General_29-11-2012_10_'!N427,"AAAAAH79/1g=")</f>
        <v>#VALUE!</v>
      </c>
      <c r="CL29" t="e">
        <f>AND('Planilla_General_29-11-2012_10_'!O427,"AAAAAH79/1k=")</f>
        <v>#VALUE!</v>
      </c>
      <c r="CM29" t="e">
        <f>AND('Planilla_General_29-11-2012_10_'!P427,"AAAAAH79/1o=")</f>
        <v>#VALUE!</v>
      </c>
      <c r="CN29">
        <f>IF('Planilla_General_29-11-2012_10_'!428:428,"AAAAAH79/1s=",0)</f>
        <v>0</v>
      </c>
      <c r="CO29" t="e">
        <f>AND('Planilla_General_29-11-2012_10_'!A428,"AAAAAH79/1w=")</f>
        <v>#VALUE!</v>
      </c>
      <c r="CP29" t="e">
        <f>AND('Planilla_General_29-11-2012_10_'!B428,"AAAAAH79/10=")</f>
        <v>#VALUE!</v>
      </c>
      <c r="CQ29" t="e">
        <f>AND('Planilla_General_29-11-2012_10_'!C428,"AAAAAH79/14=")</f>
        <v>#VALUE!</v>
      </c>
      <c r="CR29" t="e">
        <f>AND('Planilla_General_29-11-2012_10_'!D428,"AAAAAH79/18=")</f>
        <v>#VALUE!</v>
      </c>
      <c r="CS29" t="e">
        <f>AND('Planilla_General_29-11-2012_10_'!E428,"AAAAAH79/2A=")</f>
        <v>#VALUE!</v>
      </c>
      <c r="CT29" t="e">
        <f>AND('Planilla_General_29-11-2012_10_'!F428,"AAAAAH79/2E=")</f>
        <v>#VALUE!</v>
      </c>
      <c r="CU29" t="e">
        <f>AND('Planilla_General_29-11-2012_10_'!G428,"AAAAAH79/2I=")</f>
        <v>#VALUE!</v>
      </c>
      <c r="CV29" t="e">
        <f>AND('Planilla_General_29-11-2012_10_'!H428,"AAAAAH79/2M=")</f>
        <v>#VALUE!</v>
      </c>
      <c r="CW29" t="e">
        <f>AND('Planilla_General_29-11-2012_10_'!I428,"AAAAAH79/2Q=")</f>
        <v>#VALUE!</v>
      </c>
      <c r="CX29" t="e">
        <f>AND('Planilla_General_29-11-2012_10_'!J428,"AAAAAH79/2U=")</f>
        <v>#VALUE!</v>
      </c>
      <c r="CY29" t="e">
        <f>AND('Planilla_General_29-11-2012_10_'!K428,"AAAAAH79/2Y=")</f>
        <v>#VALUE!</v>
      </c>
      <c r="CZ29" t="e">
        <f>AND('Planilla_General_29-11-2012_10_'!L428,"AAAAAH79/2c=")</f>
        <v>#VALUE!</v>
      </c>
      <c r="DA29" t="e">
        <f>AND('Planilla_General_29-11-2012_10_'!M428,"AAAAAH79/2g=")</f>
        <v>#VALUE!</v>
      </c>
      <c r="DB29" t="e">
        <f>AND('Planilla_General_29-11-2012_10_'!N428,"AAAAAH79/2k=")</f>
        <v>#VALUE!</v>
      </c>
      <c r="DC29" t="e">
        <f>AND('Planilla_General_29-11-2012_10_'!O428,"AAAAAH79/2o=")</f>
        <v>#VALUE!</v>
      </c>
      <c r="DD29" t="e">
        <f>AND('Planilla_General_29-11-2012_10_'!P428,"AAAAAH79/2s=")</f>
        <v>#VALUE!</v>
      </c>
      <c r="DE29">
        <f>IF('Planilla_General_29-11-2012_10_'!429:429,"AAAAAH79/2w=",0)</f>
        <v>0</v>
      </c>
      <c r="DF29" t="e">
        <f>AND('Planilla_General_29-11-2012_10_'!A429,"AAAAAH79/20=")</f>
        <v>#VALUE!</v>
      </c>
      <c r="DG29" t="e">
        <f>AND('Planilla_General_29-11-2012_10_'!B429,"AAAAAH79/24=")</f>
        <v>#VALUE!</v>
      </c>
      <c r="DH29" t="e">
        <f>AND('Planilla_General_29-11-2012_10_'!C429,"AAAAAH79/28=")</f>
        <v>#VALUE!</v>
      </c>
      <c r="DI29" t="e">
        <f>AND('Planilla_General_29-11-2012_10_'!D429,"AAAAAH79/3A=")</f>
        <v>#VALUE!</v>
      </c>
      <c r="DJ29" t="e">
        <f>AND('Planilla_General_29-11-2012_10_'!E429,"AAAAAH79/3E=")</f>
        <v>#VALUE!</v>
      </c>
      <c r="DK29" t="e">
        <f>AND('Planilla_General_29-11-2012_10_'!F429,"AAAAAH79/3I=")</f>
        <v>#VALUE!</v>
      </c>
      <c r="DL29" t="e">
        <f>AND('Planilla_General_29-11-2012_10_'!G429,"AAAAAH79/3M=")</f>
        <v>#VALUE!</v>
      </c>
      <c r="DM29" t="e">
        <f>AND('Planilla_General_29-11-2012_10_'!H429,"AAAAAH79/3Q=")</f>
        <v>#VALUE!</v>
      </c>
      <c r="DN29" t="e">
        <f>AND('Planilla_General_29-11-2012_10_'!I429,"AAAAAH79/3U=")</f>
        <v>#VALUE!</v>
      </c>
      <c r="DO29" t="e">
        <f>AND('Planilla_General_29-11-2012_10_'!J429,"AAAAAH79/3Y=")</f>
        <v>#VALUE!</v>
      </c>
      <c r="DP29" t="e">
        <f>AND('Planilla_General_29-11-2012_10_'!K429,"AAAAAH79/3c=")</f>
        <v>#VALUE!</v>
      </c>
      <c r="DQ29" t="e">
        <f>AND('Planilla_General_29-11-2012_10_'!L429,"AAAAAH79/3g=")</f>
        <v>#VALUE!</v>
      </c>
      <c r="DR29" t="e">
        <f>AND('Planilla_General_29-11-2012_10_'!M429,"AAAAAH79/3k=")</f>
        <v>#VALUE!</v>
      </c>
      <c r="DS29" t="e">
        <f>AND('Planilla_General_29-11-2012_10_'!N429,"AAAAAH79/3o=")</f>
        <v>#VALUE!</v>
      </c>
      <c r="DT29" t="e">
        <f>AND('Planilla_General_29-11-2012_10_'!O429,"AAAAAH79/3s=")</f>
        <v>#VALUE!</v>
      </c>
      <c r="DU29" t="e">
        <f>AND('Planilla_General_29-11-2012_10_'!P429,"AAAAAH79/3w=")</f>
        <v>#VALUE!</v>
      </c>
      <c r="DV29">
        <f>IF('Planilla_General_29-11-2012_10_'!430:430,"AAAAAH79/30=",0)</f>
        <v>0</v>
      </c>
      <c r="DW29" t="e">
        <f>AND('Planilla_General_29-11-2012_10_'!A430,"AAAAAH79/34=")</f>
        <v>#VALUE!</v>
      </c>
      <c r="DX29" t="e">
        <f>AND('Planilla_General_29-11-2012_10_'!B430,"AAAAAH79/38=")</f>
        <v>#VALUE!</v>
      </c>
      <c r="DY29" t="e">
        <f>AND('Planilla_General_29-11-2012_10_'!C430,"AAAAAH79/4A=")</f>
        <v>#VALUE!</v>
      </c>
      <c r="DZ29" t="e">
        <f>AND('Planilla_General_29-11-2012_10_'!D430,"AAAAAH79/4E=")</f>
        <v>#VALUE!</v>
      </c>
      <c r="EA29" t="e">
        <f>AND('Planilla_General_29-11-2012_10_'!E430,"AAAAAH79/4I=")</f>
        <v>#VALUE!</v>
      </c>
      <c r="EB29" t="e">
        <f>AND('Planilla_General_29-11-2012_10_'!F430,"AAAAAH79/4M=")</f>
        <v>#VALUE!</v>
      </c>
      <c r="EC29" t="e">
        <f>AND('Planilla_General_29-11-2012_10_'!G430,"AAAAAH79/4Q=")</f>
        <v>#VALUE!</v>
      </c>
      <c r="ED29" t="e">
        <f>AND('Planilla_General_29-11-2012_10_'!H430,"AAAAAH79/4U=")</f>
        <v>#VALUE!</v>
      </c>
      <c r="EE29" t="e">
        <f>AND('Planilla_General_29-11-2012_10_'!I430,"AAAAAH79/4Y=")</f>
        <v>#VALUE!</v>
      </c>
      <c r="EF29" t="e">
        <f>AND('Planilla_General_29-11-2012_10_'!J430,"AAAAAH79/4c=")</f>
        <v>#VALUE!</v>
      </c>
      <c r="EG29" t="e">
        <f>AND('Planilla_General_29-11-2012_10_'!K430,"AAAAAH79/4g=")</f>
        <v>#VALUE!</v>
      </c>
      <c r="EH29" t="e">
        <f>AND('Planilla_General_29-11-2012_10_'!L430,"AAAAAH79/4k=")</f>
        <v>#VALUE!</v>
      </c>
      <c r="EI29" t="e">
        <f>AND('Planilla_General_29-11-2012_10_'!M430,"AAAAAH79/4o=")</f>
        <v>#VALUE!</v>
      </c>
      <c r="EJ29" t="e">
        <f>AND('Planilla_General_29-11-2012_10_'!N430,"AAAAAH79/4s=")</f>
        <v>#VALUE!</v>
      </c>
      <c r="EK29" t="e">
        <f>AND('Planilla_General_29-11-2012_10_'!O430,"AAAAAH79/4w=")</f>
        <v>#VALUE!</v>
      </c>
      <c r="EL29" t="e">
        <f>AND('Planilla_General_29-11-2012_10_'!P430,"AAAAAH79/40=")</f>
        <v>#VALUE!</v>
      </c>
      <c r="EM29">
        <f>IF('Planilla_General_29-11-2012_10_'!431:431,"AAAAAH79/44=",0)</f>
        <v>0</v>
      </c>
      <c r="EN29" t="e">
        <f>AND('Planilla_General_29-11-2012_10_'!A431,"AAAAAH79/48=")</f>
        <v>#VALUE!</v>
      </c>
      <c r="EO29" t="e">
        <f>AND('Planilla_General_29-11-2012_10_'!B431,"AAAAAH79/5A=")</f>
        <v>#VALUE!</v>
      </c>
      <c r="EP29" t="e">
        <f>AND('Planilla_General_29-11-2012_10_'!C431,"AAAAAH79/5E=")</f>
        <v>#VALUE!</v>
      </c>
      <c r="EQ29" t="e">
        <f>AND('Planilla_General_29-11-2012_10_'!D431,"AAAAAH79/5I=")</f>
        <v>#VALUE!</v>
      </c>
      <c r="ER29" t="e">
        <f>AND('Planilla_General_29-11-2012_10_'!E431,"AAAAAH79/5M=")</f>
        <v>#VALUE!</v>
      </c>
      <c r="ES29" t="e">
        <f>AND('Planilla_General_29-11-2012_10_'!F431,"AAAAAH79/5Q=")</f>
        <v>#VALUE!</v>
      </c>
      <c r="ET29" t="e">
        <f>AND('Planilla_General_29-11-2012_10_'!G431,"AAAAAH79/5U=")</f>
        <v>#VALUE!</v>
      </c>
      <c r="EU29" t="e">
        <f>AND('Planilla_General_29-11-2012_10_'!H431,"AAAAAH79/5Y=")</f>
        <v>#VALUE!</v>
      </c>
      <c r="EV29" t="e">
        <f>AND('Planilla_General_29-11-2012_10_'!I431,"AAAAAH79/5c=")</f>
        <v>#VALUE!</v>
      </c>
      <c r="EW29" t="e">
        <f>AND('Planilla_General_29-11-2012_10_'!J431,"AAAAAH79/5g=")</f>
        <v>#VALUE!</v>
      </c>
      <c r="EX29" t="e">
        <f>AND('Planilla_General_29-11-2012_10_'!K431,"AAAAAH79/5k=")</f>
        <v>#VALUE!</v>
      </c>
      <c r="EY29" t="e">
        <f>AND('Planilla_General_29-11-2012_10_'!L431,"AAAAAH79/5o=")</f>
        <v>#VALUE!</v>
      </c>
      <c r="EZ29" t="e">
        <f>AND('Planilla_General_29-11-2012_10_'!M431,"AAAAAH79/5s=")</f>
        <v>#VALUE!</v>
      </c>
      <c r="FA29" t="e">
        <f>AND('Planilla_General_29-11-2012_10_'!N431,"AAAAAH79/5w=")</f>
        <v>#VALUE!</v>
      </c>
      <c r="FB29" t="e">
        <f>AND('Planilla_General_29-11-2012_10_'!O431,"AAAAAH79/50=")</f>
        <v>#VALUE!</v>
      </c>
      <c r="FC29" t="e">
        <f>AND('Planilla_General_29-11-2012_10_'!P431,"AAAAAH79/54=")</f>
        <v>#VALUE!</v>
      </c>
      <c r="FD29">
        <f>IF('Planilla_General_29-11-2012_10_'!432:432,"AAAAAH79/58=",0)</f>
        <v>0</v>
      </c>
      <c r="FE29" t="e">
        <f>AND('Planilla_General_29-11-2012_10_'!A432,"AAAAAH79/6A=")</f>
        <v>#VALUE!</v>
      </c>
      <c r="FF29" t="e">
        <f>AND('Planilla_General_29-11-2012_10_'!B432,"AAAAAH79/6E=")</f>
        <v>#VALUE!</v>
      </c>
      <c r="FG29" t="e">
        <f>AND('Planilla_General_29-11-2012_10_'!C432,"AAAAAH79/6I=")</f>
        <v>#VALUE!</v>
      </c>
      <c r="FH29" t="e">
        <f>AND('Planilla_General_29-11-2012_10_'!D432,"AAAAAH79/6M=")</f>
        <v>#VALUE!</v>
      </c>
      <c r="FI29" t="e">
        <f>AND('Planilla_General_29-11-2012_10_'!E432,"AAAAAH79/6Q=")</f>
        <v>#VALUE!</v>
      </c>
      <c r="FJ29" t="e">
        <f>AND('Planilla_General_29-11-2012_10_'!F432,"AAAAAH79/6U=")</f>
        <v>#VALUE!</v>
      </c>
      <c r="FK29" t="e">
        <f>AND('Planilla_General_29-11-2012_10_'!G432,"AAAAAH79/6Y=")</f>
        <v>#VALUE!</v>
      </c>
      <c r="FL29" t="e">
        <f>AND('Planilla_General_29-11-2012_10_'!H432,"AAAAAH79/6c=")</f>
        <v>#VALUE!</v>
      </c>
      <c r="FM29" t="e">
        <f>AND('Planilla_General_29-11-2012_10_'!I432,"AAAAAH79/6g=")</f>
        <v>#VALUE!</v>
      </c>
      <c r="FN29" t="e">
        <f>AND('Planilla_General_29-11-2012_10_'!J432,"AAAAAH79/6k=")</f>
        <v>#VALUE!</v>
      </c>
      <c r="FO29" t="e">
        <f>AND('Planilla_General_29-11-2012_10_'!K432,"AAAAAH79/6o=")</f>
        <v>#VALUE!</v>
      </c>
      <c r="FP29" t="e">
        <f>AND('Planilla_General_29-11-2012_10_'!L432,"AAAAAH79/6s=")</f>
        <v>#VALUE!</v>
      </c>
      <c r="FQ29" t="e">
        <f>AND('Planilla_General_29-11-2012_10_'!M432,"AAAAAH79/6w=")</f>
        <v>#VALUE!</v>
      </c>
      <c r="FR29" t="e">
        <f>AND('Planilla_General_29-11-2012_10_'!N432,"AAAAAH79/60=")</f>
        <v>#VALUE!</v>
      </c>
      <c r="FS29" t="e">
        <f>AND('Planilla_General_29-11-2012_10_'!O432,"AAAAAH79/64=")</f>
        <v>#VALUE!</v>
      </c>
      <c r="FT29" t="e">
        <f>AND('Planilla_General_29-11-2012_10_'!P432,"AAAAAH79/68=")</f>
        <v>#VALUE!</v>
      </c>
      <c r="FU29">
        <f>IF('Planilla_General_29-11-2012_10_'!433:433,"AAAAAH79/7A=",0)</f>
        <v>0</v>
      </c>
      <c r="FV29" t="e">
        <f>AND('Planilla_General_29-11-2012_10_'!A433,"AAAAAH79/7E=")</f>
        <v>#VALUE!</v>
      </c>
      <c r="FW29" t="e">
        <f>AND('Planilla_General_29-11-2012_10_'!B433,"AAAAAH79/7I=")</f>
        <v>#VALUE!</v>
      </c>
      <c r="FX29" t="e">
        <f>AND('Planilla_General_29-11-2012_10_'!C433,"AAAAAH79/7M=")</f>
        <v>#VALUE!</v>
      </c>
      <c r="FY29" t="e">
        <f>AND('Planilla_General_29-11-2012_10_'!D433,"AAAAAH79/7Q=")</f>
        <v>#VALUE!</v>
      </c>
      <c r="FZ29" t="e">
        <f>AND('Planilla_General_29-11-2012_10_'!E433,"AAAAAH79/7U=")</f>
        <v>#VALUE!</v>
      </c>
      <c r="GA29" t="e">
        <f>AND('Planilla_General_29-11-2012_10_'!F433,"AAAAAH79/7Y=")</f>
        <v>#VALUE!</v>
      </c>
      <c r="GB29" t="e">
        <f>AND('Planilla_General_29-11-2012_10_'!G433,"AAAAAH79/7c=")</f>
        <v>#VALUE!</v>
      </c>
      <c r="GC29" t="e">
        <f>AND('Planilla_General_29-11-2012_10_'!H433,"AAAAAH79/7g=")</f>
        <v>#VALUE!</v>
      </c>
      <c r="GD29" t="e">
        <f>AND('Planilla_General_29-11-2012_10_'!I433,"AAAAAH79/7k=")</f>
        <v>#VALUE!</v>
      </c>
      <c r="GE29" t="e">
        <f>AND('Planilla_General_29-11-2012_10_'!J433,"AAAAAH79/7o=")</f>
        <v>#VALUE!</v>
      </c>
      <c r="GF29" t="e">
        <f>AND('Planilla_General_29-11-2012_10_'!K433,"AAAAAH79/7s=")</f>
        <v>#VALUE!</v>
      </c>
      <c r="GG29" t="e">
        <f>AND('Planilla_General_29-11-2012_10_'!L433,"AAAAAH79/7w=")</f>
        <v>#VALUE!</v>
      </c>
      <c r="GH29" t="e">
        <f>AND('Planilla_General_29-11-2012_10_'!M433,"AAAAAH79/70=")</f>
        <v>#VALUE!</v>
      </c>
      <c r="GI29" t="e">
        <f>AND('Planilla_General_29-11-2012_10_'!N433,"AAAAAH79/74=")</f>
        <v>#VALUE!</v>
      </c>
      <c r="GJ29" t="e">
        <f>AND('Planilla_General_29-11-2012_10_'!O433,"AAAAAH79/78=")</f>
        <v>#VALUE!</v>
      </c>
      <c r="GK29" t="e">
        <f>AND('Planilla_General_29-11-2012_10_'!P433,"AAAAAH79/8A=")</f>
        <v>#VALUE!</v>
      </c>
      <c r="GL29">
        <f>IF('Planilla_General_29-11-2012_10_'!434:434,"AAAAAH79/8E=",0)</f>
        <v>0</v>
      </c>
      <c r="GM29" t="e">
        <f>AND('Planilla_General_29-11-2012_10_'!A434,"AAAAAH79/8I=")</f>
        <v>#VALUE!</v>
      </c>
      <c r="GN29" t="e">
        <f>AND('Planilla_General_29-11-2012_10_'!B434,"AAAAAH79/8M=")</f>
        <v>#VALUE!</v>
      </c>
      <c r="GO29" t="e">
        <f>AND('Planilla_General_29-11-2012_10_'!C434,"AAAAAH79/8Q=")</f>
        <v>#VALUE!</v>
      </c>
      <c r="GP29" t="e">
        <f>AND('Planilla_General_29-11-2012_10_'!D434,"AAAAAH79/8U=")</f>
        <v>#VALUE!</v>
      </c>
      <c r="GQ29" t="e">
        <f>AND('Planilla_General_29-11-2012_10_'!E434,"AAAAAH79/8Y=")</f>
        <v>#VALUE!</v>
      </c>
      <c r="GR29" t="e">
        <f>AND('Planilla_General_29-11-2012_10_'!F434,"AAAAAH79/8c=")</f>
        <v>#VALUE!</v>
      </c>
      <c r="GS29" t="e">
        <f>AND('Planilla_General_29-11-2012_10_'!G434,"AAAAAH79/8g=")</f>
        <v>#VALUE!</v>
      </c>
      <c r="GT29" t="e">
        <f>AND('Planilla_General_29-11-2012_10_'!H434,"AAAAAH79/8k=")</f>
        <v>#VALUE!</v>
      </c>
      <c r="GU29" t="e">
        <f>AND('Planilla_General_29-11-2012_10_'!I434,"AAAAAH79/8o=")</f>
        <v>#VALUE!</v>
      </c>
      <c r="GV29" t="e">
        <f>AND('Planilla_General_29-11-2012_10_'!J434,"AAAAAH79/8s=")</f>
        <v>#VALUE!</v>
      </c>
      <c r="GW29" t="e">
        <f>AND('Planilla_General_29-11-2012_10_'!K434,"AAAAAH79/8w=")</f>
        <v>#VALUE!</v>
      </c>
      <c r="GX29" t="e">
        <f>AND('Planilla_General_29-11-2012_10_'!L434,"AAAAAH79/80=")</f>
        <v>#VALUE!</v>
      </c>
      <c r="GY29" t="e">
        <f>AND('Planilla_General_29-11-2012_10_'!M434,"AAAAAH79/84=")</f>
        <v>#VALUE!</v>
      </c>
      <c r="GZ29" t="e">
        <f>AND('Planilla_General_29-11-2012_10_'!N434,"AAAAAH79/88=")</f>
        <v>#VALUE!</v>
      </c>
      <c r="HA29" t="e">
        <f>AND('Planilla_General_29-11-2012_10_'!O434,"AAAAAH79/9A=")</f>
        <v>#VALUE!</v>
      </c>
      <c r="HB29" t="e">
        <f>AND('Planilla_General_29-11-2012_10_'!P434,"AAAAAH79/9E=")</f>
        <v>#VALUE!</v>
      </c>
      <c r="HC29">
        <f>IF('Planilla_General_29-11-2012_10_'!435:435,"AAAAAH79/9I=",0)</f>
        <v>0</v>
      </c>
      <c r="HD29" t="e">
        <f>AND('Planilla_General_29-11-2012_10_'!A435,"AAAAAH79/9M=")</f>
        <v>#VALUE!</v>
      </c>
      <c r="HE29" t="e">
        <f>AND('Planilla_General_29-11-2012_10_'!B435,"AAAAAH79/9Q=")</f>
        <v>#VALUE!</v>
      </c>
      <c r="HF29" t="e">
        <f>AND('Planilla_General_29-11-2012_10_'!C435,"AAAAAH79/9U=")</f>
        <v>#VALUE!</v>
      </c>
      <c r="HG29" t="e">
        <f>AND('Planilla_General_29-11-2012_10_'!D435,"AAAAAH79/9Y=")</f>
        <v>#VALUE!</v>
      </c>
      <c r="HH29" t="e">
        <f>AND('Planilla_General_29-11-2012_10_'!E435,"AAAAAH79/9c=")</f>
        <v>#VALUE!</v>
      </c>
      <c r="HI29" t="e">
        <f>AND('Planilla_General_29-11-2012_10_'!F435,"AAAAAH79/9g=")</f>
        <v>#VALUE!</v>
      </c>
      <c r="HJ29" t="e">
        <f>AND('Planilla_General_29-11-2012_10_'!G435,"AAAAAH79/9k=")</f>
        <v>#VALUE!</v>
      </c>
      <c r="HK29" t="e">
        <f>AND('Planilla_General_29-11-2012_10_'!H435,"AAAAAH79/9o=")</f>
        <v>#VALUE!</v>
      </c>
      <c r="HL29" t="e">
        <f>AND('Planilla_General_29-11-2012_10_'!I435,"AAAAAH79/9s=")</f>
        <v>#VALUE!</v>
      </c>
      <c r="HM29" t="e">
        <f>AND('Planilla_General_29-11-2012_10_'!J435,"AAAAAH79/9w=")</f>
        <v>#VALUE!</v>
      </c>
      <c r="HN29" t="e">
        <f>AND('Planilla_General_29-11-2012_10_'!K435,"AAAAAH79/90=")</f>
        <v>#VALUE!</v>
      </c>
      <c r="HO29" t="e">
        <f>AND('Planilla_General_29-11-2012_10_'!L435,"AAAAAH79/94=")</f>
        <v>#VALUE!</v>
      </c>
      <c r="HP29" t="e">
        <f>AND('Planilla_General_29-11-2012_10_'!M435,"AAAAAH79/98=")</f>
        <v>#VALUE!</v>
      </c>
      <c r="HQ29" t="e">
        <f>AND('Planilla_General_29-11-2012_10_'!N435,"AAAAAH79/+A=")</f>
        <v>#VALUE!</v>
      </c>
      <c r="HR29" t="e">
        <f>AND('Planilla_General_29-11-2012_10_'!O435,"AAAAAH79/+E=")</f>
        <v>#VALUE!</v>
      </c>
      <c r="HS29" t="e">
        <f>AND('Planilla_General_29-11-2012_10_'!P435,"AAAAAH79/+I=")</f>
        <v>#VALUE!</v>
      </c>
      <c r="HT29">
        <f>IF('Planilla_General_29-11-2012_10_'!436:436,"AAAAAH79/+M=",0)</f>
        <v>0</v>
      </c>
      <c r="HU29" t="e">
        <f>AND('Planilla_General_29-11-2012_10_'!A436,"AAAAAH79/+Q=")</f>
        <v>#VALUE!</v>
      </c>
      <c r="HV29" t="e">
        <f>AND('Planilla_General_29-11-2012_10_'!B436,"AAAAAH79/+U=")</f>
        <v>#VALUE!</v>
      </c>
      <c r="HW29" t="e">
        <f>AND('Planilla_General_29-11-2012_10_'!C436,"AAAAAH79/+Y=")</f>
        <v>#VALUE!</v>
      </c>
      <c r="HX29" t="e">
        <f>AND('Planilla_General_29-11-2012_10_'!D436,"AAAAAH79/+c=")</f>
        <v>#VALUE!</v>
      </c>
      <c r="HY29" t="e">
        <f>AND('Planilla_General_29-11-2012_10_'!E436,"AAAAAH79/+g=")</f>
        <v>#VALUE!</v>
      </c>
      <c r="HZ29" t="e">
        <f>AND('Planilla_General_29-11-2012_10_'!F436,"AAAAAH79/+k=")</f>
        <v>#VALUE!</v>
      </c>
      <c r="IA29" t="e">
        <f>AND('Planilla_General_29-11-2012_10_'!G436,"AAAAAH79/+o=")</f>
        <v>#VALUE!</v>
      </c>
      <c r="IB29" t="e">
        <f>AND('Planilla_General_29-11-2012_10_'!H436,"AAAAAH79/+s=")</f>
        <v>#VALUE!</v>
      </c>
      <c r="IC29" t="e">
        <f>AND('Planilla_General_29-11-2012_10_'!I436,"AAAAAH79/+w=")</f>
        <v>#VALUE!</v>
      </c>
      <c r="ID29" t="e">
        <f>AND('Planilla_General_29-11-2012_10_'!J436,"AAAAAH79/+0=")</f>
        <v>#VALUE!</v>
      </c>
      <c r="IE29" t="e">
        <f>AND('Planilla_General_29-11-2012_10_'!K436,"AAAAAH79/+4=")</f>
        <v>#VALUE!</v>
      </c>
      <c r="IF29" t="e">
        <f>AND('Planilla_General_29-11-2012_10_'!L436,"AAAAAH79/+8=")</f>
        <v>#VALUE!</v>
      </c>
      <c r="IG29" t="e">
        <f>AND('Planilla_General_29-11-2012_10_'!M436,"AAAAAH79//A=")</f>
        <v>#VALUE!</v>
      </c>
      <c r="IH29" t="e">
        <f>AND('Planilla_General_29-11-2012_10_'!N436,"AAAAAH79//E=")</f>
        <v>#VALUE!</v>
      </c>
      <c r="II29" t="e">
        <f>AND('Planilla_General_29-11-2012_10_'!O436,"AAAAAH79//I=")</f>
        <v>#VALUE!</v>
      </c>
      <c r="IJ29" t="e">
        <f>AND('Planilla_General_29-11-2012_10_'!P436,"AAAAAH79//M=")</f>
        <v>#VALUE!</v>
      </c>
      <c r="IK29">
        <f>IF('Planilla_General_29-11-2012_10_'!437:437,"AAAAAH79//Q=",0)</f>
        <v>0</v>
      </c>
      <c r="IL29" t="e">
        <f>AND('Planilla_General_29-11-2012_10_'!A437,"AAAAAH79//U=")</f>
        <v>#VALUE!</v>
      </c>
      <c r="IM29" t="e">
        <f>AND('Planilla_General_29-11-2012_10_'!B437,"AAAAAH79//Y=")</f>
        <v>#VALUE!</v>
      </c>
      <c r="IN29" t="e">
        <f>AND('Planilla_General_29-11-2012_10_'!C437,"AAAAAH79//c=")</f>
        <v>#VALUE!</v>
      </c>
      <c r="IO29" t="e">
        <f>AND('Planilla_General_29-11-2012_10_'!D437,"AAAAAH79//g=")</f>
        <v>#VALUE!</v>
      </c>
      <c r="IP29" t="e">
        <f>AND('Planilla_General_29-11-2012_10_'!E437,"AAAAAH79//k=")</f>
        <v>#VALUE!</v>
      </c>
      <c r="IQ29" t="e">
        <f>AND('Planilla_General_29-11-2012_10_'!F437,"AAAAAH79//o=")</f>
        <v>#VALUE!</v>
      </c>
      <c r="IR29" t="e">
        <f>AND('Planilla_General_29-11-2012_10_'!G437,"AAAAAH79//s=")</f>
        <v>#VALUE!</v>
      </c>
      <c r="IS29" t="e">
        <f>AND('Planilla_General_29-11-2012_10_'!H437,"AAAAAH79//w=")</f>
        <v>#VALUE!</v>
      </c>
      <c r="IT29" t="e">
        <f>AND('Planilla_General_29-11-2012_10_'!I437,"AAAAAH79//0=")</f>
        <v>#VALUE!</v>
      </c>
      <c r="IU29" t="e">
        <f>AND('Planilla_General_29-11-2012_10_'!J437,"AAAAAH79//4=")</f>
        <v>#VALUE!</v>
      </c>
      <c r="IV29" t="e">
        <f>AND('Planilla_General_29-11-2012_10_'!K437,"AAAAAH79//8=")</f>
        <v>#VALUE!</v>
      </c>
    </row>
    <row r="30" spans="1:256" x14ac:dyDescent="0.25">
      <c r="A30" t="e">
        <f>AND('Planilla_General_29-11-2012_10_'!L437,"AAAAAH7UvwA=")</f>
        <v>#VALUE!</v>
      </c>
      <c r="B30" t="e">
        <f>AND('Planilla_General_29-11-2012_10_'!M437,"AAAAAH7UvwE=")</f>
        <v>#VALUE!</v>
      </c>
      <c r="C30" t="e">
        <f>AND('Planilla_General_29-11-2012_10_'!N437,"AAAAAH7UvwI=")</f>
        <v>#VALUE!</v>
      </c>
      <c r="D30" t="e">
        <f>AND('Planilla_General_29-11-2012_10_'!O437,"AAAAAH7UvwM=")</f>
        <v>#VALUE!</v>
      </c>
      <c r="E30" t="e">
        <f>AND('Planilla_General_29-11-2012_10_'!P437,"AAAAAH7UvwQ=")</f>
        <v>#VALUE!</v>
      </c>
      <c r="F30" t="e">
        <f>IF('Planilla_General_29-11-2012_10_'!438:438,"AAAAAH7UvwU=",0)</f>
        <v>#VALUE!</v>
      </c>
      <c r="G30" t="e">
        <f>AND('Planilla_General_29-11-2012_10_'!A438,"AAAAAH7UvwY=")</f>
        <v>#VALUE!</v>
      </c>
      <c r="H30" t="e">
        <f>AND('Planilla_General_29-11-2012_10_'!B438,"AAAAAH7Uvwc=")</f>
        <v>#VALUE!</v>
      </c>
      <c r="I30" t="e">
        <f>AND('Planilla_General_29-11-2012_10_'!C438,"AAAAAH7Uvwg=")</f>
        <v>#VALUE!</v>
      </c>
      <c r="J30" t="e">
        <f>AND('Planilla_General_29-11-2012_10_'!D438,"AAAAAH7Uvwk=")</f>
        <v>#VALUE!</v>
      </c>
      <c r="K30" t="e">
        <f>AND('Planilla_General_29-11-2012_10_'!E438,"AAAAAH7Uvwo=")</f>
        <v>#VALUE!</v>
      </c>
      <c r="L30" t="e">
        <f>AND('Planilla_General_29-11-2012_10_'!F438,"AAAAAH7Uvws=")</f>
        <v>#VALUE!</v>
      </c>
      <c r="M30" t="e">
        <f>AND('Planilla_General_29-11-2012_10_'!G438,"AAAAAH7Uvww=")</f>
        <v>#VALUE!</v>
      </c>
      <c r="N30" t="e">
        <f>AND('Planilla_General_29-11-2012_10_'!H438,"AAAAAH7Uvw0=")</f>
        <v>#VALUE!</v>
      </c>
      <c r="O30" t="e">
        <f>AND('Planilla_General_29-11-2012_10_'!I438,"AAAAAH7Uvw4=")</f>
        <v>#VALUE!</v>
      </c>
      <c r="P30" t="e">
        <f>AND('Planilla_General_29-11-2012_10_'!J438,"AAAAAH7Uvw8=")</f>
        <v>#VALUE!</v>
      </c>
      <c r="Q30" t="e">
        <f>AND('Planilla_General_29-11-2012_10_'!K438,"AAAAAH7UvxA=")</f>
        <v>#VALUE!</v>
      </c>
      <c r="R30" t="e">
        <f>AND('Planilla_General_29-11-2012_10_'!L438,"AAAAAH7UvxE=")</f>
        <v>#VALUE!</v>
      </c>
      <c r="S30" t="e">
        <f>AND('Planilla_General_29-11-2012_10_'!M438,"AAAAAH7UvxI=")</f>
        <v>#VALUE!</v>
      </c>
      <c r="T30" t="e">
        <f>AND('Planilla_General_29-11-2012_10_'!N438,"AAAAAH7UvxM=")</f>
        <v>#VALUE!</v>
      </c>
      <c r="U30" t="e">
        <f>AND('Planilla_General_29-11-2012_10_'!O438,"AAAAAH7UvxQ=")</f>
        <v>#VALUE!</v>
      </c>
      <c r="V30" t="e">
        <f>AND('Planilla_General_29-11-2012_10_'!P438,"AAAAAH7UvxU=")</f>
        <v>#VALUE!</v>
      </c>
      <c r="W30">
        <f>IF('Planilla_General_29-11-2012_10_'!439:439,"AAAAAH7UvxY=",0)</f>
        <v>0</v>
      </c>
      <c r="X30" t="e">
        <f>AND('Planilla_General_29-11-2012_10_'!A439,"AAAAAH7Uvxc=")</f>
        <v>#VALUE!</v>
      </c>
      <c r="Y30" t="e">
        <f>AND('Planilla_General_29-11-2012_10_'!B439,"AAAAAH7Uvxg=")</f>
        <v>#VALUE!</v>
      </c>
      <c r="Z30" t="e">
        <f>AND('Planilla_General_29-11-2012_10_'!C439,"AAAAAH7Uvxk=")</f>
        <v>#VALUE!</v>
      </c>
      <c r="AA30" t="e">
        <f>AND('Planilla_General_29-11-2012_10_'!D439,"AAAAAH7Uvxo=")</f>
        <v>#VALUE!</v>
      </c>
      <c r="AB30" t="e">
        <f>AND('Planilla_General_29-11-2012_10_'!E439,"AAAAAH7Uvxs=")</f>
        <v>#VALUE!</v>
      </c>
      <c r="AC30" t="e">
        <f>AND('Planilla_General_29-11-2012_10_'!F439,"AAAAAH7Uvxw=")</f>
        <v>#VALUE!</v>
      </c>
      <c r="AD30" t="e">
        <f>AND('Planilla_General_29-11-2012_10_'!G439,"AAAAAH7Uvx0=")</f>
        <v>#VALUE!</v>
      </c>
      <c r="AE30" t="e">
        <f>AND('Planilla_General_29-11-2012_10_'!H439,"AAAAAH7Uvx4=")</f>
        <v>#VALUE!</v>
      </c>
      <c r="AF30" t="e">
        <f>AND('Planilla_General_29-11-2012_10_'!I439,"AAAAAH7Uvx8=")</f>
        <v>#VALUE!</v>
      </c>
      <c r="AG30" t="e">
        <f>AND('Planilla_General_29-11-2012_10_'!J439,"AAAAAH7UvyA=")</f>
        <v>#VALUE!</v>
      </c>
      <c r="AH30" t="e">
        <f>AND('Planilla_General_29-11-2012_10_'!K439,"AAAAAH7UvyE=")</f>
        <v>#VALUE!</v>
      </c>
      <c r="AI30" t="e">
        <f>AND('Planilla_General_29-11-2012_10_'!L439,"AAAAAH7UvyI=")</f>
        <v>#VALUE!</v>
      </c>
      <c r="AJ30" t="e">
        <f>AND('Planilla_General_29-11-2012_10_'!M439,"AAAAAH7UvyM=")</f>
        <v>#VALUE!</v>
      </c>
      <c r="AK30" t="e">
        <f>AND('Planilla_General_29-11-2012_10_'!N439,"AAAAAH7UvyQ=")</f>
        <v>#VALUE!</v>
      </c>
      <c r="AL30" t="e">
        <f>AND('Planilla_General_29-11-2012_10_'!O439,"AAAAAH7UvyU=")</f>
        <v>#VALUE!</v>
      </c>
      <c r="AM30" t="e">
        <f>AND('Planilla_General_29-11-2012_10_'!P439,"AAAAAH7UvyY=")</f>
        <v>#VALUE!</v>
      </c>
      <c r="AN30">
        <f>IF('Planilla_General_29-11-2012_10_'!440:440,"AAAAAH7Uvyc=",0)</f>
        <v>0</v>
      </c>
      <c r="AO30" t="e">
        <f>AND('Planilla_General_29-11-2012_10_'!A440,"AAAAAH7Uvyg=")</f>
        <v>#VALUE!</v>
      </c>
      <c r="AP30" t="e">
        <f>AND('Planilla_General_29-11-2012_10_'!B440,"AAAAAH7Uvyk=")</f>
        <v>#VALUE!</v>
      </c>
      <c r="AQ30" t="e">
        <f>AND('Planilla_General_29-11-2012_10_'!C440,"AAAAAH7Uvyo=")</f>
        <v>#VALUE!</v>
      </c>
      <c r="AR30" t="e">
        <f>AND('Planilla_General_29-11-2012_10_'!D440,"AAAAAH7Uvys=")</f>
        <v>#VALUE!</v>
      </c>
      <c r="AS30" t="e">
        <f>AND('Planilla_General_29-11-2012_10_'!E440,"AAAAAH7Uvyw=")</f>
        <v>#VALUE!</v>
      </c>
      <c r="AT30" t="e">
        <f>AND('Planilla_General_29-11-2012_10_'!F440,"AAAAAH7Uvy0=")</f>
        <v>#VALUE!</v>
      </c>
      <c r="AU30" t="e">
        <f>AND('Planilla_General_29-11-2012_10_'!G440,"AAAAAH7Uvy4=")</f>
        <v>#VALUE!</v>
      </c>
      <c r="AV30" t="e">
        <f>AND('Planilla_General_29-11-2012_10_'!H440,"AAAAAH7Uvy8=")</f>
        <v>#VALUE!</v>
      </c>
      <c r="AW30" t="e">
        <f>AND('Planilla_General_29-11-2012_10_'!I440,"AAAAAH7UvzA=")</f>
        <v>#VALUE!</v>
      </c>
      <c r="AX30" t="e">
        <f>AND('Planilla_General_29-11-2012_10_'!J440,"AAAAAH7UvzE=")</f>
        <v>#VALUE!</v>
      </c>
      <c r="AY30" t="e">
        <f>AND('Planilla_General_29-11-2012_10_'!K440,"AAAAAH7UvzI=")</f>
        <v>#VALUE!</v>
      </c>
      <c r="AZ30" t="e">
        <f>AND('Planilla_General_29-11-2012_10_'!L440,"AAAAAH7UvzM=")</f>
        <v>#VALUE!</v>
      </c>
      <c r="BA30" t="e">
        <f>AND('Planilla_General_29-11-2012_10_'!M440,"AAAAAH7UvzQ=")</f>
        <v>#VALUE!</v>
      </c>
      <c r="BB30" t="e">
        <f>AND('Planilla_General_29-11-2012_10_'!N440,"AAAAAH7UvzU=")</f>
        <v>#VALUE!</v>
      </c>
      <c r="BC30" t="e">
        <f>AND('Planilla_General_29-11-2012_10_'!O440,"AAAAAH7UvzY=")</f>
        <v>#VALUE!</v>
      </c>
      <c r="BD30" t="e">
        <f>AND('Planilla_General_29-11-2012_10_'!P440,"AAAAAH7Uvzc=")</f>
        <v>#VALUE!</v>
      </c>
      <c r="BE30">
        <f>IF('Planilla_General_29-11-2012_10_'!441:441,"AAAAAH7Uvzg=",0)</f>
        <v>0</v>
      </c>
      <c r="BF30" t="e">
        <f>AND('Planilla_General_29-11-2012_10_'!A441,"AAAAAH7Uvzk=")</f>
        <v>#VALUE!</v>
      </c>
      <c r="BG30" t="e">
        <f>AND('Planilla_General_29-11-2012_10_'!B441,"AAAAAH7Uvzo=")</f>
        <v>#VALUE!</v>
      </c>
      <c r="BH30" t="e">
        <f>AND('Planilla_General_29-11-2012_10_'!C441,"AAAAAH7Uvzs=")</f>
        <v>#VALUE!</v>
      </c>
      <c r="BI30" t="e">
        <f>AND('Planilla_General_29-11-2012_10_'!D441,"AAAAAH7Uvzw=")</f>
        <v>#VALUE!</v>
      </c>
      <c r="BJ30" t="e">
        <f>AND('Planilla_General_29-11-2012_10_'!E441,"AAAAAH7Uvz0=")</f>
        <v>#VALUE!</v>
      </c>
      <c r="BK30" t="e">
        <f>AND('Planilla_General_29-11-2012_10_'!F441,"AAAAAH7Uvz4=")</f>
        <v>#VALUE!</v>
      </c>
      <c r="BL30" t="e">
        <f>AND('Planilla_General_29-11-2012_10_'!G441,"AAAAAH7Uvz8=")</f>
        <v>#VALUE!</v>
      </c>
      <c r="BM30" t="e">
        <f>AND('Planilla_General_29-11-2012_10_'!H441,"AAAAAH7Uv0A=")</f>
        <v>#VALUE!</v>
      </c>
      <c r="BN30" t="e">
        <f>AND('Planilla_General_29-11-2012_10_'!I441,"AAAAAH7Uv0E=")</f>
        <v>#VALUE!</v>
      </c>
      <c r="BO30" t="e">
        <f>AND('Planilla_General_29-11-2012_10_'!J441,"AAAAAH7Uv0I=")</f>
        <v>#VALUE!</v>
      </c>
      <c r="BP30" t="e">
        <f>AND('Planilla_General_29-11-2012_10_'!K441,"AAAAAH7Uv0M=")</f>
        <v>#VALUE!</v>
      </c>
      <c r="BQ30" t="e">
        <f>AND('Planilla_General_29-11-2012_10_'!L441,"AAAAAH7Uv0Q=")</f>
        <v>#VALUE!</v>
      </c>
      <c r="BR30" t="e">
        <f>AND('Planilla_General_29-11-2012_10_'!M441,"AAAAAH7Uv0U=")</f>
        <v>#VALUE!</v>
      </c>
      <c r="BS30" t="e">
        <f>AND('Planilla_General_29-11-2012_10_'!N441,"AAAAAH7Uv0Y=")</f>
        <v>#VALUE!</v>
      </c>
      <c r="BT30" t="e">
        <f>AND('Planilla_General_29-11-2012_10_'!O441,"AAAAAH7Uv0c=")</f>
        <v>#VALUE!</v>
      </c>
      <c r="BU30" t="e">
        <f>AND('Planilla_General_29-11-2012_10_'!P441,"AAAAAH7Uv0g=")</f>
        <v>#VALUE!</v>
      </c>
      <c r="BV30">
        <f>IF('Planilla_General_29-11-2012_10_'!442:442,"AAAAAH7Uv0k=",0)</f>
        <v>0</v>
      </c>
      <c r="BW30" t="e">
        <f>AND('Planilla_General_29-11-2012_10_'!A442,"AAAAAH7Uv0o=")</f>
        <v>#VALUE!</v>
      </c>
      <c r="BX30" t="e">
        <f>AND('Planilla_General_29-11-2012_10_'!B442,"AAAAAH7Uv0s=")</f>
        <v>#VALUE!</v>
      </c>
      <c r="BY30" t="e">
        <f>AND('Planilla_General_29-11-2012_10_'!C442,"AAAAAH7Uv0w=")</f>
        <v>#VALUE!</v>
      </c>
      <c r="BZ30" t="e">
        <f>AND('Planilla_General_29-11-2012_10_'!D442,"AAAAAH7Uv00=")</f>
        <v>#VALUE!</v>
      </c>
      <c r="CA30" t="e">
        <f>AND('Planilla_General_29-11-2012_10_'!E442,"AAAAAH7Uv04=")</f>
        <v>#VALUE!</v>
      </c>
      <c r="CB30" t="e">
        <f>AND('Planilla_General_29-11-2012_10_'!F442,"AAAAAH7Uv08=")</f>
        <v>#VALUE!</v>
      </c>
      <c r="CC30" t="e">
        <f>AND('Planilla_General_29-11-2012_10_'!G442,"AAAAAH7Uv1A=")</f>
        <v>#VALUE!</v>
      </c>
      <c r="CD30" t="e">
        <f>AND('Planilla_General_29-11-2012_10_'!H442,"AAAAAH7Uv1E=")</f>
        <v>#VALUE!</v>
      </c>
      <c r="CE30" t="e">
        <f>AND('Planilla_General_29-11-2012_10_'!I442,"AAAAAH7Uv1I=")</f>
        <v>#VALUE!</v>
      </c>
      <c r="CF30" t="e">
        <f>AND('Planilla_General_29-11-2012_10_'!J442,"AAAAAH7Uv1M=")</f>
        <v>#VALUE!</v>
      </c>
      <c r="CG30" t="e">
        <f>AND('Planilla_General_29-11-2012_10_'!K442,"AAAAAH7Uv1Q=")</f>
        <v>#VALUE!</v>
      </c>
      <c r="CH30" t="e">
        <f>AND('Planilla_General_29-11-2012_10_'!L442,"AAAAAH7Uv1U=")</f>
        <v>#VALUE!</v>
      </c>
      <c r="CI30" t="e">
        <f>AND('Planilla_General_29-11-2012_10_'!M442,"AAAAAH7Uv1Y=")</f>
        <v>#VALUE!</v>
      </c>
      <c r="CJ30" t="e">
        <f>AND('Planilla_General_29-11-2012_10_'!N442,"AAAAAH7Uv1c=")</f>
        <v>#VALUE!</v>
      </c>
      <c r="CK30" t="e">
        <f>AND('Planilla_General_29-11-2012_10_'!O442,"AAAAAH7Uv1g=")</f>
        <v>#VALUE!</v>
      </c>
      <c r="CL30" t="e">
        <f>AND('Planilla_General_29-11-2012_10_'!P442,"AAAAAH7Uv1k=")</f>
        <v>#VALUE!</v>
      </c>
      <c r="CM30">
        <f>IF('Planilla_General_29-11-2012_10_'!443:443,"AAAAAH7Uv1o=",0)</f>
        <v>0</v>
      </c>
      <c r="CN30" t="e">
        <f>AND('Planilla_General_29-11-2012_10_'!A443,"AAAAAH7Uv1s=")</f>
        <v>#VALUE!</v>
      </c>
      <c r="CO30" t="e">
        <f>AND('Planilla_General_29-11-2012_10_'!B443,"AAAAAH7Uv1w=")</f>
        <v>#VALUE!</v>
      </c>
      <c r="CP30" t="e">
        <f>AND('Planilla_General_29-11-2012_10_'!C443,"AAAAAH7Uv10=")</f>
        <v>#VALUE!</v>
      </c>
      <c r="CQ30" t="e">
        <f>AND('Planilla_General_29-11-2012_10_'!D443,"AAAAAH7Uv14=")</f>
        <v>#VALUE!</v>
      </c>
      <c r="CR30" t="e">
        <f>AND('Planilla_General_29-11-2012_10_'!E443,"AAAAAH7Uv18=")</f>
        <v>#VALUE!</v>
      </c>
      <c r="CS30" t="e">
        <f>AND('Planilla_General_29-11-2012_10_'!F443,"AAAAAH7Uv2A=")</f>
        <v>#VALUE!</v>
      </c>
      <c r="CT30" t="e">
        <f>AND('Planilla_General_29-11-2012_10_'!G443,"AAAAAH7Uv2E=")</f>
        <v>#VALUE!</v>
      </c>
      <c r="CU30" t="e">
        <f>AND('Planilla_General_29-11-2012_10_'!H443,"AAAAAH7Uv2I=")</f>
        <v>#VALUE!</v>
      </c>
      <c r="CV30" t="e">
        <f>AND('Planilla_General_29-11-2012_10_'!I443,"AAAAAH7Uv2M=")</f>
        <v>#VALUE!</v>
      </c>
      <c r="CW30" t="e">
        <f>AND('Planilla_General_29-11-2012_10_'!J443,"AAAAAH7Uv2Q=")</f>
        <v>#VALUE!</v>
      </c>
      <c r="CX30" t="e">
        <f>AND('Planilla_General_29-11-2012_10_'!K443,"AAAAAH7Uv2U=")</f>
        <v>#VALUE!</v>
      </c>
      <c r="CY30" t="e">
        <f>AND('Planilla_General_29-11-2012_10_'!L443,"AAAAAH7Uv2Y=")</f>
        <v>#VALUE!</v>
      </c>
      <c r="CZ30" t="e">
        <f>AND('Planilla_General_29-11-2012_10_'!M443,"AAAAAH7Uv2c=")</f>
        <v>#VALUE!</v>
      </c>
      <c r="DA30" t="e">
        <f>AND('Planilla_General_29-11-2012_10_'!N443,"AAAAAH7Uv2g=")</f>
        <v>#VALUE!</v>
      </c>
      <c r="DB30" t="e">
        <f>AND('Planilla_General_29-11-2012_10_'!O443,"AAAAAH7Uv2k=")</f>
        <v>#VALUE!</v>
      </c>
      <c r="DC30" t="e">
        <f>AND('Planilla_General_29-11-2012_10_'!P443,"AAAAAH7Uv2o=")</f>
        <v>#VALUE!</v>
      </c>
      <c r="DD30">
        <f>IF('Planilla_General_29-11-2012_10_'!444:444,"AAAAAH7Uv2s=",0)</f>
        <v>0</v>
      </c>
      <c r="DE30" t="e">
        <f>AND('Planilla_General_29-11-2012_10_'!A444,"AAAAAH7Uv2w=")</f>
        <v>#VALUE!</v>
      </c>
      <c r="DF30" t="e">
        <f>AND('Planilla_General_29-11-2012_10_'!B444,"AAAAAH7Uv20=")</f>
        <v>#VALUE!</v>
      </c>
      <c r="DG30" t="e">
        <f>AND('Planilla_General_29-11-2012_10_'!C444,"AAAAAH7Uv24=")</f>
        <v>#VALUE!</v>
      </c>
      <c r="DH30" t="e">
        <f>AND('Planilla_General_29-11-2012_10_'!D444,"AAAAAH7Uv28=")</f>
        <v>#VALUE!</v>
      </c>
      <c r="DI30" t="e">
        <f>AND('Planilla_General_29-11-2012_10_'!E444,"AAAAAH7Uv3A=")</f>
        <v>#VALUE!</v>
      </c>
      <c r="DJ30" t="e">
        <f>AND('Planilla_General_29-11-2012_10_'!F444,"AAAAAH7Uv3E=")</f>
        <v>#VALUE!</v>
      </c>
      <c r="DK30" t="e">
        <f>AND('Planilla_General_29-11-2012_10_'!G444,"AAAAAH7Uv3I=")</f>
        <v>#VALUE!</v>
      </c>
      <c r="DL30" t="e">
        <f>AND('Planilla_General_29-11-2012_10_'!H444,"AAAAAH7Uv3M=")</f>
        <v>#VALUE!</v>
      </c>
      <c r="DM30" t="e">
        <f>AND('Planilla_General_29-11-2012_10_'!I444,"AAAAAH7Uv3Q=")</f>
        <v>#VALUE!</v>
      </c>
      <c r="DN30" t="e">
        <f>AND('Planilla_General_29-11-2012_10_'!J444,"AAAAAH7Uv3U=")</f>
        <v>#VALUE!</v>
      </c>
      <c r="DO30" t="e">
        <f>AND('Planilla_General_29-11-2012_10_'!K444,"AAAAAH7Uv3Y=")</f>
        <v>#VALUE!</v>
      </c>
      <c r="DP30" t="e">
        <f>AND('Planilla_General_29-11-2012_10_'!L444,"AAAAAH7Uv3c=")</f>
        <v>#VALUE!</v>
      </c>
      <c r="DQ30" t="e">
        <f>AND('Planilla_General_29-11-2012_10_'!M444,"AAAAAH7Uv3g=")</f>
        <v>#VALUE!</v>
      </c>
      <c r="DR30" t="e">
        <f>AND('Planilla_General_29-11-2012_10_'!N444,"AAAAAH7Uv3k=")</f>
        <v>#VALUE!</v>
      </c>
      <c r="DS30" t="e">
        <f>AND('Planilla_General_29-11-2012_10_'!O444,"AAAAAH7Uv3o=")</f>
        <v>#VALUE!</v>
      </c>
      <c r="DT30" t="e">
        <f>AND('Planilla_General_29-11-2012_10_'!P444,"AAAAAH7Uv3s=")</f>
        <v>#VALUE!</v>
      </c>
      <c r="DU30">
        <f>IF('Planilla_General_29-11-2012_10_'!445:445,"AAAAAH7Uv3w=",0)</f>
        <v>0</v>
      </c>
      <c r="DV30" t="e">
        <f>AND('Planilla_General_29-11-2012_10_'!A445,"AAAAAH7Uv30=")</f>
        <v>#VALUE!</v>
      </c>
      <c r="DW30" t="e">
        <f>AND('Planilla_General_29-11-2012_10_'!B445,"AAAAAH7Uv34=")</f>
        <v>#VALUE!</v>
      </c>
      <c r="DX30" t="e">
        <f>AND('Planilla_General_29-11-2012_10_'!C445,"AAAAAH7Uv38=")</f>
        <v>#VALUE!</v>
      </c>
      <c r="DY30" t="e">
        <f>AND('Planilla_General_29-11-2012_10_'!D445,"AAAAAH7Uv4A=")</f>
        <v>#VALUE!</v>
      </c>
      <c r="DZ30" t="e">
        <f>AND('Planilla_General_29-11-2012_10_'!E445,"AAAAAH7Uv4E=")</f>
        <v>#VALUE!</v>
      </c>
      <c r="EA30" t="e">
        <f>AND('Planilla_General_29-11-2012_10_'!F445,"AAAAAH7Uv4I=")</f>
        <v>#VALUE!</v>
      </c>
      <c r="EB30" t="e">
        <f>AND('Planilla_General_29-11-2012_10_'!G445,"AAAAAH7Uv4M=")</f>
        <v>#VALUE!</v>
      </c>
      <c r="EC30" t="e">
        <f>AND('Planilla_General_29-11-2012_10_'!H445,"AAAAAH7Uv4Q=")</f>
        <v>#VALUE!</v>
      </c>
      <c r="ED30" t="e">
        <f>AND('Planilla_General_29-11-2012_10_'!I445,"AAAAAH7Uv4U=")</f>
        <v>#VALUE!</v>
      </c>
      <c r="EE30" t="e">
        <f>AND('Planilla_General_29-11-2012_10_'!J445,"AAAAAH7Uv4Y=")</f>
        <v>#VALUE!</v>
      </c>
      <c r="EF30" t="e">
        <f>AND('Planilla_General_29-11-2012_10_'!K445,"AAAAAH7Uv4c=")</f>
        <v>#VALUE!</v>
      </c>
      <c r="EG30" t="e">
        <f>AND('Planilla_General_29-11-2012_10_'!L445,"AAAAAH7Uv4g=")</f>
        <v>#VALUE!</v>
      </c>
      <c r="EH30" t="e">
        <f>AND('Planilla_General_29-11-2012_10_'!M445,"AAAAAH7Uv4k=")</f>
        <v>#VALUE!</v>
      </c>
      <c r="EI30" t="e">
        <f>AND('Planilla_General_29-11-2012_10_'!N445,"AAAAAH7Uv4o=")</f>
        <v>#VALUE!</v>
      </c>
      <c r="EJ30" t="e">
        <f>AND('Planilla_General_29-11-2012_10_'!O445,"AAAAAH7Uv4s=")</f>
        <v>#VALUE!</v>
      </c>
      <c r="EK30" t="e">
        <f>AND('Planilla_General_29-11-2012_10_'!P445,"AAAAAH7Uv4w=")</f>
        <v>#VALUE!</v>
      </c>
      <c r="EL30">
        <f>IF('Planilla_General_29-11-2012_10_'!446:446,"AAAAAH7Uv40=",0)</f>
        <v>0</v>
      </c>
      <c r="EM30" t="e">
        <f>AND('Planilla_General_29-11-2012_10_'!A446,"AAAAAH7Uv44=")</f>
        <v>#VALUE!</v>
      </c>
      <c r="EN30" t="e">
        <f>AND('Planilla_General_29-11-2012_10_'!B446,"AAAAAH7Uv48=")</f>
        <v>#VALUE!</v>
      </c>
      <c r="EO30" t="e">
        <f>AND('Planilla_General_29-11-2012_10_'!C446,"AAAAAH7Uv5A=")</f>
        <v>#VALUE!</v>
      </c>
      <c r="EP30" t="e">
        <f>AND('Planilla_General_29-11-2012_10_'!D446,"AAAAAH7Uv5E=")</f>
        <v>#VALUE!</v>
      </c>
      <c r="EQ30" t="e">
        <f>AND('Planilla_General_29-11-2012_10_'!E446,"AAAAAH7Uv5I=")</f>
        <v>#VALUE!</v>
      </c>
      <c r="ER30" t="e">
        <f>AND('Planilla_General_29-11-2012_10_'!F446,"AAAAAH7Uv5M=")</f>
        <v>#VALUE!</v>
      </c>
      <c r="ES30" t="e">
        <f>AND('Planilla_General_29-11-2012_10_'!G446,"AAAAAH7Uv5Q=")</f>
        <v>#VALUE!</v>
      </c>
      <c r="ET30" t="e">
        <f>AND('Planilla_General_29-11-2012_10_'!H446,"AAAAAH7Uv5U=")</f>
        <v>#VALUE!</v>
      </c>
      <c r="EU30" t="e">
        <f>AND('Planilla_General_29-11-2012_10_'!I446,"AAAAAH7Uv5Y=")</f>
        <v>#VALUE!</v>
      </c>
      <c r="EV30" t="e">
        <f>AND('Planilla_General_29-11-2012_10_'!J446,"AAAAAH7Uv5c=")</f>
        <v>#VALUE!</v>
      </c>
      <c r="EW30" t="e">
        <f>AND('Planilla_General_29-11-2012_10_'!K446,"AAAAAH7Uv5g=")</f>
        <v>#VALUE!</v>
      </c>
      <c r="EX30" t="e">
        <f>AND('Planilla_General_29-11-2012_10_'!L446,"AAAAAH7Uv5k=")</f>
        <v>#VALUE!</v>
      </c>
      <c r="EY30" t="e">
        <f>AND('Planilla_General_29-11-2012_10_'!M446,"AAAAAH7Uv5o=")</f>
        <v>#VALUE!</v>
      </c>
      <c r="EZ30" t="e">
        <f>AND('Planilla_General_29-11-2012_10_'!N446,"AAAAAH7Uv5s=")</f>
        <v>#VALUE!</v>
      </c>
      <c r="FA30" t="e">
        <f>AND('Planilla_General_29-11-2012_10_'!O446,"AAAAAH7Uv5w=")</f>
        <v>#VALUE!</v>
      </c>
      <c r="FB30" t="e">
        <f>AND('Planilla_General_29-11-2012_10_'!P446,"AAAAAH7Uv50=")</f>
        <v>#VALUE!</v>
      </c>
      <c r="FC30">
        <f>IF('Planilla_General_29-11-2012_10_'!447:447,"AAAAAH7Uv54=",0)</f>
        <v>0</v>
      </c>
      <c r="FD30" t="e">
        <f>AND('Planilla_General_29-11-2012_10_'!A447,"AAAAAH7Uv58=")</f>
        <v>#VALUE!</v>
      </c>
      <c r="FE30" t="e">
        <f>AND('Planilla_General_29-11-2012_10_'!B447,"AAAAAH7Uv6A=")</f>
        <v>#VALUE!</v>
      </c>
      <c r="FF30" t="e">
        <f>AND('Planilla_General_29-11-2012_10_'!C447,"AAAAAH7Uv6E=")</f>
        <v>#VALUE!</v>
      </c>
      <c r="FG30" t="e">
        <f>AND('Planilla_General_29-11-2012_10_'!D447,"AAAAAH7Uv6I=")</f>
        <v>#VALUE!</v>
      </c>
      <c r="FH30" t="e">
        <f>AND('Planilla_General_29-11-2012_10_'!E447,"AAAAAH7Uv6M=")</f>
        <v>#VALUE!</v>
      </c>
      <c r="FI30" t="e">
        <f>AND('Planilla_General_29-11-2012_10_'!F447,"AAAAAH7Uv6Q=")</f>
        <v>#VALUE!</v>
      </c>
      <c r="FJ30" t="e">
        <f>AND('Planilla_General_29-11-2012_10_'!G447,"AAAAAH7Uv6U=")</f>
        <v>#VALUE!</v>
      </c>
      <c r="FK30" t="e">
        <f>AND('Planilla_General_29-11-2012_10_'!H447,"AAAAAH7Uv6Y=")</f>
        <v>#VALUE!</v>
      </c>
      <c r="FL30" t="e">
        <f>AND('Planilla_General_29-11-2012_10_'!I447,"AAAAAH7Uv6c=")</f>
        <v>#VALUE!</v>
      </c>
      <c r="FM30" t="e">
        <f>AND('Planilla_General_29-11-2012_10_'!J447,"AAAAAH7Uv6g=")</f>
        <v>#VALUE!</v>
      </c>
      <c r="FN30" t="e">
        <f>AND('Planilla_General_29-11-2012_10_'!K447,"AAAAAH7Uv6k=")</f>
        <v>#VALUE!</v>
      </c>
      <c r="FO30" t="e">
        <f>AND('Planilla_General_29-11-2012_10_'!L447,"AAAAAH7Uv6o=")</f>
        <v>#VALUE!</v>
      </c>
      <c r="FP30" t="e">
        <f>AND('Planilla_General_29-11-2012_10_'!M447,"AAAAAH7Uv6s=")</f>
        <v>#VALUE!</v>
      </c>
      <c r="FQ30" t="e">
        <f>AND('Planilla_General_29-11-2012_10_'!N447,"AAAAAH7Uv6w=")</f>
        <v>#VALUE!</v>
      </c>
      <c r="FR30" t="e">
        <f>AND('Planilla_General_29-11-2012_10_'!O447,"AAAAAH7Uv60=")</f>
        <v>#VALUE!</v>
      </c>
      <c r="FS30" t="e">
        <f>AND('Planilla_General_29-11-2012_10_'!P447,"AAAAAH7Uv64=")</f>
        <v>#VALUE!</v>
      </c>
      <c r="FT30">
        <f>IF('Planilla_General_29-11-2012_10_'!448:448,"AAAAAH7Uv68=",0)</f>
        <v>0</v>
      </c>
      <c r="FU30" t="e">
        <f>AND('Planilla_General_29-11-2012_10_'!A448,"AAAAAH7Uv7A=")</f>
        <v>#VALUE!</v>
      </c>
      <c r="FV30" t="e">
        <f>AND('Planilla_General_29-11-2012_10_'!B448,"AAAAAH7Uv7E=")</f>
        <v>#VALUE!</v>
      </c>
      <c r="FW30" t="e">
        <f>AND('Planilla_General_29-11-2012_10_'!C448,"AAAAAH7Uv7I=")</f>
        <v>#VALUE!</v>
      </c>
      <c r="FX30" t="e">
        <f>AND('Planilla_General_29-11-2012_10_'!D448,"AAAAAH7Uv7M=")</f>
        <v>#VALUE!</v>
      </c>
      <c r="FY30" t="e">
        <f>AND('Planilla_General_29-11-2012_10_'!E448,"AAAAAH7Uv7Q=")</f>
        <v>#VALUE!</v>
      </c>
      <c r="FZ30" t="e">
        <f>AND('Planilla_General_29-11-2012_10_'!F448,"AAAAAH7Uv7U=")</f>
        <v>#VALUE!</v>
      </c>
      <c r="GA30" t="e">
        <f>AND('Planilla_General_29-11-2012_10_'!G448,"AAAAAH7Uv7Y=")</f>
        <v>#VALUE!</v>
      </c>
      <c r="GB30" t="e">
        <f>AND('Planilla_General_29-11-2012_10_'!H448,"AAAAAH7Uv7c=")</f>
        <v>#VALUE!</v>
      </c>
      <c r="GC30" t="e">
        <f>AND('Planilla_General_29-11-2012_10_'!I448,"AAAAAH7Uv7g=")</f>
        <v>#VALUE!</v>
      </c>
      <c r="GD30" t="e">
        <f>AND('Planilla_General_29-11-2012_10_'!J448,"AAAAAH7Uv7k=")</f>
        <v>#VALUE!</v>
      </c>
      <c r="GE30" t="e">
        <f>AND('Planilla_General_29-11-2012_10_'!K448,"AAAAAH7Uv7o=")</f>
        <v>#VALUE!</v>
      </c>
      <c r="GF30" t="e">
        <f>AND('Planilla_General_29-11-2012_10_'!L448,"AAAAAH7Uv7s=")</f>
        <v>#VALUE!</v>
      </c>
      <c r="GG30" t="e">
        <f>AND('Planilla_General_29-11-2012_10_'!M448,"AAAAAH7Uv7w=")</f>
        <v>#VALUE!</v>
      </c>
      <c r="GH30" t="e">
        <f>AND('Planilla_General_29-11-2012_10_'!N448,"AAAAAH7Uv70=")</f>
        <v>#VALUE!</v>
      </c>
      <c r="GI30" t="e">
        <f>AND('Planilla_General_29-11-2012_10_'!O448,"AAAAAH7Uv74=")</f>
        <v>#VALUE!</v>
      </c>
      <c r="GJ30" t="e">
        <f>AND('Planilla_General_29-11-2012_10_'!P448,"AAAAAH7Uv78=")</f>
        <v>#VALUE!</v>
      </c>
      <c r="GK30">
        <f>IF('Planilla_General_29-11-2012_10_'!449:449,"AAAAAH7Uv8A=",0)</f>
        <v>0</v>
      </c>
      <c r="GL30" t="e">
        <f>AND('Planilla_General_29-11-2012_10_'!A449,"AAAAAH7Uv8E=")</f>
        <v>#VALUE!</v>
      </c>
      <c r="GM30" t="e">
        <f>AND('Planilla_General_29-11-2012_10_'!B449,"AAAAAH7Uv8I=")</f>
        <v>#VALUE!</v>
      </c>
      <c r="GN30" t="e">
        <f>AND('Planilla_General_29-11-2012_10_'!C449,"AAAAAH7Uv8M=")</f>
        <v>#VALUE!</v>
      </c>
      <c r="GO30" t="e">
        <f>AND('Planilla_General_29-11-2012_10_'!D449,"AAAAAH7Uv8Q=")</f>
        <v>#VALUE!</v>
      </c>
      <c r="GP30" t="e">
        <f>AND('Planilla_General_29-11-2012_10_'!E449,"AAAAAH7Uv8U=")</f>
        <v>#VALUE!</v>
      </c>
      <c r="GQ30" t="e">
        <f>AND('Planilla_General_29-11-2012_10_'!F449,"AAAAAH7Uv8Y=")</f>
        <v>#VALUE!</v>
      </c>
      <c r="GR30" t="e">
        <f>AND('Planilla_General_29-11-2012_10_'!G449,"AAAAAH7Uv8c=")</f>
        <v>#VALUE!</v>
      </c>
      <c r="GS30" t="e">
        <f>AND('Planilla_General_29-11-2012_10_'!H449,"AAAAAH7Uv8g=")</f>
        <v>#VALUE!</v>
      </c>
      <c r="GT30" t="e">
        <f>AND('Planilla_General_29-11-2012_10_'!I449,"AAAAAH7Uv8k=")</f>
        <v>#VALUE!</v>
      </c>
      <c r="GU30" t="e">
        <f>AND('Planilla_General_29-11-2012_10_'!J449,"AAAAAH7Uv8o=")</f>
        <v>#VALUE!</v>
      </c>
      <c r="GV30" t="e">
        <f>AND('Planilla_General_29-11-2012_10_'!K449,"AAAAAH7Uv8s=")</f>
        <v>#VALUE!</v>
      </c>
      <c r="GW30" t="e">
        <f>AND('Planilla_General_29-11-2012_10_'!L449,"AAAAAH7Uv8w=")</f>
        <v>#VALUE!</v>
      </c>
      <c r="GX30" t="e">
        <f>AND('Planilla_General_29-11-2012_10_'!M449,"AAAAAH7Uv80=")</f>
        <v>#VALUE!</v>
      </c>
      <c r="GY30" t="e">
        <f>AND('Planilla_General_29-11-2012_10_'!N449,"AAAAAH7Uv84=")</f>
        <v>#VALUE!</v>
      </c>
      <c r="GZ30" t="e">
        <f>AND('Planilla_General_29-11-2012_10_'!O449,"AAAAAH7Uv88=")</f>
        <v>#VALUE!</v>
      </c>
      <c r="HA30" t="e">
        <f>AND('Planilla_General_29-11-2012_10_'!P449,"AAAAAH7Uv9A=")</f>
        <v>#VALUE!</v>
      </c>
      <c r="HB30">
        <f>IF('Planilla_General_29-11-2012_10_'!450:450,"AAAAAH7Uv9E=",0)</f>
        <v>0</v>
      </c>
      <c r="HC30" t="e">
        <f>AND('Planilla_General_29-11-2012_10_'!A450,"AAAAAH7Uv9I=")</f>
        <v>#VALUE!</v>
      </c>
      <c r="HD30" t="e">
        <f>AND('Planilla_General_29-11-2012_10_'!B450,"AAAAAH7Uv9M=")</f>
        <v>#VALUE!</v>
      </c>
      <c r="HE30" t="e">
        <f>AND('Planilla_General_29-11-2012_10_'!C450,"AAAAAH7Uv9Q=")</f>
        <v>#VALUE!</v>
      </c>
      <c r="HF30" t="e">
        <f>AND('Planilla_General_29-11-2012_10_'!D450,"AAAAAH7Uv9U=")</f>
        <v>#VALUE!</v>
      </c>
      <c r="HG30" t="e">
        <f>AND('Planilla_General_29-11-2012_10_'!E450,"AAAAAH7Uv9Y=")</f>
        <v>#VALUE!</v>
      </c>
      <c r="HH30" t="e">
        <f>AND('Planilla_General_29-11-2012_10_'!F450,"AAAAAH7Uv9c=")</f>
        <v>#VALUE!</v>
      </c>
      <c r="HI30" t="e">
        <f>AND('Planilla_General_29-11-2012_10_'!G450,"AAAAAH7Uv9g=")</f>
        <v>#VALUE!</v>
      </c>
      <c r="HJ30" t="e">
        <f>AND('Planilla_General_29-11-2012_10_'!H450,"AAAAAH7Uv9k=")</f>
        <v>#VALUE!</v>
      </c>
      <c r="HK30" t="e">
        <f>AND('Planilla_General_29-11-2012_10_'!I450,"AAAAAH7Uv9o=")</f>
        <v>#VALUE!</v>
      </c>
      <c r="HL30" t="e">
        <f>AND('Planilla_General_29-11-2012_10_'!J450,"AAAAAH7Uv9s=")</f>
        <v>#VALUE!</v>
      </c>
      <c r="HM30" t="e">
        <f>AND('Planilla_General_29-11-2012_10_'!K450,"AAAAAH7Uv9w=")</f>
        <v>#VALUE!</v>
      </c>
      <c r="HN30" t="e">
        <f>AND('Planilla_General_29-11-2012_10_'!L450,"AAAAAH7Uv90=")</f>
        <v>#VALUE!</v>
      </c>
      <c r="HO30" t="e">
        <f>AND('Planilla_General_29-11-2012_10_'!M450,"AAAAAH7Uv94=")</f>
        <v>#VALUE!</v>
      </c>
      <c r="HP30" t="e">
        <f>AND('Planilla_General_29-11-2012_10_'!N450,"AAAAAH7Uv98=")</f>
        <v>#VALUE!</v>
      </c>
      <c r="HQ30" t="e">
        <f>AND('Planilla_General_29-11-2012_10_'!O450,"AAAAAH7Uv+A=")</f>
        <v>#VALUE!</v>
      </c>
      <c r="HR30" t="e">
        <f>AND('Planilla_General_29-11-2012_10_'!P450,"AAAAAH7Uv+E=")</f>
        <v>#VALUE!</v>
      </c>
      <c r="HS30">
        <f>IF('Planilla_General_29-11-2012_10_'!451:451,"AAAAAH7Uv+I=",0)</f>
        <v>0</v>
      </c>
      <c r="HT30" t="e">
        <f>AND('Planilla_General_29-11-2012_10_'!A451,"AAAAAH7Uv+M=")</f>
        <v>#VALUE!</v>
      </c>
      <c r="HU30" t="e">
        <f>AND('Planilla_General_29-11-2012_10_'!B451,"AAAAAH7Uv+Q=")</f>
        <v>#VALUE!</v>
      </c>
      <c r="HV30" t="e">
        <f>AND('Planilla_General_29-11-2012_10_'!C451,"AAAAAH7Uv+U=")</f>
        <v>#VALUE!</v>
      </c>
      <c r="HW30" t="e">
        <f>AND('Planilla_General_29-11-2012_10_'!D451,"AAAAAH7Uv+Y=")</f>
        <v>#VALUE!</v>
      </c>
      <c r="HX30" t="e">
        <f>AND('Planilla_General_29-11-2012_10_'!E451,"AAAAAH7Uv+c=")</f>
        <v>#VALUE!</v>
      </c>
      <c r="HY30" t="e">
        <f>AND('Planilla_General_29-11-2012_10_'!F451,"AAAAAH7Uv+g=")</f>
        <v>#VALUE!</v>
      </c>
      <c r="HZ30" t="e">
        <f>AND('Planilla_General_29-11-2012_10_'!G451,"AAAAAH7Uv+k=")</f>
        <v>#VALUE!</v>
      </c>
      <c r="IA30" t="e">
        <f>AND('Planilla_General_29-11-2012_10_'!H451,"AAAAAH7Uv+o=")</f>
        <v>#VALUE!</v>
      </c>
      <c r="IB30" t="e">
        <f>AND('Planilla_General_29-11-2012_10_'!I451,"AAAAAH7Uv+s=")</f>
        <v>#VALUE!</v>
      </c>
      <c r="IC30" t="e">
        <f>AND('Planilla_General_29-11-2012_10_'!J451,"AAAAAH7Uv+w=")</f>
        <v>#VALUE!</v>
      </c>
      <c r="ID30" t="e">
        <f>AND('Planilla_General_29-11-2012_10_'!K451,"AAAAAH7Uv+0=")</f>
        <v>#VALUE!</v>
      </c>
      <c r="IE30" t="e">
        <f>AND('Planilla_General_29-11-2012_10_'!L451,"AAAAAH7Uv+4=")</f>
        <v>#VALUE!</v>
      </c>
      <c r="IF30" t="e">
        <f>AND('Planilla_General_29-11-2012_10_'!M451,"AAAAAH7Uv+8=")</f>
        <v>#VALUE!</v>
      </c>
      <c r="IG30" t="e">
        <f>AND('Planilla_General_29-11-2012_10_'!N451,"AAAAAH7Uv/A=")</f>
        <v>#VALUE!</v>
      </c>
      <c r="IH30" t="e">
        <f>AND('Planilla_General_29-11-2012_10_'!O451,"AAAAAH7Uv/E=")</f>
        <v>#VALUE!</v>
      </c>
      <c r="II30" t="e">
        <f>AND('Planilla_General_29-11-2012_10_'!P451,"AAAAAH7Uv/I=")</f>
        <v>#VALUE!</v>
      </c>
      <c r="IJ30">
        <f>IF('Planilla_General_29-11-2012_10_'!452:452,"AAAAAH7Uv/M=",0)</f>
        <v>0</v>
      </c>
      <c r="IK30" t="e">
        <f>AND('Planilla_General_29-11-2012_10_'!A452,"AAAAAH7Uv/Q=")</f>
        <v>#VALUE!</v>
      </c>
      <c r="IL30" t="e">
        <f>AND('Planilla_General_29-11-2012_10_'!B452,"AAAAAH7Uv/U=")</f>
        <v>#VALUE!</v>
      </c>
      <c r="IM30" t="e">
        <f>AND('Planilla_General_29-11-2012_10_'!C452,"AAAAAH7Uv/Y=")</f>
        <v>#VALUE!</v>
      </c>
      <c r="IN30" t="e">
        <f>AND('Planilla_General_29-11-2012_10_'!D452,"AAAAAH7Uv/c=")</f>
        <v>#VALUE!</v>
      </c>
      <c r="IO30" t="e">
        <f>AND('Planilla_General_29-11-2012_10_'!E452,"AAAAAH7Uv/g=")</f>
        <v>#VALUE!</v>
      </c>
      <c r="IP30" t="e">
        <f>AND('Planilla_General_29-11-2012_10_'!F452,"AAAAAH7Uv/k=")</f>
        <v>#VALUE!</v>
      </c>
      <c r="IQ30" t="e">
        <f>AND('Planilla_General_29-11-2012_10_'!G452,"AAAAAH7Uv/o=")</f>
        <v>#VALUE!</v>
      </c>
      <c r="IR30" t="e">
        <f>AND('Planilla_General_29-11-2012_10_'!H452,"AAAAAH7Uv/s=")</f>
        <v>#VALUE!</v>
      </c>
      <c r="IS30" t="e">
        <f>AND('Planilla_General_29-11-2012_10_'!I452,"AAAAAH7Uv/w=")</f>
        <v>#VALUE!</v>
      </c>
      <c r="IT30" t="e">
        <f>AND('Planilla_General_29-11-2012_10_'!J452,"AAAAAH7Uv/0=")</f>
        <v>#VALUE!</v>
      </c>
      <c r="IU30" t="e">
        <f>AND('Planilla_General_29-11-2012_10_'!K452,"AAAAAH7Uv/4=")</f>
        <v>#VALUE!</v>
      </c>
      <c r="IV30" t="e">
        <f>AND('Planilla_General_29-11-2012_10_'!L452,"AAAAAH7Uv/8=")</f>
        <v>#VALUE!</v>
      </c>
    </row>
    <row r="31" spans="1:256" x14ac:dyDescent="0.25">
      <c r="A31" t="e">
        <f>AND('Planilla_General_29-11-2012_10_'!M452,"AAAAAH51fwA=")</f>
        <v>#VALUE!</v>
      </c>
      <c r="B31" t="e">
        <f>AND('Planilla_General_29-11-2012_10_'!N452,"AAAAAH51fwE=")</f>
        <v>#VALUE!</v>
      </c>
      <c r="C31" t="e">
        <f>AND('Planilla_General_29-11-2012_10_'!O452,"AAAAAH51fwI=")</f>
        <v>#VALUE!</v>
      </c>
      <c r="D31" t="e">
        <f>AND('Planilla_General_29-11-2012_10_'!P452,"AAAAAH51fwM=")</f>
        <v>#VALUE!</v>
      </c>
      <c r="E31" t="e">
        <f>IF('Planilla_General_29-11-2012_10_'!453:453,"AAAAAH51fwQ=",0)</f>
        <v>#VALUE!</v>
      </c>
      <c r="F31" t="e">
        <f>AND('Planilla_General_29-11-2012_10_'!A453,"AAAAAH51fwU=")</f>
        <v>#VALUE!</v>
      </c>
      <c r="G31" t="e">
        <f>AND('Planilla_General_29-11-2012_10_'!B453,"AAAAAH51fwY=")</f>
        <v>#VALUE!</v>
      </c>
      <c r="H31" t="e">
        <f>AND('Planilla_General_29-11-2012_10_'!C453,"AAAAAH51fwc=")</f>
        <v>#VALUE!</v>
      </c>
      <c r="I31" t="e">
        <f>AND('Planilla_General_29-11-2012_10_'!D453,"AAAAAH51fwg=")</f>
        <v>#VALUE!</v>
      </c>
      <c r="J31" t="e">
        <f>AND('Planilla_General_29-11-2012_10_'!E453,"AAAAAH51fwk=")</f>
        <v>#VALUE!</v>
      </c>
      <c r="K31" t="e">
        <f>AND('Planilla_General_29-11-2012_10_'!F453,"AAAAAH51fwo=")</f>
        <v>#VALUE!</v>
      </c>
      <c r="L31" t="e">
        <f>AND('Planilla_General_29-11-2012_10_'!G453,"AAAAAH51fws=")</f>
        <v>#VALUE!</v>
      </c>
      <c r="M31" t="e">
        <f>AND('Planilla_General_29-11-2012_10_'!H453,"AAAAAH51fww=")</f>
        <v>#VALUE!</v>
      </c>
      <c r="N31" t="e">
        <f>AND('Planilla_General_29-11-2012_10_'!I453,"AAAAAH51fw0=")</f>
        <v>#VALUE!</v>
      </c>
      <c r="O31" t="e">
        <f>AND('Planilla_General_29-11-2012_10_'!J453,"AAAAAH51fw4=")</f>
        <v>#VALUE!</v>
      </c>
      <c r="P31" t="e">
        <f>AND('Planilla_General_29-11-2012_10_'!K453,"AAAAAH51fw8=")</f>
        <v>#VALUE!</v>
      </c>
      <c r="Q31" t="e">
        <f>AND('Planilla_General_29-11-2012_10_'!L453,"AAAAAH51fxA=")</f>
        <v>#VALUE!</v>
      </c>
      <c r="R31" t="e">
        <f>AND('Planilla_General_29-11-2012_10_'!M453,"AAAAAH51fxE=")</f>
        <v>#VALUE!</v>
      </c>
      <c r="S31" t="e">
        <f>AND('Planilla_General_29-11-2012_10_'!N453,"AAAAAH51fxI=")</f>
        <v>#VALUE!</v>
      </c>
      <c r="T31" t="e">
        <f>AND('Planilla_General_29-11-2012_10_'!O453,"AAAAAH51fxM=")</f>
        <v>#VALUE!</v>
      </c>
      <c r="U31" t="e">
        <f>AND('Planilla_General_29-11-2012_10_'!P453,"AAAAAH51fxQ=")</f>
        <v>#VALUE!</v>
      </c>
      <c r="V31">
        <f>IF('Planilla_General_29-11-2012_10_'!454:454,"AAAAAH51fxU=",0)</f>
        <v>0</v>
      </c>
      <c r="W31" t="e">
        <f>AND('Planilla_General_29-11-2012_10_'!A454,"AAAAAH51fxY=")</f>
        <v>#VALUE!</v>
      </c>
      <c r="X31" t="e">
        <f>AND('Planilla_General_29-11-2012_10_'!B454,"AAAAAH51fxc=")</f>
        <v>#VALUE!</v>
      </c>
      <c r="Y31" t="e">
        <f>AND('Planilla_General_29-11-2012_10_'!C454,"AAAAAH51fxg=")</f>
        <v>#VALUE!</v>
      </c>
      <c r="Z31" t="e">
        <f>AND('Planilla_General_29-11-2012_10_'!D454,"AAAAAH51fxk=")</f>
        <v>#VALUE!</v>
      </c>
      <c r="AA31" t="e">
        <f>AND('Planilla_General_29-11-2012_10_'!E454,"AAAAAH51fxo=")</f>
        <v>#VALUE!</v>
      </c>
      <c r="AB31" t="e">
        <f>AND('Planilla_General_29-11-2012_10_'!F454,"AAAAAH51fxs=")</f>
        <v>#VALUE!</v>
      </c>
      <c r="AC31" t="e">
        <f>AND('Planilla_General_29-11-2012_10_'!G454,"AAAAAH51fxw=")</f>
        <v>#VALUE!</v>
      </c>
      <c r="AD31" t="e">
        <f>AND('Planilla_General_29-11-2012_10_'!H454,"AAAAAH51fx0=")</f>
        <v>#VALUE!</v>
      </c>
      <c r="AE31" t="e">
        <f>AND('Planilla_General_29-11-2012_10_'!I454,"AAAAAH51fx4=")</f>
        <v>#VALUE!</v>
      </c>
      <c r="AF31" t="e">
        <f>AND('Planilla_General_29-11-2012_10_'!J454,"AAAAAH51fx8=")</f>
        <v>#VALUE!</v>
      </c>
      <c r="AG31" t="e">
        <f>AND('Planilla_General_29-11-2012_10_'!K454,"AAAAAH51fyA=")</f>
        <v>#VALUE!</v>
      </c>
      <c r="AH31" t="e">
        <f>AND('Planilla_General_29-11-2012_10_'!L454,"AAAAAH51fyE=")</f>
        <v>#VALUE!</v>
      </c>
      <c r="AI31" t="e">
        <f>AND('Planilla_General_29-11-2012_10_'!M454,"AAAAAH51fyI=")</f>
        <v>#VALUE!</v>
      </c>
      <c r="AJ31" t="e">
        <f>AND('Planilla_General_29-11-2012_10_'!N454,"AAAAAH51fyM=")</f>
        <v>#VALUE!</v>
      </c>
      <c r="AK31" t="e">
        <f>AND('Planilla_General_29-11-2012_10_'!O454,"AAAAAH51fyQ=")</f>
        <v>#VALUE!</v>
      </c>
      <c r="AL31" t="e">
        <f>AND('Planilla_General_29-11-2012_10_'!P454,"AAAAAH51fyU=")</f>
        <v>#VALUE!</v>
      </c>
      <c r="AM31">
        <f>IF('Planilla_General_29-11-2012_10_'!455:455,"AAAAAH51fyY=",0)</f>
        <v>0</v>
      </c>
      <c r="AN31" t="e">
        <f>AND('Planilla_General_29-11-2012_10_'!A455,"AAAAAH51fyc=")</f>
        <v>#VALUE!</v>
      </c>
      <c r="AO31" t="e">
        <f>AND('Planilla_General_29-11-2012_10_'!B455,"AAAAAH51fyg=")</f>
        <v>#VALUE!</v>
      </c>
      <c r="AP31" t="e">
        <f>AND('Planilla_General_29-11-2012_10_'!C455,"AAAAAH51fyk=")</f>
        <v>#VALUE!</v>
      </c>
      <c r="AQ31" t="e">
        <f>AND('Planilla_General_29-11-2012_10_'!D455,"AAAAAH51fyo=")</f>
        <v>#VALUE!</v>
      </c>
      <c r="AR31" t="e">
        <f>AND('Planilla_General_29-11-2012_10_'!E455,"AAAAAH51fys=")</f>
        <v>#VALUE!</v>
      </c>
      <c r="AS31" t="e">
        <f>AND('Planilla_General_29-11-2012_10_'!F455,"AAAAAH51fyw=")</f>
        <v>#VALUE!</v>
      </c>
      <c r="AT31" t="e">
        <f>AND('Planilla_General_29-11-2012_10_'!G455,"AAAAAH51fy0=")</f>
        <v>#VALUE!</v>
      </c>
      <c r="AU31" t="e">
        <f>AND('Planilla_General_29-11-2012_10_'!H455,"AAAAAH51fy4=")</f>
        <v>#VALUE!</v>
      </c>
      <c r="AV31" t="e">
        <f>AND('Planilla_General_29-11-2012_10_'!I455,"AAAAAH51fy8=")</f>
        <v>#VALUE!</v>
      </c>
      <c r="AW31" t="e">
        <f>AND('Planilla_General_29-11-2012_10_'!J455,"AAAAAH51fzA=")</f>
        <v>#VALUE!</v>
      </c>
      <c r="AX31" t="e">
        <f>AND('Planilla_General_29-11-2012_10_'!K455,"AAAAAH51fzE=")</f>
        <v>#VALUE!</v>
      </c>
      <c r="AY31" t="e">
        <f>AND('Planilla_General_29-11-2012_10_'!L455,"AAAAAH51fzI=")</f>
        <v>#VALUE!</v>
      </c>
      <c r="AZ31" t="e">
        <f>AND('Planilla_General_29-11-2012_10_'!M455,"AAAAAH51fzM=")</f>
        <v>#VALUE!</v>
      </c>
      <c r="BA31" t="e">
        <f>AND('Planilla_General_29-11-2012_10_'!N455,"AAAAAH51fzQ=")</f>
        <v>#VALUE!</v>
      </c>
      <c r="BB31" t="e">
        <f>AND('Planilla_General_29-11-2012_10_'!O455,"AAAAAH51fzU=")</f>
        <v>#VALUE!</v>
      </c>
      <c r="BC31" t="e">
        <f>AND('Planilla_General_29-11-2012_10_'!P455,"AAAAAH51fzY=")</f>
        <v>#VALUE!</v>
      </c>
      <c r="BD31">
        <f>IF('Planilla_General_29-11-2012_10_'!456:456,"AAAAAH51fzc=",0)</f>
        <v>0</v>
      </c>
      <c r="BE31" t="e">
        <f>AND('Planilla_General_29-11-2012_10_'!A456,"AAAAAH51fzg=")</f>
        <v>#VALUE!</v>
      </c>
      <c r="BF31" t="e">
        <f>AND('Planilla_General_29-11-2012_10_'!B456,"AAAAAH51fzk=")</f>
        <v>#VALUE!</v>
      </c>
      <c r="BG31" t="e">
        <f>AND('Planilla_General_29-11-2012_10_'!C456,"AAAAAH51fzo=")</f>
        <v>#VALUE!</v>
      </c>
      <c r="BH31" t="e">
        <f>AND('Planilla_General_29-11-2012_10_'!D456,"AAAAAH51fzs=")</f>
        <v>#VALUE!</v>
      </c>
      <c r="BI31" t="e">
        <f>AND('Planilla_General_29-11-2012_10_'!E456,"AAAAAH51fzw=")</f>
        <v>#VALUE!</v>
      </c>
      <c r="BJ31" t="e">
        <f>AND('Planilla_General_29-11-2012_10_'!F456,"AAAAAH51fz0=")</f>
        <v>#VALUE!</v>
      </c>
      <c r="BK31" t="e">
        <f>AND('Planilla_General_29-11-2012_10_'!G456,"AAAAAH51fz4=")</f>
        <v>#VALUE!</v>
      </c>
      <c r="BL31" t="e">
        <f>AND('Planilla_General_29-11-2012_10_'!H456,"AAAAAH51fz8=")</f>
        <v>#VALUE!</v>
      </c>
      <c r="BM31" t="e">
        <f>AND('Planilla_General_29-11-2012_10_'!I456,"AAAAAH51f0A=")</f>
        <v>#VALUE!</v>
      </c>
      <c r="BN31" t="e">
        <f>AND('Planilla_General_29-11-2012_10_'!J456,"AAAAAH51f0E=")</f>
        <v>#VALUE!</v>
      </c>
      <c r="BO31" t="e">
        <f>AND('Planilla_General_29-11-2012_10_'!K456,"AAAAAH51f0I=")</f>
        <v>#VALUE!</v>
      </c>
      <c r="BP31" t="e">
        <f>AND('Planilla_General_29-11-2012_10_'!L456,"AAAAAH51f0M=")</f>
        <v>#VALUE!</v>
      </c>
      <c r="BQ31" t="e">
        <f>AND('Planilla_General_29-11-2012_10_'!M456,"AAAAAH51f0Q=")</f>
        <v>#VALUE!</v>
      </c>
      <c r="BR31" t="e">
        <f>AND('Planilla_General_29-11-2012_10_'!N456,"AAAAAH51f0U=")</f>
        <v>#VALUE!</v>
      </c>
      <c r="BS31" t="e">
        <f>AND('Planilla_General_29-11-2012_10_'!O456,"AAAAAH51f0Y=")</f>
        <v>#VALUE!</v>
      </c>
      <c r="BT31" t="e">
        <f>AND('Planilla_General_29-11-2012_10_'!P456,"AAAAAH51f0c=")</f>
        <v>#VALUE!</v>
      </c>
      <c r="BU31">
        <f>IF('Planilla_General_29-11-2012_10_'!457:457,"AAAAAH51f0g=",0)</f>
        <v>0</v>
      </c>
      <c r="BV31" t="e">
        <f>AND('Planilla_General_29-11-2012_10_'!A457,"AAAAAH51f0k=")</f>
        <v>#VALUE!</v>
      </c>
      <c r="BW31" t="e">
        <f>AND('Planilla_General_29-11-2012_10_'!B457,"AAAAAH51f0o=")</f>
        <v>#VALUE!</v>
      </c>
      <c r="BX31" t="e">
        <f>AND('Planilla_General_29-11-2012_10_'!C457,"AAAAAH51f0s=")</f>
        <v>#VALUE!</v>
      </c>
      <c r="BY31" t="e">
        <f>AND('Planilla_General_29-11-2012_10_'!D457,"AAAAAH51f0w=")</f>
        <v>#VALUE!</v>
      </c>
      <c r="BZ31" t="e">
        <f>AND('Planilla_General_29-11-2012_10_'!E457,"AAAAAH51f00=")</f>
        <v>#VALUE!</v>
      </c>
      <c r="CA31" t="e">
        <f>AND('Planilla_General_29-11-2012_10_'!F457,"AAAAAH51f04=")</f>
        <v>#VALUE!</v>
      </c>
      <c r="CB31" t="e">
        <f>AND('Planilla_General_29-11-2012_10_'!G457,"AAAAAH51f08=")</f>
        <v>#VALUE!</v>
      </c>
      <c r="CC31" t="e">
        <f>AND('Planilla_General_29-11-2012_10_'!H457,"AAAAAH51f1A=")</f>
        <v>#VALUE!</v>
      </c>
      <c r="CD31" t="e">
        <f>AND('Planilla_General_29-11-2012_10_'!I457,"AAAAAH51f1E=")</f>
        <v>#VALUE!</v>
      </c>
      <c r="CE31" t="e">
        <f>AND('Planilla_General_29-11-2012_10_'!J457,"AAAAAH51f1I=")</f>
        <v>#VALUE!</v>
      </c>
      <c r="CF31" t="e">
        <f>AND('Planilla_General_29-11-2012_10_'!K457,"AAAAAH51f1M=")</f>
        <v>#VALUE!</v>
      </c>
      <c r="CG31" t="e">
        <f>AND('Planilla_General_29-11-2012_10_'!L457,"AAAAAH51f1Q=")</f>
        <v>#VALUE!</v>
      </c>
      <c r="CH31" t="e">
        <f>AND('Planilla_General_29-11-2012_10_'!M457,"AAAAAH51f1U=")</f>
        <v>#VALUE!</v>
      </c>
      <c r="CI31" t="e">
        <f>AND('Planilla_General_29-11-2012_10_'!N457,"AAAAAH51f1Y=")</f>
        <v>#VALUE!</v>
      </c>
      <c r="CJ31" t="e">
        <f>AND('Planilla_General_29-11-2012_10_'!O457,"AAAAAH51f1c=")</f>
        <v>#VALUE!</v>
      </c>
      <c r="CK31" t="e">
        <f>AND('Planilla_General_29-11-2012_10_'!P457,"AAAAAH51f1g=")</f>
        <v>#VALUE!</v>
      </c>
      <c r="CL31">
        <f>IF('Planilla_General_29-11-2012_10_'!458:458,"AAAAAH51f1k=",0)</f>
        <v>0</v>
      </c>
      <c r="CM31" t="e">
        <f>AND('Planilla_General_29-11-2012_10_'!A458,"AAAAAH51f1o=")</f>
        <v>#VALUE!</v>
      </c>
      <c r="CN31" t="e">
        <f>AND('Planilla_General_29-11-2012_10_'!B458,"AAAAAH51f1s=")</f>
        <v>#VALUE!</v>
      </c>
      <c r="CO31" t="e">
        <f>AND('Planilla_General_29-11-2012_10_'!C458,"AAAAAH51f1w=")</f>
        <v>#VALUE!</v>
      </c>
      <c r="CP31" t="e">
        <f>AND('Planilla_General_29-11-2012_10_'!D458,"AAAAAH51f10=")</f>
        <v>#VALUE!</v>
      </c>
      <c r="CQ31" t="e">
        <f>AND('Planilla_General_29-11-2012_10_'!E458,"AAAAAH51f14=")</f>
        <v>#VALUE!</v>
      </c>
      <c r="CR31" t="e">
        <f>AND('Planilla_General_29-11-2012_10_'!F458,"AAAAAH51f18=")</f>
        <v>#VALUE!</v>
      </c>
      <c r="CS31" t="e">
        <f>AND('Planilla_General_29-11-2012_10_'!G458,"AAAAAH51f2A=")</f>
        <v>#VALUE!</v>
      </c>
      <c r="CT31" t="e">
        <f>AND('Planilla_General_29-11-2012_10_'!H458,"AAAAAH51f2E=")</f>
        <v>#VALUE!</v>
      </c>
      <c r="CU31" t="e">
        <f>AND('Planilla_General_29-11-2012_10_'!I458,"AAAAAH51f2I=")</f>
        <v>#VALUE!</v>
      </c>
      <c r="CV31" t="e">
        <f>AND('Planilla_General_29-11-2012_10_'!J458,"AAAAAH51f2M=")</f>
        <v>#VALUE!</v>
      </c>
      <c r="CW31" t="e">
        <f>AND('Planilla_General_29-11-2012_10_'!K458,"AAAAAH51f2Q=")</f>
        <v>#VALUE!</v>
      </c>
      <c r="CX31" t="e">
        <f>AND('Planilla_General_29-11-2012_10_'!L458,"AAAAAH51f2U=")</f>
        <v>#VALUE!</v>
      </c>
      <c r="CY31" t="e">
        <f>AND('Planilla_General_29-11-2012_10_'!M458,"AAAAAH51f2Y=")</f>
        <v>#VALUE!</v>
      </c>
      <c r="CZ31" t="e">
        <f>AND('Planilla_General_29-11-2012_10_'!N458,"AAAAAH51f2c=")</f>
        <v>#VALUE!</v>
      </c>
      <c r="DA31" t="e">
        <f>AND('Planilla_General_29-11-2012_10_'!O458,"AAAAAH51f2g=")</f>
        <v>#VALUE!</v>
      </c>
      <c r="DB31" t="e">
        <f>AND('Planilla_General_29-11-2012_10_'!P458,"AAAAAH51f2k=")</f>
        <v>#VALUE!</v>
      </c>
      <c r="DC31">
        <f>IF('Planilla_General_29-11-2012_10_'!459:459,"AAAAAH51f2o=",0)</f>
        <v>0</v>
      </c>
      <c r="DD31" t="e">
        <f>AND('Planilla_General_29-11-2012_10_'!A459,"AAAAAH51f2s=")</f>
        <v>#VALUE!</v>
      </c>
      <c r="DE31" t="e">
        <f>AND('Planilla_General_29-11-2012_10_'!B459,"AAAAAH51f2w=")</f>
        <v>#VALUE!</v>
      </c>
      <c r="DF31" t="e">
        <f>AND('Planilla_General_29-11-2012_10_'!C459,"AAAAAH51f20=")</f>
        <v>#VALUE!</v>
      </c>
      <c r="DG31" t="e">
        <f>AND('Planilla_General_29-11-2012_10_'!D459,"AAAAAH51f24=")</f>
        <v>#VALUE!</v>
      </c>
      <c r="DH31" t="e">
        <f>AND('Planilla_General_29-11-2012_10_'!E459,"AAAAAH51f28=")</f>
        <v>#VALUE!</v>
      </c>
      <c r="DI31" t="e">
        <f>AND('Planilla_General_29-11-2012_10_'!F459,"AAAAAH51f3A=")</f>
        <v>#VALUE!</v>
      </c>
      <c r="DJ31" t="e">
        <f>AND('Planilla_General_29-11-2012_10_'!G459,"AAAAAH51f3E=")</f>
        <v>#VALUE!</v>
      </c>
      <c r="DK31" t="e">
        <f>AND('Planilla_General_29-11-2012_10_'!H459,"AAAAAH51f3I=")</f>
        <v>#VALUE!</v>
      </c>
      <c r="DL31" t="e">
        <f>AND('Planilla_General_29-11-2012_10_'!I459,"AAAAAH51f3M=")</f>
        <v>#VALUE!</v>
      </c>
      <c r="DM31" t="e">
        <f>AND('Planilla_General_29-11-2012_10_'!J459,"AAAAAH51f3Q=")</f>
        <v>#VALUE!</v>
      </c>
      <c r="DN31" t="e">
        <f>AND('Planilla_General_29-11-2012_10_'!K459,"AAAAAH51f3U=")</f>
        <v>#VALUE!</v>
      </c>
      <c r="DO31" t="e">
        <f>AND('Planilla_General_29-11-2012_10_'!L459,"AAAAAH51f3Y=")</f>
        <v>#VALUE!</v>
      </c>
      <c r="DP31" t="e">
        <f>AND('Planilla_General_29-11-2012_10_'!M459,"AAAAAH51f3c=")</f>
        <v>#VALUE!</v>
      </c>
      <c r="DQ31" t="e">
        <f>AND('Planilla_General_29-11-2012_10_'!N459,"AAAAAH51f3g=")</f>
        <v>#VALUE!</v>
      </c>
      <c r="DR31" t="e">
        <f>AND('Planilla_General_29-11-2012_10_'!O459,"AAAAAH51f3k=")</f>
        <v>#VALUE!</v>
      </c>
      <c r="DS31" t="e">
        <f>AND('Planilla_General_29-11-2012_10_'!P459,"AAAAAH51f3o=")</f>
        <v>#VALUE!</v>
      </c>
      <c r="DT31">
        <f>IF('Planilla_General_29-11-2012_10_'!460:460,"AAAAAH51f3s=",0)</f>
        <v>0</v>
      </c>
      <c r="DU31" t="e">
        <f>AND('Planilla_General_29-11-2012_10_'!A460,"AAAAAH51f3w=")</f>
        <v>#VALUE!</v>
      </c>
      <c r="DV31" t="e">
        <f>AND('Planilla_General_29-11-2012_10_'!B460,"AAAAAH51f30=")</f>
        <v>#VALUE!</v>
      </c>
      <c r="DW31" t="e">
        <f>AND('Planilla_General_29-11-2012_10_'!C460,"AAAAAH51f34=")</f>
        <v>#VALUE!</v>
      </c>
      <c r="DX31" t="e">
        <f>AND('Planilla_General_29-11-2012_10_'!D460,"AAAAAH51f38=")</f>
        <v>#VALUE!</v>
      </c>
      <c r="DY31" t="e">
        <f>AND('Planilla_General_29-11-2012_10_'!E460,"AAAAAH51f4A=")</f>
        <v>#VALUE!</v>
      </c>
      <c r="DZ31" t="e">
        <f>AND('Planilla_General_29-11-2012_10_'!F460,"AAAAAH51f4E=")</f>
        <v>#VALUE!</v>
      </c>
      <c r="EA31" t="e">
        <f>AND('Planilla_General_29-11-2012_10_'!G460,"AAAAAH51f4I=")</f>
        <v>#VALUE!</v>
      </c>
      <c r="EB31" t="e">
        <f>AND('Planilla_General_29-11-2012_10_'!H460,"AAAAAH51f4M=")</f>
        <v>#VALUE!</v>
      </c>
      <c r="EC31" t="e">
        <f>AND('Planilla_General_29-11-2012_10_'!I460,"AAAAAH51f4Q=")</f>
        <v>#VALUE!</v>
      </c>
      <c r="ED31" t="e">
        <f>AND('Planilla_General_29-11-2012_10_'!J460,"AAAAAH51f4U=")</f>
        <v>#VALUE!</v>
      </c>
      <c r="EE31" t="e">
        <f>AND('Planilla_General_29-11-2012_10_'!K460,"AAAAAH51f4Y=")</f>
        <v>#VALUE!</v>
      </c>
      <c r="EF31" t="e">
        <f>AND('Planilla_General_29-11-2012_10_'!L460,"AAAAAH51f4c=")</f>
        <v>#VALUE!</v>
      </c>
      <c r="EG31" t="e">
        <f>AND('Planilla_General_29-11-2012_10_'!M460,"AAAAAH51f4g=")</f>
        <v>#VALUE!</v>
      </c>
      <c r="EH31" t="e">
        <f>AND('Planilla_General_29-11-2012_10_'!N460,"AAAAAH51f4k=")</f>
        <v>#VALUE!</v>
      </c>
      <c r="EI31" t="e">
        <f>AND('Planilla_General_29-11-2012_10_'!O460,"AAAAAH51f4o=")</f>
        <v>#VALUE!</v>
      </c>
      <c r="EJ31" t="e">
        <f>AND('Planilla_General_29-11-2012_10_'!P460,"AAAAAH51f4s=")</f>
        <v>#VALUE!</v>
      </c>
      <c r="EK31">
        <f>IF('Planilla_General_29-11-2012_10_'!461:461,"AAAAAH51f4w=",0)</f>
        <v>0</v>
      </c>
      <c r="EL31" t="e">
        <f>AND('Planilla_General_29-11-2012_10_'!A461,"AAAAAH51f40=")</f>
        <v>#VALUE!</v>
      </c>
      <c r="EM31" t="e">
        <f>AND('Planilla_General_29-11-2012_10_'!B461,"AAAAAH51f44=")</f>
        <v>#VALUE!</v>
      </c>
      <c r="EN31" t="e">
        <f>AND('Planilla_General_29-11-2012_10_'!C461,"AAAAAH51f48=")</f>
        <v>#VALUE!</v>
      </c>
      <c r="EO31" t="e">
        <f>AND('Planilla_General_29-11-2012_10_'!D461,"AAAAAH51f5A=")</f>
        <v>#VALUE!</v>
      </c>
      <c r="EP31" t="e">
        <f>AND('Planilla_General_29-11-2012_10_'!E461,"AAAAAH51f5E=")</f>
        <v>#VALUE!</v>
      </c>
      <c r="EQ31" t="e">
        <f>AND('Planilla_General_29-11-2012_10_'!F461,"AAAAAH51f5I=")</f>
        <v>#VALUE!</v>
      </c>
      <c r="ER31" t="e">
        <f>AND('Planilla_General_29-11-2012_10_'!G461,"AAAAAH51f5M=")</f>
        <v>#VALUE!</v>
      </c>
      <c r="ES31" t="e">
        <f>AND('Planilla_General_29-11-2012_10_'!H461,"AAAAAH51f5Q=")</f>
        <v>#VALUE!</v>
      </c>
      <c r="ET31" t="e">
        <f>AND('Planilla_General_29-11-2012_10_'!I461,"AAAAAH51f5U=")</f>
        <v>#VALUE!</v>
      </c>
      <c r="EU31" t="e">
        <f>AND('Planilla_General_29-11-2012_10_'!J461,"AAAAAH51f5Y=")</f>
        <v>#VALUE!</v>
      </c>
      <c r="EV31" t="e">
        <f>AND('Planilla_General_29-11-2012_10_'!K461,"AAAAAH51f5c=")</f>
        <v>#VALUE!</v>
      </c>
      <c r="EW31" t="e">
        <f>AND('Planilla_General_29-11-2012_10_'!L461,"AAAAAH51f5g=")</f>
        <v>#VALUE!</v>
      </c>
      <c r="EX31" t="e">
        <f>AND('Planilla_General_29-11-2012_10_'!M461,"AAAAAH51f5k=")</f>
        <v>#VALUE!</v>
      </c>
      <c r="EY31" t="e">
        <f>AND('Planilla_General_29-11-2012_10_'!N461,"AAAAAH51f5o=")</f>
        <v>#VALUE!</v>
      </c>
      <c r="EZ31" t="e">
        <f>AND('Planilla_General_29-11-2012_10_'!O461,"AAAAAH51f5s=")</f>
        <v>#VALUE!</v>
      </c>
      <c r="FA31" t="e">
        <f>AND('Planilla_General_29-11-2012_10_'!P461,"AAAAAH51f5w=")</f>
        <v>#VALUE!</v>
      </c>
      <c r="FB31">
        <f>IF('Planilla_General_29-11-2012_10_'!462:462,"AAAAAH51f50=",0)</f>
        <v>0</v>
      </c>
      <c r="FC31" t="e">
        <f>AND('Planilla_General_29-11-2012_10_'!A462,"AAAAAH51f54=")</f>
        <v>#VALUE!</v>
      </c>
      <c r="FD31" t="e">
        <f>AND('Planilla_General_29-11-2012_10_'!B462,"AAAAAH51f58=")</f>
        <v>#VALUE!</v>
      </c>
      <c r="FE31" t="e">
        <f>AND('Planilla_General_29-11-2012_10_'!C462,"AAAAAH51f6A=")</f>
        <v>#VALUE!</v>
      </c>
      <c r="FF31" t="e">
        <f>AND('Planilla_General_29-11-2012_10_'!D462,"AAAAAH51f6E=")</f>
        <v>#VALUE!</v>
      </c>
      <c r="FG31" t="e">
        <f>AND('Planilla_General_29-11-2012_10_'!E462,"AAAAAH51f6I=")</f>
        <v>#VALUE!</v>
      </c>
      <c r="FH31" t="e">
        <f>AND('Planilla_General_29-11-2012_10_'!F462,"AAAAAH51f6M=")</f>
        <v>#VALUE!</v>
      </c>
      <c r="FI31" t="e">
        <f>AND('Planilla_General_29-11-2012_10_'!G462,"AAAAAH51f6Q=")</f>
        <v>#VALUE!</v>
      </c>
      <c r="FJ31" t="e">
        <f>AND('Planilla_General_29-11-2012_10_'!H462,"AAAAAH51f6U=")</f>
        <v>#VALUE!</v>
      </c>
      <c r="FK31" t="e">
        <f>AND('Planilla_General_29-11-2012_10_'!I462,"AAAAAH51f6Y=")</f>
        <v>#VALUE!</v>
      </c>
      <c r="FL31" t="e">
        <f>AND('Planilla_General_29-11-2012_10_'!J462,"AAAAAH51f6c=")</f>
        <v>#VALUE!</v>
      </c>
      <c r="FM31" t="e">
        <f>AND('Planilla_General_29-11-2012_10_'!K462,"AAAAAH51f6g=")</f>
        <v>#VALUE!</v>
      </c>
      <c r="FN31" t="e">
        <f>AND('Planilla_General_29-11-2012_10_'!L462,"AAAAAH51f6k=")</f>
        <v>#VALUE!</v>
      </c>
      <c r="FO31" t="e">
        <f>AND('Planilla_General_29-11-2012_10_'!M462,"AAAAAH51f6o=")</f>
        <v>#VALUE!</v>
      </c>
      <c r="FP31" t="e">
        <f>AND('Planilla_General_29-11-2012_10_'!N462,"AAAAAH51f6s=")</f>
        <v>#VALUE!</v>
      </c>
      <c r="FQ31" t="e">
        <f>AND('Planilla_General_29-11-2012_10_'!O462,"AAAAAH51f6w=")</f>
        <v>#VALUE!</v>
      </c>
      <c r="FR31" t="e">
        <f>AND('Planilla_General_29-11-2012_10_'!P462,"AAAAAH51f60=")</f>
        <v>#VALUE!</v>
      </c>
      <c r="FS31">
        <f>IF('Planilla_General_29-11-2012_10_'!463:463,"AAAAAH51f64=",0)</f>
        <v>0</v>
      </c>
      <c r="FT31" t="e">
        <f>AND('Planilla_General_29-11-2012_10_'!A463,"AAAAAH51f68=")</f>
        <v>#VALUE!</v>
      </c>
      <c r="FU31" t="e">
        <f>AND('Planilla_General_29-11-2012_10_'!B463,"AAAAAH51f7A=")</f>
        <v>#VALUE!</v>
      </c>
      <c r="FV31" t="e">
        <f>AND('Planilla_General_29-11-2012_10_'!C463,"AAAAAH51f7E=")</f>
        <v>#VALUE!</v>
      </c>
      <c r="FW31" t="e">
        <f>AND('Planilla_General_29-11-2012_10_'!D463,"AAAAAH51f7I=")</f>
        <v>#VALUE!</v>
      </c>
      <c r="FX31" t="e">
        <f>AND('Planilla_General_29-11-2012_10_'!E463,"AAAAAH51f7M=")</f>
        <v>#VALUE!</v>
      </c>
      <c r="FY31" t="e">
        <f>AND('Planilla_General_29-11-2012_10_'!F463,"AAAAAH51f7Q=")</f>
        <v>#VALUE!</v>
      </c>
      <c r="FZ31" t="e">
        <f>AND('Planilla_General_29-11-2012_10_'!G463,"AAAAAH51f7U=")</f>
        <v>#VALUE!</v>
      </c>
      <c r="GA31" t="e">
        <f>AND('Planilla_General_29-11-2012_10_'!H463,"AAAAAH51f7Y=")</f>
        <v>#VALUE!</v>
      </c>
      <c r="GB31" t="e">
        <f>AND('Planilla_General_29-11-2012_10_'!I463,"AAAAAH51f7c=")</f>
        <v>#VALUE!</v>
      </c>
      <c r="GC31" t="e">
        <f>AND('Planilla_General_29-11-2012_10_'!J463,"AAAAAH51f7g=")</f>
        <v>#VALUE!</v>
      </c>
      <c r="GD31" t="e">
        <f>AND('Planilla_General_29-11-2012_10_'!K463,"AAAAAH51f7k=")</f>
        <v>#VALUE!</v>
      </c>
      <c r="GE31" t="e">
        <f>AND('Planilla_General_29-11-2012_10_'!L463,"AAAAAH51f7o=")</f>
        <v>#VALUE!</v>
      </c>
      <c r="GF31" t="e">
        <f>AND('Planilla_General_29-11-2012_10_'!M463,"AAAAAH51f7s=")</f>
        <v>#VALUE!</v>
      </c>
      <c r="GG31" t="e">
        <f>AND('Planilla_General_29-11-2012_10_'!N463,"AAAAAH51f7w=")</f>
        <v>#VALUE!</v>
      </c>
      <c r="GH31" t="e">
        <f>AND('Planilla_General_29-11-2012_10_'!O463,"AAAAAH51f70=")</f>
        <v>#VALUE!</v>
      </c>
      <c r="GI31" t="e">
        <f>AND('Planilla_General_29-11-2012_10_'!P463,"AAAAAH51f74=")</f>
        <v>#VALUE!</v>
      </c>
      <c r="GJ31">
        <f>IF('Planilla_General_29-11-2012_10_'!464:464,"AAAAAH51f78=",0)</f>
        <v>0</v>
      </c>
      <c r="GK31" t="e">
        <f>AND('Planilla_General_29-11-2012_10_'!A464,"AAAAAH51f8A=")</f>
        <v>#VALUE!</v>
      </c>
      <c r="GL31" t="e">
        <f>AND('Planilla_General_29-11-2012_10_'!B464,"AAAAAH51f8E=")</f>
        <v>#VALUE!</v>
      </c>
      <c r="GM31" t="e">
        <f>AND('Planilla_General_29-11-2012_10_'!C464,"AAAAAH51f8I=")</f>
        <v>#VALUE!</v>
      </c>
      <c r="GN31" t="e">
        <f>AND('Planilla_General_29-11-2012_10_'!D464,"AAAAAH51f8M=")</f>
        <v>#VALUE!</v>
      </c>
      <c r="GO31" t="e">
        <f>AND('Planilla_General_29-11-2012_10_'!E464,"AAAAAH51f8Q=")</f>
        <v>#VALUE!</v>
      </c>
      <c r="GP31" t="e">
        <f>AND('Planilla_General_29-11-2012_10_'!F464,"AAAAAH51f8U=")</f>
        <v>#VALUE!</v>
      </c>
      <c r="GQ31" t="e">
        <f>AND('Planilla_General_29-11-2012_10_'!G464,"AAAAAH51f8Y=")</f>
        <v>#VALUE!</v>
      </c>
      <c r="GR31" t="e">
        <f>AND('Planilla_General_29-11-2012_10_'!H464,"AAAAAH51f8c=")</f>
        <v>#VALUE!</v>
      </c>
      <c r="GS31" t="e">
        <f>AND('Planilla_General_29-11-2012_10_'!I464,"AAAAAH51f8g=")</f>
        <v>#VALUE!</v>
      </c>
      <c r="GT31" t="e">
        <f>AND('Planilla_General_29-11-2012_10_'!J464,"AAAAAH51f8k=")</f>
        <v>#VALUE!</v>
      </c>
      <c r="GU31" t="e">
        <f>AND('Planilla_General_29-11-2012_10_'!K464,"AAAAAH51f8o=")</f>
        <v>#VALUE!</v>
      </c>
      <c r="GV31" t="e">
        <f>AND('Planilla_General_29-11-2012_10_'!L464,"AAAAAH51f8s=")</f>
        <v>#VALUE!</v>
      </c>
      <c r="GW31" t="e">
        <f>AND('Planilla_General_29-11-2012_10_'!M464,"AAAAAH51f8w=")</f>
        <v>#VALUE!</v>
      </c>
      <c r="GX31" t="e">
        <f>AND('Planilla_General_29-11-2012_10_'!N464,"AAAAAH51f80=")</f>
        <v>#VALUE!</v>
      </c>
      <c r="GY31" t="e">
        <f>AND('Planilla_General_29-11-2012_10_'!O464,"AAAAAH51f84=")</f>
        <v>#VALUE!</v>
      </c>
      <c r="GZ31" t="e">
        <f>AND('Planilla_General_29-11-2012_10_'!P464,"AAAAAH51f88=")</f>
        <v>#VALUE!</v>
      </c>
      <c r="HA31">
        <f>IF('Planilla_General_29-11-2012_10_'!465:465,"AAAAAH51f9A=",0)</f>
        <v>0</v>
      </c>
      <c r="HB31" t="e">
        <f>AND('Planilla_General_29-11-2012_10_'!A465,"AAAAAH51f9E=")</f>
        <v>#VALUE!</v>
      </c>
      <c r="HC31" t="e">
        <f>AND('Planilla_General_29-11-2012_10_'!B465,"AAAAAH51f9I=")</f>
        <v>#VALUE!</v>
      </c>
      <c r="HD31" t="e">
        <f>AND('Planilla_General_29-11-2012_10_'!C465,"AAAAAH51f9M=")</f>
        <v>#VALUE!</v>
      </c>
      <c r="HE31" t="e">
        <f>AND('Planilla_General_29-11-2012_10_'!D465,"AAAAAH51f9Q=")</f>
        <v>#VALUE!</v>
      </c>
      <c r="HF31" t="e">
        <f>AND('Planilla_General_29-11-2012_10_'!E465,"AAAAAH51f9U=")</f>
        <v>#VALUE!</v>
      </c>
      <c r="HG31" t="e">
        <f>AND('Planilla_General_29-11-2012_10_'!F465,"AAAAAH51f9Y=")</f>
        <v>#VALUE!</v>
      </c>
      <c r="HH31" t="e">
        <f>AND('Planilla_General_29-11-2012_10_'!G465,"AAAAAH51f9c=")</f>
        <v>#VALUE!</v>
      </c>
      <c r="HI31" t="e">
        <f>AND('Planilla_General_29-11-2012_10_'!H465,"AAAAAH51f9g=")</f>
        <v>#VALUE!</v>
      </c>
      <c r="HJ31" t="e">
        <f>AND('Planilla_General_29-11-2012_10_'!I465,"AAAAAH51f9k=")</f>
        <v>#VALUE!</v>
      </c>
      <c r="HK31" t="e">
        <f>AND('Planilla_General_29-11-2012_10_'!J465,"AAAAAH51f9o=")</f>
        <v>#VALUE!</v>
      </c>
      <c r="HL31" t="e">
        <f>AND('Planilla_General_29-11-2012_10_'!K465,"AAAAAH51f9s=")</f>
        <v>#VALUE!</v>
      </c>
      <c r="HM31" t="e">
        <f>AND('Planilla_General_29-11-2012_10_'!L465,"AAAAAH51f9w=")</f>
        <v>#VALUE!</v>
      </c>
      <c r="HN31" t="e">
        <f>AND('Planilla_General_29-11-2012_10_'!M465,"AAAAAH51f90=")</f>
        <v>#VALUE!</v>
      </c>
      <c r="HO31" t="e">
        <f>AND('Planilla_General_29-11-2012_10_'!N465,"AAAAAH51f94=")</f>
        <v>#VALUE!</v>
      </c>
      <c r="HP31" t="e">
        <f>AND('Planilla_General_29-11-2012_10_'!O465,"AAAAAH51f98=")</f>
        <v>#VALUE!</v>
      </c>
      <c r="HQ31" t="e">
        <f>AND('Planilla_General_29-11-2012_10_'!P465,"AAAAAH51f+A=")</f>
        <v>#VALUE!</v>
      </c>
      <c r="HR31">
        <f>IF('Planilla_General_29-11-2012_10_'!466:466,"AAAAAH51f+E=",0)</f>
        <v>0</v>
      </c>
      <c r="HS31" t="e">
        <f>AND('Planilla_General_29-11-2012_10_'!A466,"AAAAAH51f+I=")</f>
        <v>#VALUE!</v>
      </c>
      <c r="HT31" t="e">
        <f>AND('Planilla_General_29-11-2012_10_'!B466,"AAAAAH51f+M=")</f>
        <v>#VALUE!</v>
      </c>
      <c r="HU31" t="e">
        <f>AND('Planilla_General_29-11-2012_10_'!C466,"AAAAAH51f+Q=")</f>
        <v>#VALUE!</v>
      </c>
      <c r="HV31" t="e">
        <f>AND('Planilla_General_29-11-2012_10_'!D466,"AAAAAH51f+U=")</f>
        <v>#VALUE!</v>
      </c>
      <c r="HW31" t="e">
        <f>AND('Planilla_General_29-11-2012_10_'!E466,"AAAAAH51f+Y=")</f>
        <v>#VALUE!</v>
      </c>
      <c r="HX31" t="e">
        <f>AND('Planilla_General_29-11-2012_10_'!F466,"AAAAAH51f+c=")</f>
        <v>#VALUE!</v>
      </c>
      <c r="HY31" t="e">
        <f>AND('Planilla_General_29-11-2012_10_'!G466,"AAAAAH51f+g=")</f>
        <v>#VALUE!</v>
      </c>
      <c r="HZ31" t="e">
        <f>AND('Planilla_General_29-11-2012_10_'!H466,"AAAAAH51f+k=")</f>
        <v>#VALUE!</v>
      </c>
      <c r="IA31" t="e">
        <f>AND('Planilla_General_29-11-2012_10_'!I466,"AAAAAH51f+o=")</f>
        <v>#VALUE!</v>
      </c>
      <c r="IB31" t="e">
        <f>AND('Planilla_General_29-11-2012_10_'!J466,"AAAAAH51f+s=")</f>
        <v>#VALUE!</v>
      </c>
      <c r="IC31" t="e">
        <f>AND('Planilla_General_29-11-2012_10_'!K466,"AAAAAH51f+w=")</f>
        <v>#VALUE!</v>
      </c>
      <c r="ID31" t="e">
        <f>AND('Planilla_General_29-11-2012_10_'!L466,"AAAAAH51f+0=")</f>
        <v>#VALUE!</v>
      </c>
      <c r="IE31" t="e">
        <f>AND('Planilla_General_29-11-2012_10_'!M466,"AAAAAH51f+4=")</f>
        <v>#VALUE!</v>
      </c>
      <c r="IF31" t="e">
        <f>AND('Planilla_General_29-11-2012_10_'!N466,"AAAAAH51f+8=")</f>
        <v>#VALUE!</v>
      </c>
      <c r="IG31" t="e">
        <f>AND('Planilla_General_29-11-2012_10_'!O466,"AAAAAH51f/A=")</f>
        <v>#VALUE!</v>
      </c>
      <c r="IH31" t="e">
        <f>AND('Planilla_General_29-11-2012_10_'!P466,"AAAAAH51f/E=")</f>
        <v>#VALUE!</v>
      </c>
      <c r="II31">
        <f>IF('Planilla_General_29-11-2012_10_'!467:467,"AAAAAH51f/I=",0)</f>
        <v>0</v>
      </c>
      <c r="IJ31" t="e">
        <f>AND('Planilla_General_29-11-2012_10_'!A467,"AAAAAH51f/M=")</f>
        <v>#VALUE!</v>
      </c>
      <c r="IK31" t="e">
        <f>AND('Planilla_General_29-11-2012_10_'!B467,"AAAAAH51f/Q=")</f>
        <v>#VALUE!</v>
      </c>
      <c r="IL31" t="e">
        <f>AND('Planilla_General_29-11-2012_10_'!C467,"AAAAAH51f/U=")</f>
        <v>#VALUE!</v>
      </c>
      <c r="IM31" t="e">
        <f>AND('Planilla_General_29-11-2012_10_'!D467,"AAAAAH51f/Y=")</f>
        <v>#VALUE!</v>
      </c>
      <c r="IN31" t="e">
        <f>AND('Planilla_General_29-11-2012_10_'!E467,"AAAAAH51f/c=")</f>
        <v>#VALUE!</v>
      </c>
      <c r="IO31" t="e">
        <f>AND('Planilla_General_29-11-2012_10_'!F467,"AAAAAH51f/g=")</f>
        <v>#VALUE!</v>
      </c>
      <c r="IP31" t="e">
        <f>AND('Planilla_General_29-11-2012_10_'!G467,"AAAAAH51f/k=")</f>
        <v>#VALUE!</v>
      </c>
      <c r="IQ31" t="e">
        <f>AND('Planilla_General_29-11-2012_10_'!H467,"AAAAAH51f/o=")</f>
        <v>#VALUE!</v>
      </c>
      <c r="IR31" t="e">
        <f>AND('Planilla_General_29-11-2012_10_'!I467,"AAAAAH51f/s=")</f>
        <v>#VALUE!</v>
      </c>
      <c r="IS31" t="e">
        <f>AND('Planilla_General_29-11-2012_10_'!J467,"AAAAAH51f/w=")</f>
        <v>#VALUE!</v>
      </c>
      <c r="IT31" t="e">
        <f>AND('Planilla_General_29-11-2012_10_'!K467,"AAAAAH51f/0=")</f>
        <v>#VALUE!</v>
      </c>
      <c r="IU31" t="e">
        <f>AND('Planilla_General_29-11-2012_10_'!L467,"AAAAAH51f/4=")</f>
        <v>#VALUE!</v>
      </c>
      <c r="IV31" t="e">
        <f>AND('Planilla_General_29-11-2012_10_'!M467,"AAAAAH51f/8=")</f>
        <v>#VALUE!</v>
      </c>
    </row>
    <row r="32" spans="1:256" x14ac:dyDescent="0.25">
      <c r="A32" t="e">
        <f>AND('Planilla_General_29-11-2012_10_'!N467,"AAAAAH/c9wA=")</f>
        <v>#VALUE!</v>
      </c>
      <c r="B32" t="e">
        <f>AND('Planilla_General_29-11-2012_10_'!O467,"AAAAAH/c9wE=")</f>
        <v>#VALUE!</v>
      </c>
      <c r="C32" t="e">
        <f>AND('Planilla_General_29-11-2012_10_'!P467,"AAAAAH/c9wI=")</f>
        <v>#VALUE!</v>
      </c>
      <c r="D32" t="e">
        <f>IF('Planilla_General_29-11-2012_10_'!468:468,"AAAAAH/c9wM=",0)</f>
        <v>#VALUE!</v>
      </c>
      <c r="E32" t="e">
        <f>AND('Planilla_General_29-11-2012_10_'!A468,"AAAAAH/c9wQ=")</f>
        <v>#VALUE!</v>
      </c>
      <c r="F32" t="e">
        <f>AND('Planilla_General_29-11-2012_10_'!B468,"AAAAAH/c9wU=")</f>
        <v>#VALUE!</v>
      </c>
      <c r="G32" t="e">
        <f>AND('Planilla_General_29-11-2012_10_'!C468,"AAAAAH/c9wY=")</f>
        <v>#VALUE!</v>
      </c>
      <c r="H32" t="e">
        <f>AND('Planilla_General_29-11-2012_10_'!D468,"AAAAAH/c9wc=")</f>
        <v>#VALUE!</v>
      </c>
      <c r="I32" t="e">
        <f>AND('Planilla_General_29-11-2012_10_'!E468,"AAAAAH/c9wg=")</f>
        <v>#VALUE!</v>
      </c>
      <c r="J32" t="e">
        <f>AND('Planilla_General_29-11-2012_10_'!F468,"AAAAAH/c9wk=")</f>
        <v>#VALUE!</v>
      </c>
      <c r="K32" t="e">
        <f>AND('Planilla_General_29-11-2012_10_'!G468,"AAAAAH/c9wo=")</f>
        <v>#VALUE!</v>
      </c>
      <c r="L32" t="e">
        <f>AND('Planilla_General_29-11-2012_10_'!H468,"AAAAAH/c9ws=")</f>
        <v>#VALUE!</v>
      </c>
      <c r="M32" t="e">
        <f>AND('Planilla_General_29-11-2012_10_'!I468,"AAAAAH/c9ww=")</f>
        <v>#VALUE!</v>
      </c>
      <c r="N32" t="e">
        <f>AND('Planilla_General_29-11-2012_10_'!J468,"AAAAAH/c9w0=")</f>
        <v>#VALUE!</v>
      </c>
      <c r="O32" t="e">
        <f>AND('Planilla_General_29-11-2012_10_'!K468,"AAAAAH/c9w4=")</f>
        <v>#VALUE!</v>
      </c>
      <c r="P32" t="e">
        <f>AND('Planilla_General_29-11-2012_10_'!L468,"AAAAAH/c9w8=")</f>
        <v>#VALUE!</v>
      </c>
      <c r="Q32" t="e">
        <f>AND('Planilla_General_29-11-2012_10_'!M468,"AAAAAH/c9xA=")</f>
        <v>#VALUE!</v>
      </c>
      <c r="R32" t="e">
        <f>AND('Planilla_General_29-11-2012_10_'!N468,"AAAAAH/c9xE=")</f>
        <v>#VALUE!</v>
      </c>
      <c r="S32" t="e">
        <f>AND('Planilla_General_29-11-2012_10_'!O468,"AAAAAH/c9xI=")</f>
        <v>#VALUE!</v>
      </c>
      <c r="T32" t="e">
        <f>AND('Planilla_General_29-11-2012_10_'!P468,"AAAAAH/c9xM=")</f>
        <v>#VALUE!</v>
      </c>
      <c r="U32">
        <f>IF('Planilla_General_29-11-2012_10_'!469:469,"AAAAAH/c9xQ=",0)</f>
        <v>0</v>
      </c>
      <c r="V32" t="e">
        <f>AND('Planilla_General_29-11-2012_10_'!A469,"AAAAAH/c9xU=")</f>
        <v>#VALUE!</v>
      </c>
      <c r="W32" t="e">
        <f>AND('Planilla_General_29-11-2012_10_'!B469,"AAAAAH/c9xY=")</f>
        <v>#VALUE!</v>
      </c>
      <c r="X32" t="e">
        <f>AND('Planilla_General_29-11-2012_10_'!C469,"AAAAAH/c9xc=")</f>
        <v>#VALUE!</v>
      </c>
      <c r="Y32" t="e">
        <f>AND('Planilla_General_29-11-2012_10_'!D469,"AAAAAH/c9xg=")</f>
        <v>#VALUE!</v>
      </c>
      <c r="Z32" t="e">
        <f>AND('Planilla_General_29-11-2012_10_'!E469,"AAAAAH/c9xk=")</f>
        <v>#VALUE!</v>
      </c>
      <c r="AA32" t="e">
        <f>AND('Planilla_General_29-11-2012_10_'!F469,"AAAAAH/c9xo=")</f>
        <v>#VALUE!</v>
      </c>
      <c r="AB32" t="e">
        <f>AND('Planilla_General_29-11-2012_10_'!G469,"AAAAAH/c9xs=")</f>
        <v>#VALUE!</v>
      </c>
      <c r="AC32" t="e">
        <f>AND('Planilla_General_29-11-2012_10_'!H469,"AAAAAH/c9xw=")</f>
        <v>#VALUE!</v>
      </c>
      <c r="AD32" t="e">
        <f>AND('Planilla_General_29-11-2012_10_'!I469,"AAAAAH/c9x0=")</f>
        <v>#VALUE!</v>
      </c>
      <c r="AE32" t="e">
        <f>AND('Planilla_General_29-11-2012_10_'!J469,"AAAAAH/c9x4=")</f>
        <v>#VALUE!</v>
      </c>
      <c r="AF32" t="e">
        <f>AND('Planilla_General_29-11-2012_10_'!K469,"AAAAAH/c9x8=")</f>
        <v>#VALUE!</v>
      </c>
      <c r="AG32" t="e">
        <f>AND('Planilla_General_29-11-2012_10_'!L469,"AAAAAH/c9yA=")</f>
        <v>#VALUE!</v>
      </c>
      <c r="AH32" t="e">
        <f>AND('Planilla_General_29-11-2012_10_'!M469,"AAAAAH/c9yE=")</f>
        <v>#VALUE!</v>
      </c>
      <c r="AI32" t="e">
        <f>AND('Planilla_General_29-11-2012_10_'!N469,"AAAAAH/c9yI=")</f>
        <v>#VALUE!</v>
      </c>
      <c r="AJ32" t="e">
        <f>AND('Planilla_General_29-11-2012_10_'!O469,"AAAAAH/c9yM=")</f>
        <v>#VALUE!</v>
      </c>
      <c r="AK32" t="e">
        <f>AND('Planilla_General_29-11-2012_10_'!P469,"AAAAAH/c9yQ=")</f>
        <v>#VALUE!</v>
      </c>
      <c r="AL32">
        <f>IF('Planilla_General_29-11-2012_10_'!470:470,"AAAAAH/c9yU=",0)</f>
        <v>0</v>
      </c>
      <c r="AM32" t="e">
        <f>AND('Planilla_General_29-11-2012_10_'!A470,"AAAAAH/c9yY=")</f>
        <v>#VALUE!</v>
      </c>
      <c r="AN32" t="e">
        <f>AND('Planilla_General_29-11-2012_10_'!B470,"AAAAAH/c9yc=")</f>
        <v>#VALUE!</v>
      </c>
      <c r="AO32" t="e">
        <f>AND('Planilla_General_29-11-2012_10_'!C470,"AAAAAH/c9yg=")</f>
        <v>#VALUE!</v>
      </c>
      <c r="AP32" t="e">
        <f>AND('Planilla_General_29-11-2012_10_'!D470,"AAAAAH/c9yk=")</f>
        <v>#VALUE!</v>
      </c>
      <c r="AQ32" t="e">
        <f>AND('Planilla_General_29-11-2012_10_'!E470,"AAAAAH/c9yo=")</f>
        <v>#VALUE!</v>
      </c>
      <c r="AR32" t="e">
        <f>AND('Planilla_General_29-11-2012_10_'!F470,"AAAAAH/c9ys=")</f>
        <v>#VALUE!</v>
      </c>
      <c r="AS32" t="e">
        <f>AND('Planilla_General_29-11-2012_10_'!G470,"AAAAAH/c9yw=")</f>
        <v>#VALUE!</v>
      </c>
      <c r="AT32" t="e">
        <f>AND('Planilla_General_29-11-2012_10_'!H470,"AAAAAH/c9y0=")</f>
        <v>#VALUE!</v>
      </c>
      <c r="AU32" t="e">
        <f>AND('Planilla_General_29-11-2012_10_'!I470,"AAAAAH/c9y4=")</f>
        <v>#VALUE!</v>
      </c>
      <c r="AV32" t="e">
        <f>AND('Planilla_General_29-11-2012_10_'!J470,"AAAAAH/c9y8=")</f>
        <v>#VALUE!</v>
      </c>
      <c r="AW32" t="e">
        <f>AND('Planilla_General_29-11-2012_10_'!K470,"AAAAAH/c9zA=")</f>
        <v>#VALUE!</v>
      </c>
      <c r="AX32" t="e">
        <f>AND('Planilla_General_29-11-2012_10_'!L470,"AAAAAH/c9zE=")</f>
        <v>#VALUE!</v>
      </c>
      <c r="AY32" t="e">
        <f>AND('Planilla_General_29-11-2012_10_'!M470,"AAAAAH/c9zI=")</f>
        <v>#VALUE!</v>
      </c>
      <c r="AZ32" t="e">
        <f>AND('Planilla_General_29-11-2012_10_'!N470,"AAAAAH/c9zM=")</f>
        <v>#VALUE!</v>
      </c>
      <c r="BA32" t="e">
        <f>AND('Planilla_General_29-11-2012_10_'!O470,"AAAAAH/c9zQ=")</f>
        <v>#VALUE!</v>
      </c>
      <c r="BB32" t="e">
        <f>AND('Planilla_General_29-11-2012_10_'!P470,"AAAAAH/c9zU=")</f>
        <v>#VALUE!</v>
      </c>
      <c r="BC32">
        <f>IF('Planilla_General_29-11-2012_10_'!471:471,"AAAAAH/c9zY=",0)</f>
        <v>0</v>
      </c>
      <c r="BD32" t="e">
        <f>AND('Planilla_General_29-11-2012_10_'!A471,"AAAAAH/c9zc=")</f>
        <v>#VALUE!</v>
      </c>
      <c r="BE32" t="e">
        <f>AND('Planilla_General_29-11-2012_10_'!B471,"AAAAAH/c9zg=")</f>
        <v>#VALUE!</v>
      </c>
      <c r="BF32" t="e">
        <f>AND('Planilla_General_29-11-2012_10_'!C471,"AAAAAH/c9zk=")</f>
        <v>#VALUE!</v>
      </c>
      <c r="BG32" t="e">
        <f>AND('Planilla_General_29-11-2012_10_'!D471,"AAAAAH/c9zo=")</f>
        <v>#VALUE!</v>
      </c>
      <c r="BH32" t="e">
        <f>AND('Planilla_General_29-11-2012_10_'!E471,"AAAAAH/c9zs=")</f>
        <v>#VALUE!</v>
      </c>
      <c r="BI32" t="e">
        <f>AND('Planilla_General_29-11-2012_10_'!F471,"AAAAAH/c9zw=")</f>
        <v>#VALUE!</v>
      </c>
      <c r="BJ32" t="e">
        <f>AND('Planilla_General_29-11-2012_10_'!G471,"AAAAAH/c9z0=")</f>
        <v>#VALUE!</v>
      </c>
      <c r="BK32" t="e">
        <f>AND('Planilla_General_29-11-2012_10_'!H471,"AAAAAH/c9z4=")</f>
        <v>#VALUE!</v>
      </c>
      <c r="BL32" t="e">
        <f>AND('Planilla_General_29-11-2012_10_'!I471,"AAAAAH/c9z8=")</f>
        <v>#VALUE!</v>
      </c>
      <c r="BM32" t="e">
        <f>AND('Planilla_General_29-11-2012_10_'!J471,"AAAAAH/c90A=")</f>
        <v>#VALUE!</v>
      </c>
      <c r="BN32" t="e">
        <f>AND('Planilla_General_29-11-2012_10_'!K471,"AAAAAH/c90E=")</f>
        <v>#VALUE!</v>
      </c>
      <c r="BO32" t="e">
        <f>AND('Planilla_General_29-11-2012_10_'!L471,"AAAAAH/c90I=")</f>
        <v>#VALUE!</v>
      </c>
      <c r="BP32" t="e">
        <f>AND('Planilla_General_29-11-2012_10_'!M471,"AAAAAH/c90M=")</f>
        <v>#VALUE!</v>
      </c>
      <c r="BQ32" t="e">
        <f>AND('Planilla_General_29-11-2012_10_'!N471,"AAAAAH/c90Q=")</f>
        <v>#VALUE!</v>
      </c>
      <c r="BR32" t="e">
        <f>AND('Planilla_General_29-11-2012_10_'!O471,"AAAAAH/c90U=")</f>
        <v>#VALUE!</v>
      </c>
      <c r="BS32" t="e">
        <f>AND('Planilla_General_29-11-2012_10_'!P471,"AAAAAH/c90Y=")</f>
        <v>#VALUE!</v>
      </c>
      <c r="BT32">
        <f>IF('Planilla_General_29-11-2012_10_'!472:472,"AAAAAH/c90c=",0)</f>
        <v>0</v>
      </c>
      <c r="BU32" t="e">
        <f>AND('Planilla_General_29-11-2012_10_'!A472,"AAAAAH/c90g=")</f>
        <v>#VALUE!</v>
      </c>
      <c r="BV32" t="e">
        <f>AND('Planilla_General_29-11-2012_10_'!B472,"AAAAAH/c90k=")</f>
        <v>#VALUE!</v>
      </c>
      <c r="BW32" t="e">
        <f>AND('Planilla_General_29-11-2012_10_'!C472,"AAAAAH/c90o=")</f>
        <v>#VALUE!</v>
      </c>
      <c r="BX32" t="e">
        <f>AND('Planilla_General_29-11-2012_10_'!D472,"AAAAAH/c90s=")</f>
        <v>#VALUE!</v>
      </c>
      <c r="BY32" t="e">
        <f>AND('Planilla_General_29-11-2012_10_'!E472,"AAAAAH/c90w=")</f>
        <v>#VALUE!</v>
      </c>
      <c r="BZ32" t="e">
        <f>AND('Planilla_General_29-11-2012_10_'!F472,"AAAAAH/c900=")</f>
        <v>#VALUE!</v>
      </c>
      <c r="CA32" t="e">
        <f>AND('Planilla_General_29-11-2012_10_'!G472,"AAAAAH/c904=")</f>
        <v>#VALUE!</v>
      </c>
      <c r="CB32" t="e">
        <f>AND('Planilla_General_29-11-2012_10_'!H472,"AAAAAH/c908=")</f>
        <v>#VALUE!</v>
      </c>
      <c r="CC32" t="e">
        <f>AND('Planilla_General_29-11-2012_10_'!I472,"AAAAAH/c91A=")</f>
        <v>#VALUE!</v>
      </c>
      <c r="CD32" t="e">
        <f>AND('Planilla_General_29-11-2012_10_'!J472,"AAAAAH/c91E=")</f>
        <v>#VALUE!</v>
      </c>
      <c r="CE32" t="e">
        <f>AND('Planilla_General_29-11-2012_10_'!K472,"AAAAAH/c91I=")</f>
        <v>#VALUE!</v>
      </c>
      <c r="CF32" t="e">
        <f>AND('Planilla_General_29-11-2012_10_'!L472,"AAAAAH/c91M=")</f>
        <v>#VALUE!</v>
      </c>
      <c r="CG32" t="e">
        <f>AND('Planilla_General_29-11-2012_10_'!M472,"AAAAAH/c91Q=")</f>
        <v>#VALUE!</v>
      </c>
      <c r="CH32" t="e">
        <f>AND('Planilla_General_29-11-2012_10_'!N472,"AAAAAH/c91U=")</f>
        <v>#VALUE!</v>
      </c>
      <c r="CI32" t="e">
        <f>AND('Planilla_General_29-11-2012_10_'!O472,"AAAAAH/c91Y=")</f>
        <v>#VALUE!</v>
      </c>
      <c r="CJ32" t="e">
        <f>AND('Planilla_General_29-11-2012_10_'!P472,"AAAAAH/c91c=")</f>
        <v>#VALUE!</v>
      </c>
      <c r="CK32">
        <f>IF('Planilla_General_29-11-2012_10_'!473:473,"AAAAAH/c91g=",0)</f>
        <v>0</v>
      </c>
      <c r="CL32" t="e">
        <f>AND('Planilla_General_29-11-2012_10_'!A473,"AAAAAH/c91k=")</f>
        <v>#VALUE!</v>
      </c>
      <c r="CM32" t="e">
        <f>AND('Planilla_General_29-11-2012_10_'!B473,"AAAAAH/c91o=")</f>
        <v>#VALUE!</v>
      </c>
      <c r="CN32" t="e">
        <f>AND('Planilla_General_29-11-2012_10_'!C473,"AAAAAH/c91s=")</f>
        <v>#VALUE!</v>
      </c>
      <c r="CO32" t="e">
        <f>AND('Planilla_General_29-11-2012_10_'!D473,"AAAAAH/c91w=")</f>
        <v>#VALUE!</v>
      </c>
      <c r="CP32" t="e">
        <f>AND('Planilla_General_29-11-2012_10_'!E473,"AAAAAH/c910=")</f>
        <v>#VALUE!</v>
      </c>
      <c r="CQ32" t="e">
        <f>AND('Planilla_General_29-11-2012_10_'!F473,"AAAAAH/c914=")</f>
        <v>#VALUE!</v>
      </c>
      <c r="CR32" t="e">
        <f>AND('Planilla_General_29-11-2012_10_'!G473,"AAAAAH/c918=")</f>
        <v>#VALUE!</v>
      </c>
      <c r="CS32" t="e">
        <f>AND('Planilla_General_29-11-2012_10_'!H473,"AAAAAH/c92A=")</f>
        <v>#VALUE!</v>
      </c>
      <c r="CT32" t="e">
        <f>AND('Planilla_General_29-11-2012_10_'!I473,"AAAAAH/c92E=")</f>
        <v>#VALUE!</v>
      </c>
      <c r="CU32" t="e">
        <f>AND('Planilla_General_29-11-2012_10_'!J473,"AAAAAH/c92I=")</f>
        <v>#VALUE!</v>
      </c>
      <c r="CV32" t="e">
        <f>AND('Planilla_General_29-11-2012_10_'!K473,"AAAAAH/c92M=")</f>
        <v>#VALUE!</v>
      </c>
      <c r="CW32" t="e">
        <f>AND('Planilla_General_29-11-2012_10_'!L473,"AAAAAH/c92Q=")</f>
        <v>#VALUE!</v>
      </c>
      <c r="CX32" t="e">
        <f>AND('Planilla_General_29-11-2012_10_'!M473,"AAAAAH/c92U=")</f>
        <v>#VALUE!</v>
      </c>
      <c r="CY32" t="e">
        <f>AND('Planilla_General_29-11-2012_10_'!N473,"AAAAAH/c92Y=")</f>
        <v>#VALUE!</v>
      </c>
      <c r="CZ32" t="e">
        <f>AND('Planilla_General_29-11-2012_10_'!O473,"AAAAAH/c92c=")</f>
        <v>#VALUE!</v>
      </c>
      <c r="DA32" t="e">
        <f>AND('Planilla_General_29-11-2012_10_'!P473,"AAAAAH/c92g=")</f>
        <v>#VALUE!</v>
      </c>
      <c r="DB32">
        <f>IF('Planilla_General_29-11-2012_10_'!474:474,"AAAAAH/c92k=",0)</f>
        <v>0</v>
      </c>
      <c r="DC32" t="e">
        <f>AND('Planilla_General_29-11-2012_10_'!A474,"AAAAAH/c92o=")</f>
        <v>#VALUE!</v>
      </c>
      <c r="DD32" t="e">
        <f>AND('Planilla_General_29-11-2012_10_'!B474,"AAAAAH/c92s=")</f>
        <v>#VALUE!</v>
      </c>
      <c r="DE32" t="e">
        <f>AND('Planilla_General_29-11-2012_10_'!C474,"AAAAAH/c92w=")</f>
        <v>#VALUE!</v>
      </c>
      <c r="DF32" t="e">
        <f>AND('Planilla_General_29-11-2012_10_'!D474,"AAAAAH/c920=")</f>
        <v>#VALUE!</v>
      </c>
      <c r="DG32" t="e">
        <f>AND('Planilla_General_29-11-2012_10_'!E474,"AAAAAH/c924=")</f>
        <v>#VALUE!</v>
      </c>
      <c r="DH32" t="e">
        <f>AND('Planilla_General_29-11-2012_10_'!F474,"AAAAAH/c928=")</f>
        <v>#VALUE!</v>
      </c>
      <c r="DI32" t="e">
        <f>AND('Planilla_General_29-11-2012_10_'!G474,"AAAAAH/c93A=")</f>
        <v>#VALUE!</v>
      </c>
      <c r="DJ32" t="e">
        <f>AND('Planilla_General_29-11-2012_10_'!H474,"AAAAAH/c93E=")</f>
        <v>#VALUE!</v>
      </c>
      <c r="DK32" t="e">
        <f>AND('Planilla_General_29-11-2012_10_'!I474,"AAAAAH/c93I=")</f>
        <v>#VALUE!</v>
      </c>
      <c r="DL32" t="e">
        <f>AND('Planilla_General_29-11-2012_10_'!J474,"AAAAAH/c93M=")</f>
        <v>#VALUE!</v>
      </c>
      <c r="DM32" t="e">
        <f>AND('Planilla_General_29-11-2012_10_'!K474,"AAAAAH/c93Q=")</f>
        <v>#VALUE!</v>
      </c>
      <c r="DN32" t="e">
        <f>AND('Planilla_General_29-11-2012_10_'!L474,"AAAAAH/c93U=")</f>
        <v>#VALUE!</v>
      </c>
      <c r="DO32" t="e">
        <f>AND('Planilla_General_29-11-2012_10_'!M474,"AAAAAH/c93Y=")</f>
        <v>#VALUE!</v>
      </c>
      <c r="DP32" t="e">
        <f>AND('Planilla_General_29-11-2012_10_'!N474,"AAAAAH/c93c=")</f>
        <v>#VALUE!</v>
      </c>
      <c r="DQ32" t="e">
        <f>AND('Planilla_General_29-11-2012_10_'!O474,"AAAAAH/c93g=")</f>
        <v>#VALUE!</v>
      </c>
      <c r="DR32" t="e">
        <f>AND('Planilla_General_29-11-2012_10_'!P474,"AAAAAH/c93k=")</f>
        <v>#VALUE!</v>
      </c>
      <c r="DS32">
        <f>IF('Planilla_General_29-11-2012_10_'!475:475,"AAAAAH/c93o=",0)</f>
        <v>0</v>
      </c>
      <c r="DT32" t="e">
        <f>AND('Planilla_General_29-11-2012_10_'!A475,"AAAAAH/c93s=")</f>
        <v>#VALUE!</v>
      </c>
      <c r="DU32" t="e">
        <f>AND('Planilla_General_29-11-2012_10_'!B475,"AAAAAH/c93w=")</f>
        <v>#VALUE!</v>
      </c>
      <c r="DV32" t="e">
        <f>AND('Planilla_General_29-11-2012_10_'!C475,"AAAAAH/c930=")</f>
        <v>#VALUE!</v>
      </c>
      <c r="DW32" t="e">
        <f>AND('Planilla_General_29-11-2012_10_'!D475,"AAAAAH/c934=")</f>
        <v>#VALUE!</v>
      </c>
      <c r="DX32" t="e">
        <f>AND('Planilla_General_29-11-2012_10_'!E475,"AAAAAH/c938=")</f>
        <v>#VALUE!</v>
      </c>
      <c r="DY32" t="e">
        <f>AND('Planilla_General_29-11-2012_10_'!F475,"AAAAAH/c94A=")</f>
        <v>#VALUE!</v>
      </c>
      <c r="DZ32" t="e">
        <f>AND('Planilla_General_29-11-2012_10_'!G475,"AAAAAH/c94E=")</f>
        <v>#VALUE!</v>
      </c>
      <c r="EA32" t="e">
        <f>AND('Planilla_General_29-11-2012_10_'!H475,"AAAAAH/c94I=")</f>
        <v>#VALUE!</v>
      </c>
      <c r="EB32" t="e">
        <f>AND('Planilla_General_29-11-2012_10_'!I475,"AAAAAH/c94M=")</f>
        <v>#VALUE!</v>
      </c>
      <c r="EC32" t="e">
        <f>AND('Planilla_General_29-11-2012_10_'!J475,"AAAAAH/c94Q=")</f>
        <v>#VALUE!</v>
      </c>
      <c r="ED32" t="e">
        <f>AND('Planilla_General_29-11-2012_10_'!K475,"AAAAAH/c94U=")</f>
        <v>#VALUE!</v>
      </c>
      <c r="EE32" t="e">
        <f>AND('Planilla_General_29-11-2012_10_'!L475,"AAAAAH/c94Y=")</f>
        <v>#VALUE!</v>
      </c>
      <c r="EF32" t="e">
        <f>AND('Planilla_General_29-11-2012_10_'!M475,"AAAAAH/c94c=")</f>
        <v>#VALUE!</v>
      </c>
      <c r="EG32" t="e">
        <f>AND('Planilla_General_29-11-2012_10_'!N475,"AAAAAH/c94g=")</f>
        <v>#VALUE!</v>
      </c>
      <c r="EH32" t="e">
        <f>AND('Planilla_General_29-11-2012_10_'!O475,"AAAAAH/c94k=")</f>
        <v>#VALUE!</v>
      </c>
      <c r="EI32" t="e">
        <f>AND('Planilla_General_29-11-2012_10_'!P475,"AAAAAH/c94o=")</f>
        <v>#VALUE!</v>
      </c>
      <c r="EJ32">
        <f>IF('Planilla_General_29-11-2012_10_'!476:476,"AAAAAH/c94s=",0)</f>
        <v>0</v>
      </c>
      <c r="EK32" t="e">
        <f>AND('Planilla_General_29-11-2012_10_'!A476,"AAAAAH/c94w=")</f>
        <v>#VALUE!</v>
      </c>
      <c r="EL32" t="e">
        <f>AND('Planilla_General_29-11-2012_10_'!B476,"AAAAAH/c940=")</f>
        <v>#VALUE!</v>
      </c>
      <c r="EM32" t="e">
        <f>AND('Planilla_General_29-11-2012_10_'!C476,"AAAAAH/c944=")</f>
        <v>#VALUE!</v>
      </c>
      <c r="EN32" t="e">
        <f>AND('Planilla_General_29-11-2012_10_'!D476,"AAAAAH/c948=")</f>
        <v>#VALUE!</v>
      </c>
      <c r="EO32" t="e">
        <f>AND('Planilla_General_29-11-2012_10_'!E476,"AAAAAH/c95A=")</f>
        <v>#VALUE!</v>
      </c>
      <c r="EP32" t="e">
        <f>AND('Planilla_General_29-11-2012_10_'!F476,"AAAAAH/c95E=")</f>
        <v>#VALUE!</v>
      </c>
      <c r="EQ32" t="e">
        <f>AND('Planilla_General_29-11-2012_10_'!G476,"AAAAAH/c95I=")</f>
        <v>#VALUE!</v>
      </c>
      <c r="ER32" t="e">
        <f>AND('Planilla_General_29-11-2012_10_'!H476,"AAAAAH/c95M=")</f>
        <v>#VALUE!</v>
      </c>
      <c r="ES32" t="e">
        <f>AND('Planilla_General_29-11-2012_10_'!I476,"AAAAAH/c95Q=")</f>
        <v>#VALUE!</v>
      </c>
      <c r="ET32" t="e">
        <f>AND('Planilla_General_29-11-2012_10_'!J476,"AAAAAH/c95U=")</f>
        <v>#VALUE!</v>
      </c>
      <c r="EU32" t="e">
        <f>AND('Planilla_General_29-11-2012_10_'!K476,"AAAAAH/c95Y=")</f>
        <v>#VALUE!</v>
      </c>
      <c r="EV32" t="e">
        <f>AND('Planilla_General_29-11-2012_10_'!L476,"AAAAAH/c95c=")</f>
        <v>#VALUE!</v>
      </c>
      <c r="EW32" t="e">
        <f>AND('Planilla_General_29-11-2012_10_'!M476,"AAAAAH/c95g=")</f>
        <v>#VALUE!</v>
      </c>
      <c r="EX32" t="e">
        <f>AND('Planilla_General_29-11-2012_10_'!N476,"AAAAAH/c95k=")</f>
        <v>#VALUE!</v>
      </c>
      <c r="EY32" t="e">
        <f>AND('Planilla_General_29-11-2012_10_'!O476,"AAAAAH/c95o=")</f>
        <v>#VALUE!</v>
      </c>
      <c r="EZ32" t="e">
        <f>AND('Planilla_General_29-11-2012_10_'!P476,"AAAAAH/c95s=")</f>
        <v>#VALUE!</v>
      </c>
      <c r="FA32">
        <f>IF('Planilla_General_29-11-2012_10_'!477:477,"AAAAAH/c95w=",0)</f>
        <v>0</v>
      </c>
      <c r="FB32" t="e">
        <f>AND('Planilla_General_29-11-2012_10_'!A477,"AAAAAH/c950=")</f>
        <v>#VALUE!</v>
      </c>
      <c r="FC32" t="e">
        <f>AND('Planilla_General_29-11-2012_10_'!B477,"AAAAAH/c954=")</f>
        <v>#VALUE!</v>
      </c>
      <c r="FD32" t="e">
        <f>AND('Planilla_General_29-11-2012_10_'!C477,"AAAAAH/c958=")</f>
        <v>#VALUE!</v>
      </c>
      <c r="FE32" t="e">
        <f>AND('Planilla_General_29-11-2012_10_'!D477,"AAAAAH/c96A=")</f>
        <v>#VALUE!</v>
      </c>
      <c r="FF32" t="e">
        <f>AND('Planilla_General_29-11-2012_10_'!E477,"AAAAAH/c96E=")</f>
        <v>#VALUE!</v>
      </c>
      <c r="FG32" t="e">
        <f>AND('Planilla_General_29-11-2012_10_'!F477,"AAAAAH/c96I=")</f>
        <v>#VALUE!</v>
      </c>
      <c r="FH32" t="e">
        <f>AND('Planilla_General_29-11-2012_10_'!G477,"AAAAAH/c96M=")</f>
        <v>#VALUE!</v>
      </c>
      <c r="FI32" t="e">
        <f>AND('Planilla_General_29-11-2012_10_'!H477,"AAAAAH/c96Q=")</f>
        <v>#VALUE!</v>
      </c>
      <c r="FJ32" t="e">
        <f>AND('Planilla_General_29-11-2012_10_'!I477,"AAAAAH/c96U=")</f>
        <v>#VALUE!</v>
      </c>
      <c r="FK32" t="e">
        <f>AND('Planilla_General_29-11-2012_10_'!J477,"AAAAAH/c96Y=")</f>
        <v>#VALUE!</v>
      </c>
      <c r="FL32" t="e">
        <f>AND('Planilla_General_29-11-2012_10_'!K477,"AAAAAH/c96c=")</f>
        <v>#VALUE!</v>
      </c>
      <c r="FM32" t="e">
        <f>AND('Planilla_General_29-11-2012_10_'!L477,"AAAAAH/c96g=")</f>
        <v>#VALUE!</v>
      </c>
      <c r="FN32" t="e">
        <f>AND('Planilla_General_29-11-2012_10_'!M477,"AAAAAH/c96k=")</f>
        <v>#VALUE!</v>
      </c>
      <c r="FO32" t="e">
        <f>AND('Planilla_General_29-11-2012_10_'!N477,"AAAAAH/c96o=")</f>
        <v>#VALUE!</v>
      </c>
      <c r="FP32" t="e">
        <f>AND('Planilla_General_29-11-2012_10_'!O477,"AAAAAH/c96s=")</f>
        <v>#VALUE!</v>
      </c>
      <c r="FQ32" t="e">
        <f>AND('Planilla_General_29-11-2012_10_'!P477,"AAAAAH/c96w=")</f>
        <v>#VALUE!</v>
      </c>
      <c r="FR32">
        <f>IF('Planilla_General_29-11-2012_10_'!478:478,"AAAAAH/c960=",0)</f>
        <v>0</v>
      </c>
      <c r="FS32" t="e">
        <f>AND('Planilla_General_29-11-2012_10_'!A478,"AAAAAH/c964=")</f>
        <v>#VALUE!</v>
      </c>
      <c r="FT32" t="e">
        <f>AND('Planilla_General_29-11-2012_10_'!B478,"AAAAAH/c968=")</f>
        <v>#VALUE!</v>
      </c>
      <c r="FU32" t="e">
        <f>AND('Planilla_General_29-11-2012_10_'!C478,"AAAAAH/c97A=")</f>
        <v>#VALUE!</v>
      </c>
      <c r="FV32" t="e">
        <f>AND('Planilla_General_29-11-2012_10_'!D478,"AAAAAH/c97E=")</f>
        <v>#VALUE!</v>
      </c>
      <c r="FW32" t="e">
        <f>AND('Planilla_General_29-11-2012_10_'!E478,"AAAAAH/c97I=")</f>
        <v>#VALUE!</v>
      </c>
      <c r="FX32" t="e">
        <f>AND('Planilla_General_29-11-2012_10_'!F478,"AAAAAH/c97M=")</f>
        <v>#VALUE!</v>
      </c>
      <c r="FY32" t="e">
        <f>AND('Planilla_General_29-11-2012_10_'!G478,"AAAAAH/c97Q=")</f>
        <v>#VALUE!</v>
      </c>
      <c r="FZ32" t="e">
        <f>AND('Planilla_General_29-11-2012_10_'!H478,"AAAAAH/c97U=")</f>
        <v>#VALUE!</v>
      </c>
      <c r="GA32" t="e">
        <f>AND('Planilla_General_29-11-2012_10_'!I478,"AAAAAH/c97Y=")</f>
        <v>#VALUE!</v>
      </c>
      <c r="GB32" t="e">
        <f>AND('Planilla_General_29-11-2012_10_'!J478,"AAAAAH/c97c=")</f>
        <v>#VALUE!</v>
      </c>
      <c r="GC32" t="e">
        <f>AND('Planilla_General_29-11-2012_10_'!K478,"AAAAAH/c97g=")</f>
        <v>#VALUE!</v>
      </c>
      <c r="GD32" t="e">
        <f>AND('Planilla_General_29-11-2012_10_'!L478,"AAAAAH/c97k=")</f>
        <v>#VALUE!</v>
      </c>
      <c r="GE32" t="e">
        <f>AND('Planilla_General_29-11-2012_10_'!M478,"AAAAAH/c97o=")</f>
        <v>#VALUE!</v>
      </c>
      <c r="GF32" t="e">
        <f>AND('Planilla_General_29-11-2012_10_'!N478,"AAAAAH/c97s=")</f>
        <v>#VALUE!</v>
      </c>
      <c r="GG32" t="e">
        <f>AND('Planilla_General_29-11-2012_10_'!O478,"AAAAAH/c97w=")</f>
        <v>#VALUE!</v>
      </c>
      <c r="GH32" t="e">
        <f>AND('Planilla_General_29-11-2012_10_'!P478,"AAAAAH/c970=")</f>
        <v>#VALUE!</v>
      </c>
      <c r="GI32">
        <f>IF('Planilla_General_29-11-2012_10_'!479:479,"AAAAAH/c974=",0)</f>
        <v>0</v>
      </c>
      <c r="GJ32" t="e">
        <f>AND('Planilla_General_29-11-2012_10_'!A479,"AAAAAH/c978=")</f>
        <v>#VALUE!</v>
      </c>
      <c r="GK32" t="e">
        <f>AND('Planilla_General_29-11-2012_10_'!B479,"AAAAAH/c98A=")</f>
        <v>#VALUE!</v>
      </c>
      <c r="GL32" t="e">
        <f>AND('Planilla_General_29-11-2012_10_'!C479,"AAAAAH/c98E=")</f>
        <v>#VALUE!</v>
      </c>
      <c r="GM32" t="e">
        <f>AND('Planilla_General_29-11-2012_10_'!D479,"AAAAAH/c98I=")</f>
        <v>#VALUE!</v>
      </c>
      <c r="GN32" t="e">
        <f>AND('Planilla_General_29-11-2012_10_'!E479,"AAAAAH/c98M=")</f>
        <v>#VALUE!</v>
      </c>
      <c r="GO32" t="e">
        <f>AND('Planilla_General_29-11-2012_10_'!F479,"AAAAAH/c98Q=")</f>
        <v>#VALUE!</v>
      </c>
      <c r="GP32" t="e">
        <f>AND('Planilla_General_29-11-2012_10_'!G479,"AAAAAH/c98U=")</f>
        <v>#VALUE!</v>
      </c>
      <c r="GQ32" t="e">
        <f>AND('Planilla_General_29-11-2012_10_'!H479,"AAAAAH/c98Y=")</f>
        <v>#VALUE!</v>
      </c>
      <c r="GR32" t="e">
        <f>AND('Planilla_General_29-11-2012_10_'!I479,"AAAAAH/c98c=")</f>
        <v>#VALUE!</v>
      </c>
      <c r="GS32" t="e">
        <f>AND('Planilla_General_29-11-2012_10_'!J479,"AAAAAH/c98g=")</f>
        <v>#VALUE!</v>
      </c>
      <c r="GT32" t="e">
        <f>AND('Planilla_General_29-11-2012_10_'!K479,"AAAAAH/c98k=")</f>
        <v>#VALUE!</v>
      </c>
      <c r="GU32" t="e">
        <f>AND('Planilla_General_29-11-2012_10_'!L479,"AAAAAH/c98o=")</f>
        <v>#VALUE!</v>
      </c>
      <c r="GV32" t="e">
        <f>AND('Planilla_General_29-11-2012_10_'!M479,"AAAAAH/c98s=")</f>
        <v>#VALUE!</v>
      </c>
      <c r="GW32" t="e">
        <f>AND('Planilla_General_29-11-2012_10_'!N479,"AAAAAH/c98w=")</f>
        <v>#VALUE!</v>
      </c>
      <c r="GX32" t="e">
        <f>AND('Planilla_General_29-11-2012_10_'!O479,"AAAAAH/c980=")</f>
        <v>#VALUE!</v>
      </c>
      <c r="GY32" t="e">
        <f>AND('Planilla_General_29-11-2012_10_'!P479,"AAAAAH/c984=")</f>
        <v>#VALUE!</v>
      </c>
      <c r="GZ32">
        <f>IF('Planilla_General_29-11-2012_10_'!480:480,"AAAAAH/c988=",0)</f>
        <v>0</v>
      </c>
      <c r="HA32" t="e">
        <f>AND('Planilla_General_29-11-2012_10_'!A480,"AAAAAH/c99A=")</f>
        <v>#VALUE!</v>
      </c>
      <c r="HB32" t="e">
        <f>AND('Planilla_General_29-11-2012_10_'!B480,"AAAAAH/c99E=")</f>
        <v>#VALUE!</v>
      </c>
      <c r="HC32" t="e">
        <f>AND('Planilla_General_29-11-2012_10_'!C480,"AAAAAH/c99I=")</f>
        <v>#VALUE!</v>
      </c>
      <c r="HD32" t="e">
        <f>AND('Planilla_General_29-11-2012_10_'!D480,"AAAAAH/c99M=")</f>
        <v>#VALUE!</v>
      </c>
      <c r="HE32" t="e">
        <f>AND('Planilla_General_29-11-2012_10_'!E480,"AAAAAH/c99Q=")</f>
        <v>#VALUE!</v>
      </c>
      <c r="HF32" t="e">
        <f>AND('Planilla_General_29-11-2012_10_'!F480,"AAAAAH/c99U=")</f>
        <v>#VALUE!</v>
      </c>
      <c r="HG32" t="e">
        <f>AND('Planilla_General_29-11-2012_10_'!G480,"AAAAAH/c99Y=")</f>
        <v>#VALUE!</v>
      </c>
      <c r="HH32" t="e">
        <f>AND('Planilla_General_29-11-2012_10_'!H480,"AAAAAH/c99c=")</f>
        <v>#VALUE!</v>
      </c>
      <c r="HI32" t="e">
        <f>AND('Planilla_General_29-11-2012_10_'!I480,"AAAAAH/c99g=")</f>
        <v>#VALUE!</v>
      </c>
      <c r="HJ32" t="e">
        <f>AND('Planilla_General_29-11-2012_10_'!J480,"AAAAAH/c99k=")</f>
        <v>#VALUE!</v>
      </c>
      <c r="HK32" t="e">
        <f>AND('Planilla_General_29-11-2012_10_'!K480,"AAAAAH/c99o=")</f>
        <v>#VALUE!</v>
      </c>
      <c r="HL32" t="e">
        <f>AND('Planilla_General_29-11-2012_10_'!L480,"AAAAAH/c99s=")</f>
        <v>#VALUE!</v>
      </c>
      <c r="HM32" t="e">
        <f>AND('Planilla_General_29-11-2012_10_'!M480,"AAAAAH/c99w=")</f>
        <v>#VALUE!</v>
      </c>
      <c r="HN32" t="e">
        <f>AND('Planilla_General_29-11-2012_10_'!N480,"AAAAAH/c990=")</f>
        <v>#VALUE!</v>
      </c>
      <c r="HO32" t="e">
        <f>AND('Planilla_General_29-11-2012_10_'!O480,"AAAAAH/c994=")</f>
        <v>#VALUE!</v>
      </c>
      <c r="HP32" t="e">
        <f>AND('Planilla_General_29-11-2012_10_'!P480,"AAAAAH/c998=")</f>
        <v>#VALUE!</v>
      </c>
      <c r="HQ32">
        <f>IF('Planilla_General_29-11-2012_10_'!481:481,"AAAAAH/c9+A=",0)</f>
        <v>0</v>
      </c>
      <c r="HR32" t="e">
        <f>AND('Planilla_General_29-11-2012_10_'!A481,"AAAAAH/c9+E=")</f>
        <v>#VALUE!</v>
      </c>
      <c r="HS32" t="e">
        <f>AND('Planilla_General_29-11-2012_10_'!B481,"AAAAAH/c9+I=")</f>
        <v>#VALUE!</v>
      </c>
      <c r="HT32" t="e">
        <f>AND('Planilla_General_29-11-2012_10_'!C481,"AAAAAH/c9+M=")</f>
        <v>#VALUE!</v>
      </c>
      <c r="HU32" t="e">
        <f>AND('Planilla_General_29-11-2012_10_'!D481,"AAAAAH/c9+Q=")</f>
        <v>#VALUE!</v>
      </c>
      <c r="HV32" t="e">
        <f>AND('Planilla_General_29-11-2012_10_'!E481,"AAAAAH/c9+U=")</f>
        <v>#VALUE!</v>
      </c>
      <c r="HW32" t="e">
        <f>AND('Planilla_General_29-11-2012_10_'!F481,"AAAAAH/c9+Y=")</f>
        <v>#VALUE!</v>
      </c>
      <c r="HX32" t="e">
        <f>AND('Planilla_General_29-11-2012_10_'!G481,"AAAAAH/c9+c=")</f>
        <v>#VALUE!</v>
      </c>
      <c r="HY32" t="e">
        <f>AND('Planilla_General_29-11-2012_10_'!H481,"AAAAAH/c9+g=")</f>
        <v>#VALUE!</v>
      </c>
      <c r="HZ32" t="e">
        <f>AND('Planilla_General_29-11-2012_10_'!I481,"AAAAAH/c9+k=")</f>
        <v>#VALUE!</v>
      </c>
      <c r="IA32" t="e">
        <f>AND('Planilla_General_29-11-2012_10_'!J481,"AAAAAH/c9+o=")</f>
        <v>#VALUE!</v>
      </c>
      <c r="IB32" t="e">
        <f>AND('Planilla_General_29-11-2012_10_'!K481,"AAAAAH/c9+s=")</f>
        <v>#VALUE!</v>
      </c>
      <c r="IC32" t="e">
        <f>AND('Planilla_General_29-11-2012_10_'!L481,"AAAAAH/c9+w=")</f>
        <v>#VALUE!</v>
      </c>
      <c r="ID32" t="e">
        <f>AND('Planilla_General_29-11-2012_10_'!M481,"AAAAAH/c9+0=")</f>
        <v>#VALUE!</v>
      </c>
      <c r="IE32" t="e">
        <f>AND('Planilla_General_29-11-2012_10_'!N481,"AAAAAH/c9+4=")</f>
        <v>#VALUE!</v>
      </c>
      <c r="IF32" t="e">
        <f>AND('Planilla_General_29-11-2012_10_'!O481,"AAAAAH/c9+8=")</f>
        <v>#VALUE!</v>
      </c>
      <c r="IG32" t="e">
        <f>AND('Planilla_General_29-11-2012_10_'!P481,"AAAAAH/c9/A=")</f>
        <v>#VALUE!</v>
      </c>
      <c r="IH32">
        <f>IF('Planilla_General_29-11-2012_10_'!482:482,"AAAAAH/c9/E=",0)</f>
        <v>0</v>
      </c>
      <c r="II32" t="e">
        <f>AND('Planilla_General_29-11-2012_10_'!A482,"AAAAAH/c9/I=")</f>
        <v>#VALUE!</v>
      </c>
      <c r="IJ32" t="e">
        <f>AND('Planilla_General_29-11-2012_10_'!B482,"AAAAAH/c9/M=")</f>
        <v>#VALUE!</v>
      </c>
      <c r="IK32" t="e">
        <f>AND('Planilla_General_29-11-2012_10_'!C482,"AAAAAH/c9/Q=")</f>
        <v>#VALUE!</v>
      </c>
      <c r="IL32" t="e">
        <f>AND('Planilla_General_29-11-2012_10_'!D482,"AAAAAH/c9/U=")</f>
        <v>#VALUE!</v>
      </c>
      <c r="IM32" t="e">
        <f>AND('Planilla_General_29-11-2012_10_'!E482,"AAAAAH/c9/Y=")</f>
        <v>#VALUE!</v>
      </c>
      <c r="IN32" t="e">
        <f>AND('Planilla_General_29-11-2012_10_'!F482,"AAAAAH/c9/c=")</f>
        <v>#VALUE!</v>
      </c>
      <c r="IO32" t="e">
        <f>AND('Planilla_General_29-11-2012_10_'!G482,"AAAAAH/c9/g=")</f>
        <v>#VALUE!</v>
      </c>
      <c r="IP32" t="e">
        <f>AND('Planilla_General_29-11-2012_10_'!H482,"AAAAAH/c9/k=")</f>
        <v>#VALUE!</v>
      </c>
      <c r="IQ32" t="e">
        <f>AND('Planilla_General_29-11-2012_10_'!I482,"AAAAAH/c9/o=")</f>
        <v>#VALUE!</v>
      </c>
      <c r="IR32" t="e">
        <f>AND('Planilla_General_29-11-2012_10_'!J482,"AAAAAH/c9/s=")</f>
        <v>#VALUE!</v>
      </c>
      <c r="IS32" t="e">
        <f>AND('Planilla_General_29-11-2012_10_'!K482,"AAAAAH/c9/w=")</f>
        <v>#VALUE!</v>
      </c>
      <c r="IT32" t="e">
        <f>AND('Planilla_General_29-11-2012_10_'!L482,"AAAAAH/c9/0=")</f>
        <v>#VALUE!</v>
      </c>
      <c r="IU32" t="e">
        <f>AND('Planilla_General_29-11-2012_10_'!M482,"AAAAAH/c9/4=")</f>
        <v>#VALUE!</v>
      </c>
      <c r="IV32" t="e">
        <f>AND('Planilla_General_29-11-2012_10_'!N482,"AAAAAH/c9/8=")</f>
        <v>#VALUE!</v>
      </c>
    </row>
    <row r="33" spans="1:256" x14ac:dyDescent="0.25">
      <c r="A33" t="e">
        <f>AND('Planilla_General_29-11-2012_10_'!O482,"AAAAADv/8gA=")</f>
        <v>#VALUE!</v>
      </c>
      <c r="B33" t="e">
        <f>AND('Planilla_General_29-11-2012_10_'!P482,"AAAAADv/8gE=")</f>
        <v>#VALUE!</v>
      </c>
      <c r="C33" t="str">
        <f>IF('Planilla_General_29-11-2012_10_'!483:483,"AAAAADv/8gI=",0)</f>
        <v>AAAAADv/8gI=</v>
      </c>
      <c r="D33" t="e">
        <f>AND('Planilla_General_29-11-2012_10_'!A483,"AAAAADv/8gM=")</f>
        <v>#VALUE!</v>
      </c>
      <c r="E33" t="e">
        <f>AND('Planilla_General_29-11-2012_10_'!B483,"AAAAADv/8gQ=")</f>
        <v>#VALUE!</v>
      </c>
      <c r="F33" t="e">
        <f>AND('Planilla_General_29-11-2012_10_'!C483,"AAAAADv/8gU=")</f>
        <v>#VALUE!</v>
      </c>
      <c r="G33" t="e">
        <f>AND('Planilla_General_29-11-2012_10_'!D483,"AAAAADv/8gY=")</f>
        <v>#VALUE!</v>
      </c>
      <c r="H33" t="e">
        <f>AND('Planilla_General_29-11-2012_10_'!E483,"AAAAADv/8gc=")</f>
        <v>#VALUE!</v>
      </c>
      <c r="I33" t="e">
        <f>AND('Planilla_General_29-11-2012_10_'!F483,"AAAAADv/8gg=")</f>
        <v>#VALUE!</v>
      </c>
      <c r="J33" t="e">
        <f>AND('Planilla_General_29-11-2012_10_'!G483,"AAAAADv/8gk=")</f>
        <v>#VALUE!</v>
      </c>
      <c r="K33" t="e">
        <f>AND('Planilla_General_29-11-2012_10_'!H483,"AAAAADv/8go=")</f>
        <v>#VALUE!</v>
      </c>
      <c r="L33" t="e">
        <f>AND('Planilla_General_29-11-2012_10_'!I483,"AAAAADv/8gs=")</f>
        <v>#VALUE!</v>
      </c>
      <c r="M33" t="e">
        <f>AND('Planilla_General_29-11-2012_10_'!J483,"AAAAADv/8gw=")</f>
        <v>#VALUE!</v>
      </c>
      <c r="N33" t="e">
        <f>AND('Planilla_General_29-11-2012_10_'!K483,"AAAAADv/8g0=")</f>
        <v>#VALUE!</v>
      </c>
      <c r="O33" t="e">
        <f>AND('Planilla_General_29-11-2012_10_'!L483,"AAAAADv/8g4=")</f>
        <v>#VALUE!</v>
      </c>
      <c r="P33" t="e">
        <f>AND('Planilla_General_29-11-2012_10_'!M483,"AAAAADv/8g8=")</f>
        <v>#VALUE!</v>
      </c>
      <c r="Q33" t="e">
        <f>AND('Planilla_General_29-11-2012_10_'!N483,"AAAAADv/8hA=")</f>
        <v>#VALUE!</v>
      </c>
      <c r="R33" t="e">
        <f>AND('Planilla_General_29-11-2012_10_'!O483,"AAAAADv/8hE=")</f>
        <v>#VALUE!</v>
      </c>
      <c r="S33" t="e">
        <f>AND('Planilla_General_29-11-2012_10_'!P483,"AAAAADv/8hI=")</f>
        <v>#VALUE!</v>
      </c>
      <c r="T33">
        <f>IF('Planilla_General_29-11-2012_10_'!484:484,"AAAAADv/8hM=",0)</f>
        <v>0</v>
      </c>
      <c r="U33" t="e">
        <f>AND('Planilla_General_29-11-2012_10_'!A484,"AAAAADv/8hQ=")</f>
        <v>#VALUE!</v>
      </c>
      <c r="V33" t="e">
        <f>AND('Planilla_General_29-11-2012_10_'!B484,"AAAAADv/8hU=")</f>
        <v>#VALUE!</v>
      </c>
      <c r="W33" t="e">
        <f>AND('Planilla_General_29-11-2012_10_'!C484,"AAAAADv/8hY=")</f>
        <v>#VALUE!</v>
      </c>
      <c r="X33" t="e">
        <f>AND('Planilla_General_29-11-2012_10_'!D484,"AAAAADv/8hc=")</f>
        <v>#VALUE!</v>
      </c>
      <c r="Y33" t="e">
        <f>AND('Planilla_General_29-11-2012_10_'!E484,"AAAAADv/8hg=")</f>
        <v>#VALUE!</v>
      </c>
      <c r="Z33" t="e">
        <f>AND('Planilla_General_29-11-2012_10_'!F484,"AAAAADv/8hk=")</f>
        <v>#VALUE!</v>
      </c>
      <c r="AA33" t="e">
        <f>AND('Planilla_General_29-11-2012_10_'!G484,"AAAAADv/8ho=")</f>
        <v>#VALUE!</v>
      </c>
      <c r="AB33" t="e">
        <f>AND('Planilla_General_29-11-2012_10_'!H484,"AAAAADv/8hs=")</f>
        <v>#VALUE!</v>
      </c>
      <c r="AC33" t="e">
        <f>AND('Planilla_General_29-11-2012_10_'!I484,"AAAAADv/8hw=")</f>
        <v>#VALUE!</v>
      </c>
      <c r="AD33" t="e">
        <f>AND('Planilla_General_29-11-2012_10_'!J484,"AAAAADv/8h0=")</f>
        <v>#VALUE!</v>
      </c>
      <c r="AE33" t="e">
        <f>AND('Planilla_General_29-11-2012_10_'!K484,"AAAAADv/8h4=")</f>
        <v>#VALUE!</v>
      </c>
      <c r="AF33" t="e">
        <f>AND('Planilla_General_29-11-2012_10_'!L484,"AAAAADv/8h8=")</f>
        <v>#VALUE!</v>
      </c>
      <c r="AG33" t="e">
        <f>AND('Planilla_General_29-11-2012_10_'!M484,"AAAAADv/8iA=")</f>
        <v>#VALUE!</v>
      </c>
      <c r="AH33" t="e">
        <f>AND('Planilla_General_29-11-2012_10_'!N484,"AAAAADv/8iE=")</f>
        <v>#VALUE!</v>
      </c>
      <c r="AI33" t="e">
        <f>AND('Planilla_General_29-11-2012_10_'!O484,"AAAAADv/8iI=")</f>
        <v>#VALUE!</v>
      </c>
      <c r="AJ33" t="e">
        <f>AND('Planilla_General_29-11-2012_10_'!P484,"AAAAADv/8iM=")</f>
        <v>#VALUE!</v>
      </c>
      <c r="AK33">
        <f>IF('Planilla_General_29-11-2012_10_'!485:485,"AAAAADv/8iQ=",0)</f>
        <v>0</v>
      </c>
      <c r="AL33" t="e">
        <f>AND('Planilla_General_29-11-2012_10_'!A485,"AAAAADv/8iU=")</f>
        <v>#VALUE!</v>
      </c>
      <c r="AM33" t="e">
        <f>AND('Planilla_General_29-11-2012_10_'!B485,"AAAAADv/8iY=")</f>
        <v>#VALUE!</v>
      </c>
      <c r="AN33" t="e">
        <f>AND('Planilla_General_29-11-2012_10_'!C485,"AAAAADv/8ic=")</f>
        <v>#VALUE!</v>
      </c>
      <c r="AO33" t="e">
        <f>AND('Planilla_General_29-11-2012_10_'!D485,"AAAAADv/8ig=")</f>
        <v>#VALUE!</v>
      </c>
      <c r="AP33" t="e">
        <f>AND('Planilla_General_29-11-2012_10_'!E485,"AAAAADv/8ik=")</f>
        <v>#VALUE!</v>
      </c>
      <c r="AQ33" t="e">
        <f>AND('Planilla_General_29-11-2012_10_'!F485,"AAAAADv/8io=")</f>
        <v>#VALUE!</v>
      </c>
      <c r="AR33" t="e">
        <f>AND('Planilla_General_29-11-2012_10_'!G485,"AAAAADv/8is=")</f>
        <v>#VALUE!</v>
      </c>
      <c r="AS33" t="e">
        <f>AND('Planilla_General_29-11-2012_10_'!H485,"AAAAADv/8iw=")</f>
        <v>#VALUE!</v>
      </c>
      <c r="AT33" t="e">
        <f>AND('Planilla_General_29-11-2012_10_'!I485,"AAAAADv/8i0=")</f>
        <v>#VALUE!</v>
      </c>
      <c r="AU33" t="e">
        <f>AND('Planilla_General_29-11-2012_10_'!J485,"AAAAADv/8i4=")</f>
        <v>#VALUE!</v>
      </c>
      <c r="AV33" t="e">
        <f>AND('Planilla_General_29-11-2012_10_'!K485,"AAAAADv/8i8=")</f>
        <v>#VALUE!</v>
      </c>
      <c r="AW33" t="e">
        <f>AND('Planilla_General_29-11-2012_10_'!L485,"AAAAADv/8jA=")</f>
        <v>#VALUE!</v>
      </c>
      <c r="AX33" t="e">
        <f>AND('Planilla_General_29-11-2012_10_'!M485,"AAAAADv/8jE=")</f>
        <v>#VALUE!</v>
      </c>
      <c r="AY33" t="e">
        <f>AND('Planilla_General_29-11-2012_10_'!N485,"AAAAADv/8jI=")</f>
        <v>#VALUE!</v>
      </c>
      <c r="AZ33" t="e">
        <f>AND('Planilla_General_29-11-2012_10_'!O485,"AAAAADv/8jM=")</f>
        <v>#VALUE!</v>
      </c>
      <c r="BA33" t="e">
        <f>AND('Planilla_General_29-11-2012_10_'!P485,"AAAAADv/8jQ=")</f>
        <v>#VALUE!</v>
      </c>
      <c r="BB33">
        <f>IF('Planilla_General_29-11-2012_10_'!486:486,"AAAAADv/8jU=",0)</f>
        <v>0</v>
      </c>
      <c r="BC33" t="e">
        <f>AND('Planilla_General_29-11-2012_10_'!A486,"AAAAADv/8jY=")</f>
        <v>#VALUE!</v>
      </c>
      <c r="BD33" t="e">
        <f>AND('Planilla_General_29-11-2012_10_'!B486,"AAAAADv/8jc=")</f>
        <v>#VALUE!</v>
      </c>
      <c r="BE33" t="e">
        <f>AND('Planilla_General_29-11-2012_10_'!C486,"AAAAADv/8jg=")</f>
        <v>#VALUE!</v>
      </c>
      <c r="BF33" t="e">
        <f>AND('Planilla_General_29-11-2012_10_'!D486,"AAAAADv/8jk=")</f>
        <v>#VALUE!</v>
      </c>
      <c r="BG33" t="e">
        <f>AND('Planilla_General_29-11-2012_10_'!E486,"AAAAADv/8jo=")</f>
        <v>#VALUE!</v>
      </c>
      <c r="BH33" t="e">
        <f>AND('Planilla_General_29-11-2012_10_'!F486,"AAAAADv/8js=")</f>
        <v>#VALUE!</v>
      </c>
      <c r="BI33" t="e">
        <f>AND('Planilla_General_29-11-2012_10_'!G486,"AAAAADv/8jw=")</f>
        <v>#VALUE!</v>
      </c>
      <c r="BJ33" t="e">
        <f>AND('Planilla_General_29-11-2012_10_'!H486,"AAAAADv/8j0=")</f>
        <v>#VALUE!</v>
      </c>
      <c r="BK33" t="e">
        <f>AND('Planilla_General_29-11-2012_10_'!I486,"AAAAADv/8j4=")</f>
        <v>#VALUE!</v>
      </c>
      <c r="BL33" t="e">
        <f>AND('Planilla_General_29-11-2012_10_'!J486,"AAAAADv/8j8=")</f>
        <v>#VALUE!</v>
      </c>
      <c r="BM33" t="e">
        <f>AND('Planilla_General_29-11-2012_10_'!K486,"AAAAADv/8kA=")</f>
        <v>#VALUE!</v>
      </c>
      <c r="BN33" t="e">
        <f>AND('Planilla_General_29-11-2012_10_'!L486,"AAAAADv/8kE=")</f>
        <v>#VALUE!</v>
      </c>
      <c r="BO33" t="e">
        <f>AND('Planilla_General_29-11-2012_10_'!M486,"AAAAADv/8kI=")</f>
        <v>#VALUE!</v>
      </c>
      <c r="BP33" t="e">
        <f>AND('Planilla_General_29-11-2012_10_'!N486,"AAAAADv/8kM=")</f>
        <v>#VALUE!</v>
      </c>
      <c r="BQ33" t="e">
        <f>AND('Planilla_General_29-11-2012_10_'!O486,"AAAAADv/8kQ=")</f>
        <v>#VALUE!</v>
      </c>
      <c r="BR33" t="e">
        <f>AND('Planilla_General_29-11-2012_10_'!P486,"AAAAADv/8kU=")</f>
        <v>#VALUE!</v>
      </c>
      <c r="BS33">
        <f>IF('Planilla_General_29-11-2012_10_'!487:487,"AAAAADv/8kY=",0)</f>
        <v>0</v>
      </c>
      <c r="BT33" t="e">
        <f>AND('Planilla_General_29-11-2012_10_'!A487,"AAAAADv/8kc=")</f>
        <v>#VALUE!</v>
      </c>
      <c r="BU33" t="e">
        <f>AND('Planilla_General_29-11-2012_10_'!B487,"AAAAADv/8kg=")</f>
        <v>#VALUE!</v>
      </c>
      <c r="BV33" t="e">
        <f>AND('Planilla_General_29-11-2012_10_'!C487,"AAAAADv/8kk=")</f>
        <v>#VALUE!</v>
      </c>
      <c r="BW33" t="e">
        <f>AND('Planilla_General_29-11-2012_10_'!D487,"AAAAADv/8ko=")</f>
        <v>#VALUE!</v>
      </c>
      <c r="BX33" t="e">
        <f>AND('Planilla_General_29-11-2012_10_'!E487,"AAAAADv/8ks=")</f>
        <v>#VALUE!</v>
      </c>
      <c r="BY33" t="e">
        <f>AND('Planilla_General_29-11-2012_10_'!F487,"AAAAADv/8kw=")</f>
        <v>#VALUE!</v>
      </c>
      <c r="BZ33" t="e">
        <f>AND('Planilla_General_29-11-2012_10_'!G487,"AAAAADv/8k0=")</f>
        <v>#VALUE!</v>
      </c>
      <c r="CA33" t="e">
        <f>AND('Planilla_General_29-11-2012_10_'!H487,"AAAAADv/8k4=")</f>
        <v>#VALUE!</v>
      </c>
      <c r="CB33" t="e">
        <f>AND('Planilla_General_29-11-2012_10_'!I487,"AAAAADv/8k8=")</f>
        <v>#VALUE!</v>
      </c>
      <c r="CC33" t="e">
        <f>AND('Planilla_General_29-11-2012_10_'!J487,"AAAAADv/8lA=")</f>
        <v>#VALUE!</v>
      </c>
      <c r="CD33" t="e">
        <f>AND('Planilla_General_29-11-2012_10_'!K487,"AAAAADv/8lE=")</f>
        <v>#VALUE!</v>
      </c>
      <c r="CE33" t="e">
        <f>AND('Planilla_General_29-11-2012_10_'!L487,"AAAAADv/8lI=")</f>
        <v>#VALUE!</v>
      </c>
      <c r="CF33" t="e">
        <f>AND('Planilla_General_29-11-2012_10_'!M487,"AAAAADv/8lM=")</f>
        <v>#VALUE!</v>
      </c>
      <c r="CG33" t="e">
        <f>AND('Planilla_General_29-11-2012_10_'!N487,"AAAAADv/8lQ=")</f>
        <v>#VALUE!</v>
      </c>
      <c r="CH33" t="e">
        <f>AND('Planilla_General_29-11-2012_10_'!O487,"AAAAADv/8lU=")</f>
        <v>#VALUE!</v>
      </c>
      <c r="CI33" t="e">
        <f>AND('Planilla_General_29-11-2012_10_'!P487,"AAAAADv/8lY=")</f>
        <v>#VALUE!</v>
      </c>
      <c r="CJ33">
        <f>IF('Planilla_General_29-11-2012_10_'!488:488,"AAAAADv/8lc=",0)</f>
        <v>0</v>
      </c>
      <c r="CK33" t="e">
        <f>AND('Planilla_General_29-11-2012_10_'!A488,"AAAAADv/8lg=")</f>
        <v>#VALUE!</v>
      </c>
      <c r="CL33" t="e">
        <f>AND('Planilla_General_29-11-2012_10_'!B488,"AAAAADv/8lk=")</f>
        <v>#VALUE!</v>
      </c>
      <c r="CM33" t="e">
        <f>AND('Planilla_General_29-11-2012_10_'!C488,"AAAAADv/8lo=")</f>
        <v>#VALUE!</v>
      </c>
      <c r="CN33" t="e">
        <f>AND('Planilla_General_29-11-2012_10_'!D488,"AAAAADv/8ls=")</f>
        <v>#VALUE!</v>
      </c>
      <c r="CO33" t="e">
        <f>AND('Planilla_General_29-11-2012_10_'!E488,"AAAAADv/8lw=")</f>
        <v>#VALUE!</v>
      </c>
      <c r="CP33" t="e">
        <f>AND('Planilla_General_29-11-2012_10_'!F488,"AAAAADv/8l0=")</f>
        <v>#VALUE!</v>
      </c>
      <c r="CQ33" t="e">
        <f>AND('Planilla_General_29-11-2012_10_'!G488,"AAAAADv/8l4=")</f>
        <v>#VALUE!</v>
      </c>
      <c r="CR33" t="e">
        <f>AND('Planilla_General_29-11-2012_10_'!H488,"AAAAADv/8l8=")</f>
        <v>#VALUE!</v>
      </c>
      <c r="CS33" t="e">
        <f>AND('Planilla_General_29-11-2012_10_'!I488,"AAAAADv/8mA=")</f>
        <v>#VALUE!</v>
      </c>
      <c r="CT33" t="e">
        <f>AND('Planilla_General_29-11-2012_10_'!J488,"AAAAADv/8mE=")</f>
        <v>#VALUE!</v>
      </c>
      <c r="CU33" t="e">
        <f>AND('Planilla_General_29-11-2012_10_'!K488,"AAAAADv/8mI=")</f>
        <v>#VALUE!</v>
      </c>
      <c r="CV33" t="e">
        <f>AND('Planilla_General_29-11-2012_10_'!L488,"AAAAADv/8mM=")</f>
        <v>#VALUE!</v>
      </c>
      <c r="CW33" t="e">
        <f>AND('Planilla_General_29-11-2012_10_'!M488,"AAAAADv/8mQ=")</f>
        <v>#VALUE!</v>
      </c>
      <c r="CX33" t="e">
        <f>AND('Planilla_General_29-11-2012_10_'!N488,"AAAAADv/8mU=")</f>
        <v>#VALUE!</v>
      </c>
      <c r="CY33" t="e">
        <f>AND('Planilla_General_29-11-2012_10_'!O488,"AAAAADv/8mY=")</f>
        <v>#VALUE!</v>
      </c>
      <c r="CZ33" t="e">
        <f>AND('Planilla_General_29-11-2012_10_'!P488,"AAAAADv/8mc=")</f>
        <v>#VALUE!</v>
      </c>
      <c r="DA33">
        <f>IF('Planilla_General_29-11-2012_10_'!489:489,"AAAAADv/8mg=",0)</f>
        <v>0</v>
      </c>
      <c r="DB33" t="e">
        <f>AND('Planilla_General_29-11-2012_10_'!A489,"AAAAADv/8mk=")</f>
        <v>#VALUE!</v>
      </c>
      <c r="DC33" t="e">
        <f>AND('Planilla_General_29-11-2012_10_'!B489,"AAAAADv/8mo=")</f>
        <v>#VALUE!</v>
      </c>
      <c r="DD33" t="e">
        <f>AND('Planilla_General_29-11-2012_10_'!C489,"AAAAADv/8ms=")</f>
        <v>#VALUE!</v>
      </c>
      <c r="DE33" t="e">
        <f>AND('Planilla_General_29-11-2012_10_'!D489,"AAAAADv/8mw=")</f>
        <v>#VALUE!</v>
      </c>
      <c r="DF33" t="e">
        <f>AND('Planilla_General_29-11-2012_10_'!E489,"AAAAADv/8m0=")</f>
        <v>#VALUE!</v>
      </c>
      <c r="DG33" t="e">
        <f>AND('Planilla_General_29-11-2012_10_'!F489,"AAAAADv/8m4=")</f>
        <v>#VALUE!</v>
      </c>
      <c r="DH33" t="e">
        <f>AND('Planilla_General_29-11-2012_10_'!G489,"AAAAADv/8m8=")</f>
        <v>#VALUE!</v>
      </c>
      <c r="DI33" t="e">
        <f>AND('Planilla_General_29-11-2012_10_'!H489,"AAAAADv/8nA=")</f>
        <v>#VALUE!</v>
      </c>
      <c r="DJ33" t="e">
        <f>AND('Planilla_General_29-11-2012_10_'!I489,"AAAAADv/8nE=")</f>
        <v>#VALUE!</v>
      </c>
      <c r="DK33" t="e">
        <f>AND('Planilla_General_29-11-2012_10_'!J489,"AAAAADv/8nI=")</f>
        <v>#VALUE!</v>
      </c>
      <c r="DL33" t="e">
        <f>AND('Planilla_General_29-11-2012_10_'!K489,"AAAAADv/8nM=")</f>
        <v>#VALUE!</v>
      </c>
      <c r="DM33" t="e">
        <f>AND('Planilla_General_29-11-2012_10_'!L489,"AAAAADv/8nQ=")</f>
        <v>#VALUE!</v>
      </c>
      <c r="DN33" t="e">
        <f>AND('Planilla_General_29-11-2012_10_'!M489,"AAAAADv/8nU=")</f>
        <v>#VALUE!</v>
      </c>
      <c r="DO33" t="e">
        <f>AND('Planilla_General_29-11-2012_10_'!N489,"AAAAADv/8nY=")</f>
        <v>#VALUE!</v>
      </c>
      <c r="DP33" t="e">
        <f>AND('Planilla_General_29-11-2012_10_'!O489,"AAAAADv/8nc=")</f>
        <v>#VALUE!</v>
      </c>
      <c r="DQ33" t="e">
        <f>AND('Planilla_General_29-11-2012_10_'!P489,"AAAAADv/8ng=")</f>
        <v>#VALUE!</v>
      </c>
      <c r="DR33">
        <f>IF('Planilla_General_29-11-2012_10_'!490:490,"AAAAADv/8nk=",0)</f>
        <v>0</v>
      </c>
      <c r="DS33" t="e">
        <f>AND('Planilla_General_29-11-2012_10_'!A490,"AAAAADv/8no=")</f>
        <v>#VALUE!</v>
      </c>
      <c r="DT33" t="e">
        <f>AND('Planilla_General_29-11-2012_10_'!B490,"AAAAADv/8ns=")</f>
        <v>#VALUE!</v>
      </c>
      <c r="DU33" t="e">
        <f>AND('Planilla_General_29-11-2012_10_'!C490,"AAAAADv/8nw=")</f>
        <v>#VALUE!</v>
      </c>
      <c r="DV33" t="e">
        <f>AND('Planilla_General_29-11-2012_10_'!D490,"AAAAADv/8n0=")</f>
        <v>#VALUE!</v>
      </c>
      <c r="DW33" t="e">
        <f>AND('Planilla_General_29-11-2012_10_'!E490,"AAAAADv/8n4=")</f>
        <v>#VALUE!</v>
      </c>
      <c r="DX33" t="e">
        <f>AND('Planilla_General_29-11-2012_10_'!F490,"AAAAADv/8n8=")</f>
        <v>#VALUE!</v>
      </c>
      <c r="DY33" t="e">
        <f>AND('Planilla_General_29-11-2012_10_'!G490,"AAAAADv/8oA=")</f>
        <v>#VALUE!</v>
      </c>
      <c r="DZ33" t="e">
        <f>AND('Planilla_General_29-11-2012_10_'!H490,"AAAAADv/8oE=")</f>
        <v>#VALUE!</v>
      </c>
      <c r="EA33" t="e">
        <f>AND('Planilla_General_29-11-2012_10_'!I490,"AAAAADv/8oI=")</f>
        <v>#VALUE!</v>
      </c>
      <c r="EB33" t="e">
        <f>AND('Planilla_General_29-11-2012_10_'!J490,"AAAAADv/8oM=")</f>
        <v>#VALUE!</v>
      </c>
      <c r="EC33" t="e">
        <f>AND('Planilla_General_29-11-2012_10_'!K490,"AAAAADv/8oQ=")</f>
        <v>#VALUE!</v>
      </c>
      <c r="ED33" t="e">
        <f>AND('Planilla_General_29-11-2012_10_'!L490,"AAAAADv/8oU=")</f>
        <v>#VALUE!</v>
      </c>
      <c r="EE33" t="e">
        <f>AND('Planilla_General_29-11-2012_10_'!M490,"AAAAADv/8oY=")</f>
        <v>#VALUE!</v>
      </c>
      <c r="EF33" t="e">
        <f>AND('Planilla_General_29-11-2012_10_'!N490,"AAAAADv/8oc=")</f>
        <v>#VALUE!</v>
      </c>
      <c r="EG33" t="e">
        <f>AND('Planilla_General_29-11-2012_10_'!O490,"AAAAADv/8og=")</f>
        <v>#VALUE!</v>
      </c>
      <c r="EH33" t="e">
        <f>AND('Planilla_General_29-11-2012_10_'!P490,"AAAAADv/8ok=")</f>
        <v>#VALUE!</v>
      </c>
      <c r="EI33">
        <f>IF('Planilla_General_29-11-2012_10_'!491:491,"AAAAADv/8oo=",0)</f>
        <v>0</v>
      </c>
      <c r="EJ33" t="e">
        <f>AND('Planilla_General_29-11-2012_10_'!A491,"AAAAADv/8os=")</f>
        <v>#VALUE!</v>
      </c>
      <c r="EK33" t="e">
        <f>AND('Planilla_General_29-11-2012_10_'!B491,"AAAAADv/8ow=")</f>
        <v>#VALUE!</v>
      </c>
      <c r="EL33" t="e">
        <f>AND('Planilla_General_29-11-2012_10_'!C491,"AAAAADv/8o0=")</f>
        <v>#VALUE!</v>
      </c>
      <c r="EM33" t="e">
        <f>AND('Planilla_General_29-11-2012_10_'!D491,"AAAAADv/8o4=")</f>
        <v>#VALUE!</v>
      </c>
      <c r="EN33" t="e">
        <f>AND('Planilla_General_29-11-2012_10_'!E491,"AAAAADv/8o8=")</f>
        <v>#VALUE!</v>
      </c>
      <c r="EO33" t="e">
        <f>AND('Planilla_General_29-11-2012_10_'!F491,"AAAAADv/8pA=")</f>
        <v>#VALUE!</v>
      </c>
      <c r="EP33" t="e">
        <f>AND('Planilla_General_29-11-2012_10_'!G491,"AAAAADv/8pE=")</f>
        <v>#VALUE!</v>
      </c>
      <c r="EQ33" t="e">
        <f>AND('Planilla_General_29-11-2012_10_'!H491,"AAAAADv/8pI=")</f>
        <v>#VALUE!</v>
      </c>
      <c r="ER33" t="e">
        <f>AND('Planilla_General_29-11-2012_10_'!I491,"AAAAADv/8pM=")</f>
        <v>#VALUE!</v>
      </c>
      <c r="ES33" t="e">
        <f>AND('Planilla_General_29-11-2012_10_'!J491,"AAAAADv/8pQ=")</f>
        <v>#VALUE!</v>
      </c>
      <c r="ET33" t="e">
        <f>AND('Planilla_General_29-11-2012_10_'!K491,"AAAAADv/8pU=")</f>
        <v>#VALUE!</v>
      </c>
      <c r="EU33" t="e">
        <f>AND('Planilla_General_29-11-2012_10_'!L491,"AAAAADv/8pY=")</f>
        <v>#VALUE!</v>
      </c>
      <c r="EV33" t="e">
        <f>AND('Planilla_General_29-11-2012_10_'!M491,"AAAAADv/8pc=")</f>
        <v>#VALUE!</v>
      </c>
      <c r="EW33" t="e">
        <f>AND('Planilla_General_29-11-2012_10_'!N491,"AAAAADv/8pg=")</f>
        <v>#VALUE!</v>
      </c>
      <c r="EX33" t="e">
        <f>AND('Planilla_General_29-11-2012_10_'!O491,"AAAAADv/8pk=")</f>
        <v>#VALUE!</v>
      </c>
      <c r="EY33" t="e">
        <f>AND('Planilla_General_29-11-2012_10_'!P491,"AAAAADv/8po=")</f>
        <v>#VALUE!</v>
      </c>
      <c r="EZ33">
        <f>IF('Planilla_General_29-11-2012_10_'!492:492,"AAAAADv/8ps=",0)</f>
        <v>0</v>
      </c>
      <c r="FA33" t="e">
        <f>AND('Planilla_General_29-11-2012_10_'!A492,"AAAAADv/8pw=")</f>
        <v>#VALUE!</v>
      </c>
      <c r="FB33" t="e">
        <f>AND('Planilla_General_29-11-2012_10_'!B492,"AAAAADv/8p0=")</f>
        <v>#VALUE!</v>
      </c>
      <c r="FC33" t="e">
        <f>AND('Planilla_General_29-11-2012_10_'!C492,"AAAAADv/8p4=")</f>
        <v>#VALUE!</v>
      </c>
      <c r="FD33" t="e">
        <f>AND('Planilla_General_29-11-2012_10_'!D492,"AAAAADv/8p8=")</f>
        <v>#VALUE!</v>
      </c>
      <c r="FE33" t="e">
        <f>AND('Planilla_General_29-11-2012_10_'!E492,"AAAAADv/8qA=")</f>
        <v>#VALUE!</v>
      </c>
      <c r="FF33" t="e">
        <f>AND('Planilla_General_29-11-2012_10_'!F492,"AAAAADv/8qE=")</f>
        <v>#VALUE!</v>
      </c>
      <c r="FG33" t="e">
        <f>AND('Planilla_General_29-11-2012_10_'!G492,"AAAAADv/8qI=")</f>
        <v>#VALUE!</v>
      </c>
      <c r="FH33" t="e">
        <f>AND('Planilla_General_29-11-2012_10_'!H492,"AAAAADv/8qM=")</f>
        <v>#VALUE!</v>
      </c>
      <c r="FI33" t="e">
        <f>AND('Planilla_General_29-11-2012_10_'!I492,"AAAAADv/8qQ=")</f>
        <v>#VALUE!</v>
      </c>
      <c r="FJ33" t="e">
        <f>AND('Planilla_General_29-11-2012_10_'!J492,"AAAAADv/8qU=")</f>
        <v>#VALUE!</v>
      </c>
      <c r="FK33" t="e">
        <f>AND('Planilla_General_29-11-2012_10_'!K492,"AAAAADv/8qY=")</f>
        <v>#VALUE!</v>
      </c>
      <c r="FL33" t="e">
        <f>AND('Planilla_General_29-11-2012_10_'!L492,"AAAAADv/8qc=")</f>
        <v>#VALUE!</v>
      </c>
      <c r="FM33" t="e">
        <f>AND('Planilla_General_29-11-2012_10_'!M492,"AAAAADv/8qg=")</f>
        <v>#VALUE!</v>
      </c>
      <c r="FN33" t="e">
        <f>AND('Planilla_General_29-11-2012_10_'!N492,"AAAAADv/8qk=")</f>
        <v>#VALUE!</v>
      </c>
      <c r="FO33" t="e">
        <f>AND('Planilla_General_29-11-2012_10_'!O492,"AAAAADv/8qo=")</f>
        <v>#VALUE!</v>
      </c>
      <c r="FP33" t="e">
        <f>AND('Planilla_General_29-11-2012_10_'!P492,"AAAAADv/8qs=")</f>
        <v>#VALUE!</v>
      </c>
      <c r="FQ33">
        <f>IF('Planilla_General_29-11-2012_10_'!493:493,"AAAAADv/8qw=",0)</f>
        <v>0</v>
      </c>
      <c r="FR33" t="e">
        <f>AND('Planilla_General_29-11-2012_10_'!A493,"AAAAADv/8q0=")</f>
        <v>#VALUE!</v>
      </c>
      <c r="FS33" t="e">
        <f>AND('Planilla_General_29-11-2012_10_'!B493,"AAAAADv/8q4=")</f>
        <v>#VALUE!</v>
      </c>
      <c r="FT33" t="e">
        <f>AND('Planilla_General_29-11-2012_10_'!C493,"AAAAADv/8q8=")</f>
        <v>#VALUE!</v>
      </c>
      <c r="FU33" t="e">
        <f>AND('Planilla_General_29-11-2012_10_'!D493,"AAAAADv/8rA=")</f>
        <v>#VALUE!</v>
      </c>
      <c r="FV33" t="e">
        <f>AND('Planilla_General_29-11-2012_10_'!E493,"AAAAADv/8rE=")</f>
        <v>#VALUE!</v>
      </c>
      <c r="FW33" t="e">
        <f>AND('Planilla_General_29-11-2012_10_'!F493,"AAAAADv/8rI=")</f>
        <v>#VALUE!</v>
      </c>
      <c r="FX33" t="e">
        <f>AND('Planilla_General_29-11-2012_10_'!G493,"AAAAADv/8rM=")</f>
        <v>#VALUE!</v>
      </c>
      <c r="FY33" t="e">
        <f>AND('Planilla_General_29-11-2012_10_'!H493,"AAAAADv/8rQ=")</f>
        <v>#VALUE!</v>
      </c>
      <c r="FZ33" t="e">
        <f>AND('Planilla_General_29-11-2012_10_'!I493,"AAAAADv/8rU=")</f>
        <v>#VALUE!</v>
      </c>
      <c r="GA33" t="e">
        <f>AND('Planilla_General_29-11-2012_10_'!J493,"AAAAADv/8rY=")</f>
        <v>#VALUE!</v>
      </c>
      <c r="GB33" t="e">
        <f>AND('Planilla_General_29-11-2012_10_'!K493,"AAAAADv/8rc=")</f>
        <v>#VALUE!</v>
      </c>
      <c r="GC33" t="e">
        <f>AND('Planilla_General_29-11-2012_10_'!L493,"AAAAADv/8rg=")</f>
        <v>#VALUE!</v>
      </c>
      <c r="GD33" t="e">
        <f>AND('Planilla_General_29-11-2012_10_'!M493,"AAAAADv/8rk=")</f>
        <v>#VALUE!</v>
      </c>
      <c r="GE33" t="e">
        <f>AND('Planilla_General_29-11-2012_10_'!N493,"AAAAADv/8ro=")</f>
        <v>#VALUE!</v>
      </c>
      <c r="GF33" t="e">
        <f>AND('Planilla_General_29-11-2012_10_'!O493,"AAAAADv/8rs=")</f>
        <v>#VALUE!</v>
      </c>
      <c r="GG33" t="e">
        <f>AND('Planilla_General_29-11-2012_10_'!P493,"AAAAADv/8rw=")</f>
        <v>#VALUE!</v>
      </c>
      <c r="GH33">
        <f>IF('Planilla_General_29-11-2012_10_'!494:494,"AAAAADv/8r0=",0)</f>
        <v>0</v>
      </c>
      <c r="GI33" t="e">
        <f>AND('Planilla_General_29-11-2012_10_'!A494,"AAAAADv/8r4=")</f>
        <v>#VALUE!</v>
      </c>
      <c r="GJ33" t="e">
        <f>AND('Planilla_General_29-11-2012_10_'!B494,"AAAAADv/8r8=")</f>
        <v>#VALUE!</v>
      </c>
      <c r="GK33" t="e">
        <f>AND('Planilla_General_29-11-2012_10_'!C494,"AAAAADv/8sA=")</f>
        <v>#VALUE!</v>
      </c>
      <c r="GL33" t="e">
        <f>AND('Planilla_General_29-11-2012_10_'!D494,"AAAAADv/8sE=")</f>
        <v>#VALUE!</v>
      </c>
      <c r="GM33" t="e">
        <f>AND('Planilla_General_29-11-2012_10_'!E494,"AAAAADv/8sI=")</f>
        <v>#VALUE!</v>
      </c>
      <c r="GN33" t="e">
        <f>AND('Planilla_General_29-11-2012_10_'!F494,"AAAAADv/8sM=")</f>
        <v>#VALUE!</v>
      </c>
      <c r="GO33" t="e">
        <f>AND('Planilla_General_29-11-2012_10_'!G494,"AAAAADv/8sQ=")</f>
        <v>#VALUE!</v>
      </c>
      <c r="GP33" t="e">
        <f>AND('Planilla_General_29-11-2012_10_'!H494,"AAAAADv/8sU=")</f>
        <v>#VALUE!</v>
      </c>
      <c r="GQ33" t="e">
        <f>AND('Planilla_General_29-11-2012_10_'!I494,"AAAAADv/8sY=")</f>
        <v>#VALUE!</v>
      </c>
      <c r="GR33" t="e">
        <f>AND('Planilla_General_29-11-2012_10_'!J494,"AAAAADv/8sc=")</f>
        <v>#VALUE!</v>
      </c>
      <c r="GS33" t="e">
        <f>AND('Planilla_General_29-11-2012_10_'!K494,"AAAAADv/8sg=")</f>
        <v>#VALUE!</v>
      </c>
      <c r="GT33" t="e">
        <f>AND('Planilla_General_29-11-2012_10_'!L494,"AAAAADv/8sk=")</f>
        <v>#VALUE!</v>
      </c>
      <c r="GU33" t="e">
        <f>AND('Planilla_General_29-11-2012_10_'!M494,"AAAAADv/8so=")</f>
        <v>#VALUE!</v>
      </c>
      <c r="GV33" t="e">
        <f>AND('Planilla_General_29-11-2012_10_'!N494,"AAAAADv/8ss=")</f>
        <v>#VALUE!</v>
      </c>
      <c r="GW33" t="e">
        <f>AND('Planilla_General_29-11-2012_10_'!O494,"AAAAADv/8sw=")</f>
        <v>#VALUE!</v>
      </c>
      <c r="GX33" t="e">
        <f>AND('Planilla_General_29-11-2012_10_'!P494,"AAAAADv/8s0=")</f>
        <v>#VALUE!</v>
      </c>
      <c r="GY33">
        <f>IF('Planilla_General_29-11-2012_10_'!495:495,"AAAAADv/8s4=",0)</f>
        <v>0</v>
      </c>
      <c r="GZ33" t="e">
        <f>AND('Planilla_General_29-11-2012_10_'!A495,"AAAAADv/8s8=")</f>
        <v>#VALUE!</v>
      </c>
      <c r="HA33" t="e">
        <f>AND('Planilla_General_29-11-2012_10_'!B495,"AAAAADv/8tA=")</f>
        <v>#VALUE!</v>
      </c>
      <c r="HB33" t="e">
        <f>AND('Planilla_General_29-11-2012_10_'!C495,"AAAAADv/8tE=")</f>
        <v>#VALUE!</v>
      </c>
      <c r="HC33" t="e">
        <f>AND('Planilla_General_29-11-2012_10_'!D495,"AAAAADv/8tI=")</f>
        <v>#VALUE!</v>
      </c>
      <c r="HD33" t="e">
        <f>AND('Planilla_General_29-11-2012_10_'!E495,"AAAAADv/8tM=")</f>
        <v>#VALUE!</v>
      </c>
      <c r="HE33" t="e">
        <f>AND('Planilla_General_29-11-2012_10_'!F495,"AAAAADv/8tQ=")</f>
        <v>#VALUE!</v>
      </c>
      <c r="HF33" t="e">
        <f>AND('Planilla_General_29-11-2012_10_'!G495,"AAAAADv/8tU=")</f>
        <v>#VALUE!</v>
      </c>
      <c r="HG33" t="e">
        <f>AND('Planilla_General_29-11-2012_10_'!H495,"AAAAADv/8tY=")</f>
        <v>#VALUE!</v>
      </c>
      <c r="HH33" t="e">
        <f>AND('Planilla_General_29-11-2012_10_'!I495,"AAAAADv/8tc=")</f>
        <v>#VALUE!</v>
      </c>
      <c r="HI33" t="e">
        <f>AND('Planilla_General_29-11-2012_10_'!J495,"AAAAADv/8tg=")</f>
        <v>#VALUE!</v>
      </c>
      <c r="HJ33" t="e">
        <f>AND('Planilla_General_29-11-2012_10_'!K495,"AAAAADv/8tk=")</f>
        <v>#VALUE!</v>
      </c>
      <c r="HK33" t="e">
        <f>AND('Planilla_General_29-11-2012_10_'!L495,"AAAAADv/8to=")</f>
        <v>#VALUE!</v>
      </c>
      <c r="HL33" t="e">
        <f>AND('Planilla_General_29-11-2012_10_'!M495,"AAAAADv/8ts=")</f>
        <v>#VALUE!</v>
      </c>
      <c r="HM33" t="e">
        <f>AND('Planilla_General_29-11-2012_10_'!N495,"AAAAADv/8tw=")</f>
        <v>#VALUE!</v>
      </c>
      <c r="HN33" t="e">
        <f>AND('Planilla_General_29-11-2012_10_'!O495,"AAAAADv/8t0=")</f>
        <v>#VALUE!</v>
      </c>
      <c r="HO33" t="e">
        <f>AND('Planilla_General_29-11-2012_10_'!P495,"AAAAADv/8t4=")</f>
        <v>#VALUE!</v>
      </c>
      <c r="HP33">
        <f>IF('Planilla_General_29-11-2012_10_'!496:496,"AAAAADv/8t8=",0)</f>
        <v>0</v>
      </c>
      <c r="HQ33" t="e">
        <f>AND('Planilla_General_29-11-2012_10_'!A496,"AAAAADv/8uA=")</f>
        <v>#VALUE!</v>
      </c>
      <c r="HR33" t="e">
        <f>AND('Planilla_General_29-11-2012_10_'!B496,"AAAAADv/8uE=")</f>
        <v>#VALUE!</v>
      </c>
      <c r="HS33" t="e">
        <f>AND('Planilla_General_29-11-2012_10_'!C496,"AAAAADv/8uI=")</f>
        <v>#VALUE!</v>
      </c>
      <c r="HT33" t="e">
        <f>AND('Planilla_General_29-11-2012_10_'!D496,"AAAAADv/8uM=")</f>
        <v>#VALUE!</v>
      </c>
      <c r="HU33" t="e">
        <f>AND('Planilla_General_29-11-2012_10_'!E496,"AAAAADv/8uQ=")</f>
        <v>#VALUE!</v>
      </c>
      <c r="HV33" t="e">
        <f>AND('Planilla_General_29-11-2012_10_'!F496,"AAAAADv/8uU=")</f>
        <v>#VALUE!</v>
      </c>
      <c r="HW33" t="e">
        <f>AND('Planilla_General_29-11-2012_10_'!G496,"AAAAADv/8uY=")</f>
        <v>#VALUE!</v>
      </c>
      <c r="HX33" t="e">
        <f>AND('Planilla_General_29-11-2012_10_'!H496,"AAAAADv/8uc=")</f>
        <v>#VALUE!</v>
      </c>
      <c r="HY33" t="e">
        <f>AND('Planilla_General_29-11-2012_10_'!I496,"AAAAADv/8ug=")</f>
        <v>#VALUE!</v>
      </c>
      <c r="HZ33" t="e">
        <f>AND('Planilla_General_29-11-2012_10_'!J496,"AAAAADv/8uk=")</f>
        <v>#VALUE!</v>
      </c>
      <c r="IA33" t="e">
        <f>AND('Planilla_General_29-11-2012_10_'!K496,"AAAAADv/8uo=")</f>
        <v>#VALUE!</v>
      </c>
      <c r="IB33" t="e">
        <f>AND('Planilla_General_29-11-2012_10_'!L496,"AAAAADv/8us=")</f>
        <v>#VALUE!</v>
      </c>
      <c r="IC33" t="e">
        <f>AND('Planilla_General_29-11-2012_10_'!M496,"AAAAADv/8uw=")</f>
        <v>#VALUE!</v>
      </c>
      <c r="ID33" t="e">
        <f>AND('Planilla_General_29-11-2012_10_'!N496,"AAAAADv/8u0=")</f>
        <v>#VALUE!</v>
      </c>
      <c r="IE33" t="e">
        <f>AND('Planilla_General_29-11-2012_10_'!O496,"AAAAADv/8u4=")</f>
        <v>#VALUE!</v>
      </c>
      <c r="IF33" t="e">
        <f>AND('Planilla_General_29-11-2012_10_'!P496,"AAAAADv/8u8=")</f>
        <v>#VALUE!</v>
      </c>
      <c r="IG33">
        <f>IF('Planilla_General_29-11-2012_10_'!497:497,"AAAAADv/8vA=",0)</f>
        <v>0</v>
      </c>
      <c r="IH33" t="e">
        <f>AND('Planilla_General_29-11-2012_10_'!A497,"AAAAADv/8vE=")</f>
        <v>#VALUE!</v>
      </c>
      <c r="II33" t="e">
        <f>AND('Planilla_General_29-11-2012_10_'!B497,"AAAAADv/8vI=")</f>
        <v>#VALUE!</v>
      </c>
      <c r="IJ33" t="e">
        <f>AND('Planilla_General_29-11-2012_10_'!C497,"AAAAADv/8vM=")</f>
        <v>#VALUE!</v>
      </c>
      <c r="IK33" t="e">
        <f>AND('Planilla_General_29-11-2012_10_'!D497,"AAAAADv/8vQ=")</f>
        <v>#VALUE!</v>
      </c>
      <c r="IL33" t="e">
        <f>AND('Planilla_General_29-11-2012_10_'!E497,"AAAAADv/8vU=")</f>
        <v>#VALUE!</v>
      </c>
      <c r="IM33" t="e">
        <f>AND('Planilla_General_29-11-2012_10_'!F497,"AAAAADv/8vY=")</f>
        <v>#VALUE!</v>
      </c>
      <c r="IN33" t="e">
        <f>AND('Planilla_General_29-11-2012_10_'!G497,"AAAAADv/8vc=")</f>
        <v>#VALUE!</v>
      </c>
      <c r="IO33" t="e">
        <f>AND('Planilla_General_29-11-2012_10_'!H497,"AAAAADv/8vg=")</f>
        <v>#VALUE!</v>
      </c>
      <c r="IP33" t="e">
        <f>AND('Planilla_General_29-11-2012_10_'!I497,"AAAAADv/8vk=")</f>
        <v>#VALUE!</v>
      </c>
      <c r="IQ33" t="e">
        <f>AND('Planilla_General_29-11-2012_10_'!J497,"AAAAADv/8vo=")</f>
        <v>#VALUE!</v>
      </c>
      <c r="IR33" t="e">
        <f>AND('Planilla_General_29-11-2012_10_'!K497,"AAAAADv/8vs=")</f>
        <v>#VALUE!</v>
      </c>
      <c r="IS33" t="e">
        <f>AND('Planilla_General_29-11-2012_10_'!L497,"AAAAADv/8vw=")</f>
        <v>#VALUE!</v>
      </c>
      <c r="IT33" t="e">
        <f>AND('Planilla_General_29-11-2012_10_'!M497,"AAAAADv/8v0=")</f>
        <v>#VALUE!</v>
      </c>
      <c r="IU33" t="e">
        <f>AND('Planilla_General_29-11-2012_10_'!N497,"AAAAADv/8v4=")</f>
        <v>#VALUE!</v>
      </c>
      <c r="IV33" t="e">
        <f>AND('Planilla_General_29-11-2012_10_'!O497,"AAAAADv/8v8=")</f>
        <v>#VALUE!</v>
      </c>
    </row>
    <row r="34" spans="1:256" x14ac:dyDescent="0.25">
      <c r="A34" t="e">
        <f>AND('Planilla_General_29-11-2012_10_'!P497,"AAAAADfzvwA=")</f>
        <v>#VALUE!</v>
      </c>
      <c r="B34" t="e">
        <f>IF('Planilla_General_29-11-2012_10_'!498:498,"AAAAADfzvwE=",0)</f>
        <v>#VALUE!</v>
      </c>
      <c r="C34" t="e">
        <f>AND('Planilla_General_29-11-2012_10_'!A498,"AAAAADfzvwI=")</f>
        <v>#VALUE!</v>
      </c>
      <c r="D34" t="e">
        <f>AND('Planilla_General_29-11-2012_10_'!B498,"AAAAADfzvwM=")</f>
        <v>#VALUE!</v>
      </c>
      <c r="E34" t="e">
        <f>AND('Planilla_General_29-11-2012_10_'!C498,"AAAAADfzvwQ=")</f>
        <v>#VALUE!</v>
      </c>
      <c r="F34" t="e">
        <f>AND('Planilla_General_29-11-2012_10_'!D498,"AAAAADfzvwU=")</f>
        <v>#VALUE!</v>
      </c>
      <c r="G34" t="e">
        <f>AND('Planilla_General_29-11-2012_10_'!E498,"AAAAADfzvwY=")</f>
        <v>#VALUE!</v>
      </c>
      <c r="H34" t="e">
        <f>AND('Planilla_General_29-11-2012_10_'!F498,"AAAAADfzvwc=")</f>
        <v>#VALUE!</v>
      </c>
      <c r="I34" t="e">
        <f>AND('Planilla_General_29-11-2012_10_'!G498,"AAAAADfzvwg=")</f>
        <v>#VALUE!</v>
      </c>
      <c r="J34" t="e">
        <f>AND('Planilla_General_29-11-2012_10_'!H498,"AAAAADfzvwk=")</f>
        <v>#VALUE!</v>
      </c>
      <c r="K34" t="e">
        <f>AND('Planilla_General_29-11-2012_10_'!I498,"AAAAADfzvwo=")</f>
        <v>#VALUE!</v>
      </c>
      <c r="L34" t="e">
        <f>AND('Planilla_General_29-11-2012_10_'!J498,"AAAAADfzvws=")</f>
        <v>#VALUE!</v>
      </c>
      <c r="M34" t="e">
        <f>AND('Planilla_General_29-11-2012_10_'!K498,"AAAAADfzvww=")</f>
        <v>#VALUE!</v>
      </c>
      <c r="N34" t="e">
        <f>AND('Planilla_General_29-11-2012_10_'!L498,"AAAAADfzvw0=")</f>
        <v>#VALUE!</v>
      </c>
      <c r="O34" t="e">
        <f>AND('Planilla_General_29-11-2012_10_'!M498,"AAAAADfzvw4=")</f>
        <v>#VALUE!</v>
      </c>
      <c r="P34" t="e">
        <f>AND('Planilla_General_29-11-2012_10_'!N498,"AAAAADfzvw8=")</f>
        <v>#VALUE!</v>
      </c>
      <c r="Q34" t="e">
        <f>AND('Planilla_General_29-11-2012_10_'!O498,"AAAAADfzvxA=")</f>
        <v>#VALUE!</v>
      </c>
      <c r="R34" t="e">
        <f>AND('Planilla_General_29-11-2012_10_'!P498,"AAAAADfzvxE=")</f>
        <v>#VALUE!</v>
      </c>
      <c r="S34">
        <f>IF('Planilla_General_29-11-2012_10_'!499:499,"AAAAADfzvxI=",0)</f>
        <v>0</v>
      </c>
      <c r="T34" t="e">
        <f>AND('Planilla_General_29-11-2012_10_'!A499,"AAAAADfzvxM=")</f>
        <v>#VALUE!</v>
      </c>
      <c r="U34" t="e">
        <f>AND('Planilla_General_29-11-2012_10_'!B499,"AAAAADfzvxQ=")</f>
        <v>#VALUE!</v>
      </c>
      <c r="V34" t="e">
        <f>AND('Planilla_General_29-11-2012_10_'!C499,"AAAAADfzvxU=")</f>
        <v>#VALUE!</v>
      </c>
      <c r="W34" t="e">
        <f>AND('Planilla_General_29-11-2012_10_'!D499,"AAAAADfzvxY=")</f>
        <v>#VALUE!</v>
      </c>
      <c r="X34" t="e">
        <f>AND('Planilla_General_29-11-2012_10_'!E499,"AAAAADfzvxc=")</f>
        <v>#VALUE!</v>
      </c>
      <c r="Y34" t="e">
        <f>AND('Planilla_General_29-11-2012_10_'!F499,"AAAAADfzvxg=")</f>
        <v>#VALUE!</v>
      </c>
      <c r="Z34" t="e">
        <f>AND('Planilla_General_29-11-2012_10_'!G499,"AAAAADfzvxk=")</f>
        <v>#VALUE!</v>
      </c>
      <c r="AA34" t="e">
        <f>AND('Planilla_General_29-11-2012_10_'!H499,"AAAAADfzvxo=")</f>
        <v>#VALUE!</v>
      </c>
      <c r="AB34" t="e">
        <f>AND('Planilla_General_29-11-2012_10_'!I499,"AAAAADfzvxs=")</f>
        <v>#VALUE!</v>
      </c>
      <c r="AC34" t="e">
        <f>AND('Planilla_General_29-11-2012_10_'!J499,"AAAAADfzvxw=")</f>
        <v>#VALUE!</v>
      </c>
      <c r="AD34" t="e">
        <f>AND('Planilla_General_29-11-2012_10_'!K499,"AAAAADfzvx0=")</f>
        <v>#VALUE!</v>
      </c>
      <c r="AE34" t="e">
        <f>AND('Planilla_General_29-11-2012_10_'!L499,"AAAAADfzvx4=")</f>
        <v>#VALUE!</v>
      </c>
      <c r="AF34" t="e">
        <f>AND('Planilla_General_29-11-2012_10_'!M499,"AAAAADfzvx8=")</f>
        <v>#VALUE!</v>
      </c>
      <c r="AG34" t="e">
        <f>AND('Planilla_General_29-11-2012_10_'!N499,"AAAAADfzvyA=")</f>
        <v>#VALUE!</v>
      </c>
      <c r="AH34" t="e">
        <f>AND('Planilla_General_29-11-2012_10_'!O499,"AAAAADfzvyE=")</f>
        <v>#VALUE!</v>
      </c>
      <c r="AI34" t="e">
        <f>AND('Planilla_General_29-11-2012_10_'!P499,"AAAAADfzvyI=")</f>
        <v>#VALUE!</v>
      </c>
      <c r="AJ34">
        <f>IF('Planilla_General_29-11-2012_10_'!500:500,"AAAAADfzvyM=",0)</f>
        <v>0</v>
      </c>
      <c r="AK34" t="e">
        <f>AND('Planilla_General_29-11-2012_10_'!A500,"AAAAADfzvyQ=")</f>
        <v>#VALUE!</v>
      </c>
      <c r="AL34" t="e">
        <f>AND('Planilla_General_29-11-2012_10_'!B500,"AAAAADfzvyU=")</f>
        <v>#VALUE!</v>
      </c>
      <c r="AM34" t="e">
        <f>AND('Planilla_General_29-11-2012_10_'!C500,"AAAAADfzvyY=")</f>
        <v>#VALUE!</v>
      </c>
      <c r="AN34" t="e">
        <f>AND('Planilla_General_29-11-2012_10_'!D500,"AAAAADfzvyc=")</f>
        <v>#VALUE!</v>
      </c>
      <c r="AO34" t="e">
        <f>AND('Planilla_General_29-11-2012_10_'!E500,"AAAAADfzvyg=")</f>
        <v>#VALUE!</v>
      </c>
      <c r="AP34" t="e">
        <f>AND('Planilla_General_29-11-2012_10_'!F500,"AAAAADfzvyk=")</f>
        <v>#VALUE!</v>
      </c>
      <c r="AQ34" t="e">
        <f>AND('Planilla_General_29-11-2012_10_'!G500,"AAAAADfzvyo=")</f>
        <v>#VALUE!</v>
      </c>
      <c r="AR34" t="e">
        <f>AND('Planilla_General_29-11-2012_10_'!H500,"AAAAADfzvys=")</f>
        <v>#VALUE!</v>
      </c>
      <c r="AS34" t="e">
        <f>AND('Planilla_General_29-11-2012_10_'!I500,"AAAAADfzvyw=")</f>
        <v>#VALUE!</v>
      </c>
      <c r="AT34" t="e">
        <f>AND('Planilla_General_29-11-2012_10_'!J500,"AAAAADfzvy0=")</f>
        <v>#VALUE!</v>
      </c>
      <c r="AU34" t="e">
        <f>AND('Planilla_General_29-11-2012_10_'!K500,"AAAAADfzvy4=")</f>
        <v>#VALUE!</v>
      </c>
      <c r="AV34" t="e">
        <f>AND('Planilla_General_29-11-2012_10_'!L500,"AAAAADfzvy8=")</f>
        <v>#VALUE!</v>
      </c>
      <c r="AW34" t="e">
        <f>AND('Planilla_General_29-11-2012_10_'!M500,"AAAAADfzvzA=")</f>
        <v>#VALUE!</v>
      </c>
      <c r="AX34" t="e">
        <f>AND('Planilla_General_29-11-2012_10_'!N500,"AAAAADfzvzE=")</f>
        <v>#VALUE!</v>
      </c>
      <c r="AY34" t="e">
        <f>AND('Planilla_General_29-11-2012_10_'!O500,"AAAAADfzvzI=")</f>
        <v>#VALUE!</v>
      </c>
      <c r="AZ34" t="e">
        <f>AND('Planilla_General_29-11-2012_10_'!P500,"AAAAADfzvzM=")</f>
        <v>#VALUE!</v>
      </c>
      <c r="BA34">
        <f>IF('Planilla_General_29-11-2012_10_'!501:501,"AAAAADfzvzQ=",0)</f>
        <v>0</v>
      </c>
      <c r="BB34" t="e">
        <f>AND('Planilla_General_29-11-2012_10_'!A501,"AAAAADfzvzU=")</f>
        <v>#VALUE!</v>
      </c>
      <c r="BC34" t="e">
        <f>AND('Planilla_General_29-11-2012_10_'!B501,"AAAAADfzvzY=")</f>
        <v>#VALUE!</v>
      </c>
      <c r="BD34" t="e">
        <f>AND('Planilla_General_29-11-2012_10_'!C501,"AAAAADfzvzc=")</f>
        <v>#VALUE!</v>
      </c>
      <c r="BE34" t="e">
        <f>AND('Planilla_General_29-11-2012_10_'!D501,"AAAAADfzvzg=")</f>
        <v>#VALUE!</v>
      </c>
      <c r="BF34" t="e">
        <f>AND('Planilla_General_29-11-2012_10_'!E501,"AAAAADfzvzk=")</f>
        <v>#VALUE!</v>
      </c>
      <c r="BG34" t="e">
        <f>AND('Planilla_General_29-11-2012_10_'!F501,"AAAAADfzvzo=")</f>
        <v>#VALUE!</v>
      </c>
      <c r="BH34" t="e">
        <f>AND('Planilla_General_29-11-2012_10_'!G501,"AAAAADfzvzs=")</f>
        <v>#VALUE!</v>
      </c>
      <c r="BI34" t="e">
        <f>AND('Planilla_General_29-11-2012_10_'!H501,"AAAAADfzvzw=")</f>
        <v>#VALUE!</v>
      </c>
      <c r="BJ34" t="e">
        <f>AND('Planilla_General_29-11-2012_10_'!I501,"AAAAADfzvz0=")</f>
        <v>#VALUE!</v>
      </c>
      <c r="BK34" t="e">
        <f>AND('Planilla_General_29-11-2012_10_'!J501,"AAAAADfzvz4=")</f>
        <v>#VALUE!</v>
      </c>
      <c r="BL34" t="e">
        <f>AND('Planilla_General_29-11-2012_10_'!K501,"AAAAADfzvz8=")</f>
        <v>#VALUE!</v>
      </c>
      <c r="BM34" t="e">
        <f>AND('Planilla_General_29-11-2012_10_'!L501,"AAAAADfzv0A=")</f>
        <v>#VALUE!</v>
      </c>
      <c r="BN34" t="e">
        <f>AND('Planilla_General_29-11-2012_10_'!M501,"AAAAADfzv0E=")</f>
        <v>#VALUE!</v>
      </c>
      <c r="BO34" t="e">
        <f>AND('Planilla_General_29-11-2012_10_'!N501,"AAAAADfzv0I=")</f>
        <v>#VALUE!</v>
      </c>
      <c r="BP34" t="e">
        <f>AND('Planilla_General_29-11-2012_10_'!O501,"AAAAADfzv0M=")</f>
        <v>#VALUE!</v>
      </c>
      <c r="BQ34" t="e">
        <f>AND('Planilla_General_29-11-2012_10_'!P501,"AAAAADfzv0Q=")</f>
        <v>#VALUE!</v>
      </c>
      <c r="BR34">
        <f>IF('Planilla_General_29-11-2012_10_'!502:502,"AAAAADfzv0U=",0)</f>
        <v>0</v>
      </c>
      <c r="BS34" t="e">
        <f>AND('Planilla_General_29-11-2012_10_'!A502,"AAAAADfzv0Y=")</f>
        <v>#VALUE!</v>
      </c>
      <c r="BT34" t="e">
        <f>AND('Planilla_General_29-11-2012_10_'!B502,"AAAAADfzv0c=")</f>
        <v>#VALUE!</v>
      </c>
      <c r="BU34" t="e">
        <f>AND('Planilla_General_29-11-2012_10_'!C502,"AAAAADfzv0g=")</f>
        <v>#VALUE!</v>
      </c>
      <c r="BV34" t="e">
        <f>AND('Planilla_General_29-11-2012_10_'!D502,"AAAAADfzv0k=")</f>
        <v>#VALUE!</v>
      </c>
      <c r="BW34" t="e">
        <f>AND('Planilla_General_29-11-2012_10_'!E502,"AAAAADfzv0o=")</f>
        <v>#VALUE!</v>
      </c>
      <c r="BX34" t="e">
        <f>AND('Planilla_General_29-11-2012_10_'!F502,"AAAAADfzv0s=")</f>
        <v>#VALUE!</v>
      </c>
      <c r="BY34" t="e">
        <f>AND('Planilla_General_29-11-2012_10_'!G502,"AAAAADfzv0w=")</f>
        <v>#VALUE!</v>
      </c>
      <c r="BZ34" t="e">
        <f>AND('Planilla_General_29-11-2012_10_'!H502,"AAAAADfzv00=")</f>
        <v>#VALUE!</v>
      </c>
      <c r="CA34" t="e">
        <f>AND('Planilla_General_29-11-2012_10_'!I502,"AAAAADfzv04=")</f>
        <v>#VALUE!</v>
      </c>
      <c r="CB34" t="e">
        <f>AND('Planilla_General_29-11-2012_10_'!J502,"AAAAADfzv08=")</f>
        <v>#VALUE!</v>
      </c>
      <c r="CC34" t="e">
        <f>AND('Planilla_General_29-11-2012_10_'!K502,"AAAAADfzv1A=")</f>
        <v>#VALUE!</v>
      </c>
      <c r="CD34" t="e">
        <f>AND('Planilla_General_29-11-2012_10_'!L502,"AAAAADfzv1E=")</f>
        <v>#VALUE!</v>
      </c>
      <c r="CE34" t="e">
        <f>AND('Planilla_General_29-11-2012_10_'!M502,"AAAAADfzv1I=")</f>
        <v>#VALUE!</v>
      </c>
      <c r="CF34" t="e">
        <f>AND('Planilla_General_29-11-2012_10_'!N502,"AAAAADfzv1M=")</f>
        <v>#VALUE!</v>
      </c>
      <c r="CG34" t="e">
        <f>AND('Planilla_General_29-11-2012_10_'!O502,"AAAAADfzv1Q=")</f>
        <v>#VALUE!</v>
      </c>
      <c r="CH34" t="e">
        <f>AND('Planilla_General_29-11-2012_10_'!P502,"AAAAADfzv1U=")</f>
        <v>#VALUE!</v>
      </c>
      <c r="CI34">
        <f>IF('Planilla_General_29-11-2012_10_'!503:503,"AAAAADfzv1Y=",0)</f>
        <v>0</v>
      </c>
      <c r="CJ34" t="e">
        <f>AND('Planilla_General_29-11-2012_10_'!A503,"AAAAADfzv1c=")</f>
        <v>#VALUE!</v>
      </c>
      <c r="CK34" t="e">
        <f>AND('Planilla_General_29-11-2012_10_'!B503,"AAAAADfzv1g=")</f>
        <v>#VALUE!</v>
      </c>
      <c r="CL34" t="e">
        <f>AND('Planilla_General_29-11-2012_10_'!C503,"AAAAADfzv1k=")</f>
        <v>#VALUE!</v>
      </c>
      <c r="CM34" t="e">
        <f>AND('Planilla_General_29-11-2012_10_'!D503,"AAAAADfzv1o=")</f>
        <v>#VALUE!</v>
      </c>
      <c r="CN34" t="e">
        <f>AND('Planilla_General_29-11-2012_10_'!E503,"AAAAADfzv1s=")</f>
        <v>#VALUE!</v>
      </c>
      <c r="CO34" t="e">
        <f>AND('Planilla_General_29-11-2012_10_'!F503,"AAAAADfzv1w=")</f>
        <v>#VALUE!</v>
      </c>
      <c r="CP34" t="e">
        <f>AND('Planilla_General_29-11-2012_10_'!G503,"AAAAADfzv10=")</f>
        <v>#VALUE!</v>
      </c>
      <c r="CQ34" t="e">
        <f>AND('Planilla_General_29-11-2012_10_'!H503,"AAAAADfzv14=")</f>
        <v>#VALUE!</v>
      </c>
      <c r="CR34" t="e">
        <f>AND('Planilla_General_29-11-2012_10_'!I503,"AAAAADfzv18=")</f>
        <v>#VALUE!</v>
      </c>
      <c r="CS34" t="e">
        <f>AND('Planilla_General_29-11-2012_10_'!J503,"AAAAADfzv2A=")</f>
        <v>#VALUE!</v>
      </c>
      <c r="CT34" t="e">
        <f>AND('Planilla_General_29-11-2012_10_'!K503,"AAAAADfzv2E=")</f>
        <v>#VALUE!</v>
      </c>
      <c r="CU34" t="e">
        <f>AND('Planilla_General_29-11-2012_10_'!L503,"AAAAADfzv2I=")</f>
        <v>#VALUE!</v>
      </c>
      <c r="CV34" t="e">
        <f>AND('Planilla_General_29-11-2012_10_'!M503,"AAAAADfzv2M=")</f>
        <v>#VALUE!</v>
      </c>
      <c r="CW34" t="e">
        <f>AND('Planilla_General_29-11-2012_10_'!N503,"AAAAADfzv2Q=")</f>
        <v>#VALUE!</v>
      </c>
      <c r="CX34" t="e">
        <f>AND('Planilla_General_29-11-2012_10_'!O503,"AAAAADfzv2U=")</f>
        <v>#VALUE!</v>
      </c>
      <c r="CY34" t="e">
        <f>AND('Planilla_General_29-11-2012_10_'!P503,"AAAAADfzv2Y=")</f>
        <v>#VALUE!</v>
      </c>
      <c r="CZ34">
        <f>IF('Planilla_General_29-11-2012_10_'!504:504,"AAAAADfzv2c=",0)</f>
        <v>0</v>
      </c>
      <c r="DA34" t="e">
        <f>AND('Planilla_General_29-11-2012_10_'!A504,"AAAAADfzv2g=")</f>
        <v>#VALUE!</v>
      </c>
      <c r="DB34" t="e">
        <f>AND('Planilla_General_29-11-2012_10_'!B504,"AAAAADfzv2k=")</f>
        <v>#VALUE!</v>
      </c>
      <c r="DC34" t="e">
        <f>AND('Planilla_General_29-11-2012_10_'!C504,"AAAAADfzv2o=")</f>
        <v>#VALUE!</v>
      </c>
      <c r="DD34" t="e">
        <f>AND('Planilla_General_29-11-2012_10_'!D504,"AAAAADfzv2s=")</f>
        <v>#VALUE!</v>
      </c>
      <c r="DE34" t="e">
        <f>AND('Planilla_General_29-11-2012_10_'!E504,"AAAAADfzv2w=")</f>
        <v>#VALUE!</v>
      </c>
      <c r="DF34" t="e">
        <f>AND('Planilla_General_29-11-2012_10_'!F504,"AAAAADfzv20=")</f>
        <v>#VALUE!</v>
      </c>
      <c r="DG34" t="e">
        <f>AND('Planilla_General_29-11-2012_10_'!G504,"AAAAADfzv24=")</f>
        <v>#VALUE!</v>
      </c>
      <c r="DH34" t="e">
        <f>AND('Planilla_General_29-11-2012_10_'!H504,"AAAAADfzv28=")</f>
        <v>#VALUE!</v>
      </c>
      <c r="DI34" t="e">
        <f>AND('Planilla_General_29-11-2012_10_'!I504,"AAAAADfzv3A=")</f>
        <v>#VALUE!</v>
      </c>
      <c r="DJ34" t="e">
        <f>AND('Planilla_General_29-11-2012_10_'!J504,"AAAAADfzv3E=")</f>
        <v>#VALUE!</v>
      </c>
      <c r="DK34" t="e">
        <f>AND('Planilla_General_29-11-2012_10_'!K504,"AAAAADfzv3I=")</f>
        <v>#VALUE!</v>
      </c>
      <c r="DL34" t="e">
        <f>AND('Planilla_General_29-11-2012_10_'!L504,"AAAAADfzv3M=")</f>
        <v>#VALUE!</v>
      </c>
      <c r="DM34" t="e">
        <f>AND('Planilla_General_29-11-2012_10_'!M504,"AAAAADfzv3Q=")</f>
        <v>#VALUE!</v>
      </c>
      <c r="DN34" t="e">
        <f>AND('Planilla_General_29-11-2012_10_'!N504,"AAAAADfzv3U=")</f>
        <v>#VALUE!</v>
      </c>
      <c r="DO34" t="e">
        <f>AND('Planilla_General_29-11-2012_10_'!O504,"AAAAADfzv3Y=")</f>
        <v>#VALUE!</v>
      </c>
      <c r="DP34" t="e">
        <f>AND('Planilla_General_29-11-2012_10_'!P504,"AAAAADfzv3c=")</f>
        <v>#VALUE!</v>
      </c>
      <c r="DQ34">
        <f>IF('Planilla_General_29-11-2012_10_'!505:505,"AAAAADfzv3g=",0)</f>
        <v>0</v>
      </c>
      <c r="DR34" t="e">
        <f>AND('Planilla_General_29-11-2012_10_'!A505,"AAAAADfzv3k=")</f>
        <v>#VALUE!</v>
      </c>
      <c r="DS34" t="e">
        <f>AND('Planilla_General_29-11-2012_10_'!B505,"AAAAADfzv3o=")</f>
        <v>#VALUE!</v>
      </c>
      <c r="DT34" t="e">
        <f>AND('Planilla_General_29-11-2012_10_'!C505,"AAAAADfzv3s=")</f>
        <v>#VALUE!</v>
      </c>
      <c r="DU34" t="e">
        <f>AND('Planilla_General_29-11-2012_10_'!D505,"AAAAADfzv3w=")</f>
        <v>#VALUE!</v>
      </c>
      <c r="DV34" t="e">
        <f>AND('Planilla_General_29-11-2012_10_'!E505,"AAAAADfzv30=")</f>
        <v>#VALUE!</v>
      </c>
      <c r="DW34" t="e">
        <f>AND('Planilla_General_29-11-2012_10_'!F505,"AAAAADfzv34=")</f>
        <v>#VALUE!</v>
      </c>
      <c r="DX34" t="e">
        <f>AND('Planilla_General_29-11-2012_10_'!G505,"AAAAADfzv38=")</f>
        <v>#VALUE!</v>
      </c>
      <c r="DY34" t="e">
        <f>AND('Planilla_General_29-11-2012_10_'!H505,"AAAAADfzv4A=")</f>
        <v>#VALUE!</v>
      </c>
      <c r="DZ34" t="e">
        <f>AND('Planilla_General_29-11-2012_10_'!I505,"AAAAADfzv4E=")</f>
        <v>#VALUE!</v>
      </c>
      <c r="EA34" t="e">
        <f>AND('Planilla_General_29-11-2012_10_'!J505,"AAAAADfzv4I=")</f>
        <v>#VALUE!</v>
      </c>
      <c r="EB34" t="e">
        <f>AND('Planilla_General_29-11-2012_10_'!K505,"AAAAADfzv4M=")</f>
        <v>#VALUE!</v>
      </c>
      <c r="EC34" t="e">
        <f>AND('Planilla_General_29-11-2012_10_'!L505,"AAAAADfzv4Q=")</f>
        <v>#VALUE!</v>
      </c>
      <c r="ED34" t="e">
        <f>AND('Planilla_General_29-11-2012_10_'!M505,"AAAAADfzv4U=")</f>
        <v>#VALUE!</v>
      </c>
      <c r="EE34" t="e">
        <f>AND('Planilla_General_29-11-2012_10_'!N505,"AAAAADfzv4Y=")</f>
        <v>#VALUE!</v>
      </c>
      <c r="EF34" t="e">
        <f>AND('Planilla_General_29-11-2012_10_'!O505,"AAAAADfzv4c=")</f>
        <v>#VALUE!</v>
      </c>
      <c r="EG34" t="e">
        <f>AND('Planilla_General_29-11-2012_10_'!P505,"AAAAADfzv4g=")</f>
        <v>#VALUE!</v>
      </c>
      <c r="EH34">
        <f>IF('Planilla_General_29-11-2012_10_'!506:506,"AAAAADfzv4k=",0)</f>
        <v>0</v>
      </c>
      <c r="EI34" t="e">
        <f>AND('Planilla_General_29-11-2012_10_'!A506,"AAAAADfzv4o=")</f>
        <v>#VALUE!</v>
      </c>
      <c r="EJ34" t="e">
        <f>AND('Planilla_General_29-11-2012_10_'!B506,"AAAAADfzv4s=")</f>
        <v>#VALUE!</v>
      </c>
      <c r="EK34" t="e">
        <f>AND('Planilla_General_29-11-2012_10_'!C506,"AAAAADfzv4w=")</f>
        <v>#VALUE!</v>
      </c>
      <c r="EL34" t="e">
        <f>AND('Planilla_General_29-11-2012_10_'!D506,"AAAAADfzv40=")</f>
        <v>#VALUE!</v>
      </c>
      <c r="EM34" t="e">
        <f>AND('Planilla_General_29-11-2012_10_'!E506,"AAAAADfzv44=")</f>
        <v>#VALUE!</v>
      </c>
      <c r="EN34" t="e">
        <f>AND('Planilla_General_29-11-2012_10_'!F506,"AAAAADfzv48=")</f>
        <v>#VALUE!</v>
      </c>
      <c r="EO34" t="e">
        <f>AND('Planilla_General_29-11-2012_10_'!G506,"AAAAADfzv5A=")</f>
        <v>#VALUE!</v>
      </c>
      <c r="EP34" t="e">
        <f>AND('Planilla_General_29-11-2012_10_'!H506,"AAAAADfzv5E=")</f>
        <v>#VALUE!</v>
      </c>
      <c r="EQ34" t="e">
        <f>AND('Planilla_General_29-11-2012_10_'!I506,"AAAAADfzv5I=")</f>
        <v>#VALUE!</v>
      </c>
      <c r="ER34" t="e">
        <f>AND('Planilla_General_29-11-2012_10_'!J506,"AAAAADfzv5M=")</f>
        <v>#VALUE!</v>
      </c>
      <c r="ES34" t="e">
        <f>AND('Planilla_General_29-11-2012_10_'!K506,"AAAAADfzv5Q=")</f>
        <v>#VALUE!</v>
      </c>
      <c r="ET34" t="e">
        <f>AND('Planilla_General_29-11-2012_10_'!L506,"AAAAADfzv5U=")</f>
        <v>#VALUE!</v>
      </c>
      <c r="EU34" t="e">
        <f>AND('Planilla_General_29-11-2012_10_'!M506,"AAAAADfzv5Y=")</f>
        <v>#VALUE!</v>
      </c>
      <c r="EV34" t="e">
        <f>AND('Planilla_General_29-11-2012_10_'!N506,"AAAAADfzv5c=")</f>
        <v>#VALUE!</v>
      </c>
      <c r="EW34" t="e">
        <f>AND('Planilla_General_29-11-2012_10_'!O506,"AAAAADfzv5g=")</f>
        <v>#VALUE!</v>
      </c>
      <c r="EX34" t="e">
        <f>AND('Planilla_General_29-11-2012_10_'!P506,"AAAAADfzv5k=")</f>
        <v>#VALUE!</v>
      </c>
      <c r="EY34">
        <f>IF('Planilla_General_29-11-2012_10_'!507:507,"AAAAADfzv5o=",0)</f>
        <v>0</v>
      </c>
      <c r="EZ34" t="e">
        <f>AND('Planilla_General_29-11-2012_10_'!A507,"AAAAADfzv5s=")</f>
        <v>#VALUE!</v>
      </c>
      <c r="FA34" t="e">
        <f>AND('Planilla_General_29-11-2012_10_'!B507,"AAAAADfzv5w=")</f>
        <v>#VALUE!</v>
      </c>
      <c r="FB34" t="e">
        <f>AND('Planilla_General_29-11-2012_10_'!C507,"AAAAADfzv50=")</f>
        <v>#VALUE!</v>
      </c>
      <c r="FC34" t="e">
        <f>AND('Planilla_General_29-11-2012_10_'!D507,"AAAAADfzv54=")</f>
        <v>#VALUE!</v>
      </c>
      <c r="FD34" t="e">
        <f>AND('Planilla_General_29-11-2012_10_'!E507,"AAAAADfzv58=")</f>
        <v>#VALUE!</v>
      </c>
      <c r="FE34" t="e">
        <f>AND('Planilla_General_29-11-2012_10_'!F507,"AAAAADfzv6A=")</f>
        <v>#VALUE!</v>
      </c>
      <c r="FF34" t="e">
        <f>AND('Planilla_General_29-11-2012_10_'!G507,"AAAAADfzv6E=")</f>
        <v>#VALUE!</v>
      </c>
      <c r="FG34" t="e">
        <f>AND('Planilla_General_29-11-2012_10_'!H507,"AAAAADfzv6I=")</f>
        <v>#VALUE!</v>
      </c>
      <c r="FH34" t="e">
        <f>AND('Planilla_General_29-11-2012_10_'!I507,"AAAAADfzv6M=")</f>
        <v>#VALUE!</v>
      </c>
      <c r="FI34" t="e">
        <f>AND('Planilla_General_29-11-2012_10_'!J507,"AAAAADfzv6Q=")</f>
        <v>#VALUE!</v>
      </c>
      <c r="FJ34" t="e">
        <f>AND('Planilla_General_29-11-2012_10_'!K507,"AAAAADfzv6U=")</f>
        <v>#VALUE!</v>
      </c>
      <c r="FK34" t="e">
        <f>AND('Planilla_General_29-11-2012_10_'!L507,"AAAAADfzv6Y=")</f>
        <v>#VALUE!</v>
      </c>
      <c r="FL34" t="e">
        <f>AND('Planilla_General_29-11-2012_10_'!M507,"AAAAADfzv6c=")</f>
        <v>#VALUE!</v>
      </c>
      <c r="FM34" t="e">
        <f>AND('Planilla_General_29-11-2012_10_'!N507,"AAAAADfzv6g=")</f>
        <v>#VALUE!</v>
      </c>
      <c r="FN34" t="e">
        <f>AND('Planilla_General_29-11-2012_10_'!O507,"AAAAADfzv6k=")</f>
        <v>#VALUE!</v>
      </c>
      <c r="FO34" t="e">
        <f>AND('Planilla_General_29-11-2012_10_'!P507,"AAAAADfzv6o=")</f>
        <v>#VALUE!</v>
      </c>
      <c r="FP34">
        <f>IF('Planilla_General_29-11-2012_10_'!508:508,"AAAAADfzv6s=",0)</f>
        <v>0</v>
      </c>
      <c r="FQ34" t="e">
        <f>AND('Planilla_General_29-11-2012_10_'!A508,"AAAAADfzv6w=")</f>
        <v>#VALUE!</v>
      </c>
      <c r="FR34" t="e">
        <f>AND('Planilla_General_29-11-2012_10_'!B508,"AAAAADfzv60=")</f>
        <v>#VALUE!</v>
      </c>
      <c r="FS34" t="e">
        <f>AND('Planilla_General_29-11-2012_10_'!C508,"AAAAADfzv64=")</f>
        <v>#VALUE!</v>
      </c>
      <c r="FT34" t="e">
        <f>AND('Planilla_General_29-11-2012_10_'!D508,"AAAAADfzv68=")</f>
        <v>#VALUE!</v>
      </c>
      <c r="FU34" t="e">
        <f>AND('Planilla_General_29-11-2012_10_'!E508,"AAAAADfzv7A=")</f>
        <v>#VALUE!</v>
      </c>
      <c r="FV34" t="e">
        <f>AND('Planilla_General_29-11-2012_10_'!F508,"AAAAADfzv7E=")</f>
        <v>#VALUE!</v>
      </c>
      <c r="FW34" t="e">
        <f>AND('Planilla_General_29-11-2012_10_'!G508,"AAAAADfzv7I=")</f>
        <v>#VALUE!</v>
      </c>
      <c r="FX34" t="e">
        <f>AND('Planilla_General_29-11-2012_10_'!H508,"AAAAADfzv7M=")</f>
        <v>#VALUE!</v>
      </c>
      <c r="FY34" t="e">
        <f>AND('Planilla_General_29-11-2012_10_'!I508,"AAAAADfzv7Q=")</f>
        <v>#VALUE!</v>
      </c>
      <c r="FZ34" t="e">
        <f>AND('Planilla_General_29-11-2012_10_'!J508,"AAAAADfzv7U=")</f>
        <v>#VALUE!</v>
      </c>
      <c r="GA34" t="e">
        <f>AND('Planilla_General_29-11-2012_10_'!K508,"AAAAADfzv7Y=")</f>
        <v>#VALUE!</v>
      </c>
      <c r="GB34" t="e">
        <f>AND('Planilla_General_29-11-2012_10_'!L508,"AAAAADfzv7c=")</f>
        <v>#VALUE!</v>
      </c>
      <c r="GC34" t="e">
        <f>AND('Planilla_General_29-11-2012_10_'!M508,"AAAAADfzv7g=")</f>
        <v>#VALUE!</v>
      </c>
      <c r="GD34" t="e">
        <f>AND('Planilla_General_29-11-2012_10_'!N508,"AAAAADfzv7k=")</f>
        <v>#VALUE!</v>
      </c>
      <c r="GE34" t="e">
        <f>AND('Planilla_General_29-11-2012_10_'!O508,"AAAAADfzv7o=")</f>
        <v>#VALUE!</v>
      </c>
      <c r="GF34" t="e">
        <f>AND('Planilla_General_29-11-2012_10_'!P508,"AAAAADfzv7s=")</f>
        <v>#VALUE!</v>
      </c>
      <c r="GG34">
        <f>IF('Planilla_General_29-11-2012_10_'!509:509,"AAAAADfzv7w=",0)</f>
        <v>0</v>
      </c>
      <c r="GH34" t="e">
        <f>AND('Planilla_General_29-11-2012_10_'!A509,"AAAAADfzv70=")</f>
        <v>#VALUE!</v>
      </c>
      <c r="GI34" t="e">
        <f>AND('Planilla_General_29-11-2012_10_'!B509,"AAAAADfzv74=")</f>
        <v>#VALUE!</v>
      </c>
      <c r="GJ34" t="e">
        <f>AND('Planilla_General_29-11-2012_10_'!C509,"AAAAADfzv78=")</f>
        <v>#VALUE!</v>
      </c>
      <c r="GK34" t="e">
        <f>AND('Planilla_General_29-11-2012_10_'!D509,"AAAAADfzv8A=")</f>
        <v>#VALUE!</v>
      </c>
      <c r="GL34" t="e">
        <f>AND('Planilla_General_29-11-2012_10_'!E509,"AAAAADfzv8E=")</f>
        <v>#VALUE!</v>
      </c>
      <c r="GM34" t="e">
        <f>AND('Planilla_General_29-11-2012_10_'!F509,"AAAAADfzv8I=")</f>
        <v>#VALUE!</v>
      </c>
      <c r="GN34" t="e">
        <f>AND('Planilla_General_29-11-2012_10_'!G509,"AAAAADfzv8M=")</f>
        <v>#VALUE!</v>
      </c>
      <c r="GO34" t="e">
        <f>AND('Planilla_General_29-11-2012_10_'!H509,"AAAAADfzv8Q=")</f>
        <v>#VALUE!</v>
      </c>
      <c r="GP34" t="e">
        <f>AND('Planilla_General_29-11-2012_10_'!I509,"AAAAADfzv8U=")</f>
        <v>#VALUE!</v>
      </c>
      <c r="GQ34" t="e">
        <f>AND('Planilla_General_29-11-2012_10_'!J509,"AAAAADfzv8Y=")</f>
        <v>#VALUE!</v>
      </c>
      <c r="GR34" t="e">
        <f>AND('Planilla_General_29-11-2012_10_'!K509,"AAAAADfzv8c=")</f>
        <v>#VALUE!</v>
      </c>
      <c r="GS34" t="e">
        <f>AND('Planilla_General_29-11-2012_10_'!L509,"AAAAADfzv8g=")</f>
        <v>#VALUE!</v>
      </c>
      <c r="GT34" t="e">
        <f>AND('Planilla_General_29-11-2012_10_'!M509,"AAAAADfzv8k=")</f>
        <v>#VALUE!</v>
      </c>
      <c r="GU34" t="e">
        <f>AND('Planilla_General_29-11-2012_10_'!N509,"AAAAADfzv8o=")</f>
        <v>#VALUE!</v>
      </c>
      <c r="GV34" t="e">
        <f>AND('Planilla_General_29-11-2012_10_'!O509,"AAAAADfzv8s=")</f>
        <v>#VALUE!</v>
      </c>
      <c r="GW34" t="e">
        <f>AND('Planilla_General_29-11-2012_10_'!P509,"AAAAADfzv8w=")</f>
        <v>#VALUE!</v>
      </c>
      <c r="GX34">
        <f>IF('Planilla_General_29-11-2012_10_'!510:510,"AAAAADfzv80=",0)</f>
        <v>0</v>
      </c>
      <c r="GY34" t="e">
        <f>AND('Planilla_General_29-11-2012_10_'!A510,"AAAAADfzv84=")</f>
        <v>#VALUE!</v>
      </c>
      <c r="GZ34" t="e">
        <f>AND('Planilla_General_29-11-2012_10_'!B510,"AAAAADfzv88=")</f>
        <v>#VALUE!</v>
      </c>
      <c r="HA34" t="e">
        <f>AND('Planilla_General_29-11-2012_10_'!C510,"AAAAADfzv9A=")</f>
        <v>#VALUE!</v>
      </c>
      <c r="HB34" t="e">
        <f>AND('Planilla_General_29-11-2012_10_'!D510,"AAAAADfzv9E=")</f>
        <v>#VALUE!</v>
      </c>
      <c r="HC34" t="e">
        <f>AND('Planilla_General_29-11-2012_10_'!E510,"AAAAADfzv9I=")</f>
        <v>#VALUE!</v>
      </c>
      <c r="HD34" t="e">
        <f>AND('Planilla_General_29-11-2012_10_'!F510,"AAAAADfzv9M=")</f>
        <v>#VALUE!</v>
      </c>
      <c r="HE34" t="e">
        <f>AND('Planilla_General_29-11-2012_10_'!G510,"AAAAADfzv9Q=")</f>
        <v>#VALUE!</v>
      </c>
      <c r="HF34" t="e">
        <f>AND('Planilla_General_29-11-2012_10_'!H510,"AAAAADfzv9U=")</f>
        <v>#VALUE!</v>
      </c>
      <c r="HG34" t="e">
        <f>AND('Planilla_General_29-11-2012_10_'!I510,"AAAAADfzv9Y=")</f>
        <v>#VALUE!</v>
      </c>
      <c r="HH34" t="e">
        <f>AND('Planilla_General_29-11-2012_10_'!J510,"AAAAADfzv9c=")</f>
        <v>#VALUE!</v>
      </c>
      <c r="HI34" t="e">
        <f>AND('Planilla_General_29-11-2012_10_'!K510,"AAAAADfzv9g=")</f>
        <v>#VALUE!</v>
      </c>
      <c r="HJ34" t="e">
        <f>AND('Planilla_General_29-11-2012_10_'!L510,"AAAAADfzv9k=")</f>
        <v>#VALUE!</v>
      </c>
      <c r="HK34" t="e">
        <f>AND('Planilla_General_29-11-2012_10_'!M510,"AAAAADfzv9o=")</f>
        <v>#VALUE!</v>
      </c>
      <c r="HL34" t="e">
        <f>AND('Planilla_General_29-11-2012_10_'!N510,"AAAAADfzv9s=")</f>
        <v>#VALUE!</v>
      </c>
      <c r="HM34" t="e">
        <f>AND('Planilla_General_29-11-2012_10_'!O510,"AAAAADfzv9w=")</f>
        <v>#VALUE!</v>
      </c>
      <c r="HN34" t="e">
        <f>AND('Planilla_General_29-11-2012_10_'!P510,"AAAAADfzv90=")</f>
        <v>#VALUE!</v>
      </c>
      <c r="HO34">
        <f>IF('Planilla_General_29-11-2012_10_'!511:511,"AAAAADfzv94=",0)</f>
        <v>0</v>
      </c>
      <c r="HP34" t="e">
        <f>AND('Planilla_General_29-11-2012_10_'!A511,"AAAAADfzv98=")</f>
        <v>#VALUE!</v>
      </c>
      <c r="HQ34" t="e">
        <f>AND('Planilla_General_29-11-2012_10_'!B511,"AAAAADfzv+A=")</f>
        <v>#VALUE!</v>
      </c>
      <c r="HR34" t="e">
        <f>AND('Planilla_General_29-11-2012_10_'!C511,"AAAAADfzv+E=")</f>
        <v>#VALUE!</v>
      </c>
      <c r="HS34" t="e">
        <f>AND('Planilla_General_29-11-2012_10_'!D511,"AAAAADfzv+I=")</f>
        <v>#VALUE!</v>
      </c>
      <c r="HT34" t="e">
        <f>AND('Planilla_General_29-11-2012_10_'!E511,"AAAAADfzv+M=")</f>
        <v>#VALUE!</v>
      </c>
      <c r="HU34" t="e">
        <f>AND('Planilla_General_29-11-2012_10_'!F511,"AAAAADfzv+Q=")</f>
        <v>#VALUE!</v>
      </c>
      <c r="HV34" t="e">
        <f>AND('Planilla_General_29-11-2012_10_'!G511,"AAAAADfzv+U=")</f>
        <v>#VALUE!</v>
      </c>
      <c r="HW34" t="e">
        <f>AND('Planilla_General_29-11-2012_10_'!H511,"AAAAADfzv+Y=")</f>
        <v>#VALUE!</v>
      </c>
      <c r="HX34" t="e">
        <f>AND('Planilla_General_29-11-2012_10_'!I511,"AAAAADfzv+c=")</f>
        <v>#VALUE!</v>
      </c>
      <c r="HY34" t="e">
        <f>AND('Planilla_General_29-11-2012_10_'!J511,"AAAAADfzv+g=")</f>
        <v>#VALUE!</v>
      </c>
      <c r="HZ34" t="e">
        <f>AND('Planilla_General_29-11-2012_10_'!K511,"AAAAADfzv+k=")</f>
        <v>#VALUE!</v>
      </c>
      <c r="IA34" t="e">
        <f>AND('Planilla_General_29-11-2012_10_'!L511,"AAAAADfzv+o=")</f>
        <v>#VALUE!</v>
      </c>
      <c r="IB34" t="e">
        <f>AND('Planilla_General_29-11-2012_10_'!M511,"AAAAADfzv+s=")</f>
        <v>#VALUE!</v>
      </c>
      <c r="IC34" t="e">
        <f>AND('Planilla_General_29-11-2012_10_'!N511,"AAAAADfzv+w=")</f>
        <v>#VALUE!</v>
      </c>
      <c r="ID34" t="e">
        <f>AND('Planilla_General_29-11-2012_10_'!O511,"AAAAADfzv+0=")</f>
        <v>#VALUE!</v>
      </c>
      <c r="IE34" t="e">
        <f>AND('Planilla_General_29-11-2012_10_'!P511,"AAAAADfzv+4=")</f>
        <v>#VALUE!</v>
      </c>
      <c r="IF34">
        <f>IF('Planilla_General_29-11-2012_10_'!512:512,"AAAAADfzv+8=",0)</f>
        <v>0</v>
      </c>
      <c r="IG34" t="e">
        <f>AND('Planilla_General_29-11-2012_10_'!A512,"AAAAADfzv/A=")</f>
        <v>#VALUE!</v>
      </c>
      <c r="IH34" t="e">
        <f>AND('Planilla_General_29-11-2012_10_'!B512,"AAAAADfzv/E=")</f>
        <v>#VALUE!</v>
      </c>
      <c r="II34" t="e">
        <f>AND('Planilla_General_29-11-2012_10_'!C512,"AAAAADfzv/I=")</f>
        <v>#VALUE!</v>
      </c>
      <c r="IJ34" t="e">
        <f>AND('Planilla_General_29-11-2012_10_'!D512,"AAAAADfzv/M=")</f>
        <v>#VALUE!</v>
      </c>
      <c r="IK34" t="e">
        <f>AND('Planilla_General_29-11-2012_10_'!E512,"AAAAADfzv/Q=")</f>
        <v>#VALUE!</v>
      </c>
      <c r="IL34" t="e">
        <f>AND('Planilla_General_29-11-2012_10_'!F512,"AAAAADfzv/U=")</f>
        <v>#VALUE!</v>
      </c>
      <c r="IM34" t="e">
        <f>AND('Planilla_General_29-11-2012_10_'!G512,"AAAAADfzv/Y=")</f>
        <v>#VALUE!</v>
      </c>
      <c r="IN34" t="e">
        <f>AND('Planilla_General_29-11-2012_10_'!H512,"AAAAADfzv/c=")</f>
        <v>#VALUE!</v>
      </c>
      <c r="IO34" t="e">
        <f>AND('Planilla_General_29-11-2012_10_'!I512,"AAAAADfzv/g=")</f>
        <v>#VALUE!</v>
      </c>
      <c r="IP34" t="e">
        <f>AND('Planilla_General_29-11-2012_10_'!J512,"AAAAADfzv/k=")</f>
        <v>#VALUE!</v>
      </c>
      <c r="IQ34" t="e">
        <f>AND('Planilla_General_29-11-2012_10_'!K512,"AAAAADfzv/o=")</f>
        <v>#VALUE!</v>
      </c>
      <c r="IR34" t="e">
        <f>AND('Planilla_General_29-11-2012_10_'!L512,"AAAAADfzv/s=")</f>
        <v>#VALUE!</v>
      </c>
      <c r="IS34" t="e">
        <f>AND('Planilla_General_29-11-2012_10_'!M512,"AAAAADfzv/w=")</f>
        <v>#VALUE!</v>
      </c>
      <c r="IT34" t="e">
        <f>AND('Planilla_General_29-11-2012_10_'!N512,"AAAAADfzv/0=")</f>
        <v>#VALUE!</v>
      </c>
      <c r="IU34" t="e">
        <f>AND('Planilla_General_29-11-2012_10_'!O512,"AAAAADfzv/4=")</f>
        <v>#VALUE!</v>
      </c>
      <c r="IV34" t="e">
        <f>AND('Planilla_General_29-11-2012_10_'!P512,"AAAAADfzv/8=")</f>
        <v>#VALUE!</v>
      </c>
    </row>
    <row r="35" spans="1:256" x14ac:dyDescent="0.25">
      <c r="A35" t="e">
        <f>IF('Planilla_General_29-11-2012_10_'!513:513,"AAAAAG6/vgA=",0)</f>
        <v>#VALUE!</v>
      </c>
      <c r="B35" t="e">
        <f>AND('Planilla_General_29-11-2012_10_'!A513,"AAAAAG6/vgE=")</f>
        <v>#VALUE!</v>
      </c>
      <c r="C35" t="e">
        <f>AND('Planilla_General_29-11-2012_10_'!B513,"AAAAAG6/vgI=")</f>
        <v>#VALUE!</v>
      </c>
      <c r="D35" t="e">
        <f>AND('Planilla_General_29-11-2012_10_'!C513,"AAAAAG6/vgM=")</f>
        <v>#VALUE!</v>
      </c>
      <c r="E35" t="e">
        <f>AND('Planilla_General_29-11-2012_10_'!D513,"AAAAAG6/vgQ=")</f>
        <v>#VALUE!</v>
      </c>
      <c r="F35" t="e">
        <f>AND('Planilla_General_29-11-2012_10_'!E513,"AAAAAG6/vgU=")</f>
        <v>#VALUE!</v>
      </c>
      <c r="G35" t="e">
        <f>AND('Planilla_General_29-11-2012_10_'!F513,"AAAAAG6/vgY=")</f>
        <v>#VALUE!</v>
      </c>
      <c r="H35" t="e">
        <f>AND('Planilla_General_29-11-2012_10_'!G513,"AAAAAG6/vgc=")</f>
        <v>#VALUE!</v>
      </c>
      <c r="I35" t="e">
        <f>AND('Planilla_General_29-11-2012_10_'!H513,"AAAAAG6/vgg=")</f>
        <v>#VALUE!</v>
      </c>
      <c r="J35" t="e">
        <f>AND('Planilla_General_29-11-2012_10_'!I513,"AAAAAG6/vgk=")</f>
        <v>#VALUE!</v>
      </c>
      <c r="K35" t="e">
        <f>AND('Planilla_General_29-11-2012_10_'!J513,"AAAAAG6/vgo=")</f>
        <v>#VALUE!</v>
      </c>
      <c r="L35" t="e">
        <f>AND('Planilla_General_29-11-2012_10_'!K513,"AAAAAG6/vgs=")</f>
        <v>#VALUE!</v>
      </c>
      <c r="M35" t="e">
        <f>AND('Planilla_General_29-11-2012_10_'!L513,"AAAAAG6/vgw=")</f>
        <v>#VALUE!</v>
      </c>
      <c r="N35" t="e">
        <f>AND('Planilla_General_29-11-2012_10_'!M513,"AAAAAG6/vg0=")</f>
        <v>#VALUE!</v>
      </c>
      <c r="O35" t="e">
        <f>AND('Planilla_General_29-11-2012_10_'!N513,"AAAAAG6/vg4=")</f>
        <v>#VALUE!</v>
      </c>
      <c r="P35" t="e">
        <f>AND('Planilla_General_29-11-2012_10_'!O513,"AAAAAG6/vg8=")</f>
        <v>#VALUE!</v>
      </c>
      <c r="Q35" t="e">
        <f>AND('Planilla_General_29-11-2012_10_'!P513,"AAAAAG6/vhA=")</f>
        <v>#VALUE!</v>
      </c>
      <c r="R35">
        <f>IF('Planilla_General_29-11-2012_10_'!514:514,"AAAAAG6/vhE=",0)</f>
        <v>0</v>
      </c>
      <c r="S35" t="e">
        <f>AND('Planilla_General_29-11-2012_10_'!A514,"AAAAAG6/vhI=")</f>
        <v>#VALUE!</v>
      </c>
      <c r="T35" t="e">
        <f>AND('Planilla_General_29-11-2012_10_'!B514,"AAAAAG6/vhM=")</f>
        <v>#VALUE!</v>
      </c>
      <c r="U35" t="e">
        <f>AND('Planilla_General_29-11-2012_10_'!C514,"AAAAAG6/vhQ=")</f>
        <v>#VALUE!</v>
      </c>
      <c r="V35" t="e">
        <f>AND('Planilla_General_29-11-2012_10_'!D514,"AAAAAG6/vhU=")</f>
        <v>#VALUE!</v>
      </c>
      <c r="W35" t="e">
        <f>AND('Planilla_General_29-11-2012_10_'!E514,"AAAAAG6/vhY=")</f>
        <v>#VALUE!</v>
      </c>
      <c r="X35" t="e">
        <f>AND('Planilla_General_29-11-2012_10_'!F514,"AAAAAG6/vhc=")</f>
        <v>#VALUE!</v>
      </c>
      <c r="Y35" t="e">
        <f>AND('Planilla_General_29-11-2012_10_'!G514,"AAAAAG6/vhg=")</f>
        <v>#VALUE!</v>
      </c>
      <c r="Z35" t="e">
        <f>AND('Planilla_General_29-11-2012_10_'!H514,"AAAAAG6/vhk=")</f>
        <v>#VALUE!</v>
      </c>
      <c r="AA35" t="e">
        <f>AND('Planilla_General_29-11-2012_10_'!I514,"AAAAAG6/vho=")</f>
        <v>#VALUE!</v>
      </c>
      <c r="AB35" t="e">
        <f>AND('Planilla_General_29-11-2012_10_'!J514,"AAAAAG6/vhs=")</f>
        <v>#VALUE!</v>
      </c>
      <c r="AC35" t="e">
        <f>AND('Planilla_General_29-11-2012_10_'!K514,"AAAAAG6/vhw=")</f>
        <v>#VALUE!</v>
      </c>
      <c r="AD35" t="e">
        <f>AND('Planilla_General_29-11-2012_10_'!L514,"AAAAAG6/vh0=")</f>
        <v>#VALUE!</v>
      </c>
      <c r="AE35" t="e">
        <f>AND('Planilla_General_29-11-2012_10_'!M514,"AAAAAG6/vh4=")</f>
        <v>#VALUE!</v>
      </c>
      <c r="AF35" t="e">
        <f>AND('Planilla_General_29-11-2012_10_'!N514,"AAAAAG6/vh8=")</f>
        <v>#VALUE!</v>
      </c>
      <c r="AG35" t="e">
        <f>AND('Planilla_General_29-11-2012_10_'!O514,"AAAAAG6/viA=")</f>
        <v>#VALUE!</v>
      </c>
      <c r="AH35" t="e">
        <f>AND('Planilla_General_29-11-2012_10_'!P514,"AAAAAG6/viE=")</f>
        <v>#VALUE!</v>
      </c>
      <c r="AI35">
        <f>IF('Planilla_General_29-11-2012_10_'!515:515,"AAAAAG6/viI=",0)</f>
        <v>0</v>
      </c>
      <c r="AJ35" t="e">
        <f>AND('Planilla_General_29-11-2012_10_'!A515,"AAAAAG6/viM=")</f>
        <v>#VALUE!</v>
      </c>
      <c r="AK35" t="e">
        <f>AND('Planilla_General_29-11-2012_10_'!B515,"AAAAAG6/viQ=")</f>
        <v>#VALUE!</v>
      </c>
      <c r="AL35" t="e">
        <f>AND('Planilla_General_29-11-2012_10_'!C515,"AAAAAG6/viU=")</f>
        <v>#VALUE!</v>
      </c>
      <c r="AM35" t="e">
        <f>AND('Planilla_General_29-11-2012_10_'!D515,"AAAAAG6/viY=")</f>
        <v>#VALUE!</v>
      </c>
      <c r="AN35" t="e">
        <f>AND('Planilla_General_29-11-2012_10_'!E515,"AAAAAG6/vic=")</f>
        <v>#VALUE!</v>
      </c>
      <c r="AO35" t="e">
        <f>AND('Planilla_General_29-11-2012_10_'!F515,"AAAAAG6/vig=")</f>
        <v>#VALUE!</v>
      </c>
      <c r="AP35" t="e">
        <f>AND('Planilla_General_29-11-2012_10_'!G515,"AAAAAG6/vik=")</f>
        <v>#VALUE!</v>
      </c>
      <c r="AQ35" t="e">
        <f>AND('Planilla_General_29-11-2012_10_'!H515,"AAAAAG6/vio=")</f>
        <v>#VALUE!</v>
      </c>
      <c r="AR35" t="e">
        <f>AND('Planilla_General_29-11-2012_10_'!I515,"AAAAAG6/vis=")</f>
        <v>#VALUE!</v>
      </c>
      <c r="AS35" t="e">
        <f>AND('Planilla_General_29-11-2012_10_'!J515,"AAAAAG6/viw=")</f>
        <v>#VALUE!</v>
      </c>
      <c r="AT35" t="e">
        <f>AND('Planilla_General_29-11-2012_10_'!K515,"AAAAAG6/vi0=")</f>
        <v>#VALUE!</v>
      </c>
      <c r="AU35" t="e">
        <f>AND('Planilla_General_29-11-2012_10_'!L515,"AAAAAG6/vi4=")</f>
        <v>#VALUE!</v>
      </c>
      <c r="AV35" t="e">
        <f>AND('Planilla_General_29-11-2012_10_'!M515,"AAAAAG6/vi8=")</f>
        <v>#VALUE!</v>
      </c>
      <c r="AW35" t="e">
        <f>AND('Planilla_General_29-11-2012_10_'!N515,"AAAAAG6/vjA=")</f>
        <v>#VALUE!</v>
      </c>
      <c r="AX35" t="e">
        <f>AND('Planilla_General_29-11-2012_10_'!O515,"AAAAAG6/vjE=")</f>
        <v>#VALUE!</v>
      </c>
      <c r="AY35" t="e">
        <f>AND('Planilla_General_29-11-2012_10_'!P515,"AAAAAG6/vjI=")</f>
        <v>#VALUE!</v>
      </c>
      <c r="AZ35">
        <f>IF('Planilla_General_29-11-2012_10_'!516:516,"AAAAAG6/vjM=",0)</f>
        <v>0</v>
      </c>
      <c r="BA35" t="e">
        <f>AND('Planilla_General_29-11-2012_10_'!A516,"AAAAAG6/vjQ=")</f>
        <v>#VALUE!</v>
      </c>
      <c r="BB35" t="e">
        <f>AND('Planilla_General_29-11-2012_10_'!B516,"AAAAAG6/vjU=")</f>
        <v>#VALUE!</v>
      </c>
      <c r="BC35" t="e">
        <f>AND('Planilla_General_29-11-2012_10_'!C516,"AAAAAG6/vjY=")</f>
        <v>#VALUE!</v>
      </c>
      <c r="BD35" t="e">
        <f>AND('Planilla_General_29-11-2012_10_'!D516,"AAAAAG6/vjc=")</f>
        <v>#VALUE!</v>
      </c>
      <c r="BE35" t="e">
        <f>AND('Planilla_General_29-11-2012_10_'!E516,"AAAAAG6/vjg=")</f>
        <v>#VALUE!</v>
      </c>
      <c r="BF35" t="e">
        <f>AND('Planilla_General_29-11-2012_10_'!F516,"AAAAAG6/vjk=")</f>
        <v>#VALUE!</v>
      </c>
      <c r="BG35" t="e">
        <f>AND('Planilla_General_29-11-2012_10_'!G516,"AAAAAG6/vjo=")</f>
        <v>#VALUE!</v>
      </c>
      <c r="BH35" t="e">
        <f>AND('Planilla_General_29-11-2012_10_'!H516,"AAAAAG6/vjs=")</f>
        <v>#VALUE!</v>
      </c>
      <c r="BI35" t="e">
        <f>AND('Planilla_General_29-11-2012_10_'!I516,"AAAAAG6/vjw=")</f>
        <v>#VALUE!</v>
      </c>
      <c r="BJ35" t="e">
        <f>AND('Planilla_General_29-11-2012_10_'!J516,"AAAAAG6/vj0=")</f>
        <v>#VALUE!</v>
      </c>
      <c r="BK35" t="e">
        <f>AND('Planilla_General_29-11-2012_10_'!K516,"AAAAAG6/vj4=")</f>
        <v>#VALUE!</v>
      </c>
      <c r="BL35" t="e">
        <f>AND('Planilla_General_29-11-2012_10_'!L516,"AAAAAG6/vj8=")</f>
        <v>#VALUE!</v>
      </c>
      <c r="BM35" t="e">
        <f>AND('Planilla_General_29-11-2012_10_'!M516,"AAAAAG6/vkA=")</f>
        <v>#VALUE!</v>
      </c>
      <c r="BN35" t="e">
        <f>AND('Planilla_General_29-11-2012_10_'!N516,"AAAAAG6/vkE=")</f>
        <v>#VALUE!</v>
      </c>
      <c r="BO35" t="e">
        <f>AND('Planilla_General_29-11-2012_10_'!O516,"AAAAAG6/vkI=")</f>
        <v>#VALUE!</v>
      </c>
      <c r="BP35" t="e">
        <f>AND('Planilla_General_29-11-2012_10_'!P516,"AAAAAG6/vkM=")</f>
        <v>#VALUE!</v>
      </c>
      <c r="BQ35">
        <f>IF('Planilla_General_29-11-2012_10_'!517:517,"AAAAAG6/vkQ=",0)</f>
        <v>0</v>
      </c>
      <c r="BR35" t="e">
        <f>AND('Planilla_General_29-11-2012_10_'!A517,"AAAAAG6/vkU=")</f>
        <v>#VALUE!</v>
      </c>
      <c r="BS35" t="e">
        <f>AND('Planilla_General_29-11-2012_10_'!B517,"AAAAAG6/vkY=")</f>
        <v>#VALUE!</v>
      </c>
      <c r="BT35" t="e">
        <f>AND('Planilla_General_29-11-2012_10_'!C517,"AAAAAG6/vkc=")</f>
        <v>#VALUE!</v>
      </c>
      <c r="BU35" t="e">
        <f>AND('Planilla_General_29-11-2012_10_'!D517,"AAAAAG6/vkg=")</f>
        <v>#VALUE!</v>
      </c>
      <c r="BV35" t="e">
        <f>AND('Planilla_General_29-11-2012_10_'!E517,"AAAAAG6/vkk=")</f>
        <v>#VALUE!</v>
      </c>
      <c r="BW35" t="e">
        <f>AND('Planilla_General_29-11-2012_10_'!F517,"AAAAAG6/vko=")</f>
        <v>#VALUE!</v>
      </c>
      <c r="BX35" t="e">
        <f>AND('Planilla_General_29-11-2012_10_'!G517,"AAAAAG6/vks=")</f>
        <v>#VALUE!</v>
      </c>
      <c r="BY35" t="e">
        <f>AND('Planilla_General_29-11-2012_10_'!H517,"AAAAAG6/vkw=")</f>
        <v>#VALUE!</v>
      </c>
      <c r="BZ35" t="e">
        <f>AND('Planilla_General_29-11-2012_10_'!I517,"AAAAAG6/vk0=")</f>
        <v>#VALUE!</v>
      </c>
      <c r="CA35" t="e">
        <f>AND('Planilla_General_29-11-2012_10_'!J517,"AAAAAG6/vk4=")</f>
        <v>#VALUE!</v>
      </c>
      <c r="CB35" t="e">
        <f>AND('Planilla_General_29-11-2012_10_'!K517,"AAAAAG6/vk8=")</f>
        <v>#VALUE!</v>
      </c>
      <c r="CC35" t="e">
        <f>AND('Planilla_General_29-11-2012_10_'!L517,"AAAAAG6/vlA=")</f>
        <v>#VALUE!</v>
      </c>
      <c r="CD35" t="e">
        <f>AND('Planilla_General_29-11-2012_10_'!M517,"AAAAAG6/vlE=")</f>
        <v>#VALUE!</v>
      </c>
      <c r="CE35" t="e">
        <f>AND('Planilla_General_29-11-2012_10_'!N517,"AAAAAG6/vlI=")</f>
        <v>#VALUE!</v>
      </c>
      <c r="CF35" t="e">
        <f>AND('Planilla_General_29-11-2012_10_'!O517,"AAAAAG6/vlM=")</f>
        <v>#VALUE!</v>
      </c>
      <c r="CG35" t="e">
        <f>AND('Planilla_General_29-11-2012_10_'!P517,"AAAAAG6/vlQ=")</f>
        <v>#VALUE!</v>
      </c>
      <c r="CH35">
        <f>IF('Planilla_General_29-11-2012_10_'!518:518,"AAAAAG6/vlU=",0)</f>
        <v>0</v>
      </c>
      <c r="CI35" t="e">
        <f>AND('Planilla_General_29-11-2012_10_'!A518,"AAAAAG6/vlY=")</f>
        <v>#VALUE!</v>
      </c>
      <c r="CJ35" t="e">
        <f>AND('Planilla_General_29-11-2012_10_'!B518,"AAAAAG6/vlc=")</f>
        <v>#VALUE!</v>
      </c>
      <c r="CK35" t="e">
        <f>AND('Planilla_General_29-11-2012_10_'!C518,"AAAAAG6/vlg=")</f>
        <v>#VALUE!</v>
      </c>
      <c r="CL35" t="e">
        <f>AND('Planilla_General_29-11-2012_10_'!D518,"AAAAAG6/vlk=")</f>
        <v>#VALUE!</v>
      </c>
      <c r="CM35" t="e">
        <f>AND('Planilla_General_29-11-2012_10_'!E518,"AAAAAG6/vlo=")</f>
        <v>#VALUE!</v>
      </c>
      <c r="CN35" t="e">
        <f>AND('Planilla_General_29-11-2012_10_'!F518,"AAAAAG6/vls=")</f>
        <v>#VALUE!</v>
      </c>
      <c r="CO35" t="e">
        <f>AND('Planilla_General_29-11-2012_10_'!G518,"AAAAAG6/vlw=")</f>
        <v>#VALUE!</v>
      </c>
      <c r="CP35" t="e">
        <f>AND('Planilla_General_29-11-2012_10_'!H518,"AAAAAG6/vl0=")</f>
        <v>#VALUE!</v>
      </c>
      <c r="CQ35" t="e">
        <f>AND('Planilla_General_29-11-2012_10_'!I518,"AAAAAG6/vl4=")</f>
        <v>#VALUE!</v>
      </c>
      <c r="CR35" t="e">
        <f>AND('Planilla_General_29-11-2012_10_'!J518,"AAAAAG6/vl8=")</f>
        <v>#VALUE!</v>
      </c>
      <c r="CS35" t="e">
        <f>AND('Planilla_General_29-11-2012_10_'!K518,"AAAAAG6/vmA=")</f>
        <v>#VALUE!</v>
      </c>
      <c r="CT35" t="e">
        <f>AND('Planilla_General_29-11-2012_10_'!L518,"AAAAAG6/vmE=")</f>
        <v>#VALUE!</v>
      </c>
      <c r="CU35" t="e">
        <f>AND('Planilla_General_29-11-2012_10_'!M518,"AAAAAG6/vmI=")</f>
        <v>#VALUE!</v>
      </c>
      <c r="CV35" t="e">
        <f>AND('Planilla_General_29-11-2012_10_'!N518,"AAAAAG6/vmM=")</f>
        <v>#VALUE!</v>
      </c>
      <c r="CW35" t="e">
        <f>AND('Planilla_General_29-11-2012_10_'!O518,"AAAAAG6/vmQ=")</f>
        <v>#VALUE!</v>
      </c>
      <c r="CX35" t="e">
        <f>AND('Planilla_General_29-11-2012_10_'!P518,"AAAAAG6/vmU=")</f>
        <v>#VALUE!</v>
      </c>
      <c r="CY35">
        <f>IF('Planilla_General_29-11-2012_10_'!519:519,"AAAAAG6/vmY=",0)</f>
        <v>0</v>
      </c>
      <c r="CZ35" t="e">
        <f>AND('Planilla_General_29-11-2012_10_'!A519,"AAAAAG6/vmc=")</f>
        <v>#VALUE!</v>
      </c>
      <c r="DA35" t="e">
        <f>AND('Planilla_General_29-11-2012_10_'!B519,"AAAAAG6/vmg=")</f>
        <v>#VALUE!</v>
      </c>
      <c r="DB35" t="e">
        <f>AND('Planilla_General_29-11-2012_10_'!C519,"AAAAAG6/vmk=")</f>
        <v>#VALUE!</v>
      </c>
      <c r="DC35" t="e">
        <f>AND('Planilla_General_29-11-2012_10_'!D519,"AAAAAG6/vmo=")</f>
        <v>#VALUE!</v>
      </c>
      <c r="DD35" t="e">
        <f>AND('Planilla_General_29-11-2012_10_'!E519,"AAAAAG6/vms=")</f>
        <v>#VALUE!</v>
      </c>
      <c r="DE35" t="e">
        <f>AND('Planilla_General_29-11-2012_10_'!F519,"AAAAAG6/vmw=")</f>
        <v>#VALUE!</v>
      </c>
      <c r="DF35" t="e">
        <f>AND('Planilla_General_29-11-2012_10_'!G519,"AAAAAG6/vm0=")</f>
        <v>#VALUE!</v>
      </c>
      <c r="DG35" t="e">
        <f>AND('Planilla_General_29-11-2012_10_'!H519,"AAAAAG6/vm4=")</f>
        <v>#VALUE!</v>
      </c>
      <c r="DH35" t="e">
        <f>AND('Planilla_General_29-11-2012_10_'!I519,"AAAAAG6/vm8=")</f>
        <v>#VALUE!</v>
      </c>
      <c r="DI35" t="e">
        <f>AND('Planilla_General_29-11-2012_10_'!J519,"AAAAAG6/vnA=")</f>
        <v>#VALUE!</v>
      </c>
      <c r="DJ35" t="e">
        <f>AND('Planilla_General_29-11-2012_10_'!K519,"AAAAAG6/vnE=")</f>
        <v>#VALUE!</v>
      </c>
      <c r="DK35" t="e">
        <f>AND('Planilla_General_29-11-2012_10_'!L519,"AAAAAG6/vnI=")</f>
        <v>#VALUE!</v>
      </c>
      <c r="DL35" t="e">
        <f>AND('Planilla_General_29-11-2012_10_'!M519,"AAAAAG6/vnM=")</f>
        <v>#VALUE!</v>
      </c>
      <c r="DM35" t="e">
        <f>AND('Planilla_General_29-11-2012_10_'!N519,"AAAAAG6/vnQ=")</f>
        <v>#VALUE!</v>
      </c>
      <c r="DN35" t="e">
        <f>AND('Planilla_General_29-11-2012_10_'!O519,"AAAAAG6/vnU=")</f>
        <v>#VALUE!</v>
      </c>
      <c r="DO35" t="e">
        <f>AND('Planilla_General_29-11-2012_10_'!P519,"AAAAAG6/vnY=")</f>
        <v>#VALUE!</v>
      </c>
      <c r="DP35">
        <f>IF('Planilla_General_29-11-2012_10_'!520:520,"AAAAAG6/vnc=",0)</f>
        <v>0</v>
      </c>
      <c r="DQ35" t="e">
        <f>AND('Planilla_General_29-11-2012_10_'!A520,"AAAAAG6/vng=")</f>
        <v>#VALUE!</v>
      </c>
      <c r="DR35" t="e">
        <f>AND('Planilla_General_29-11-2012_10_'!B520,"AAAAAG6/vnk=")</f>
        <v>#VALUE!</v>
      </c>
      <c r="DS35" t="e">
        <f>AND('Planilla_General_29-11-2012_10_'!C520,"AAAAAG6/vno=")</f>
        <v>#VALUE!</v>
      </c>
      <c r="DT35" t="e">
        <f>AND('Planilla_General_29-11-2012_10_'!D520,"AAAAAG6/vns=")</f>
        <v>#VALUE!</v>
      </c>
      <c r="DU35" t="e">
        <f>AND('Planilla_General_29-11-2012_10_'!E520,"AAAAAG6/vnw=")</f>
        <v>#VALUE!</v>
      </c>
      <c r="DV35" t="e">
        <f>AND('Planilla_General_29-11-2012_10_'!F520,"AAAAAG6/vn0=")</f>
        <v>#VALUE!</v>
      </c>
      <c r="DW35" t="e">
        <f>AND('Planilla_General_29-11-2012_10_'!G520,"AAAAAG6/vn4=")</f>
        <v>#VALUE!</v>
      </c>
      <c r="DX35" t="e">
        <f>AND('Planilla_General_29-11-2012_10_'!H520,"AAAAAG6/vn8=")</f>
        <v>#VALUE!</v>
      </c>
      <c r="DY35" t="e">
        <f>AND('Planilla_General_29-11-2012_10_'!I520,"AAAAAG6/voA=")</f>
        <v>#VALUE!</v>
      </c>
      <c r="DZ35" t="e">
        <f>AND('Planilla_General_29-11-2012_10_'!J520,"AAAAAG6/voE=")</f>
        <v>#VALUE!</v>
      </c>
      <c r="EA35" t="e">
        <f>AND('Planilla_General_29-11-2012_10_'!K520,"AAAAAG6/voI=")</f>
        <v>#VALUE!</v>
      </c>
      <c r="EB35" t="e">
        <f>AND('Planilla_General_29-11-2012_10_'!L520,"AAAAAG6/voM=")</f>
        <v>#VALUE!</v>
      </c>
      <c r="EC35" t="e">
        <f>AND('Planilla_General_29-11-2012_10_'!M520,"AAAAAG6/voQ=")</f>
        <v>#VALUE!</v>
      </c>
      <c r="ED35" t="e">
        <f>AND('Planilla_General_29-11-2012_10_'!N520,"AAAAAG6/voU=")</f>
        <v>#VALUE!</v>
      </c>
      <c r="EE35" t="e">
        <f>AND('Planilla_General_29-11-2012_10_'!O520,"AAAAAG6/voY=")</f>
        <v>#VALUE!</v>
      </c>
      <c r="EF35" t="e">
        <f>AND('Planilla_General_29-11-2012_10_'!P520,"AAAAAG6/voc=")</f>
        <v>#VALUE!</v>
      </c>
      <c r="EG35">
        <f>IF('Planilla_General_29-11-2012_10_'!521:521,"AAAAAG6/vog=",0)</f>
        <v>0</v>
      </c>
      <c r="EH35" t="e">
        <f>AND('Planilla_General_29-11-2012_10_'!A521,"AAAAAG6/vok=")</f>
        <v>#VALUE!</v>
      </c>
      <c r="EI35" t="e">
        <f>AND('Planilla_General_29-11-2012_10_'!B521,"AAAAAG6/voo=")</f>
        <v>#VALUE!</v>
      </c>
      <c r="EJ35" t="e">
        <f>AND('Planilla_General_29-11-2012_10_'!C521,"AAAAAG6/vos=")</f>
        <v>#VALUE!</v>
      </c>
      <c r="EK35" t="e">
        <f>AND('Planilla_General_29-11-2012_10_'!D521,"AAAAAG6/vow=")</f>
        <v>#VALUE!</v>
      </c>
      <c r="EL35" t="e">
        <f>AND('Planilla_General_29-11-2012_10_'!E521,"AAAAAG6/vo0=")</f>
        <v>#VALUE!</v>
      </c>
      <c r="EM35" t="e">
        <f>AND('Planilla_General_29-11-2012_10_'!F521,"AAAAAG6/vo4=")</f>
        <v>#VALUE!</v>
      </c>
      <c r="EN35" t="e">
        <f>AND('Planilla_General_29-11-2012_10_'!G521,"AAAAAG6/vo8=")</f>
        <v>#VALUE!</v>
      </c>
      <c r="EO35" t="e">
        <f>AND('Planilla_General_29-11-2012_10_'!H521,"AAAAAG6/vpA=")</f>
        <v>#VALUE!</v>
      </c>
      <c r="EP35" t="e">
        <f>AND('Planilla_General_29-11-2012_10_'!I521,"AAAAAG6/vpE=")</f>
        <v>#VALUE!</v>
      </c>
      <c r="EQ35" t="e">
        <f>AND('Planilla_General_29-11-2012_10_'!J521,"AAAAAG6/vpI=")</f>
        <v>#VALUE!</v>
      </c>
      <c r="ER35" t="e">
        <f>AND('Planilla_General_29-11-2012_10_'!K521,"AAAAAG6/vpM=")</f>
        <v>#VALUE!</v>
      </c>
      <c r="ES35" t="e">
        <f>AND('Planilla_General_29-11-2012_10_'!L521,"AAAAAG6/vpQ=")</f>
        <v>#VALUE!</v>
      </c>
      <c r="ET35" t="e">
        <f>AND('Planilla_General_29-11-2012_10_'!M521,"AAAAAG6/vpU=")</f>
        <v>#VALUE!</v>
      </c>
      <c r="EU35" t="e">
        <f>AND('Planilla_General_29-11-2012_10_'!N521,"AAAAAG6/vpY=")</f>
        <v>#VALUE!</v>
      </c>
      <c r="EV35" t="e">
        <f>AND('Planilla_General_29-11-2012_10_'!O521,"AAAAAG6/vpc=")</f>
        <v>#VALUE!</v>
      </c>
      <c r="EW35" t="e">
        <f>AND('Planilla_General_29-11-2012_10_'!P521,"AAAAAG6/vpg=")</f>
        <v>#VALUE!</v>
      </c>
      <c r="EX35">
        <f>IF('Planilla_General_29-11-2012_10_'!522:522,"AAAAAG6/vpk=",0)</f>
        <v>0</v>
      </c>
      <c r="EY35" t="e">
        <f>AND('Planilla_General_29-11-2012_10_'!A522,"AAAAAG6/vpo=")</f>
        <v>#VALUE!</v>
      </c>
      <c r="EZ35" t="e">
        <f>AND('Planilla_General_29-11-2012_10_'!B522,"AAAAAG6/vps=")</f>
        <v>#VALUE!</v>
      </c>
      <c r="FA35" t="e">
        <f>AND('Planilla_General_29-11-2012_10_'!C522,"AAAAAG6/vpw=")</f>
        <v>#VALUE!</v>
      </c>
      <c r="FB35" t="e">
        <f>AND('Planilla_General_29-11-2012_10_'!D522,"AAAAAG6/vp0=")</f>
        <v>#VALUE!</v>
      </c>
      <c r="FC35" t="e">
        <f>AND('Planilla_General_29-11-2012_10_'!E522,"AAAAAG6/vp4=")</f>
        <v>#VALUE!</v>
      </c>
      <c r="FD35" t="e">
        <f>AND('Planilla_General_29-11-2012_10_'!F522,"AAAAAG6/vp8=")</f>
        <v>#VALUE!</v>
      </c>
      <c r="FE35" t="e">
        <f>AND('Planilla_General_29-11-2012_10_'!G522,"AAAAAG6/vqA=")</f>
        <v>#VALUE!</v>
      </c>
      <c r="FF35" t="e">
        <f>AND('Planilla_General_29-11-2012_10_'!H522,"AAAAAG6/vqE=")</f>
        <v>#VALUE!</v>
      </c>
      <c r="FG35" t="e">
        <f>AND('Planilla_General_29-11-2012_10_'!I522,"AAAAAG6/vqI=")</f>
        <v>#VALUE!</v>
      </c>
      <c r="FH35" t="e">
        <f>AND('Planilla_General_29-11-2012_10_'!J522,"AAAAAG6/vqM=")</f>
        <v>#VALUE!</v>
      </c>
      <c r="FI35" t="e">
        <f>AND('Planilla_General_29-11-2012_10_'!K522,"AAAAAG6/vqQ=")</f>
        <v>#VALUE!</v>
      </c>
      <c r="FJ35" t="e">
        <f>AND('Planilla_General_29-11-2012_10_'!L522,"AAAAAG6/vqU=")</f>
        <v>#VALUE!</v>
      </c>
      <c r="FK35" t="e">
        <f>AND('Planilla_General_29-11-2012_10_'!M522,"AAAAAG6/vqY=")</f>
        <v>#VALUE!</v>
      </c>
      <c r="FL35" t="e">
        <f>AND('Planilla_General_29-11-2012_10_'!N522,"AAAAAG6/vqc=")</f>
        <v>#VALUE!</v>
      </c>
      <c r="FM35" t="e">
        <f>AND('Planilla_General_29-11-2012_10_'!O522,"AAAAAG6/vqg=")</f>
        <v>#VALUE!</v>
      </c>
      <c r="FN35" t="e">
        <f>AND('Planilla_General_29-11-2012_10_'!P522,"AAAAAG6/vqk=")</f>
        <v>#VALUE!</v>
      </c>
      <c r="FO35">
        <f>IF('Planilla_General_29-11-2012_10_'!523:523,"AAAAAG6/vqo=",0)</f>
        <v>0</v>
      </c>
      <c r="FP35" t="e">
        <f>AND('Planilla_General_29-11-2012_10_'!A523,"AAAAAG6/vqs=")</f>
        <v>#VALUE!</v>
      </c>
      <c r="FQ35" t="e">
        <f>AND('Planilla_General_29-11-2012_10_'!B523,"AAAAAG6/vqw=")</f>
        <v>#VALUE!</v>
      </c>
      <c r="FR35" t="e">
        <f>AND('Planilla_General_29-11-2012_10_'!C523,"AAAAAG6/vq0=")</f>
        <v>#VALUE!</v>
      </c>
      <c r="FS35" t="e">
        <f>AND('Planilla_General_29-11-2012_10_'!D523,"AAAAAG6/vq4=")</f>
        <v>#VALUE!</v>
      </c>
      <c r="FT35" t="e">
        <f>AND('Planilla_General_29-11-2012_10_'!E523,"AAAAAG6/vq8=")</f>
        <v>#VALUE!</v>
      </c>
      <c r="FU35" t="e">
        <f>AND('Planilla_General_29-11-2012_10_'!F523,"AAAAAG6/vrA=")</f>
        <v>#VALUE!</v>
      </c>
      <c r="FV35" t="e">
        <f>AND('Planilla_General_29-11-2012_10_'!G523,"AAAAAG6/vrE=")</f>
        <v>#VALUE!</v>
      </c>
      <c r="FW35" t="e">
        <f>AND('Planilla_General_29-11-2012_10_'!H523,"AAAAAG6/vrI=")</f>
        <v>#VALUE!</v>
      </c>
      <c r="FX35" t="e">
        <f>AND('Planilla_General_29-11-2012_10_'!I523,"AAAAAG6/vrM=")</f>
        <v>#VALUE!</v>
      </c>
      <c r="FY35" t="e">
        <f>AND('Planilla_General_29-11-2012_10_'!J523,"AAAAAG6/vrQ=")</f>
        <v>#VALUE!</v>
      </c>
      <c r="FZ35" t="e">
        <f>AND('Planilla_General_29-11-2012_10_'!K523,"AAAAAG6/vrU=")</f>
        <v>#VALUE!</v>
      </c>
      <c r="GA35" t="e">
        <f>AND('Planilla_General_29-11-2012_10_'!L523,"AAAAAG6/vrY=")</f>
        <v>#VALUE!</v>
      </c>
      <c r="GB35" t="e">
        <f>AND('Planilla_General_29-11-2012_10_'!M523,"AAAAAG6/vrc=")</f>
        <v>#VALUE!</v>
      </c>
      <c r="GC35" t="e">
        <f>AND('Planilla_General_29-11-2012_10_'!N523,"AAAAAG6/vrg=")</f>
        <v>#VALUE!</v>
      </c>
      <c r="GD35" t="e">
        <f>AND('Planilla_General_29-11-2012_10_'!O523,"AAAAAG6/vrk=")</f>
        <v>#VALUE!</v>
      </c>
      <c r="GE35" t="e">
        <f>AND('Planilla_General_29-11-2012_10_'!P523,"AAAAAG6/vro=")</f>
        <v>#VALUE!</v>
      </c>
      <c r="GF35">
        <f>IF('Planilla_General_29-11-2012_10_'!524:524,"AAAAAG6/vrs=",0)</f>
        <v>0</v>
      </c>
      <c r="GG35" t="e">
        <f>AND('Planilla_General_29-11-2012_10_'!A524,"AAAAAG6/vrw=")</f>
        <v>#VALUE!</v>
      </c>
      <c r="GH35" t="e">
        <f>AND('Planilla_General_29-11-2012_10_'!B524,"AAAAAG6/vr0=")</f>
        <v>#VALUE!</v>
      </c>
      <c r="GI35" t="e">
        <f>AND('Planilla_General_29-11-2012_10_'!C524,"AAAAAG6/vr4=")</f>
        <v>#VALUE!</v>
      </c>
      <c r="GJ35" t="e">
        <f>AND('Planilla_General_29-11-2012_10_'!D524,"AAAAAG6/vr8=")</f>
        <v>#VALUE!</v>
      </c>
      <c r="GK35" t="e">
        <f>AND('Planilla_General_29-11-2012_10_'!E524,"AAAAAG6/vsA=")</f>
        <v>#VALUE!</v>
      </c>
      <c r="GL35" t="e">
        <f>AND('Planilla_General_29-11-2012_10_'!F524,"AAAAAG6/vsE=")</f>
        <v>#VALUE!</v>
      </c>
      <c r="GM35" t="e">
        <f>AND('Planilla_General_29-11-2012_10_'!G524,"AAAAAG6/vsI=")</f>
        <v>#VALUE!</v>
      </c>
      <c r="GN35" t="e">
        <f>AND('Planilla_General_29-11-2012_10_'!H524,"AAAAAG6/vsM=")</f>
        <v>#VALUE!</v>
      </c>
      <c r="GO35" t="e">
        <f>AND('Planilla_General_29-11-2012_10_'!I524,"AAAAAG6/vsQ=")</f>
        <v>#VALUE!</v>
      </c>
      <c r="GP35" t="e">
        <f>AND('Planilla_General_29-11-2012_10_'!J524,"AAAAAG6/vsU=")</f>
        <v>#VALUE!</v>
      </c>
      <c r="GQ35" t="e">
        <f>AND('Planilla_General_29-11-2012_10_'!K524,"AAAAAG6/vsY=")</f>
        <v>#VALUE!</v>
      </c>
      <c r="GR35" t="e">
        <f>AND('Planilla_General_29-11-2012_10_'!L524,"AAAAAG6/vsc=")</f>
        <v>#VALUE!</v>
      </c>
      <c r="GS35" t="e">
        <f>AND('Planilla_General_29-11-2012_10_'!M524,"AAAAAG6/vsg=")</f>
        <v>#VALUE!</v>
      </c>
      <c r="GT35" t="e">
        <f>AND('Planilla_General_29-11-2012_10_'!N524,"AAAAAG6/vsk=")</f>
        <v>#VALUE!</v>
      </c>
      <c r="GU35" t="e">
        <f>AND('Planilla_General_29-11-2012_10_'!O524,"AAAAAG6/vso=")</f>
        <v>#VALUE!</v>
      </c>
      <c r="GV35" t="e">
        <f>AND('Planilla_General_29-11-2012_10_'!P524,"AAAAAG6/vss=")</f>
        <v>#VALUE!</v>
      </c>
      <c r="GW35">
        <f>IF('Planilla_General_29-11-2012_10_'!525:525,"AAAAAG6/vsw=",0)</f>
        <v>0</v>
      </c>
      <c r="GX35" t="e">
        <f>AND('Planilla_General_29-11-2012_10_'!A525,"AAAAAG6/vs0=")</f>
        <v>#VALUE!</v>
      </c>
      <c r="GY35" t="e">
        <f>AND('Planilla_General_29-11-2012_10_'!B525,"AAAAAG6/vs4=")</f>
        <v>#VALUE!</v>
      </c>
      <c r="GZ35" t="e">
        <f>AND('Planilla_General_29-11-2012_10_'!C525,"AAAAAG6/vs8=")</f>
        <v>#VALUE!</v>
      </c>
      <c r="HA35" t="e">
        <f>AND('Planilla_General_29-11-2012_10_'!D525,"AAAAAG6/vtA=")</f>
        <v>#VALUE!</v>
      </c>
      <c r="HB35" t="e">
        <f>AND('Planilla_General_29-11-2012_10_'!E525,"AAAAAG6/vtE=")</f>
        <v>#VALUE!</v>
      </c>
      <c r="HC35" t="e">
        <f>AND('Planilla_General_29-11-2012_10_'!F525,"AAAAAG6/vtI=")</f>
        <v>#VALUE!</v>
      </c>
      <c r="HD35" t="e">
        <f>AND('Planilla_General_29-11-2012_10_'!G525,"AAAAAG6/vtM=")</f>
        <v>#VALUE!</v>
      </c>
      <c r="HE35" t="e">
        <f>AND('Planilla_General_29-11-2012_10_'!H525,"AAAAAG6/vtQ=")</f>
        <v>#VALUE!</v>
      </c>
      <c r="HF35" t="e">
        <f>AND('Planilla_General_29-11-2012_10_'!I525,"AAAAAG6/vtU=")</f>
        <v>#VALUE!</v>
      </c>
      <c r="HG35" t="e">
        <f>AND('Planilla_General_29-11-2012_10_'!J525,"AAAAAG6/vtY=")</f>
        <v>#VALUE!</v>
      </c>
      <c r="HH35" t="e">
        <f>AND('Planilla_General_29-11-2012_10_'!K525,"AAAAAG6/vtc=")</f>
        <v>#VALUE!</v>
      </c>
      <c r="HI35" t="e">
        <f>AND('Planilla_General_29-11-2012_10_'!L525,"AAAAAG6/vtg=")</f>
        <v>#VALUE!</v>
      </c>
      <c r="HJ35" t="e">
        <f>AND('Planilla_General_29-11-2012_10_'!M525,"AAAAAG6/vtk=")</f>
        <v>#VALUE!</v>
      </c>
      <c r="HK35" t="e">
        <f>AND('Planilla_General_29-11-2012_10_'!N525,"AAAAAG6/vto=")</f>
        <v>#VALUE!</v>
      </c>
      <c r="HL35" t="e">
        <f>AND('Planilla_General_29-11-2012_10_'!O525,"AAAAAG6/vts=")</f>
        <v>#VALUE!</v>
      </c>
      <c r="HM35" t="e">
        <f>AND('Planilla_General_29-11-2012_10_'!P525,"AAAAAG6/vtw=")</f>
        <v>#VALUE!</v>
      </c>
      <c r="HN35">
        <f>IF('Planilla_General_29-11-2012_10_'!526:526,"AAAAAG6/vt0=",0)</f>
        <v>0</v>
      </c>
      <c r="HO35" t="e">
        <f>AND('Planilla_General_29-11-2012_10_'!A526,"AAAAAG6/vt4=")</f>
        <v>#VALUE!</v>
      </c>
      <c r="HP35" t="e">
        <f>AND('Planilla_General_29-11-2012_10_'!B526,"AAAAAG6/vt8=")</f>
        <v>#VALUE!</v>
      </c>
      <c r="HQ35" t="e">
        <f>AND('Planilla_General_29-11-2012_10_'!C526,"AAAAAG6/vuA=")</f>
        <v>#VALUE!</v>
      </c>
      <c r="HR35" t="e">
        <f>AND('Planilla_General_29-11-2012_10_'!D526,"AAAAAG6/vuE=")</f>
        <v>#VALUE!</v>
      </c>
      <c r="HS35" t="e">
        <f>AND('Planilla_General_29-11-2012_10_'!E526,"AAAAAG6/vuI=")</f>
        <v>#VALUE!</v>
      </c>
      <c r="HT35" t="e">
        <f>AND('Planilla_General_29-11-2012_10_'!F526,"AAAAAG6/vuM=")</f>
        <v>#VALUE!</v>
      </c>
      <c r="HU35" t="e">
        <f>AND('Planilla_General_29-11-2012_10_'!G526,"AAAAAG6/vuQ=")</f>
        <v>#VALUE!</v>
      </c>
      <c r="HV35" t="e">
        <f>AND('Planilla_General_29-11-2012_10_'!H526,"AAAAAG6/vuU=")</f>
        <v>#VALUE!</v>
      </c>
      <c r="HW35" t="e">
        <f>AND('Planilla_General_29-11-2012_10_'!I526,"AAAAAG6/vuY=")</f>
        <v>#VALUE!</v>
      </c>
      <c r="HX35" t="e">
        <f>AND('Planilla_General_29-11-2012_10_'!J526,"AAAAAG6/vuc=")</f>
        <v>#VALUE!</v>
      </c>
      <c r="HY35" t="e">
        <f>AND('Planilla_General_29-11-2012_10_'!K526,"AAAAAG6/vug=")</f>
        <v>#VALUE!</v>
      </c>
      <c r="HZ35" t="e">
        <f>AND('Planilla_General_29-11-2012_10_'!L526,"AAAAAG6/vuk=")</f>
        <v>#VALUE!</v>
      </c>
      <c r="IA35" t="e">
        <f>AND('Planilla_General_29-11-2012_10_'!M526,"AAAAAG6/vuo=")</f>
        <v>#VALUE!</v>
      </c>
      <c r="IB35" t="e">
        <f>AND('Planilla_General_29-11-2012_10_'!N526,"AAAAAG6/vus=")</f>
        <v>#VALUE!</v>
      </c>
      <c r="IC35" t="e">
        <f>AND('Planilla_General_29-11-2012_10_'!O526,"AAAAAG6/vuw=")</f>
        <v>#VALUE!</v>
      </c>
      <c r="ID35" t="e">
        <f>AND('Planilla_General_29-11-2012_10_'!P526,"AAAAAG6/vu0=")</f>
        <v>#VALUE!</v>
      </c>
      <c r="IE35">
        <f>IF('Planilla_General_29-11-2012_10_'!527:527,"AAAAAG6/vu4=",0)</f>
        <v>0</v>
      </c>
      <c r="IF35" t="e">
        <f>AND('Planilla_General_29-11-2012_10_'!A527,"AAAAAG6/vu8=")</f>
        <v>#VALUE!</v>
      </c>
      <c r="IG35" t="e">
        <f>AND('Planilla_General_29-11-2012_10_'!B527,"AAAAAG6/vvA=")</f>
        <v>#VALUE!</v>
      </c>
      <c r="IH35" t="e">
        <f>AND('Planilla_General_29-11-2012_10_'!C527,"AAAAAG6/vvE=")</f>
        <v>#VALUE!</v>
      </c>
      <c r="II35" t="e">
        <f>AND('Planilla_General_29-11-2012_10_'!D527,"AAAAAG6/vvI=")</f>
        <v>#VALUE!</v>
      </c>
      <c r="IJ35" t="e">
        <f>AND('Planilla_General_29-11-2012_10_'!E527,"AAAAAG6/vvM=")</f>
        <v>#VALUE!</v>
      </c>
      <c r="IK35" t="e">
        <f>AND('Planilla_General_29-11-2012_10_'!F527,"AAAAAG6/vvQ=")</f>
        <v>#VALUE!</v>
      </c>
      <c r="IL35" t="e">
        <f>AND('Planilla_General_29-11-2012_10_'!G527,"AAAAAG6/vvU=")</f>
        <v>#VALUE!</v>
      </c>
      <c r="IM35" t="e">
        <f>AND('Planilla_General_29-11-2012_10_'!H527,"AAAAAG6/vvY=")</f>
        <v>#VALUE!</v>
      </c>
      <c r="IN35" t="e">
        <f>AND('Planilla_General_29-11-2012_10_'!I527,"AAAAAG6/vvc=")</f>
        <v>#VALUE!</v>
      </c>
      <c r="IO35" t="e">
        <f>AND('Planilla_General_29-11-2012_10_'!J527,"AAAAAG6/vvg=")</f>
        <v>#VALUE!</v>
      </c>
      <c r="IP35" t="e">
        <f>AND('Planilla_General_29-11-2012_10_'!K527,"AAAAAG6/vvk=")</f>
        <v>#VALUE!</v>
      </c>
      <c r="IQ35" t="e">
        <f>AND('Planilla_General_29-11-2012_10_'!L527,"AAAAAG6/vvo=")</f>
        <v>#VALUE!</v>
      </c>
      <c r="IR35" t="e">
        <f>AND('Planilla_General_29-11-2012_10_'!M527,"AAAAAG6/vvs=")</f>
        <v>#VALUE!</v>
      </c>
      <c r="IS35" t="e">
        <f>AND('Planilla_General_29-11-2012_10_'!N527,"AAAAAG6/vvw=")</f>
        <v>#VALUE!</v>
      </c>
      <c r="IT35" t="e">
        <f>AND('Planilla_General_29-11-2012_10_'!O527,"AAAAAG6/vv0=")</f>
        <v>#VALUE!</v>
      </c>
      <c r="IU35" t="e">
        <f>AND('Planilla_General_29-11-2012_10_'!P527,"AAAAAG6/vv4=")</f>
        <v>#VALUE!</v>
      </c>
      <c r="IV35">
        <f>IF('Planilla_General_29-11-2012_10_'!528:528,"AAAAAG6/vv8=",0)</f>
        <v>0</v>
      </c>
    </row>
    <row r="36" spans="1:256" x14ac:dyDescent="0.25">
      <c r="A36" t="e">
        <f>AND('Planilla_General_29-11-2012_10_'!A528,"AAAAAD2hewA=")</f>
        <v>#VALUE!</v>
      </c>
      <c r="B36" t="e">
        <f>AND('Planilla_General_29-11-2012_10_'!B528,"AAAAAD2hewE=")</f>
        <v>#VALUE!</v>
      </c>
      <c r="C36" t="e">
        <f>AND('Planilla_General_29-11-2012_10_'!C528,"AAAAAD2hewI=")</f>
        <v>#VALUE!</v>
      </c>
      <c r="D36" t="e">
        <f>AND('Planilla_General_29-11-2012_10_'!D528,"AAAAAD2hewM=")</f>
        <v>#VALUE!</v>
      </c>
      <c r="E36" t="e">
        <f>AND('Planilla_General_29-11-2012_10_'!E528,"AAAAAD2hewQ=")</f>
        <v>#VALUE!</v>
      </c>
      <c r="F36" t="e">
        <f>AND('Planilla_General_29-11-2012_10_'!F528,"AAAAAD2hewU=")</f>
        <v>#VALUE!</v>
      </c>
      <c r="G36" t="e">
        <f>AND('Planilla_General_29-11-2012_10_'!G528,"AAAAAD2hewY=")</f>
        <v>#VALUE!</v>
      </c>
      <c r="H36" t="e">
        <f>AND('Planilla_General_29-11-2012_10_'!H528,"AAAAAD2hewc=")</f>
        <v>#VALUE!</v>
      </c>
      <c r="I36" t="e">
        <f>AND('Planilla_General_29-11-2012_10_'!I528,"AAAAAD2hewg=")</f>
        <v>#VALUE!</v>
      </c>
      <c r="J36" t="e">
        <f>AND('Planilla_General_29-11-2012_10_'!J528,"AAAAAD2hewk=")</f>
        <v>#VALUE!</v>
      </c>
      <c r="K36" t="e">
        <f>AND('Planilla_General_29-11-2012_10_'!K528,"AAAAAD2hewo=")</f>
        <v>#VALUE!</v>
      </c>
      <c r="L36" t="e">
        <f>AND('Planilla_General_29-11-2012_10_'!L528,"AAAAAD2hews=")</f>
        <v>#VALUE!</v>
      </c>
      <c r="M36" t="e">
        <f>AND('Planilla_General_29-11-2012_10_'!M528,"AAAAAD2heww=")</f>
        <v>#VALUE!</v>
      </c>
      <c r="N36" t="e">
        <f>AND('Planilla_General_29-11-2012_10_'!N528,"AAAAAD2hew0=")</f>
        <v>#VALUE!</v>
      </c>
      <c r="O36" t="e">
        <f>AND('Planilla_General_29-11-2012_10_'!O528,"AAAAAD2hew4=")</f>
        <v>#VALUE!</v>
      </c>
      <c r="P36" t="e">
        <f>AND('Planilla_General_29-11-2012_10_'!P528,"AAAAAD2hew8=")</f>
        <v>#VALUE!</v>
      </c>
      <c r="Q36">
        <f>IF('Planilla_General_29-11-2012_10_'!529:529,"AAAAAD2hexA=",0)</f>
        <v>0</v>
      </c>
      <c r="R36" t="e">
        <f>AND('Planilla_General_29-11-2012_10_'!A529,"AAAAAD2hexE=")</f>
        <v>#VALUE!</v>
      </c>
      <c r="S36" t="e">
        <f>AND('Planilla_General_29-11-2012_10_'!B529,"AAAAAD2hexI=")</f>
        <v>#VALUE!</v>
      </c>
      <c r="T36" t="e">
        <f>AND('Planilla_General_29-11-2012_10_'!C529,"AAAAAD2hexM=")</f>
        <v>#VALUE!</v>
      </c>
      <c r="U36" t="e">
        <f>AND('Planilla_General_29-11-2012_10_'!D529,"AAAAAD2hexQ=")</f>
        <v>#VALUE!</v>
      </c>
      <c r="V36" t="e">
        <f>AND('Planilla_General_29-11-2012_10_'!E529,"AAAAAD2hexU=")</f>
        <v>#VALUE!</v>
      </c>
      <c r="W36" t="e">
        <f>AND('Planilla_General_29-11-2012_10_'!F529,"AAAAAD2hexY=")</f>
        <v>#VALUE!</v>
      </c>
      <c r="X36" t="e">
        <f>AND('Planilla_General_29-11-2012_10_'!G529,"AAAAAD2hexc=")</f>
        <v>#VALUE!</v>
      </c>
      <c r="Y36" t="e">
        <f>AND('Planilla_General_29-11-2012_10_'!H529,"AAAAAD2hexg=")</f>
        <v>#VALUE!</v>
      </c>
      <c r="Z36" t="e">
        <f>AND('Planilla_General_29-11-2012_10_'!I529,"AAAAAD2hexk=")</f>
        <v>#VALUE!</v>
      </c>
      <c r="AA36" t="e">
        <f>AND('Planilla_General_29-11-2012_10_'!J529,"AAAAAD2hexo=")</f>
        <v>#VALUE!</v>
      </c>
      <c r="AB36" t="e">
        <f>AND('Planilla_General_29-11-2012_10_'!K529,"AAAAAD2hexs=")</f>
        <v>#VALUE!</v>
      </c>
      <c r="AC36" t="e">
        <f>AND('Planilla_General_29-11-2012_10_'!L529,"AAAAAD2hexw=")</f>
        <v>#VALUE!</v>
      </c>
      <c r="AD36" t="e">
        <f>AND('Planilla_General_29-11-2012_10_'!M529,"AAAAAD2hex0=")</f>
        <v>#VALUE!</v>
      </c>
      <c r="AE36" t="e">
        <f>AND('Planilla_General_29-11-2012_10_'!N529,"AAAAAD2hex4=")</f>
        <v>#VALUE!</v>
      </c>
      <c r="AF36" t="e">
        <f>AND('Planilla_General_29-11-2012_10_'!O529,"AAAAAD2hex8=")</f>
        <v>#VALUE!</v>
      </c>
      <c r="AG36" t="e">
        <f>AND('Planilla_General_29-11-2012_10_'!P529,"AAAAAD2heyA=")</f>
        <v>#VALUE!</v>
      </c>
      <c r="AH36">
        <f>IF('Planilla_General_29-11-2012_10_'!530:530,"AAAAAD2heyE=",0)</f>
        <v>0</v>
      </c>
      <c r="AI36" t="e">
        <f>AND('Planilla_General_29-11-2012_10_'!A530,"AAAAAD2heyI=")</f>
        <v>#VALUE!</v>
      </c>
      <c r="AJ36" t="e">
        <f>AND('Planilla_General_29-11-2012_10_'!B530,"AAAAAD2heyM=")</f>
        <v>#VALUE!</v>
      </c>
      <c r="AK36" t="e">
        <f>AND('Planilla_General_29-11-2012_10_'!C530,"AAAAAD2heyQ=")</f>
        <v>#VALUE!</v>
      </c>
      <c r="AL36" t="e">
        <f>AND('Planilla_General_29-11-2012_10_'!D530,"AAAAAD2heyU=")</f>
        <v>#VALUE!</v>
      </c>
      <c r="AM36" t="e">
        <f>AND('Planilla_General_29-11-2012_10_'!E530,"AAAAAD2heyY=")</f>
        <v>#VALUE!</v>
      </c>
      <c r="AN36" t="e">
        <f>AND('Planilla_General_29-11-2012_10_'!F530,"AAAAAD2heyc=")</f>
        <v>#VALUE!</v>
      </c>
      <c r="AO36" t="e">
        <f>AND('Planilla_General_29-11-2012_10_'!G530,"AAAAAD2heyg=")</f>
        <v>#VALUE!</v>
      </c>
      <c r="AP36" t="e">
        <f>AND('Planilla_General_29-11-2012_10_'!H530,"AAAAAD2heyk=")</f>
        <v>#VALUE!</v>
      </c>
      <c r="AQ36" t="e">
        <f>AND('Planilla_General_29-11-2012_10_'!I530,"AAAAAD2heyo=")</f>
        <v>#VALUE!</v>
      </c>
      <c r="AR36" t="e">
        <f>AND('Planilla_General_29-11-2012_10_'!J530,"AAAAAD2heys=")</f>
        <v>#VALUE!</v>
      </c>
      <c r="AS36" t="e">
        <f>AND('Planilla_General_29-11-2012_10_'!K530,"AAAAAD2heyw=")</f>
        <v>#VALUE!</v>
      </c>
      <c r="AT36" t="e">
        <f>AND('Planilla_General_29-11-2012_10_'!L530,"AAAAAD2hey0=")</f>
        <v>#VALUE!</v>
      </c>
      <c r="AU36" t="e">
        <f>AND('Planilla_General_29-11-2012_10_'!M530,"AAAAAD2hey4=")</f>
        <v>#VALUE!</v>
      </c>
      <c r="AV36" t="e">
        <f>AND('Planilla_General_29-11-2012_10_'!N530,"AAAAAD2hey8=")</f>
        <v>#VALUE!</v>
      </c>
      <c r="AW36" t="e">
        <f>AND('Planilla_General_29-11-2012_10_'!O530,"AAAAAD2hezA=")</f>
        <v>#VALUE!</v>
      </c>
      <c r="AX36" t="e">
        <f>AND('Planilla_General_29-11-2012_10_'!P530,"AAAAAD2hezE=")</f>
        <v>#VALUE!</v>
      </c>
      <c r="AY36">
        <f>IF('Planilla_General_29-11-2012_10_'!531:531,"AAAAAD2hezI=",0)</f>
        <v>0</v>
      </c>
      <c r="AZ36" t="e">
        <f>AND('Planilla_General_29-11-2012_10_'!A531,"AAAAAD2hezM=")</f>
        <v>#VALUE!</v>
      </c>
      <c r="BA36" t="e">
        <f>AND('Planilla_General_29-11-2012_10_'!B531,"AAAAAD2hezQ=")</f>
        <v>#VALUE!</v>
      </c>
      <c r="BB36" t="e">
        <f>AND('Planilla_General_29-11-2012_10_'!C531,"AAAAAD2hezU=")</f>
        <v>#VALUE!</v>
      </c>
      <c r="BC36" t="e">
        <f>AND('Planilla_General_29-11-2012_10_'!D531,"AAAAAD2hezY=")</f>
        <v>#VALUE!</v>
      </c>
      <c r="BD36" t="e">
        <f>AND('Planilla_General_29-11-2012_10_'!E531,"AAAAAD2hezc=")</f>
        <v>#VALUE!</v>
      </c>
      <c r="BE36" t="e">
        <f>AND('Planilla_General_29-11-2012_10_'!F531,"AAAAAD2hezg=")</f>
        <v>#VALUE!</v>
      </c>
      <c r="BF36" t="e">
        <f>AND('Planilla_General_29-11-2012_10_'!G531,"AAAAAD2hezk=")</f>
        <v>#VALUE!</v>
      </c>
      <c r="BG36" t="e">
        <f>AND('Planilla_General_29-11-2012_10_'!H531,"AAAAAD2hezo=")</f>
        <v>#VALUE!</v>
      </c>
      <c r="BH36" t="e">
        <f>AND('Planilla_General_29-11-2012_10_'!I531,"AAAAAD2hezs=")</f>
        <v>#VALUE!</v>
      </c>
      <c r="BI36" t="e">
        <f>AND('Planilla_General_29-11-2012_10_'!J531,"AAAAAD2hezw=")</f>
        <v>#VALUE!</v>
      </c>
      <c r="BJ36" t="e">
        <f>AND('Planilla_General_29-11-2012_10_'!K531,"AAAAAD2hez0=")</f>
        <v>#VALUE!</v>
      </c>
      <c r="BK36" t="e">
        <f>AND('Planilla_General_29-11-2012_10_'!L531,"AAAAAD2hez4=")</f>
        <v>#VALUE!</v>
      </c>
      <c r="BL36" t="e">
        <f>AND('Planilla_General_29-11-2012_10_'!M531,"AAAAAD2hez8=")</f>
        <v>#VALUE!</v>
      </c>
      <c r="BM36" t="e">
        <f>AND('Planilla_General_29-11-2012_10_'!N531,"AAAAAD2he0A=")</f>
        <v>#VALUE!</v>
      </c>
      <c r="BN36" t="e">
        <f>AND('Planilla_General_29-11-2012_10_'!O531,"AAAAAD2he0E=")</f>
        <v>#VALUE!</v>
      </c>
      <c r="BO36" t="e">
        <f>AND('Planilla_General_29-11-2012_10_'!P531,"AAAAAD2he0I=")</f>
        <v>#VALUE!</v>
      </c>
      <c r="BP36">
        <f>IF('Planilla_General_29-11-2012_10_'!532:532,"AAAAAD2he0M=",0)</f>
        <v>0</v>
      </c>
      <c r="BQ36" t="e">
        <f>AND('Planilla_General_29-11-2012_10_'!A532,"AAAAAD2he0Q=")</f>
        <v>#VALUE!</v>
      </c>
      <c r="BR36" t="e">
        <f>AND('Planilla_General_29-11-2012_10_'!B532,"AAAAAD2he0U=")</f>
        <v>#VALUE!</v>
      </c>
      <c r="BS36" t="e">
        <f>AND('Planilla_General_29-11-2012_10_'!C532,"AAAAAD2he0Y=")</f>
        <v>#VALUE!</v>
      </c>
      <c r="BT36" t="e">
        <f>AND('Planilla_General_29-11-2012_10_'!D532,"AAAAAD2he0c=")</f>
        <v>#VALUE!</v>
      </c>
      <c r="BU36" t="e">
        <f>AND('Planilla_General_29-11-2012_10_'!E532,"AAAAAD2he0g=")</f>
        <v>#VALUE!</v>
      </c>
      <c r="BV36" t="e">
        <f>AND('Planilla_General_29-11-2012_10_'!F532,"AAAAAD2he0k=")</f>
        <v>#VALUE!</v>
      </c>
      <c r="BW36" t="e">
        <f>AND('Planilla_General_29-11-2012_10_'!G532,"AAAAAD2he0o=")</f>
        <v>#VALUE!</v>
      </c>
      <c r="BX36" t="e">
        <f>AND('Planilla_General_29-11-2012_10_'!H532,"AAAAAD2he0s=")</f>
        <v>#VALUE!</v>
      </c>
      <c r="BY36" t="e">
        <f>AND('Planilla_General_29-11-2012_10_'!I532,"AAAAAD2he0w=")</f>
        <v>#VALUE!</v>
      </c>
      <c r="BZ36" t="e">
        <f>AND('Planilla_General_29-11-2012_10_'!J532,"AAAAAD2he00=")</f>
        <v>#VALUE!</v>
      </c>
      <c r="CA36" t="e">
        <f>AND('Planilla_General_29-11-2012_10_'!K532,"AAAAAD2he04=")</f>
        <v>#VALUE!</v>
      </c>
      <c r="CB36" t="e">
        <f>AND('Planilla_General_29-11-2012_10_'!L532,"AAAAAD2he08=")</f>
        <v>#VALUE!</v>
      </c>
      <c r="CC36" t="e">
        <f>AND('Planilla_General_29-11-2012_10_'!M532,"AAAAAD2he1A=")</f>
        <v>#VALUE!</v>
      </c>
      <c r="CD36" t="e">
        <f>AND('Planilla_General_29-11-2012_10_'!N532,"AAAAAD2he1E=")</f>
        <v>#VALUE!</v>
      </c>
      <c r="CE36" t="e">
        <f>AND('Planilla_General_29-11-2012_10_'!O532,"AAAAAD2he1I=")</f>
        <v>#VALUE!</v>
      </c>
      <c r="CF36" t="e">
        <f>AND('Planilla_General_29-11-2012_10_'!P532,"AAAAAD2he1M=")</f>
        <v>#VALUE!</v>
      </c>
      <c r="CG36">
        <f>IF('Planilla_General_29-11-2012_10_'!533:533,"AAAAAD2he1Q=",0)</f>
        <v>0</v>
      </c>
      <c r="CH36" t="e">
        <f>AND('Planilla_General_29-11-2012_10_'!A533,"AAAAAD2he1U=")</f>
        <v>#VALUE!</v>
      </c>
      <c r="CI36" t="e">
        <f>AND('Planilla_General_29-11-2012_10_'!B533,"AAAAAD2he1Y=")</f>
        <v>#VALUE!</v>
      </c>
      <c r="CJ36" t="e">
        <f>AND('Planilla_General_29-11-2012_10_'!C533,"AAAAAD2he1c=")</f>
        <v>#VALUE!</v>
      </c>
      <c r="CK36" t="e">
        <f>AND('Planilla_General_29-11-2012_10_'!D533,"AAAAAD2he1g=")</f>
        <v>#VALUE!</v>
      </c>
      <c r="CL36" t="e">
        <f>AND('Planilla_General_29-11-2012_10_'!E533,"AAAAAD2he1k=")</f>
        <v>#VALUE!</v>
      </c>
      <c r="CM36" t="e">
        <f>AND('Planilla_General_29-11-2012_10_'!F533,"AAAAAD2he1o=")</f>
        <v>#VALUE!</v>
      </c>
      <c r="CN36" t="e">
        <f>AND('Planilla_General_29-11-2012_10_'!G533,"AAAAAD2he1s=")</f>
        <v>#VALUE!</v>
      </c>
      <c r="CO36" t="e">
        <f>AND('Planilla_General_29-11-2012_10_'!H533,"AAAAAD2he1w=")</f>
        <v>#VALUE!</v>
      </c>
      <c r="CP36" t="e">
        <f>AND('Planilla_General_29-11-2012_10_'!I533,"AAAAAD2he10=")</f>
        <v>#VALUE!</v>
      </c>
      <c r="CQ36" t="e">
        <f>AND('Planilla_General_29-11-2012_10_'!J533,"AAAAAD2he14=")</f>
        <v>#VALUE!</v>
      </c>
      <c r="CR36" t="e">
        <f>AND('Planilla_General_29-11-2012_10_'!K533,"AAAAAD2he18=")</f>
        <v>#VALUE!</v>
      </c>
      <c r="CS36" t="e">
        <f>AND('Planilla_General_29-11-2012_10_'!L533,"AAAAAD2he2A=")</f>
        <v>#VALUE!</v>
      </c>
      <c r="CT36" t="e">
        <f>AND('Planilla_General_29-11-2012_10_'!M533,"AAAAAD2he2E=")</f>
        <v>#VALUE!</v>
      </c>
      <c r="CU36" t="e">
        <f>AND('Planilla_General_29-11-2012_10_'!N533,"AAAAAD2he2I=")</f>
        <v>#VALUE!</v>
      </c>
      <c r="CV36" t="e">
        <f>AND('Planilla_General_29-11-2012_10_'!O533,"AAAAAD2he2M=")</f>
        <v>#VALUE!</v>
      </c>
      <c r="CW36" t="e">
        <f>AND('Planilla_General_29-11-2012_10_'!P533,"AAAAAD2he2Q=")</f>
        <v>#VALUE!</v>
      </c>
      <c r="CX36">
        <f>IF('Planilla_General_29-11-2012_10_'!534:534,"AAAAAD2he2U=",0)</f>
        <v>0</v>
      </c>
      <c r="CY36" t="e">
        <f>AND('Planilla_General_29-11-2012_10_'!A534,"AAAAAD2he2Y=")</f>
        <v>#VALUE!</v>
      </c>
      <c r="CZ36" t="e">
        <f>AND('Planilla_General_29-11-2012_10_'!B534,"AAAAAD2he2c=")</f>
        <v>#VALUE!</v>
      </c>
      <c r="DA36" t="e">
        <f>AND('Planilla_General_29-11-2012_10_'!C534,"AAAAAD2he2g=")</f>
        <v>#VALUE!</v>
      </c>
      <c r="DB36" t="e">
        <f>AND('Planilla_General_29-11-2012_10_'!D534,"AAAAAD2he2k=")</f>
        <v>#VALUE!</v>
      </c>
      <c r="DC36" t="e">
        <f>AND('Planilla_General_29-11-2012_10_'!E534,"AAAAAD2he2o=")</f>
        <v>#VALUE!</v>
      </c>
      <c r="DD36" t="e">
        <f>AND('Planilla_General_29-11-2012_10_'!F534,"AAAAAD2he2s=")</f>
        <v>#VALUE!</v>
      </c>
      <c r="DE36" t="e">
        <f>AND('Planilla_General_29-11-2012_10_'!G534,"AAAAAD2he2w=")</f>
        <v>#VALUE!</v>
      </c>
      <c r="DF36" t="e">
        <f>AND('Planilla_General_29-11-2012_10_'!H534,"AAAAAD2he20=")</f>
        <v>#VALUE!</v>
      </c>
      <c r="DG36" t="e">
        <f>AND('Planilla_General_29-11-2012_10_'!I534,"AAAAAD2he24=")</f>
        <v>#VALUE!</v>
      </c>
      <c r="DH36" t="e">
        <f>AND('Planilla_General_29-11-2012_10_'!J534,"AAAAAD2he28=")</f>
        <v>#VALUE!</v>
      </c>
      <c r="DI36" t="e">
        <f>AND('Planilla_General_29-11-2012_10_'!K534,"AAAAAD2he3A=")</f>
        <v>#VALUE!</v>
      </c>
      <c r="DJ36" t="e">
        <f>AND('Planilla_General_29-11-2012_10_'!L534,"AAAAAD2he3E=")</f>
        <v>#VALUE!</v>
      </c>
      <c r="DK36" t="e">
        <f>AND('Planilla_General_29-11-2012_10_'!M534,"AAAAAD2he3I=")</f>
        <v>#VALUE!</v>
      </c>
      <c r="DL36" t="e">
        <f>AND('Planilla_General_29-11-2012_10_'!N534,"AAAAAD2he3M=")</f>
        <v>#VALUE!</v>
      </c>
      <c r="DM36" t="e">
        <f>AND('Planilla_General_29-11-2012_10_'!O534,"AAAAAD2he3Q=")</f>
        <v>#VALUE!</v>
      </c>
      <c r="DN36" t="e">
        <f>AND('Planilla_General_29-11-2012_10_'!P534,"AAAAAD2he3U=")</f>
        <v>#VALUE!</v>
      </c>
      <c r="DO36">
        <f>IF('Planilla_General_29-11-2012_10_'!535:535,"AAAAAD2he3Y=",0)</f>
        <v>0</v>
      </c>
      <c r="DP36" t="e">
        <f>AND('Planilla_General_29-11-2012_10_'!A535,"AAAAAD2he3c=")</f>
        <v>#VALUE!</v>
      </c>
      <c r="DQ36" t="e">
        <f>AND('Planilla_General_29-11-2012_10_'!B535,"AAAAAD2he3g=")</f>
        <v>#VALUE!</v>
      </c>
      <c r="DR36" t="e">
        <f>AND('Planilla_General_29-11-2012_10_'!C535,"AAAAAD2he3k=")</f>
        <v>#VALUE!</v>
      </c>
      <c r="DS36" t="e">
        <f>AND('Planilla_General_29-11-2012_10_'!D535,"AAAAAD2he3o=")</f>
        <v>#VALUE!</v>
      </c>
      <c r="DT36" t="e">
        <f>AND('Planilla_General_29-11-2012_10_'!E535,"AAAAAD2he3s=")</f>
        <v>#VALUE!</v>
      </c>
      <c r="DU36" t="e">
        <f>AND('Planilla_General_29-11-2012_10_'!F535,"AAAAAD2he3w=")</f>
        <v>#VALUE!</v>
      </c>
      <c r="DV36" t="e">
        <f>AND('Planilla_General_29-11-2012_10_'!G535,"AAAAAD2he30=")</f>
        <v>#VALUE!</v>
      </c>
      <c r="DW36" t="e">
        <f>AND('Planilla_General_29-11-2012_10_'!H535,"AAAAAD2he34=")</f>
        <v>#VALUE!</v>
      </c>
      <c r="DX36" t="e">
        <f>AND('Planilla_General_29-11-2012_10_'!I535,"AAAAAD2he38=")</f>
        <v>#VALUE!</v>
      </c>
      <c r="DY36" t="e">
        <f>AND('Planilla_General_29-11-2012_10_'!J535,"AAAAAD2he4A=")</f>
        <v>#VALUE!</v>
      </c>
      <c r="DZ36" t="e">
        <f>AND('Planilla_General_29-11-2012_10_'!K535,"AAAAAD2he4E=")</f>
        <v>#VALUE!</v>
      </c>
      <c r="EA36" t="e">
        <f>AND('Planilla_General_29-11-2012_10_'!L535,"AAAAAD2he4I=")</f>
        <v>#VALUE!</v>
      </c>
      <c r="EB36" t="e">
        <f>AND('Planilla_General_29-11-2012_10_'!M535,"AAAAAD2he4M=")</f>
        <v>#VALUE!</v>
      </c>
      <c r="EC36" t="e">
        <f>AND('Planilla_General_29-11-2012_10_'!N535,"AAAAAD2he4Q=")</f>
        <v>#VALUE!</v>
      </c>
      <c r="ED36" t="e">
        <f>AND('Planilla_General_29-11-2012_10_'!O535,"AAAAAD2he4U=")</f>
        <v>#VALUE!</v>
      </c>
      <c r="EE36" t="e">
        <f>AND('Planilla_General_29-11-2012_10_'!P535,"AAAAAD2he4Y=")</f>
        <v>#VALUE!</v>
      </c>
      <c r="EF36">
        <f>IF('Planilla_General_29-11-2012_10_'!536:536,"AAAAAD2he4c=",0)</f>
        <v>0</v>
      </c>
      <c r="EG36" t="e">
        <f>AND('Planilla_General_29-11-2012_10_'!A536,"AAAAAD2he4g=")</f>
        <v>#VALUE!</v>
      </c>
      <c r="EH36" t="e">
        <f>AND('Planilla_General_29-11-2012_10_'!B536,"AAAAAD2he4k=")</f>
        <v>#VALUE!</v>
      </c>
      <c r="EI36" t="e">
        <f>AND('Planilla_General_29-11-2012_10_'!C536,"AAAAAD2he4o=")</f>
        <v>#VALUE!</v>
      </c>
      <c r="EJ36" t="e">
        <f>AND('Planilla_General_29-11-2012_10_'!D536,"AAAAAD2he4s=")</f>
        <v>#VALUE!</v>
      </c>
      <c r="EK36" t="e">
        <f>AND('Planilla_General_29-11-2012_10_'!E536,"AAAAAD2he4w=")</f>
        <v>#VALUE!</v>
      </c>
      <c r="EL36" t="e">
        <f>AND('Planilla_General_29-11-2012_10_'!F536,"AAAAAD2he40=")</f>
        <v>#VALUE!</v>
      </c>
      <c r="EM36" t="e">
        <f>AND('Planilla_General_29-11-2012_10_'!G536,"AAAAAD2he44=")</f>
        <v>#VALUE!</v>
      </c>
      <c r="EN36" t="e">
        <f>AND('Planilla_General_29-11-2012_10_'!H536,"AAAAAD2he48=")</f>
        <v>#VALUE!</v>
      </c>
      <c r="EO36" t="e">
        <f>AND('Planilla_General_29-11-2012_10_'!I536,"AAAAAD2he5A=")</f>
        <v>#VALUE!</v>
      </c>
      <c r="EP36" t="e">
        <f>AND('Planilla_General_29-11-2012_10_'!J536,"AAAAAD2he5E=")</f>
        <v>#VALUE!</v>
      </c>
      <c r="EQ36" t="e">
        <f>AND('Planilla_General_29-11-2012_10_'!K536,"AAAAAD2he5I=")</f>
        <v>#VALUE!</v>
      </c>
      <c r="ER36" t="e">
        <f>AND('Planilla_General_29-11-2012_10_'!L536,"AAAAAD2he5M=")</f>
        <v>#VALUE!</v>
      </c>
      <c r="ES36" t="e">
        <f>AND('Planilla_General_29-11-2012_10_'!M536,"AAAAAD2he5Q=")</f>
        <v>#VALUE!</v>
      </c>
      <c r="ET36" t="e">
        <f>AND('Planilla_General_29-11-2012_10_'!N536,"AAAAAD2he5U=")</f>
        <v>#VALUE!</v>
      </c>
      <c r="EU36" t="e">
        <f>AND('Planilla_General_29-11-2012_10_'!O536,"AAAAAD2he5Y=")</f>
        <v>#VALUE!</v>
      </c>
      <c r="EV36" t="e">
        <f>AND('Planilla_General_29-11-2012_10_'!P536,"AAAAAD2he5c=")</f>
        <v>#VALUE!</v>
      </c>
      <c r="EW36">
        <f>IF('Planilla_General_29-11-2012_10_'!537:537,"AAAAAD2he5g=",0)</f>
        <v>0</v>
      </c>
      <c r="EX36" t="e">
        <f>AND('Planilla_General_29-11-2012_10_'!A537,"AAAAAD2he5k=")</f>
        <v>#VALUE!</v>
      </c>
      <c r="EY36" t="e">
        <f>AND('Planilla_General_29-11-2012_10_'!B537,"AAAAAD2he5o=")</f>
        <v>#VALUE!</v>
      </c>
      <c r="EZ36" t="e">
        <f>AND('Planilla_General_29-11-2012_10_'!C537,"AAAAAD2he5s=")</f>
        <v>#VALUE!</v>
      </c>
      <c r="FA36" t="e">
        <f>AND('Planilla_General_29-11-2012_10_'!D537,"AAAAAD2he5w=")</f>
        <v>#VALUE!</v>
      </c>
      <c r="FB36" t="e">
        <f>AND('Planilla_General_29-11-2012_10_'!E537,"AAAAAD2he50=")</f>
        <v>#VALUE!</v>
      </c>
      <c r="FC36" t="e">
        <f>AND('Planilla_General_29-11-2012_10_'!F537,"AAAAAD2he54=")</f>
        <v>#VALUE!</v>
      </c>
      <c r="FD36" t="e">
        <f>AND('Planilla_General_29-11-2012_10_'!G537,"AAAAAD2he58=")</f>
        <v>#VALUE!</v>
      </c>
      <c r="FE36" t="e">
        <f>AND('Planilla_General_29-11-2012_10_'!H537,"AAAAAD2he6A=")</f>
        <v>#VALUE!</v>
      </c>
      <c r="FF36" t="e">
        <f>AND('Planilla_General_29-11-2012_10_'!I537,"AAAAAD2he6E=")</f>
        <v>#VALUE!</v>
      </c>
      <c r="FG36" t="e">
        <f>AND('Planilla_General_29-11-2012_10_'!J537,"AAAAAD2he6I=")</f>
        <v>#VALUE!</v>
      </c>
      <c r="FH36" t="e">
        <f>AND('Planilla_General_29-11-2012_10_'!K537,"AAAAAD2he6M=")</f>
        <v>#VALUE!</v>
      </c>
      <c r="FI36" t="e">
        <f>AND('Planilla_General_29-11-2012_10_'!L537,"AAAAAD2he6Q=")</f>
        <v>#VALUE!</v>
      </c>
      <c r="FJ36" t="e">
        <f>AND('Planilla_General_29-11-2012_10_'!M537,"AAAAAD2he6U=")</f>
        <v>#VALUE!</v>
      </c>
      <c r="FK36" t="e">
        <f>AND('Planilla_General_29-11-2012_10_'!N537,"AAAAAD2he6Y=")</f>
        <v>#VALUE!</v>
      </c>
      <c r="FL36" t="e">
        <f>AND('Planilla_General_29-11-2012_10_'!O537,"AAAAAD2he6c=")</f>
        <v>#VALUE!</v>
      </c>
      <c r="FM36" t="e">
        <f>AND('Planilla_General_29-11-2012_10_'!P537,"AAAAAD2he6g=")</f>
        <v>#VALUE!</v>
      </c>
      <c r="FN36">
        <f>IF('Planilla_General_29-11-2012_10_'!538:538,"AAAAAD2he6k=",0)</f>
        <v>0</v>
      </c>
      <c r="FO36" t="e">
        <f>AND('Planilla_General_29-11-2012_10_'!A538,"AAAAAD2he6o=")</f>
        <v>#VALUE!</v>
      </c>
      <c r="FP36" t="e">
        <f>AND('Planilla_General_29-11-2012_10_'!B538,"AAAAAD2he6s=")</f>
        <v>#VALUE!</v>
      </c>
      <c r="FQ36" t="e">
        <f>AND('Planilla_General_29-11-2012_10_'!C538,"AAAAAD2he6w=")</f>
        <v>#VALUE!</v>
      </c>
      <c r="FR36" t="e">
        <f>AND('Planilla_General_29-11-2012_10_'!D538,"AAAAAD2he60=")</f>
        <v>#VALUE!</v>
      </c>
      <c r="FS36" t="e">
        <f>AND('Planilla_General_29-11-2012_10_'!E538,"AAAAAD2he64=")</f>
        <v>#VALUE!</v>
      </c>
      <c r="FT36" t="e">
        <f>AND('Planilla_General_29-11-2012_10_'!F538,"AAAAAD2he68=")</f>
        <v>#VALUE!</v>
      </c>
      <c r="FU36" t="e">
        <f>AND('Planilla_General_29-11-2012_10_'!G538,"AAAAAD2he7A=")</f>
        <v>#VALUE!</v>
      </c>
      <c r="FV36" t="e">
        <f>AND('Planilla_General_29-11-2012_10_'!H538,"AAAAAD2he7E=")</f>
        <v>#VALUE!</v>
      </c>
      <c r="FW36" t="e">
        <f>AND('Planilla_General_29-11-2012_10_'!I538,"AAAAAD2he7I=")</f>
        <v>#VALUE!</v>
      </c>
      <c r="FX36" t="e">
        <f>AND('Planilla_General_29-11-2012_10_'!J538,"AAAAAD2he7M=")</f>
        <v>#VALUE!</v>
      </c>
      <c r="FY36" t="e">
        <f>AND('Planilla_General_29-11-2012_10_'!K538,"AAAAAD2he7Q=")</f>
        <v>#VALUE!</v>
      </c>
      <c r="FZ36" t="e">
        <f>AND('Planilla_General_29-11-2012_10_'!L538,"AAAAAD2he7U=")</f>
        <v>#VALUE!</v>
      </c>
      <c r="GA36" t="e">
        <f>AND('Planilla_General_29-11-2012_10_'!M538,"AAAAAD2he7Y=")</f>
        <v>#VALUE!</v>
      </c>
      <c r="GB36" t="e">
        <f>AND('Planilla_General_29-11-2012_10_'!N538,"AAAAAD2he7c=")</f>
        <v>#VALUE!</v>
      </c>
      <c r="GC36" t="e">
        <f>AND('Planilla_General_29-11-2012_10_'!O538,"AAAAAD2he7g=")</f>
        <v>#VALUE!</v>
      </c>
      <c r="GD36" t="e">
        <f>AND('Planilla_General_29-11-2012_10_'!P538,"AAAAAD2he7k=")</f>
        <v>#VALUE!</v>
      </c>
      <c r="GE36">
        <f>IF('Planilla_General_29-11-2012_10_'!539:539,"AAAAAD2he7o=",0)</f>
        <v>0</v>
      </c>
      <c r="GF36" t="e">
        <f>AND('Planilla_General_29-11-2012_10_'!A539,"AAAAAD2he7s=")</f>
        <v>#VALUE!</v>
      </c>
      <c r="GG36" t="e">
        <f>AND('Planilla_General_29-11-2012_10_'!B539,"AAAAAD2he7w=")</f>
        <v>#VALUE!</v>
      </c>
      <c r="GH36" t="e">
        <f>AND('Planilla_General_29-11-2012_10_'!C539,"AAAAAD2he70=")</f>
        <v>#VALUE!</v>
      </c>
      <c r="GI36" t="e">
        <f>AND('Planilla_General_29-11-2012_10_'!D539,"AAAAAD2he74=")</f>
        <v>#VALUE!</v>
      </c>
      <c r="GJ36" t="e">
        <f>AND('Planilla_General_29-11-2012_10_'!E539,"AAAAAD2he78=")</f>
        <v>#VALUE!</v>
      </c>
      <c r="GK36" t="e">
        <f>AND('Planilla_General_29-11-2012_10_'!F539,"AAAAAD2he8A=")</f>
        <v>#VALUE!</v>
      </c>
      <c r="GL36" t="e">
        <f>AND('Planilla_General_29-11-2012_10_'!G539,"AAAAAD2he8E=")</f>
        <v>#VALUE!</v>
      </c>
      <c r="GM36" t="e">
        <f>AND('Planilla_General_29-11-2012_10_'!H539,"AAAAAD2he8I=")</f>
        <v>#VALUE!</v>
      </c>
      <c r="GN36" t="e">
        <f>AND('Planilla_General_29-11-2012_10_'!I539,"AAAAAD2he8M=")</f>
        <v>#VALUE!</v>
      </c>
      <c r="GO36" t="e">
        <f>AND('Planilla_General_29-11-2012_10_'!J539,"AAAAAD2he8Q=")</f>
        <v>#VALUE!</v>
      </c>
      <c r="GP36" t="e">
        <f>AND('Planilla_General_29-11-2012_10_'!K539,"AAAAAD2he8U=")</f>
        <v>#VALUE!</v>
      </c>
      <c r="GQ36" t="e">
        <f>AND('Planilla_General_29-11-2012_10_'!L539,"AAAAAD2he8Y=")</f>
        <v>#VALUE!</v>
      </c>
      <c r="GR36" t="e">
        <f>AND('Planilla_General_29-11-2012_10_'!M539,"AAAAAD2he8c=")</f>
        <v>#VALUE!</v>
      </c>
      <c r="GS36" t="e">
        <f>AND('Planilla_General_29-11-2012_10_'!N539,"AAAAAD2he8g=")</f>
        <v>#VALUE!</v>
      </c>
      <c r="GT36" t="e">
        <f>AND('Planilla_General_29-11-2012_10_'!O539,"AAAAAD2he8k=")</f>
        <v>#VALUE!</v>
      </c>
      <c r="GU36" t="e">
        <f>AND('Planilla_General_29-11-2012_10_'!P539,"AAAAAD2he8o=")</f>
        <v>#VALUE!</v>
      </c>
      <c r="GV36">
        <f>IF('Planilla_General_29-11-2012_10_'!540:540,"AAAAAD2he8s=",0)</f>
        <v>0</v>
      </c>
      <c r="GW36" t="e">
        <f>AND('Planilla_General_29-11-2012_10_'!A540,"AAAAAD2he8w=")</f>
        <v>#VALUE!</v>
      </c>
      <c r="GX36" t="e">
        <f>AND('Planilla_General_29-11-2012_10_'!B540,"AAAAAD2he80=")</f>
        <v>#VALUE!</v>
      </c>
      <c r="GY36" t="e">
        <f>AND('Planilla_General_29-11-2012_10_'!C540,"AAAAAD2he84=")</f>
        <v>#VALUE!</v>
      </c>
      <c r="GZ36" t="e">
        <f>AND('Planilla_General_29-11-2012_10_'!D540,"AAAAAD2he88=")</f>
        <v>#VALUE!</v>
      </c>
      <c r="HA36" t="e">
        <f>AND('Planilla_General_29-11-2012_10_'!E540,"AAAAAD2he9A=")</f>
        <v>#VALUE!</v>
      </c>
      <c r="HB36" t="e">
        <f>AND('Planilla_General_29-11-2012_10_'!F540,"AAAAAD2he9E=")</f>
        <v>#VALUE!</v>
      </c>
      <c r="HC36" t="e">
        <f>AND('Planilla_General_29-11-2012_10_'!G540,"AAAAAD2he9I=")</f>
        <v>#VALUE!</v>
      </c>
      <c r="HD36" t="e">
        <f>AND('Planilla_General_29-11-2012_10_'!H540,"AAAAAD2he9M=")</f>
        <v>#VALUE!</v>
      </c>
      <c r="HE36" t="e">
        <f>AND('Planilla_General_29-11-2012_10_'!I540,"AAAAAD2he9Q=")</f>
        <v>#VALUE!</v>
      </c>
      <c r="HF36" t="e">
        <f>AND('Planilla_General_29-11-2012_10_'!J540,"AAAAAD2he9U=")</f>
        <v>#VALUE!</v>
      </c>
      <c r="HG36" t="e">
        <f>AND('Planilla_General_29-11-2012_10_'!K540,"AAAAAD2he9Y=")</f>
        <v>#VALUE!</v>
      </c>
      <c r="HH36" t="e">
        <f>AND('Planilla_General_29-11-2012_10_'!L540,"AAAAAD2he9c=")</f>
        <v>#VALUE!</v>
      </c>
      <c r="HI36" t="e">
        <f>AND('Planilla_General_29-11-2012_10_'!M540,"AAAAAD2he9g=")</f>
        <v>#VALUE!</v>
      </c>
      <c r="HJ36" t="e">
        <f>AND('Planilla_General_29-11-2012_10_'!N540,"AAAAAD2he9k=")</f>
        <v>#VALUE!</v>
      </c>
      <c r="HK36" t="e">
        <f>AND('Planilla_General_29-11-2012_10_'!O540,"AAAAAD2he9o=")</f>
        <v>#VALUE!</v>
      </c>
      <c r="HL36" t="e">
        <f>AND('Planilla_General_29-11-2012_10_'!P540,"AAAAAD2he9s=")</f>
        <v>#VALUE!</v>
      </c>
      <c r="HM36">
        <f>IF('Planilla_General_29-11-2012_10_'!541:541,"AAAAAD2he9w=",0)</f>
        <v>0</v>
      </c>
      <c r="HN36" t="e">
        <f>AND('Planilla_General_29-11-2012_10_'!A541,"AAAAAD2he90=")</f>
        <v>#VALUE!</v>
      </c>
      <c r="HO36" t="e">
        <f>AND('Planilla_General_29-11-2012_10_'!B541,"AAAAAD2he94=")</f>
        <v>#VALUE!</v>
      </c>
      <c r="HP36" t="e">
        <f>AND('Planilla_General_29-11-2012_10_'!C541,"AAAAAD2he98=")</f>
        <v>#VALUE!</v>
      </c>
      <c r="HQ36" t="e">
        <f>AND('Planilla_General_29-11-2012_10_'!D541,"AAAAAD2he+A=")</f>
        <v>#VALUE!</v>
      </c>
      <c r="HR36" t="e">
        <f>AND('Planilla_General_29-11-2012_10_'!E541,"AAAAAD2he+E=")</f>
        <v>#VALUE!</v>
      </c>
      <c r="HS36" t="e">
        <f>AND('Planilla_General_29-11-2012_10_'!F541,"AAAAAD2he+I=")</f>
        <v>#VALUE!</v>
      </c>
      <c r="HT36" t="e">
        <f>AND('Planilla_General_29-11-2012_10_'!G541,"AAAAAD2he+M=")</f>
        <v>#VALUE!</v>
      </c>
      <c r="HU36" t="e">
        <f>AND('Planilla_General_29-11-2012_10_'!H541,"AAAAAD2he+Q=")</f>
        <v>#VALUE!</v>
      </c>
      <c r="HV36" t="e">
        <f>AND('Planilla_General_29-11-2012_10_'!I541,"AAAAAD2he+U=")</f>
        <v>#VALUE!</v>
      </c>
      <c r="HW36" t="e">
        <f>AND('Planilla_General_29-11-2012_10_'!J541,"AAAAAD2he+Y=")</f>
        <v>#VALUE!</v>
      </c>
      <c r="HX36" t="e">
        <f>AND('Planilla_General_29-11-2012_10_'!K541,"AAAAAD2he+c=")</f>
        <v>#VALUE!</v>
      </c>
      <c r="HY36" t="e">
        <f>AND('Planilla_General_29-11-2012_10_'!L541,"AAAAAD2he+g=")</f>
        <v>#VALUE!</v>
      </c>
      <c r="HZ36" t="e">
        <f>AND('Planilla_General_29-11-2012_10_'!M541,"AAAAAD2he+k=")</f>
        <v>#VALUE!</v>
      </c>
      <c r="IA36" t="e">
        <f>AND('Planilla_General_29-11-2012_10_'!N541,"AAAAAD2he+o=")</f>
        <v>#VALUE!</v>
      </c>
      <c r="IB36" t="e">
        <f>AND('Planilla_General_29-11-2012_10_'!O541,"AAAAAD2he+s=")</f>
        <v>#VALUE!</v>
      </c>
      <c r="IC36" t="e">
        <f>AND('Planilla_General_29-11-2012_10_'!P541,"AAAAAD2he+w=")</f>
        <v>#VALUE!</v>
      </c>
      <c r="ID36">
        <f>IF('Planilla_General_29-11-2012_10_'!542:542,"AAAAAD2he+0=",0)</f>
        <v>0</v>
      </c>
      <c r="IE36" t="e">
        <f>AND('Planilla_General_29-11-2012_10_'!A542,"AAAAAD2he+4=")</f>
        <v>#VALUE!</v>
      </c>
      <c r="IF36" t="e">
        <f>AND('Planilla_General_29-11-2012_10_'!B542,"AAAAAD2he+8=")</f>
        <v>#VALUE!</v>
      </c>
      <c r="IG36" t="e">
        <f>AND('Planilla_General_29-11-2012_10_'!C542,"AAAAAD2he/A=")</f>
        <v>#VALUE!</v>
      </c>
      <c r="IH36" t="e">
        <f>AND('Planilla_General_29-11-2012_10_'!D542,"AAAAAD2he/E=")</f>
        <v>#VALUE!</v>
      </c>
      <c r="II36" t="e">
        <f>AND('Planilla_General_29-11-2012_10_'!E542,"AAAAAD2he/I=")</f>
        <v>#VALUE!</v>
      </c>
      <c r="IJ36" t="e">
        <f>AND('Planilla_General_29-11-2012_10_'!F542,"AAAAAD2he/M=")</f>
        <v>#VALUE!</v>
      </c>
      <c r="IK36" t="e">
        <f>AND('Planilla_General_29-11-2012_10_'!G542,"AAAAAD2he/Q=")</f>
        <v>#VALUE!</v>
      </c>
      <c r="IL36" t="e">
        <f>AND('Planilla_General_29-11-2012_10_'!H542,"AAAAAD2he/U=")</f>
        <v>#VALUE!</v>
      </c>
      <c r="IM36" t="e">
        <f>AND('Planilla_General_29-11-2012_10_'!I542,"AAAAAD2he/Y=")</f>
        <v>#VALUE!</v>
      </c>
      <c r="IN36" t="e">
        <f>AND('Planilla_General_29-11-2012_10_'!J542,"AAAAAD2he/c=")</f>
        <v>#VALUE!</v>
      </c>
      <c r="IO36" t="e">
        <f>AND('Planilla_General_29-11-2012_10_'!K542,"AAAAAD2he/g=")</f>
        <v>#VALUE!</v>
      </c>
      <c r="IP36" t="e">
        <f>AND('Planilla_General_29-11-2012_10_'!L542,"AAAAAD2he/k=")</f>
        <v>#VALUE!</v>
      </c>
      <c r="IQ36" t="e">
        <f>AND('Planilla_General_29-11-2012_10_'!M542,"AAAAAD2he/o=")</f>
        <v>#VALUE!</v>
      </c>
      <c r="IR36" t="e">
        <f>AND('Planilla_General_29-11-2012_10_'!N542,"AAAAAD2he/s=")</f>
        <v>#VALUE!</v>
      </c>
      <c r="IS36" t="e">
        <f>AND('Planilla_General_29-11-2012_10_'!O542,"AAAAAD2he/w=")</f>
        <v>#VALUE!</v>
      </c>
      <c r="IT36" t="e">
        <f>AND('Planilla_General_29-11-2012_10_'!P542,"AAAAAD2he/0=")</f>
        <v>#VALUE!</v>
      </c>
      <c r="IU36">
        <f>IF('Planilla_General_29-11-2012_10_'!543:543,"AAAAAD2he/4=",0)</f>
        <v>0</v>
      </c>
      <c r="IV36" t="e">
        <f>AND('Planilla_General_29-11-2012_10_'!A543,"AAAAAD2he/8=")</f>
        <v>#VALUE!</v>
      </c>
    </row>
    <row r="37" spans="1:256" x14ac:dyDescent="0.25">
      <c r="A37" t="e">
        <f>AND('Planilla_General_29-11-2012_10_'!B543,"AAAAAHvv7wA=")</f>
        <v>#VALUE!</v>
      </c>
      <c r="B37" t="e">
        <f>AND('Planilla_General_29-11-2012_10_'!C543,"AAAAAHvv7wE=")</f>
        <v>#VALUE!</v>
      </c>
      <c r="C37" t="e">
        <f>AND('Planilla_General_29-11-2012_10_'!D543,"AAAAAHvv7wI=")</f>
        <v>#VALUE!</v>
      </c>
      <c r="D37" t="e">
        <f>AND('Planilla_General_29-11-2012_10_'!E543,"AAAAAHvv7wM=")</f>
        <v>#VALUE!</v>
      </c>
      <c r="E37" t="e">
        <f>AND('Planilla_General_29-11-2012_10_'!F543,"AAAAAHvv7wQ=")</f>
        <v>#VALUE!</v>
      </c>
      <c r="F37" t="e">
        <f>AND('Planilla_General_29-11-2012_10_'!G543,"AAAAAHvv7wU=")</f>
        <v>#VALUE!</v>
      </c>
      <c r="G37" t="e">
        <f>AND('Planilla_General_29-11-2012_10_'!H543,"AAAAAHvv7wY=")</f>
        <v>#VALUE!</v>
      </c>
      <c r="H37" t="e">
        <f>AND('Planilla_General_29-11-2012_10_'!I543,"AAAAAHvv7wc=")</f>
        <v>#VALUE!</v>
      </c>
      <c r="I37" t="e">
        <f>AND('Planilla_General_29-11-2012_10_'!J543,"AAAAAHvv7wg=")</f>
        <v>#VALUE!</v>
      </c>
      <c r="J37" t="e">
        <f>AND('Planilla_General_29-11-2012_10_'!K543,"AAAAAHvv7wk=")</f>
        <v>#VALUE!</v>
      </c>
      <c r="K37" t="e">
        <f>AND('Planilla_General_29-11-2012_10_'!L543,"AAAAAHvv7wo=")</f>
        <v>#VALUE!</v>
      </c>
      <c r="L37" t="e">
        <f>AND('Planilla_General_29-11-2012_10_'!M543,"AAAAAHvv7ws=")</f>
        <v>#VALUE!</v>
      </c>
      <c r="M37" t="e">
        <f>AND('Planilla_General_29-11-2012_10_'!N543,"AAAAAHvv7ww=")</f>
        <v>#VALUE!</v>
      </c>
      <c r="N37" t="e">
        <f>AND('Planilla_General_29-11-2012_10_'!O543,"AAAAAHvv7w0=")</f>
        <v>#VALUE!</v>
      </c>
      <c r="O37" t="e">
        <f>AND('Planilla_General_29-11-2012_10_'!P543,"AAAAAHvv7w4=")</f>
        <v>#VALUE!</v>
      </c>
      <c r="P37">
        <f>IF('Planilla_General_29-11-2012_10_'!544:544,"AAAAAHvv7w8=",0)</f>
        <v>0</v>
      </c>
      <c r="Q37" t="e">
        <f>AND('Planilla_General_29-11-2012_10_'!A544,"AAAAAHvv7xA=")</f>
        <v>#VALUE!</v>
      </c>
      <c r="R37" t="e">
        <f>AND('Planilla_General_29-11-2012_10_'!B544,"AAAAAHvv7xE=")</f>
        <v>#VALUE!</v>
      </c>
      <c r="S37" t="e">
        <f>AND('Planilla_General_29-11-2012_10_'!C544,"AAAAAHvv7xI=")</f>
        <v>#VALUE!</v>
      </c>
      <c r="T37" t="e">
        <f>AND('Planilla_General_29-11-2012_10_'!D544,"AAAAAHvv7xM=")</f>
        <v>#VALUE!</v>
      </c>
      <c r="U37" t="e">
        <f>AND('Planilla_General_29-11-2012_10_'!E544,"AAAAAHvv7xQ=")</f>
        <v>#VALUE!</v>
      </c>
      <c r="V37" t="e">
        <f>AND('Planilla_General_29-11-2012_10_'!F544,"AAAAAHvv7xU=")</f>
        <v>#VALUE!</v>
      </c>
      <c r="W37" t="e">
        <f>AND('Planilla_General_29-11-2012_10_'!G544,"AAAAAHvv7xY=")</f>
        <v>#VALUE!</v>
      </c>
      <c r="X37" t="e">
        <f>AND('Planilla_General_29-11-2012_10_'!H544,"AAAAAHvv7xc=")</f>
        <v>#VALUE!</v>
      </c>
      <c r="Y37" t="e">
        <f>AND('Planilla_General_29-11-2012_10_'!I544,"AAAAAHvv7xg=")</f>
        <v>#VALUE!</v>
      </c>
      <c r="Z37" t="e">
        <f>AND('Planilla_General_29-11-2012_10_'!J544,"AAAAAHvv7xk=")</f>
        <v>#VALUE!</v>
      </c>
      <c r="AA37" t="e">
        <f>AND('Planilla_General_29-11-2012_10_'!K544,"AAAAAHvv7xo=")</f>
        <v>#VALUE!</v>
      </c>
      <c r="AB37" t="e">
        <f>AND('Planilla_General_29-11-2012_10_'!L544,"AAAAAHvv7xs=")</f>
        <v>#VALUE!</v>
      </c>
      <c r="AC37" t="e">
        <f>AND('Planilla_General_29-11-2012_10_'!M544,"AAAAAHvv7xw=")</f>
        <v>#VALUE!</v>
      </c>
      <c r="AD37" t="e">
        <f>AND('Planilla_General_29-11-2012_10_'!N544,"AAAAAHvv7x0=")</f>
        <v>#VALUE!</v>
      </c>
      <c r="AE37" t="e">
        <f>AND('Planilla_General_29-11-2012_10_'!O544,"AAAAAHvv7x4=")</f>
        <v>#VALUE!</v>
      </c>
      <c r="AF37" t="e">
        <f>AND('Planilla_General_29-11-2012_10_'!P544,"AAAAAHvv7x8=")</f>
        <v>#VALUE!</v>
      </c>
      <c r="AG37">
        <f>IF('Planilla_General_29-11-2012_10_'!545:545,"AAAAAHvv7yA=",0)</f>
        <v>0</v>
      </c>
      <c r="AH37" t="e">
        <f>AND('Planilla_General_29-11-2012_10_'!A545,"AAAAAHvv7yE=")</f>
        <v>#VALUE!</v>
      </c>
      <c r="AI37" t="e">
        <f>AND('Planilla_General_29-11-2012_10_'!B545,"AAAAAHvv7yI=")</f>
        <v>#VALUE!</v>
      </c>
      <c r="AJ37" t="e">
        <f>AND('Planilla_General_29-11-2012_10_'!C545,"AAAAAHvv7yM=")</f>
        <v>#VALUE!</v>
      </c>
      <c r="AK37" t="e">
        <f>AND('Planilla_General_29-11-2012_10_'!D545,"AAAAAHvv7yQ=")</f>
        <v>#VALUE!</v>
      </c>
      <c r="AL37" t="e">
        <f>AND('Planilla_General_29-11-2012_10_'!E545,"AAAAAHvv7yU=")</f>
        <v>#VALUE!</v>
      </c>
      <c r="AM37" t="e">
        <f>AND('Planilla_General_29-11-2012_10_'!F545,"AAAAAHvv7yY=")</f>
        <v>#VALUE!</v>
      </c>
      <c r="AN37" t="e">
        <f>AND('Planilla_General_29-11-2012_10_'!G545,"AAAAAHvv7yc=")</f>
        <v>#VALUE!</v>
      </c>
      <c r="AO37" t="e">
        <f>AND('Planilla_General_29-11-2012_10_'!H545,"AAAAAHvv7yg=")</f>
        <v>#VALUE!</v>
      </c>
      <c r="AP37" t="e">
        <f>AND('Planilla_General_29-11-2012_10_'!I545,"AAAAAHvv7yk=")</f>
        <v>#VALUE!</v>
      </c>
      <c r="AQ37" t="e">
        <f>AND('Planilla_General_29-11-2012_10_'!J545,"AAAAAHvv7yo=")</f>
        <v>#VALUE!</v>
      </c>
      <c r="AR37" t="e">
        <f>AND('Planilla_General_29-11-2012_10_'!K545,"AAAAAHvv7ys=")</f>
        <v>#VALUE!</v>
      </c>
      <c r="AS37" t="e">
        <f>AND('Planilla_General_29-11-2012_10_'!L545,"AAAAAHvv7yw=")</f>
        <v>#VALUE!</v>
      </c>
      <c r="AT37" t="e">
        <f>AND('Planilla_General_29-11-2012_10_'!M545,"AAAAAHvv7y0=")</f>
        <v>#VALUE!</v>
      </c>
      <c r="AU37" t="e">
        <f>AND('Planilla_General_29-11-2012_10_'!N545,"AAAAAHvv7y4=")</f>
        <v>#VALUE!</v>
      </c>
      <c r="AV37" t="e">
        <f>AND('Planilla_General_29-11-2012_10_'!O545,"AAAAAHvv7y8=")</f>
        <v>#VALUE!</v>
      </c>
      <c r="AW37" t="e">
        <f>AND('Planilla_General_29-11-2012_10_'!P545,"AAAAAHvv7zA=")</f>
        <v>#VALUE!</v>
      </c>
      <c r="AX37">
        <f>IF('Planilla_General_29-11-2012_10_'!546:546,"AAAAAHvv7zE=",0)</f>
        <v>0</v>
      </c>
      <c r="AY37" t="e">
        <f>AND('Planilla_General_29-11-2012_10_'!A546,"AAAAAHvv7zI=")</f>
        <v>#VALUE!</v>
      </c>
      <c r="AZ37" t="e">
        <f>AND('Planilla_General_29-11-2012_10_'!B546,"AAAAAHvv7zM=")</f>
        <v>#VALUE!</v>
      </c>
      <c r="BA37" t="e">
        <f>AND('Planilla_General_29-11-2012_10_'!C546,"AAAAAHvv7zQ=")</f>
        <v>#VALUE!</v>
      </c>
      <c r="BB37" t="e">
        <f>AND('Planilla_General_29-11-2012_10_'!D546,"AAAAAHvv7zU=")</f>
        <v>#VALUE!</v>
      </c>
      <c r="BC37" t="e">
        <f>AND('Planilla_General_29-11-2012_10_'!E546,"AAAAAHvv7zY=")</f>
        <v>#VALUE!</v>
      </c>
      <c r="BD37" t="e">
        <f>AND('Planilla_General_29-11-2012_10_'!F546,"AAAAAHvv7zc=")</f>
        <v>#VALUE!</v>
      </c>
      <c r="BE37" t="e">
        <f>AND('Planilla_General_29-11-2012_10_'!G546,"AAAAAHvv7zg=")</f>
        <v>#VALUE!</v>
      </c>
      <c r="BF37" t="e">
        <f>AND('Planilla_General_29-11-2012_10_'!H546,"AAAAAHvv7zk=")</f>
        <v>#VALUE!</v>
      </c>
      <c r="BG37" t="e">
        <f>AND('Planilla_General_29-11-2012_10_'!I546,"AAAAAHvv7zo=")</f>
        <v>#VALUE!</v>
      </c>
      <c r="BH37" t="e">
        <f>AND('Planilla_General_29-11-2012_10_'!J546,"AAAAAHvv7zs=")</f>
        <v>#VALUE!</v>
      </c>
      <c r="BI37" t="e">
        <f>AND('Planilla_General_29-11-2012_10_'!K546,"AAAAAHvv7zw=")</f>
        <v>#VALUE!</v>
      </c>
      <c r="BJ37" t="e">
        <f>AND('Planilla_General_29-11-2012_10_'!L546,"AAAAAHvv7z0=")</f>
        <v>#VALUE!</v>
      </c>
      <c r="BK37" t="e">
        <f>AND('Planilla_General_29-11-2012_10_'!M546,"AAAAAHvv7z4=")</f>
        <v>#VALUE!</v>
      </c>
      <c r="BL37" t="e">
        <f>AND('Planilla_General_29-11-2012_10_'!N546,"AAAAAHvv7z8=")</f>
        <v>#VALUE!</v>
      </c>
      <c r="BM37" t="e">
        <f>AND('Planilla_General_29-11-2012_10_'!O546,"AAAAAHvv70A=")</f>
        <v>#VALUE!</v>
      </c>
      <c r="BN37" t="e">
        <f>AND('Planilla_General_29-11-2012_10_'!P546,"AAAAAHvv70E=")</f>
        <v>#VALUE!</v>
      </c>
      <c r="BO37">
        <f>IF('Planilla_General_29-11-2012_10_'!547:547,"AAAAAHvv70I=",0)</f>
        <v>0</v>
      </c>
      <c r="BP37" t="e">
        <f>AND('Planilla_General_29-11-2012_10_'!A547,"AAAAAHvv70M=")</f>
        <v>#VALUE!</v>
      </c>
      <c r="BQ37" t="e">
        <f>AND('Planilla_General_29-11-2012_10_'!B547,"AAAAAHvv70Q=")</f>
        <v>#VALUE!</v>
      </c>
      <c r="BR37" t="e">
        <f>AND('Planilla_General_29-11-2012_10_'!C547,"AAAAAHvv70U=")</f>
        <v>#VALUE!</v>
      </c>
      <c r="BS37" t="e">
        <f>AND('Planilla_General_29-11-2012_10_'!D547,"AAAAAHvv70Y=")</f>
        <v>#VALUE!</v>
      </c>
      <c r="BT37" t="e">
        <f>AND('Planilla_General_29-11-2012_10_'!E547,"AAAAAHvv70c=")</f>
        <v>#VALUE!</v>
      </c>
      <c r="BU37" t="e">
        <f>AND('Planilla_General_29-11-2012_10_'!F547,"AAAAAHvv70g=")</f>
        <v>#VALUE!</v>
      </c>
      <c r="BV37" t="e">
        <f>AND('Planilla_General_29-11-2012_10_'!G547,"AAAAAHvv70k=")</f>
        <v>#VALUE!</v>
      </c>
      <c r="BW37" t="e">
        <f>AND('Planilla_General_29-11-2012_10_'!H547,"AAAAAHvv70o=")</f>
        <v>#VALUE!</v>
      </c>
      <c r="BX37" t="e">
        <f>AND('Planilla_General_29-11-2012_10_'!I547,"AAAAAHvv70s=")</f>
        <v>#VALUE!</v>
      </c>
      <c r="BY37" t="e">
        <f>AND('Planilla_General_29-11-2012_10_'!J547,"AAAAAHvv70w=")</f>
        <v>#VALUE!</v>
      </c>
      <c r="BZ37" t="e">
        <f>AND('Planilla_General_29-11-2012_10_'!K547,"AAAAAHvv700=")</f>
        <v>#VALUE!</v>
      </c>
      <c r="CA37" t="e">
        <f>AND('Planilla_General_29-11-2012_10_'!L547,"AAAAAHvv704=")</f>
        <v>#VALUE!</v>
      </c>
      <c r="CB37" t="e">
        <f>AND('Planilla_General_29-11-2012_10_'!M547,"AAAAAHvv708=")</f>
        <v>#VALUE!</v>
      </c>
      <c r="CC37" t="e">
        <f>AND('Planilla_General_29-11-2012_10_'!N547,"AAAAAHvv71A=")</f>
        <v>#VALUE!</v>
      </c>
      <c r="CD37" t="e">
        <f>AND('Planilla_General_29-11-2012_10_'!O547,"AAAAAHvv71E=")</f>
        <v>#VALUE!</v>
      </c>
      <c r="CE37" t="e">
        <f>AND('Planilla_General_29-11-2012_10_'!P547,"AAAAAHvv71I=")</f>
        <v>#VALUE!</v>
      </c>
      <c r="CF37">
        <f>IF('Planilla_General_29-11-2012_10_'!548:548,"AAAAAHvv71M=",0)</f>
        <v>0</v>
      </c>
      <c r="CG37" t="e">
        <f>AND('Planilla_General_29-11-2012_10_'!A548,"AAAAAHvv71Q=")</f>
        <v>#VALUE!</v>
      </c>
      <c r="CH37" t="e">
        <f>AND('Planilla_General_29-11-2012_10_'!B548,"AAAAAHvv71U=")</f>
        <v>#VALUE!</v>
      </c>
      <c r="CI37" t="e">
        <f>AND('Planilla_General_29-11-2012_10_'!C548,"AAAAAHvv71Y=")</f>
        <v>#VALUE!</v>
      </c>
      <c r="CJ37" t="e">
        <f>AND('Planilla_General_29-11-2012_10_'!D548,"AAAAAHvv71c=")</f>
        <v>#VALUE!</v>
      </c>
      <c r="CK37" t="e">
        <f>AND('Planilla_General_29-11-2012_10_'!E548,"AAAAAHvv71g=")</f>
        <v>#VALUE!</v>
      </c>
      <c r="CL37" t="e">
        <f>AND('Planilla_General_29-11-2012_10_'!F548,"AAAAAHvv71k=")</f>
        <v>#VALUE!</v>
      </c>
      <c r="CM37" t="e">
        <f>AND('Planilla_General_29-11-2012_10_'!G548,"AAAAAHvv71o=")</f>
        <v>#VALUE!</v>
      </c>
      <c r="CN37" t="e">
        <f>AND('Planilla_General_29-11-2012_10_'!H548,"AAAAAHvv71s=")</f>
        <v>#VALUE!</v>
      </c>
      <c r="CO37" t="e">
        <f>AND('Planilla_General_29-11-2012_10_'!I548,"AAAAAHvv71w=")</f>
        <v>#VALUE!</v>
      </c>
      <c r="CP37" t="e">
        <f>AND('Planilla_General_29-11-2012_10_'!J548,"AAAAAHvv710=")</f>
        <v>#VALUE!</v>
      </c>
      <c r="CQ37" t="e">
        <f>AND('Planilla_General_29-11-2012_10_'!K548,"AAAAAHvv714=")</f>
        <v>#VALUE!</v>
      </c>
      <c r="CR37" t="e">
        <f>AND('Planilla_General_29-11-2012_10_'!L548,"AAAAAHvv718=")</f>
        <v>#VALUE!</v>
      </c>
      <c r="CS37" t="e">
        <f>AND('Planilla_General_29-11-2012_10_'!M548,"AAAAAHvv72A=")</f>
        <v>#VALUE!</v>
      </c>
      <c r="CT37" t="e">
        <f>AND('Planilla_General_29-11-2012_10_'!N548,"AAAAAHvv72E=")</f>
        <v>#VALUE!</v>
      </c>
      <c r="CU37" t="e">
        <f>AND('Planilla_General_29-11-2012_10_'!O548,"AAAAAHvv72I=")</f>
        <v>#VALUE!</v>
      </c>
      <c r="CV37" t="e">
        <f>AND('Planilla_General_29-11-2012_10_'!P548,"AAAAAHvv72M=")</f>
        <v>#VALUE!</v>
      </c>
      <c r="CW37">
        <f>IF('Planilla_General_29-11-2012_10_'!549:549,"AAAAAHvv72Q=",0)</f>
        <v>0</v>
      </c>
      <c r="CX37" t="e">
        <f>AND('Planilla_General_29-11-2012_10_'!A549,"AAAAAHvv72U=")</f>
        <v>#VALUE!</v>
      </c>
      <c r="CY37" t="e">
        <f>AND('Planilla_General_29-11-2012_10_'!B549,"AAAAAHvv72Y=")</f>
        <v>#VALUE!</v>
      </c>
      <c r="CZ37" t="e">
        <f>AND('Planilla_General_29-11-2012_10_'!C549,"AAAAAHvv72c=")</f>
        <v>#VALUE!</v>
      </c>
      <c r="DA37" t="e">
        <f>AND('Planilla_General_29-11-2012_10_'!D549,"AAAAAHvv72g=")</f>
        <v>#VALUE!</v>
      </c>
      <c r="DB37" t="e">
        <f>AND('Planilla_General_29-11-2012_10_'!E549,"AAAAAHvv72k=")</f>
        <v>#VALUE!</v>
      </c>
      <c r="DC37" t="e">
        <f>AND('Planilla_General_29-11-2012_10_'!F549,"AAAAAHvv72o=")</f>
        <v>#VALUE!</v>
      </c>
      <c r="DD37" t="e">
        <f>AND('Planilla_General_29-11-2012_10_'!G549,"AAAAAHvv72s=")</f>
        <v>#VALUE!</v>
      </c>
      <c r="DE37" t="e">
        <f>AND('Planilla_General_29-11-2012_10_'!H549,"AAAAAHvv72w=")</f>
        <v>#VALUE!</v>
      </c>
      <c r="DF37" t="e">
        <f>AND('Planilla_General_29-11-2012_10_'!I549,"AAAAAHvv720=")</f>
        <v>#VALUE!</v>
      </c>
      <c r="DG37" t="e">
        <f>AND('Planilla_General_29-11-2012_10_'!J549,"AAAAAHvv724=")</f>
        <v>#VALUE!</v>
      </c>
      <c r="DH37" t="e">
        <f>AND('Planilla_General_29-11-2012_10_'!K549,"AAAAAHvv728=")</f>
        <v>#VALUE!</v>
      </c>
      <c r="DI37" t="e">
        <f>AND('Planilla_General_29-11-2012_10_'!L549,"AAAAAHvv73A=")</f>
        <v>#VALUE!</v>
      </c>
      <c r="DJ37" t="e">
        <f>AND('Planilla_General_29-11-2012_10_'!M549,"AAAAAHvv73E=")</f>
        <v>#VALUE!</v>
      </c>
      <c r="DK37" t="e">
        <f>AND('Planilla_General_29-11-2012_10_'!N549,"AAAAAHvv73I=")</f>
        <v>#VALUE!</v>
      </c>
      <c r="DL37" t="e">
        <f>AND('Planilla_General_29-11-2012_10_'!O549,"AAAAAHvv73M=")</f>
        <v>#VALUE!</v>
      </c>
      <c r="DM37" t="e">
        <f>AND('Planilla_General_29-11-2012_10_'!P549,"AAAAAHvv73Q=")</f>
        <v>#VALUE!</v>
      </c>
      <c r="DN37">
        <f>IF('Planilla_General_29-11-2012_10_'!550:550,"AAAAAHvv73U=",0)</f>
        <v>0</v>
      </c>
      <c r="DO37" t="e">
        <f>AND('Planilla_General_29-11-2012_10_'!A550,"AAAAAHvv73Y=")</f>
        <v>#VALUE!</v>
      </c>
      <c r="DP37" t="e">
        <f>AND('Planilla_General_29-11-2012_10_'!B550,"AAAAAHvv73c=")</f>
        <v>#VALUE!</v>
      </c>
      <c r="DQ37" t="e">
        <f>AND('Planilla_General_29-11-2012_10_'!C550,"AAAAAHvv73g=")</f>
        <v>#VALUE!</v>
      </c>
      <c r="DR37" t="e">
        <f>AND('Planilla_General_29-11-2012_10_'!D550,"AAAAAHvv73k=")</f>
        <v>#VALUE!</v>
      </c>
      <c r="DS37" t="e">
        <f>AND('Planilla_General_29-11-2012_10_'!E550,"AAAAAHvv73o=")</f>
        <v>#VALUE!</v>
      </c>
      <c r="DT37" t="e">
        <f>AND('Planilla_General_29-11-2012_10_'!F550,"AAAAAHvv73s=")</f>
        <v>#VALUE!</v>
      </c>
      <c r="DU37" t="e">
        <f>AND('Planilla_General_29-11-2012_10_'!G550,"AAAAAHvv73w=")</f>
        <v>#VALUE!</v>
      </c>
      <c r="DV37" t="e">
        <f>AND('Planilla_General_29-11-2012_10_'!H550,"AAAAAHvv730=")</f>
        <v>#VALUE!</v>
      </c>
      <c r="DW37" t="e">
        <f>AND('Planilla_General_29-11-2012_10_'!I550,"AAAAAHvv734=")</f>
        <v>#VALUE!</v>
      </c>
      <c r="DX37" t="e">
        <f>AND('Planilla_General_29-11-2012_10_'!J550,"AAAAAHvv738=")</f>
        <v>#VALUE!</v>
      </c>
      <c r="DY37" t="e">
        <f>AND('Planilla_General_29-11-2012_10_'!K550,"AAAAAHvv74A=")</f>
        <v>#VALUE!</v>
      </c>
      <c r="DZ37" t="e">
        <f>AND('Planilla_General_29-11-2012_10_'!L550,"AAAAAHvv74E=")</f>
        <v>#VALUE!</v>
      </c>
      <c r="EA37" t="e">
        <f>AND('Planilla_General_29-11-2012_10_'!M550,"AAAAAHvv74I=")</f>
        <v>#VALUE!</v>
      </c>
      <c r="EB37" t="e">
        <f>AND('Planilla_General_29-11-2012_10_'!N550,"AAAAAHvv74M=")</f>
        <v>#VALUE!</v>
      </c>
      <c r="EC37" t="e">
        <f>AND('Planilla_General_29-11-2012_10_'!O550,"AAAAAHvv74Q=")</f>
        <v>#VALUE!</v>
      </c>
      <c r="ED37" t="e">
        <f>AND('Planilla_General_29-11-2012_10_'!P550,"AAAAAHvv74U=")</f>
        <v>#VALUE!</v>
      </c>
      <c r="EE37">
        <f>IF('Planilla_General_29-11-2012_10_'!551:551,"AAAAAHvv74Y=",0)</f>
        <v>0</v>
      </c>
      <c r="EF37" t="e">
        <f>AND('Planilla_General_29-11-2012_10_'!A551,"AAAAAHvv74c=")</f>
        <v>#VALUE!</v>
      </c>
      <c r="EG37" t="e">
        <f>AND('Planilla_General_29-11-2012_10_'!B551,"AAAAAHvv74g=")</f>
        <v>#VALUE!</v>
      </c>
      <c r="EH37" t="e">
        <f>AND('Planilla_General_29-11-2012_10_'!C551,"AAAAAHvv74k=")</f>
        <v>#VALUE!</v>
      </c>
      <c r="EI37" t="e">
        <f>AND('Planilla_General_29-11-2012_10_'!D551,"AAAAAHvv74o=")</f>
        <v>#VALUE!</v>
      </c>
      <c r="EJ37" t="e">
        <f>AND('Planilla_General_29-11-2012_10_'!E551,"AAAAAHvv74s=")</f>
        <v>#VALUE!</v>
      </c>
      <c r="EK37" t="e">
        <f>AND('Planilla_General_29-11-2012_10_'!F551,"AAAAAHvv74w=")</f>
        <v>#VALUE!</v>
      </c>
      <c r="EL37" t="e">
        <f>AND('Planilla_General_29-11-2012_10_'!G551,"AAAAAHvv740=")</f>
        <v>#VALUE!</v>
      </c>
      <c r="EM37" t="e">
        <f>AND('Planilla_General_29-11-2012_10_'!H551,"AAAAAHvv744=")</f>
        <v>#VALUE!</v>
      </c>
      <c r="EN37" t="e">
        <f>AND('Planilla_General_29-11-2012_10_'!I551,"AAAAAHvv748=")</f>
        <v>#VALUE!</v>
      </c>
      <c r="EO37" t="e">
        <f>AND('Planilla_General_29-11-2012_10_'!J551,"AAAAAHvv75A=")</f>
        <v>#VALUE!</v>
      </c>
      <c r="EP37" t="e">
        <f>AND('Planilla_General_29-11-2012_10_'!K551,"AAAAAHvv75E=")</f>
        <v>#VALUE!</v>
      </c>
      <c r="EQ37" t="e">
        <f>AND('Planilla_General_29-11-2012_10_'!L551,"AAAAAHvv75I=")</f>
        <v>#VALUE!</v>
      </c>
      <c r="ER37" t="e">
        <f>AND('Planilla_General_29-11-2012_10_'!M551,"AAAAAHvv75M=")</f>
        <v>#VALUE!</v>
      </c>
      <c r="ES37" t="e">
        <f>AND('Planilla_General_29-11-2012_10_'!N551,"AAAAAHvv75Q=")</f>
        <v>#VALUE!</v>
      </c>
      <c r="ET37" t="e">
        <f>AND('Planilla_General_29-11-2012_10_'!O551,"AAAAAHvv75U=")</f>
        <v>#VALUE!</v>
      </c>
      <c r="EU37" t="e">
        <f>AND('Planilla_General_29-11-2012_10_'!P551,"AAAAAHvv75Y=")</f>
        <v>#VALUE!</v>
      </c>
      <c r="EV37">
        <f>IF('Planilla_General_29-11-2012_10_'!552:552,"AAAAAHvv75c=",0)</f>
        <v>0</v>
      </c>
      <c r="EW37" t="e">
        <f>AND('Planilla_General_29-11-2012_10_'!A552,"AAAAAHvv75g=")</f>
        <v>#VALUE!</v>
      </c>
      <c r="EX37" t="e">
        <f>AND('Planilla_General_29-11-2012_10_'!B552,"AAAAAHvv75k=")</f>
        <v>#VALUE!</v>
      </c>
      <c r="EY37" t="e">
        <f>AND('Planilla_General_29-11-2012_10_'!C552,"AAAAAHvv75o=")</f>
        <v>#VALUE!</v>
      </c>
      <c r="EZ37" t="e">
        <f>AND('Planilla_General_29-11-2012_10_'!D552,"AAAAAHvv75s=")</f>
        <v>#VALUE!</v>
      </c>
      <c r="FA37" t="e">
        <f>AND('Planilla_General_29-11-2012_10_'!E552,"AAAAAHvv75w=")</f>
        <v>#VALUE!</v>
      </c>
      <c r="FB37" t="e">
        <f>AND('Planilla_General_29-11-2012_10_'!F552,"AAAAAHvv750=")</f>
        <v>#VALUE!</v>
      </c>
      <c r="FC37" t="e">
        <f>AND('Planilla_General_29-11-2012_10_'!G552,"AAAAAHvv754=")</f>
        <v>#VALUE!</v>
      </c>
      <c r="FD37" t="e">
        <f>AND('Planilla_General_29-11-2012_10_'!H552,"AAAAAHvv758=")</f>
        <v>#VALUE!</v>
      </c>
      <c r="FE37" t="e">
        <f>AND('Planilla_General_29-11-2012_10_'!I552,"AAAAAHvv76A=")</f>
        <v>#VALUE!</v>
      </c>
      <c r="FF37" t="e">
        <f>AND('Planilla_General_29-11-2012_10_'!J552,"AAAAAHvv76E=")</f>
        <v>#VALUE!</v>
      </c>
      <c r="FG37" t="e">
        <f>AND('Planilla_General_29-11-2012_10_'!K552,"AAAAAHvv76I=")</f>
        <v>#VALUE!</v>
      </c>
      <c r="FH37" t="e">
        <f>AND('Planilla_General_29-11-2012_10_'!L552,"AAAAAHvv76M=")</f>
        <v>#VALUE!</v>
      </c>
      <c r="FI37" t="e">
        <f>AND('Planilla_General_29-11-2012_10_'!M552,"AAAAAHvv76Q=")</f>
        <v>#VALUE!</v>
      </c>
      <c r="FJ37" t="e">
        <f>AND('Planilla_General_29-11-2012_10_'!N552,"AAAAAHvv76U=")</f>
        <v>#VALUE!</v>
      </c>
      <c r="FK37" t="e">
        <f>AND('Planilla_General_29-11-2012_10_'!O552,"AAAAAHvv76Y=")</f>
        <v>#VALUE!</v>
      </c>
      <c r="FL37" t="e">
        <f>AND('Planilla_General_29-11-2012_10_'!P552,"AAAAAHvv76c=")</f>
        <v>#VALUE!</v>
      </c>
      <c r="FM37">
        <f>IF('Planilla_General_29-11-2012_10_'!553:553,"AAAAAHvv76g=",0)</f>
        <v>0</v>
      </c>
      <c r="FN37" t="e">
        <f>AND('Planilla_General_29-11-2012_10_'!A553,"AAAAAHvv76k=")</f>
        <v>#VALUE!</v>
      </c>
      <c r="FO37" t="e">
        <f>AND('Planilla_General_29-11-2012_10_'!B553,"AAAAAHvv76o=")</f>
        <v>#VALUE!</v>
      </c>
      <c r="FP37" t="e">
        <f>AND('Planilla_General_29-11-2012_10_'!C553,"AAAAAHvv76s=")</f>
        <v>#VALUE!</v>
      </c>
      <c r="FQ37" t="e">
        <f>AND('Planilla_General_29-11-2012_10_'!D553,"AAAAAHvv76w=")</f>
        <v>#VALUE!</v>
      </c>
      <c r="FR37" t="e">
        <f>AND('Planilla_General_29-11-2012_10_'!E553,"AAAAAHvv760=")</f>
        <v>#VALUE!</v>
      </c>
      <c r="FS37" t="e">
        <f>AND('Planilla_General_29-11-2012_10_'!F553,"AAAAAHvv764=")</f>
        <v>#VALUE!</v>
      </c>
      <c r="FT37" t="e">
        <f>AND('Planilla_General_29-11-2012_10_'!G553,"AAAAAHvv768=")</f>
        <v>#VALUE!</v>
      </c>
      <c r="FU37" t="e">
        <f>AND('Planilla_General_29-11-2012_10_'!H553,"AAAAAHvv77A=")</f>
        <v>#VALUE!</v>
      </c>
      <c r="FV37" t="e">
        <f>AND('Planilla_General_29-11-2012_10_'!I553,"AAAAAHvv77E=")</f>
        <v>#VALUE!</v>
      </c>
      <c r="FW37" t="e">
        <f>AND('Planilla_General_29-11-2012_10_'!J553,"AAAAAHvv77I=")</f>
        <v>#VALUE!</v>
      </c>
      <c r="FX37" t="e">
        <f>AND('Planilla_General_29-11-2012_10_'!K553,"AAAAAHvv77M=")</f>
        <v>#VALUE!</v>
      </c>
      <c r="FY37" t="e">
        <f>AND('Planilla_General_29-11-2012_10_'!L553,"AAAAAHvv77Q=")</f>
        <v>#VALUE!</v>
      </c>
      <c r="FZ37" t="e">
        <f>AND('Planilla_General_29-11-2012_10_'!M553,"AAAAAHvv77U=")</f>
        <v>#VALUE!</v>
      </c>
      <c r="GA37" t="e">
        <f>AND('Planilla_General_29-11-2012_10_'!N553,"AAAAAHvv77Y=")</f>
        <v>#VALUE!</v>
      </c>
      <c r="GB37" t="e">
        <f>AND('Planilla_General_29-11-2012_10_'!O553,"AAAAAHvv77c=")</f>
        <v>#VALUE!</v>
      </c>
      <c r="GC37" t="e">
        <f>AND('Planilla_General_29-11-2012_10_'!P553,"AAAAAHvv77g=")</f>
        <v>#VALUE!</v>
      </c>
      <c r="GD37">
        <f>IF('Planilla_General_29-11-2012_10_'!554:554,"AAAAAHvv77k=",0)</f>
        <v>0</v>
      </c>
      <c r="GE37" t="e">
        <f>AND('Planilla_General_29-11-2012_10_'!A554,"AAAAAHvv77o=")</f>
        <v>#VALUE!</v>
      </c>
      <c r="GF37" t="e">
        <f>AND('Planilla_General_29-11-2012_10_'!B554,"AAAAAHvv77s=")</f>
        <v>#VALUE!</v>
      </c>
      <c r="GG37" t="e">
        <f>AND('Planilla_General_29-11-2012_10_'!C554,"AAAAAHvv77w=")</f>
        <v>#VALUE!</v>
      </c>
      <c r="GH37" t="e">
        <f>AND('Planilla_General_29-11-2012_10_'!D554,"AAAAAHvv770=")</f>
        <v>#VALUE!</v>
      </c>
      <c r="GI37" t="e">
        <f>AND('Planilla_General_29-11-2012_10_'!E554,"AAAAAHvv774=")</f>
        <v>#VALUE!</v>
      </c>
      <c r="GJ37" t="e">
        <f>AND('Planilla_General_29-11-2012_10_'!F554,"AAAAAHvv778=")</f>
        <v>#VALUE!</v>
      </c>
      <c r="GK37" t="e">
        <f>AND('Planilla_General_29-11-2012_10_'!G554,"AAAAAHvv78A=")</f>
        <v>#VALUE!</v>
      </c>
      <c r="GL37" t="e">
        <f>AND('Planilla_General_29-11-2012_10_'!H554,"AAAAAHvv78E=")</f>
        <v>#VALUE!</v>
      </c>
      <c r="GM37" t="e">
        <f>AND('Planilla_General_29-11-2012_10_'!I554,"AAAAAHvv78I=")</f>
        <v>#VALUE!</v>
      </c>
      <c r="GN37" t="e">
        <f>AND('Planilla_General_29-11-2012_10_'!J554,"AAAAAHvv78M=")</f>
        <v>#VALUE!</v>
      </c>
      <c r="GO37" t="e">
        <f>AND('Planilla_General_29-11-2012_10_'!K554,"AAAAAHvv78Q=")</f>
        <v>#VALUE!</v>
      </c>
      <c r="GP37" t="e">
        <f>AND('Planilla_General_29-11-2012_10_'!L554,"AAAAAHvv78U=")</f>
        <v>#VALUE!</v>
      </c>
      <c r="GQ37" t="e">
        <f>AND('Planilla_General_29-11-2012_10_'!M554,"AAAAAHvv78Y=")</f>
        <v>#VALUE!</v>
      </c>
      <c r="GR37" t="e">
        <f>AND('Planilla_General_29-11-2012_10_'!N554,"AAAAAHvv78c=")</f>
        <v>#VALUE!</v>
      </c>
      <c r="GS37" t="e">
        <f>AND('Planilla_General_29-11-2012_10_'!O554,"AAAAAHvv78g=")</f>
        <v>#VALUE!</v>
      </c>
      <c r="GT37" t="e">
        <f>AND('Planilla_General_29-11-2012_10_'!P554,"AAAAAHvv78k=")</f>
        <v>#VALUE!</v>
      </c>
      <c r="GU37">
        <f>IF('Planilla_General_29-11-2012_10_'!555:555,"AAAAAHvv78o=",0)</f>
        <v>0</v>
      </c>
      <c r="GV37" t="e">
        <f>AND('Planilla_General_29-11-2012_10_'!A555,"AAAAAHvv78s=")</f>
        <v>#VALUE!</v>
      </c>
      <c r="GW37" t="e">
        <f>AND('Planilla_General_29-11-2012_10_'!B555,"AAAAAHvv78w=")</f>
        <v>#VALUE!</v>
      </c>
      <c r="GX37" t="e">
        <f>AND('Planilla_General_29-11-2012_10_'!C555,"AAAAAHvv780=")</f>
        <v>#VALUE!</v>
      </c>
      <c r="GY37" t="e">
        <f>AND('Planilla_General_29-11-2012_10_'!D555,"AAAAAHvv784=")</f>
        <v>#VALUE!</v>
      </c>
      <c r="GZ37" t="e">
        <f>AND('Planilla_General_29-11-2012_10_'!E555,"AAAAAHvv788=")</f>
        <v>#VALUE!</v>
      </c>
      <c r="HA37" t="e">
        <f>AND('Planilla_General_29-11-2012_10_'!F555,"AAAAAHvv79A=")</f>
        <v>#VALUE!</v>
      </c>
      <c r="HB37" t="e">
        <f>AND('Planilla_General_29-11-2012_10_'!G555,"AAAAAHvv79E=")</f>
        <v>#VALUE!</v>
      </c>
      <c r="HC37" t="e">
        <f>AND('Planilla_General_29-11-2012_10_'!H555,"AAAAAHvv79I=")</f>
        <v>#VALUE!</v>
      </c>
      <c r="HD37" t="e">
        <f>AND('Planilla_General_29-11-2012_10_'!I555,"AAAAAHvv79M=")</f>
        <v>#VALUE!</v>
      </c>
      <c r="HE37" t="e">
        <f>AND('Planilla_General_29-11-2012_10_'!J555,"AAAAAHvv79Q=")</f>
        <v>#VALUE!</v>
      </c>
      <c r="HF37" t="e">
        <f>AND('Planilla_General_29-11-2012_10_'!K555,"AAAAAHvv79U=")</f>
        <v>#VALUE!</v>
      </c>
      <c r="HG37" t="e">
        <f>AND('Planilla_General_29-11-2012_10_'!L555,"AAAAAHvv79Y=")</f>
        <v>#VALUE!</v>
      </c>
      <c r="HH37" t="e">
        <f>AND('Planilla_General_29-11-2012_10_'!M555,"AAAAAHvv79c=")</f>
        <v>#VALUE!</v>
      </c>
      <c r="HI37" t="e">
        <f>AND('Planilla_General_29-11-2012_10_'!N555,"AAAAAHvv79g=")</f>
        <v>#VALUE!</v>
      </c>
      <c r="HJ37" t="e">
        <f>AND('Planilla_General_29-11-2012_10_'!O555,"AAAAAHvv79k=")</f>
        <v>#VALUE!</v>
      </c>
      <c r="HK37" t="e">
        <f>AND('Planilla_General_29-11-2012_10_'!P555,"AAAAAHvv79o=")</f>
        <v>#VALUE!</v>
      </c>
      <c r="HL37">
        <f>IF('Planilla_General_29-11-2012_10_'!556:556,"AAAAAHvv79s=",0)</f>
        <v>0</v>
      </c>
      <c r="HM37" t="e">
        <f>AND('Planilla_General_29-11-2012_10_'!A556,"AAAAAHvv79w=")</f>
        <v>#VALUE!</v>
      </c>
      <c r="HN37" t="e">
        <f>AND('Planilla_General_29-11-2012_10_'!B556,"AAAAAHvv790=")</f>
        <v>#VALUE!</v>
      </c>
      <c r="HO37" t="e">
        <f>AND('Planilla_General_29-11-2012_10_'!C556,"AAAAAHvv794=")</f>
        <v>#VALUE!</v>
      </c>
      <c r="HP37" t="e">
        <f>AND('Planilla_General_29-11-2012_10_'!D556,"AAAAAHvv798=")</f>
        <v>#VALUE!</v>
      </c>
      <c r="HQ37" t="e">
        <f>AND('Planilla_General_29-11-2012_10_'!E556,"AAAAAHvv7+A=")</f>
        <v>#VALUE!</v>
      </c>
      <c r="HR37" t="e">
        <f>AND('Planilla_General_29-11-2012_10_'!F556,"AAAAAHvv7+E=")</f>
        <v>#VALUE!</v>
      </c>
      <c r="HS37" t="e">
        <f>AND('Planilla_General_29-11-2012_10_'!G556,"AAAAAHvv7+I=")</f>
        <v>#VALUE!</v>
      </c>
      <c r="HT37" t="e">
        <f>AND('Planilla_General_29-11-2012_10_'!H556,"AAAAAHvv7+M=")</f>
        <v>#VALUE!</v>
      </c>
      <c r="HU37" t="e">
        <f>AND('Planilla_General_29-11-2012_10_'!I556,"AAAAAHvv7+Q=")</f>
        <v>#VALUE!</v>
      </c>
      <c r="HV37" t="e">
        <f>AND('Planilla_General_29-11-2012_10_'!J556,"AAAAAHvv7+U=")</f>
        <v>#VALUE!</v>
      </c>
      <c r="HW37" t="e">
        <f>AND('Planilla_General_29-11-2012_10_'!K556,"AAAAAHvv7+Y=")</f>
        <v>#VALUE!</v>
      </c>
      <c r="HX37" t="e">
        <f>AND('Planilla_General_29-11-2012_10_'!L556,"AAAAAHvv7+c=")</f>
        <v>#VALUE!</v>
      </c>
      <c r="HY37" t="e">
        <f>AND('Planilla_General_29-11-2012_10_'!M556,"AAAAAHvv7+g=")</f>
        <v>#VALUE!</v>
      </c>
      <c r="HZ37" t="e">
        <f>AND('Planilla_General_29-11-2012_10_'!N556,"AAAAAHvv7+k=")</f>
        <v>#VALUE!</v>
      </c>
      <c r="IA37" t="e">
        <f>AND('Planilla_General_29-11-2012_10_'!O556,"AAAAAHvv7+o=")</f>
        <v>#VALUE!</v>
      </c>
      <c r="IB37" t="e">
        <f>AND('Planilla_General_29-11-2012_10_'!P556,"AAAAAHvv7+s=")</f>
        <v>#VALUE!</v>
      </c>
      <c r="IC37">
        <f>IF('Planilla_General_29-11-2012_10_'!557:557,"AAAAAHvv7+w=",0)</f>
        <v>0</v>
      </c>
      <c r="ID37" t="e">
        <f>AND('Planilla_General_29-11-2012_10_'!A557,"AAAAAHvv7+0=")</f>
        <v>#VALUE!</v>
      </c>
      <c r="IE37" t="e">
        <f>AND('Planilla_General_29-11-2012_10_'!B557,"AAAAAHvv7+4=")</f>
        <v>#VALUE!</v>
      </c>
      <c r="IF37" t="e">
        <f>AND('Planilla_General_29-11-2012_10_'!C557,"AAAAAHvv7+8=")</f>
        <v>#VALUE!</v>
      </c>
      <c r="IG37" t="e">
        <f>AND('Planilla_General_29-11-2012_10_'!D557,"AAAAAHvv7/A=")</f>
        <v>#VALUE!</v>
      </c>
      <c r="IH37" t="e">
        <f>AND('Planilla_General_29-11-2012_10_'!E557,"AAAAAHvv7/E=")</f>
        <v>#VALUE!</v>
      </c>
      <c r="II37" t="e">
        <f>AND('Planilla_General_29-11-2012_10_'!F557,"AAAAAHvv7/I=")</f>
        <v>#VALUE!</v>
      </c>
      <c r="IJ37" t="e">
        <f>AND('Planilla_General_29-11-2012_10_'!G557,"AAAAAHvv7/M=")</f>
        <v>#VALUE!</v>
      </c>
      <c r="IK37" t="e">
        <f>AND('Planilla_General_29-11-2012_10_'!H557,"AAAAAHvv7/Q=")</f>
        <v>#VALUE!</v>
      </c>
      <c r="IL37" t="e">
        <f>AND('Planilla_General_29-11-2012_10_'!I557,"AAAAAHvv7/U=")</f>
        <v>#VALUE!</v>
      </c>
      <c r="IM37" t="e">
        <f>AND('Planilla_General_29-11-2012_10_'!J557,"AAAAAHvv7/Y=")</f>
        <v>#VALUE!</v>
      </c>
      <c r="IN37" t="e">
        <f>AND('Planilla_General_29-11-2012_10_'!K557,"AAAAAHvv7/c=")</f>
        <v>#VALUE!</v>
      </c>
      <c r="IO37" t="e">
        <f>AND('Planilla_General_29-11-2012_10_'!L557,"AAAAAHvv7/g=")</f>
        <v>#VALUE!</v>
      </c>
      <c r="IP37" t="e">
        <f>AND('Planilla_General_29-11-2012_10_'!M557,"AAAAAHvv7/k=")</f>
        <v>#VALUE!</v>
      </c>
      <c r="IQ37" t="e">
        <f>AND('Planilla_General_29-11-2012_10_'!N557,"AAAAAHvv7/o=")</f>
        <v>#VALUE!</v>
      </c>
      <c r="IR37" t="e">
        <f>AND('Planilla_General_29-11-2012_10_'!O557,"AAAAAHvv7/s=")</f>
        <v>#VALUE!</v>
      </c>
      <c r="IS37" t="e">
        <f>AND('Planilla_General_29-11-2012_10_'!P557,"AAAAAHvv7/w=")</f>
        <v>#VALUE!</v>
      </c>
      <c r="IT37">
        <f>IF('Planilla_General_29-11-2012_10_'!558:558,"AAAAAHvv7/0=",0)</f>
        <v>0</v>
      </c>
      <c r="IU37" t="e">
        <f>AND('Planilla_General_29-11-2012_10_'!A558,"AAAAAHvv7/4=")</f>
        <v>#VALUE!</v>
      </c>
      <c r="IV37" t="e">
        <f>AND('Planilla_General_29-11-2012_10_'!B558,"AAAAAHvv7/8=")</f>
        <v>#VALUE!</v>
      </c>
    </row>
    <row r="38" spans="1:256" x14ac:dyDescent="0.25">
      <c r="A38" t="e">
        <f>AND('Planilla_General_29-11-2012_10_'!C558,"AAAAADf3cwA=")</f>
        <v>#VALUE!</v>
      </c>
      <c r="B38" t="e">
        <f>AND('Planilla_General_29-11-2012_10_'!D558,"AAAAADf3cwE=")</f>
        <v>#VALUE!</v>
      </c>
      <c r="C38" t="e">
        <f>AND('Planilla_General_29-11-2012_10_'!E558,"AAAAADf3cwI=")</f>
        <v>#VALUE!</v>
      </c>
      <c r="D38" t="e">
        <f>AND('Planilla_General_29-11-2012_10_'!F558,"AAAAADf3cwM=")</f>
        <v>#VALUE!</v>
      </c>
      <c r="E38" t="e">
        <f>AND('Planilla_General_29-11-2012_10_'!G558,"AAAAADf3cwQ=")</f>
        <v>#VALUE!</v>
      </c>
      <c r="F38" t="e">
        <f>AND('Planilla_General_29-11-2012_10_'!H558,"AAAAADf3cwU=")</f>
        <v>#VALUE!</v>
      </c>
      <c r="G38" t="e">
        <f>AND('Planilla_General_29-11-2012_10_'!I558,"AAAAADf3cwY=")</f>
        <v>#VALUE!</v>
      </c>
      <c r="H38" t="e">
        <f>AND('Planilla_General_29-11-2012_10_'!J558,"AAAAADf3cwc=")</f>
        <v>#VALUE!</v>
      </c>
      <c r="I38" t="e">
        <f>AND('Planilla_General_29-11-2012_10_'!K558,"AAAAADf3cwg=")</f>
        <v>#VALUE!</v>
      </c>
      <c r="J38" t="e">
        <f>AND('Planilla_General_29-11-2012_10_'!L558,"AAAAADf3cwk=")</f>
        <v>#VALUE!</v>
      </c>
      <c r="K38" t="e">
        <f>AND('Planilla_General_29-11-2012_10_'!M558,"AAAAADf3cwo=")</f>
        <v>#VALUE!</v>
      </c>
      <c r="L38" t="e">
        <f>AND('Planilla_General_29-11-2012_10_'!N558,"AAAAADf3cws=")</f>
        <v>#VALUE!</v>
      </c>
      <c r="M38" t="e">
        <f>AND('Planilla_General_29-11-2012_10_'!O558,"AAAAADf3cww=")</f>
        <v>#VALUE!</v>
      </c>
      <c r="N38" t="e">
        <f>AND('Planilla_General_29-11-2012_10_'!P558,"AAAAADf3cw0=")</f>
        <v>#VALUE!</v>
      </c>
      <c r="O38" t="str">
        <f>IF('Planilla_General_29-11-2012_10_'!559:559,"AAAAADf3cw4=",0)</f>
        <v>AAAAADf3cw4=</v>
      </c>
      <c r="P38" t="e">
        <f>AND('Planilla_General_29-11-2012_10_'!A559,"AAAAADf3cw8=")</f>
        <v>#VALUE!</v>
      </c>
      <c r="Q38" t="e">
        <f>AND('Planilla_General_29-11-2012_10_'!B559,"AAAAADf3cxA=")</f>
        <v>#VALUE!</v>
      </c>
      <c r="R38" t="e">
        <f>AND('Planilla_General_29-11-2012_10_'!C559,"AAAAADf3cxE=")</f>
        <v>#VALUE!</v>
      </c>
      <c r="S38" t="e">
        <f>AND('Planilla_General_29-11-2012_10_'!D559,"AAAAADf3cxI=")</f>
        <v>#VALUE!</v>
      </c>
      <c r="T38" t="e">
        <f>AND('Planilla_General_29-11-2012_10_'!E559,"AAAAADf3cxM=")</f>
        <v>#VALUE!</v>
      </c>
      <c r="U38" t="e">
        <f>AND('Planilla_General_29-11-2012_10_'!F559,"AAAAADf3cxQ=")</f>
        <v>#VALUE!</v>
      </c>
      <c r="V38" t="e">
        <f>AND('Planilla_General_29-11-2012_10_'!G559,"AAAAADf3cxU=")</f>
        <v>#VALUE!</v>
      </c>
      <c r="W38" t="e">
        <f>AND('Planilla_General_29-11-2012_10_'!H559,"AAAAADf3cxY=")</f>
        <v>#VALUE!</v>
      </c>
      <c r="X38" t="e">
        <f>AND('Planilla_General_29-11-2012_10_'!I559,"AAAAADf3cxc=")</f>
        <v>#VALUE!</v>
      </c>
      <c r="Y38" t="e">
        <f>AND('Planilla_General_29-11-2012_10_'!J559,"AAAAADf3cxg=")</f>
        <v>#VALUE!</v>
      </c>
      <c r="Z38" t="e">
        <f>AND('Planilla_General_29-11-2012_10_'!K559,"AAAAADf3cxk=")</f>
        <v>#VALUE!</v>
      </c>
      <c r="AA38" t="e">
        <f>AND('Planilla_General_29-11-2012_10_'!L559,"AAAAADf3cxo=")</f>
        <v>#VALUE!</v>
      </c>
      <c r="AB38" t="e">
        <f>AND('Planilla_General_29-11-2012_10_'!M559,"AAAAADf3cxs=")</f>
        <v>#VALUE!</v>
      </c>
      <c r="AC38" t="e">
        <f>AND('Planilla_General_29-11-2012_10_'!N559,"AAAAADf3cxw=")</f>
        <v>#VALUE!</v>
      </c>
      <c r="AD38" t="e">
        <f>AND('Planilla_General_29-11-2012_10_'!O559,"AAAAADf3cx0=")</f>
        <v>#VALUE!</v>
      </c>
      <c r="AE38" t="e">
        <f>AND('Planilla_General_29-11-2012_10_'!P559,"AAAAADf3cx4=")</f>
        <v>#VALUE!</v>
      </c>
      <c r="AF38">
        <f>IF('Planilla_General_29-11-2012_10_'!560:560,"AAAAADf3cx8=",0)</f>
        <v>0</v>
      </c>
      <c r="AG38" t="e">
        <f>AND('Planilla_General_29-11-2012_10_'!A560,"AAAAADf3cyA=")</f>
        <v>#VALUE!</v>
      </c>
      <c r="AH38" t="e">
        <f>AND('Planilla_General_29-11-2012_10_'!B560,"AAAAADf3cyE=")</f>
        <v>#VALUE!</v>
      </c>
      <c r="AI38" t="e">
        <f>AND('Planilla_General_29-11-2012_10_'!C560,"AAAAADf3cyI=")</f>
        <v>#VALUE!</v>
      </c>
      <c r="AJ38" t="e">
        <f>AND('Planilla_General_29-11-2012_10_'!D560,"AAAAADf3cyM=")</f>
        <v>#VALUE!</v>
      </c>
      <c r="AK38" t="e">
        <f>AND('Planilla_General_29-11-2012_10_'!E560,"AAAAADf3cyQ=")</f>
        <v>#VALUE!</v>
      </c>
      <c r="AL38" t="e">
        <f>AND('Planilla_General_29-11-2012_10_'!F560,"AAAAADf3cyU=")</f>
        <v>#VALUE!</v>
      </c>
      <c r="AM38" t="e">
        <f>AND('Planilla_General_29-11-2012_10_'!G560,"AAAAADf3cyY=")</f>
        <v>#VALUE!</v>
      </c>
      <c r="AN38" t="e">
        <f>AND('Planilla_General_29-11-2012_10_'!H560,"AAAAADf3cyc=")</f>
        <v>#VALUE!</v>
      </c>
      <c r="AO38" t="e">
        <f>AND('Planilla_General_29-11-2012_10_'!I560,"AAAAADf3cyg=")</f>
        <v>#VALUE!</v>
      </c>
      <c r="AP38" t="e">
        <f>AND('Planilla_General_29-11-2012_10_'!J560,"AAAAADf3cyk=")</f>
        <v>#VALUE!</v>
      </c>
      <c r="AQ38" t="e">
        <f>AND('Planilla_General_29-11-2012_10_'!K560,"AAAAADf3cyo=")</f>
        <v>#VALUE!</v>
      </c>
      <c r="AR38" t="e">
        <f>AND('Planilla_General_29-11-2012_10_'!L560,"AAAAADf3cys=")</f>
        <v>#VALUE!</v>
      </c>
      <c r="AS38" t="e">
        <f>AND('Planilla_General_29-11-2012_10_'!M560,"AAAAADf3cyw=")</f>
        <v>#VALUE!</v>
      </c>
      <c r="AT38" t="e">
        <f>AND('Planilla_General_29-11-2012_10_'!N560,"AAAAADf3cy0=")</f>
        <v>#VALUE!</v>
      </c>
      <c r="AU38" t="e">
        <f>AND('Planilla_General_29-11-2012_10_'!O560,"AAAAADf3cy4=")</f>
        <v>#VALUE!</v>
      </c>
      <c r="AV38" t="e">
        <f>AND('Planilla_General_29-11-2012_10_'!P560,"AAAAADf3cy8=")</f>
        <v>#VALUE!</v>
      </c>
      <c r="AW38">
        <f>IF('Planilla_General_29-11-2012_10_'!561:561,"AAAAADf3czA=",0)</f>
        <v>0</v>
      </c>
      <c r="AX38" t="e">
        <f>AND('Planilla_General_29-11-2012_10_'!A561,"AAAAADf3czE=")</f>
        <v>#VALUE!</v>
      </c>
      <c r="AY38" t="e">
        <f>AND('Planilla_General_29-11-2012_10_'!B561,"AAAAADf3czI=")</f>
        <v>#VALUE!</v>
      </c>
      <c r="AZ38" t="e">
        <f>AND('Planilla_General_29-11-2012_10_'!C561,"AAAAADf3czM=")</f>
        <v>#VALUE!</v>
      </c>
      <c r="BA38" t="e">
        <f>AND('Planilla_General_29-11-2012_10_'!D561,"AAAAADf3czQ=")</f>
        <v>#VALUE!</v>
      </c>
      <c r="BB38" t="e">
        <f>AND('Planilla_General_29-11-2012_10_'!E561,"AAAAADf3czU=")</f>
        <v>#VALUE!</v>
      </c>
      <c r="BC38" t="e">
        <f>AND('Planilla_General_29-11-2012_10_'!F561,"AAAAADf3czY=")</f>
        <v>#VALUE!</v>
      </c>
      <c r="BD38" t="e">
        <f>AND('Planilla_General_29-11-2012_10_'!G561,"AAAAADf3czc=")</f>
        <v>#VALUE!</v>
      </c>
      <c r="BE38" t="e">
        <f>AND('Planilla_General_29-11-2012_10_'!H561,"AAAAADf3czg=")</f>
        <v>#VALUE!</v>
      </c>
      <c r="BF38" t="e">
        <f>AND('Planilla_General_29-11-2012_10_'!I561,"AAAAADf3czk=")</f>
        <v>#VALUE!</v>
      </c>
      <c r="BG38" t="e">
        <f>AND('Planilla_General_29-11-2012_10_'!J561,"AAAAADf3czo=")</f>
        <v>#VALUE!</v>
      </c>
      <c r="BH38" t="e">
        <f>AND('Planilla_General_29-11-2012_10_'!K561,"AAAAADf3czs=")</f>
        <v>#VALUE!</v>
      </c>
      <c r="BI38" t="e">
        <f>AND('Planilla_General_29-11-2012_10_'!L561,"AAAAADf3czw=")</f>
        <v>#VALUE!</v>
      </c>
      <c r="BJ38" t="e">
        <f>AND('Planilla_General_29-11-2012_10_'!M561,"AAAAADf3cz0=")</f>
        <v>#VALUE!</v>
      </c>
      <c r="BK38" t="e">
        <f>AND('Planilla_General_29-11-2012_10_'!N561,"AAAAADf3cz4=")</f>
        <v>#VALUE!</v>
      </c>
      <c r="BL38" t="e">
        <f>AND('Planilla_General_29-11-2012_10_'!O561,"AAAAADf3cz8=")</f>
        <v>#VALUE!</v>
      </c>
      <c r="BM38" t="e">
        <f>AND('Planilla_General_29-11-2012_10_'!P561,"AAAAADf3c0A=")</f>
        <v>#VALUE!</v>
      </c>
      <c r="BN38">
        <f>IF('Planilla_General_29-11-2012_10_'!562:562,"AAAAADf3c0E=",0)</f>
        <v>0</v>
      </c>
      <c r="BO38" t="e">
        <f>AND('Planilla_General_29-11-2012_10_'!A562,"AAAAADf3c0I=")</f>
        <v>#VALUE!</v>
      </c>
      <c r="BP38" t="e">
        <f>AND('Planilla_General_29-11-2012_10_'!B562,"AAAAADf3c0M=")</f>
        <v>#VALUE!</v>
      </c>
      <c r="BQ38" t="e">
        <f>AND('Planilla_General_29-11-2012_10_'!C562,"AAAAADf3c0Q=")</f>
        <v>#VALUE!</v>
      </c>
      <c r="BR38" t="e">
        <f>AND('Planilla_General_29-11-2012_10_'!D562,"AAAAADf3c0U=")</f>
        <v>#VALUE!</v>
      </c>
      <c r="BS38" t="e">
        <f>AND('Planilla_General_29-11-2012_10_'!E562,"AAAAADf3c0Y=")</f>
        <v>#VALUE!</v>
      </c>
      <c r="BT38" t="e">
        <f>AND('Planilla_General_29-11-2012_10_'!F562,"AAAAADf3c0c=")</f>
        <v>#VALUE!</v>
      </c>
      <c r="BU38" t="e">
        <f>AND('Planilla_General_29-11-2012_10_'!G562,"AAAAADf3c0g=")</f>
        <v>#VALUE!</v>
      </c>
      <c r="BV38" t="e">
        <f>AND('Planilla_General_29-11-2012_10_'!H562,"AAAAADf3c0k=")</f>
        <v>#VALUE!</v>
      </c>
      <c r="BW38" t="e">
        <f>AND('Planilla_General_29-11-2012_10_'!I562,"AAAAADf3c0o=")</f>
        <v>#VALUE!</v>
      </c>
      <c r="BX38" t="e">
        <f>AND('Planilla_General_29-11-2012_10_'!J562,"AAAAADf3c0s=")</f>
        <v>#VALUE!</v>
      </c>
      <c r="BY38" t="e">
        <f>AND('Planilla_General_29-11-2012_10_'!K562,"AAAAADf3c0w=")</f>
        <v>#VALUE!</v>
      </c>
      <c r="BZ38" t="e">
        <f>AND('Planilla_General_29-11-2012_10_'!L562,"AAAAADf3c00=")</f>
        <v>#VALUE!</v>
      </c>
      <c r="CA38" t="e">
        <f>AND('Planilla_General_29-11-2012_10_'!M562,"AAAAADf3c04=")</f>
        <v>#VALUE!</v>
      </c>
      <c r="CB38" t="e">
        <f>AND('Planilla_General_29-11-2012_10_'!N562,"AAAAADf3c08=")</f>
        <v>#VALUE!</v>
      </c>
      <c r="CC38" t="e">
        <f>AND('Planilla_General_29-11-2012_10_'!O562,"AAAAADf3c1A=")</f>
        <v>#VALUE!</v>
      </c>
      <c r="CD38" t="e">
        <f>AND('Planilla_General_29-11-2012_10_'!P562,"AAAAADf3c1E=")</f>
        <v>#VALUE!</v>
      </c>
      <c r="CE38">
        <f>IF('Planilla_General_29-11-2012_10_'!563:563,"AAAAADf3c1I=",0)</f>
        <v>0</v>
      </c>
      <c r="CF38" t="e">
        <f>AND('Planilla_General_29-11-2012_10_'!A563,"AAAAADf3c1M=")</f>
        <v>#VALUE!</v>
      </c>
      <c r="CG38" t="e">
        <f>AND('Planilla_General_29-11-2012_10_'!B563,"AAAAADf3c1Q=")</f>
        <v>#VALUE!</v>
      </c>
      <c r="CH38" t="e">
        <f>AND('Planilla_General_29-11-2012_10_'!C563,"AAAAADf3c1U=")</f>
        <v>#VALUE!</v>
      </c>
      <c r="CI38" t="e">
        <f>AND('Planilla_General_29-11-2012_10_'!D563,"AAAAADf3c1Y=")</f>
        <v>#VALUE!</v>
      </c>
      <c r="CJ38" t="e">
        <f>AND('Planilla_General_29-11-2012_10_'!E563,"AAAAADf3c1c=")</f>
        <v>#VALUE!</v>
      </c>
      <c r="CK38" t="e">
        <f>AND('Planilla_General_29-11-2012_10_'!F563,"AAAAADf3c1g=")</f>
        <v>#VALUE!</v>
      </c>
      <c r="CL38" t="e">
        <f>AND('Planilla_General_29-11-2012_10_'!G563,"AAAAADf3c1k=")</f>
        <v>#VALUE!</v>
      </c>
      <c r="CM38" t="e">
        <f>AND('Planilla_General_29-11-2012_10_'!H563,"AAAAADf3c1o=")</f>
        <v>#VALUE!</v>
      </c>
      <c r="CN38" t="e">
        <f>AND('Planilla_General_29-11-2012_10_'!I563,"AAAAADf3c1s=")</f>
        <v>#VALUE!</v>
      </c>
      <c r="CO38" t="e">
        <f>AND('Planilla_General_29-11-2012_10_'!J563,"AAAAADf3c1w=")</f>
        <v>#VALUE!</v>
      </c>
      <c r="CP38" t="e">
        <f>AND('Planilla_General_29-11-2012_10_'!K563,"AAAAADf3c10=")</f>
        <v>#VALUE!</v>
      </c>
      <c r="CQ38" t="e">
        <f>AND('Planilla_General_29-11-2012_10_'!L563,"AAAAADf3c14=")</f>
        <v>#VALUE!</v>
      </c>
      <c r="CR38" t="e">
        <f>AND('Planilla_General_29-11-2012_10_'!M563,"AAAAADf3c18=")</f>
        <v>#VALUE!</v>
      </c>
      <c r="CS38" t="e">
        <f>AND('Planilla_General_29-11-2012_10_'!N563,"AAAAADf3c2A=")</f>
        <v>#VALUE!</v>
      </c>
      <c r="CT38" t="e">
        <f>AND('Planilla_General_29-11-2012_10_'!O563,"AAAAADf3c2E=")</f>
        <v>#VALUE!</v>
      </c>
      <c r="CU38" t="e">
        <f>AND('Planilla_General_29-11-2012_10_'!P563,"AAAAADf3c2I=")</f>
        <v>#VALUE!</v>
      </c>
      <c r="CV38">
        <f>IF('Planilla_General_29-11-2012_10_'!564:564,"AAAAADf3c2M=",0)</f>
        <v>0</v>
      </c>
      <c r="CW38" t="e">
        <f>AND('Planilla_General_29-11-2012_10_'!A564,"AAAAADf3c2Q=")</f>
        <v>#VALUE!</v>
      </c>
      <c r="CX38" t="e">
        <f>AND('Planilla_General_29-11-2012_10_'!B564,"AAAAADf3c2U=")</f>
        <v>#VALUE!</v>
      </c>
      <c r="CY38" t="e">
        <f>AND('Planilla_General_29-11-2012_10_'!C564,"AAAAADf3c2Y=")</f>
        <v>#VALUE!</v>
      </c>
      <c r="CZ38" t="e">
        <f>AND('Planilla_General_29-11-2012_10_'!D564,"AAAAADf3c2c=")</f>
        <v>#VALUE!</v>
      </c>
      <c r="DA38" t="e">
        <f>AND('Planilla_General_29-11-2012_10_'!E564,"AAAAADf3c2g=")</f>
        <v>#VALUE!</v>
      </c>
      <c r="DB38" t="e">
        <f>AND('Planilla_General_29-11-2012_10_'!F564,"AAAAADf3c2k=")</f>
        <v>#VALUE!</v>
      </c>
      <c r="DC38" t="e">
        <f>AND('Planilla_General_29-11-2012_10_'!G564,"AAAAADf3c2o=")</f>
        <v>#VALUE!</v>
      </c>
      <c r="DD38" t="e">
        <f>AND('Planilla_General_29-11-2012_10_'!H564,"AAAAADf3c2s=")</f>
        <v>#VALUE!</v>
      </c>
      <c r="DE38" t="e">
        <f>AND('Planilla_General_29-11-2012_10_'!I564,"AAAAADf3c2w=")</f>
        <v>#VALUE!</v>
      </c>
      <c r="DF38" t="e">
        <f>AND('Planilla_General_29-11-2012_10_'!J564,"AAAAADf3c20=")</f>
        <v>#VALUE!</v>
      </c>
      <c r="DG38" t="e">
        <f>AND('Planilla_General_29-11-2012_10_'!K564,"AAAAADf3c24=")</f>
        <v>#VALUE!</v>
      </c>
      <c r="DH38" t="e">
        <f>AND('Planilla_General_29-11-2012_10_'!L564,"AAAAADf3c28=")</f>
        <v>#VALUE!</v>
      </c>
      <c r="DI38" t="e">
        <f>AND('Planilla_General_29-11-2012_10_'!M564,"AAAAADf3c3A=")</f>
        <v>#VALUE!</v>
      </c>
      <c r="DJ38" t="e">
        <f>AND('Planilla_General_29-11-2012_10_'!N564,"AAAAADf3c3E=")</f>
        <v>#VALUE!</v>
      </c>
      <c r="DK38" t="e">
        <f>AND('Planilla_General_29-11-2012_10_'!O564,"AAAAADf3c3I=")</f>
        <v>#VALUE!</v>
      </c>
      <c r="DL38" t="e">
        <f>AND('Planilla_General_29-11-2012_10_'!P564,"AAAAADf3c3M=")</f>
        <v>#VALUE!</v>
      </c>
      <c r="DM38">
        <f>IF('Planilla_General_29-11-2012_10_'!565:565,"AAAAADf3c3Q=",0)</f>
        <v>0</v>
      </c>
      <c r="DN38" t="e">
        <f>AND('Planilla_General_29-11-2012_10_'!A565,"AAAAADf3c3U=")</f>
        <v>#VALUE!</v>
      </c>
      <c r="DO38" t="e">
        <f>AND('Planilla_General_29-11-2012_10_'!B565,"AAAAADf3c3Y=")</f>
        <v>#VALUE!</v>
      </c>
      <c r="DP38" t="e">
        <f>AND('Planilla_General_29-11-2012_10_'!C565,"AAAAADf3c3c=")</f>
        <v>#VALUE!</v>
      </c>
      <c r="DQ38" t="e">
        <f>AND('Planilla_General_29-11-2012_10_'!D565,"AAAAADf3c3g=")</f>
        <v>#VALUE!</v>
      </c>
      <c r="DR38" t="e">
        <f>AND('Planilla_General_29-11-2012_10_'!E565,"AAAAADf3c3k=")</f>
        <v>#VALUE!</v>
      </c>
      <c r="DS38" t="e">
        <f>AND('Planilla_General_29-11-2012_10_'!F565,"AAAAADf3c3o=")</f>
        <v>#VALUE!</v>
      </c>
      <c r="DT38" t="e">
        <f>AND('Planilla_General_29-11-2012_10_'!G565,"AAAAADf3c3s=")</f>
        <v>#VALUE!</v>
      </c>
      <c r="DU38" t="e">
        <f>AND('Planilla_General_29-11-2012_10_'!H565,"AAAAADf3c3w=")</f>
        <v>#VALUE!</v>
      </c>
      <c r="DV38" t="e">
        <f>AND('Planilla_General_29-11-2012_10_'!I565,"AAAAADf3c30=")</f>
        <v>#VALUE!</v>
      </c>
      <c r="DW38" t="e">
        <f>AND('Planilla_General_29-11-2012_10_'!J565,"AAAAADf3c34=")</f>
        <v>#VALUE!</v>
      </c>
      <c r="DX38" t="e">
        <f>AND('Planilla_General_29-11-2012_10_'!K565,"AAAAADf3c38=")</f>
        <v>#VALUE!</v>
      </c>
      <c r="DY38" t="e">
        <f>AND('Planilla_General_29-11-2012_10_'!L565,"AAAAADf3c4A=")</f>
        <v>#VALUE!</v>
      </c>
      <c r="DZ38" t="e">
        <f>AND('Planilla_General_29-11-2012_10_'!M565,"AAAAADf3c4E=")</f>
        <v>#VALUE!</v>
      </c>
      <c r="EA38" t="e">
        <f>AND('Planilla_General_29-11-2012_10_'!N565,"AAAAADf3c4I=")</f>
        <v>#VALUE!</v>
      </c>
      <c r="EB38" t="e">
        <f>AND('Planilla_General_29-11-2012_10_'!O565,"AAAAADf3c4M=")</f>
        <v>#VALUE!</v>
      </c>
      <c r="EC38" t="e">
        <f>AND('Planilla_General_29-11-2012_10_'!P565,"AAAAADf3c4Q=")</f>
        <v>#VALUE!</v>
      </c>
      <c r="ED38">
        <f>IF('Planilla_General_29-11-2012_10_'!566:566,"AAAAADf3c4U=",0)</f>
        <v>0</v>
      </c>
      <c r="EE38" t="e">
        <f>AND('Planilla_General_29-11-2012_10_'!A566,"AAAAADf3c4Y=")</f>
        <v>#VALUE!</v>
      </c>
      <c r="EF38" t="e">
        <f>AND('Planilla_General_29-11-2012_10_'!B566,"AAAAADf3c4c=")</f>
        <v>#VALUE!</v>
      </c>
      <c r="EG38" t="e">
        <f>AND('Planilla_General_29-11-2012_10_'!C566,"AAAAADf3c4g=")</f>
        <v>#VALUE!</v>
      </c>
      <c r="EH38" t="e">
        <f>AND('Planilla_General_29-11-2012_10_'!D566,"AAAAADf3c4k=")</f>
        <v>#VALUE!</v>
      </c>
      <c r="EI38" t="e">
        <f>AND('Planilla_General_29-11-2012_10_'!E566,"AAAAADf3c4o=")</f>
        <v>#VALUE!</v>
      </c>
      <c r="EJ38" t="e">
        <f>AND('Planilla_General_29-11-2012_10_'!F566,"AAAAADf3c4s=")</f>
        <v>#VALUE!</v>
      </c>
      <c r="EK38" t="e">
        <f>AND('Planilla_General_29-11-2012_10_'!G566,"AAAAADf3c4w=")</f>
        <v>#VALUE!</v>
      </c>
      <c r="EL38" t="e">
        <f>AND('Planilla_General_29-11-2012_10_'!H566,"AAAAADf3c40=")</f>
        <v>#VALUE!</v>
      </c>
      <c r="EM38" t="e">
        <f>AND('Planilla_General_29-11-2012_10_'!I566,"AAAAADf3c44=")</f>
        <v>#VALUE!</v>
      </c>
      <c r="EN38" t="e">
        <f>AND('Planilla_General_29-11-2012_10_'!J566,"AAAAADf3c48=")</f>
        <v>#VALUE!</v>
      </c>
      <c r="EO38" t="e">
        <f>AND('Planilla_General_29-11-2012_10_'!K566,"AAAAADf3c5A=")</f>
        <v>#VALUE!</v>
      </c>
      <c r="EP38" t="e">
        <f>AND('Planilla_General_29-11-2012_10_'!L566,"AAAAADf3c5E=")</f>
        <v>#VALUE!</v>
      </c>
      <c r="EQ38" t="e">
        <f>AND('Planilla_General_29-11-2012_10_'!M566,"AAAAADf3c5I=")</f>
        <v>#VALUE!</v>
      </c>
      <c r="ER38" t="e">
        <f>AND('Planilla_General_29-11-2012_10_'!N566,"AAAAADf3c5M=")</f>
        <v>#VALUE!</v>
      </c>
      <c r="ES38" t="e">
        <f>AND('Planilla_General_29-11-2012_10_'!O566,"AAAAADf3c5Q=")</f>
        <v>#VALUE!</v>
      </c>
      <c r="ET38" t="e">
        <f>AND('Planilla_General_29-11-2012_10_'!P566,"AAAAADf3c5U=")</f>
        <v>#VALUE!</v>
      </c>
      <c r="EU38">
        <f>IF('Planilla_General_29-11-2012_10_'!567:567,"AAAAADf3c5Y=",0)</f>
        <v>0</v>
      </c>
      <c r="EV38" t="e">
        <f>AND('Planilla_General_29-11-2012_10_'!A567,"AAAAADf3c5c=")</f>
        <v>#VALUE!</v>
      </c>
      <c r="EW38" t="e">
        <f>AND('Planilla_General_29-11-2012_10_'!B567,"AAAAADf3c5g=")</f>
        <v>#VALUE!</v>
      </c>
      <c r="EX38" t="e">
        <f>AND('Planilla_General_29-11-2012_10_'!C567,"AAAAADf3c5k=")</f>
        <v>#VALUE!</v>
      </c>
      <c r="EY38" t="e">
        <f>AND('Planilla_General_29-11-2012_10_'!D567,"AAAAADf3c5o=")</f>
        <v>#VALUE!</v>
      </c>
      <c r="EZ38" t="e">
        <f>AND('Planilla_General_29-11-2012_10_'!E567,"AAAAADf3c5s=")</f>
        <v>#VALUE!</v>
      </c>
      <c r="FA38" t="e">
        <f>AND('Planilla_General_29-11-2012_10_'!F567,"AAAAADf3c5w=")</f>
        <v>#VALUE!</v>
      </c>
      <c r="FB38" t="e">
        <f>AND('Planilla_General_29-11-2012_10_'!G567,"AAAAADf3c50=")</f>
        <v>#VALUE!</v>
      </c>
      <c r="FC38" t="e">
        <f>AND('Planilla_General_29-11-2012_10_'!H567,"AAAAADf3c54=")</f>
        <v>#VALUE!</v>
      </c>
      <c r="FD38" t="e">
        <f>AND('Planilla_General_29-11-2012_10_'!I567,"AAAAADf3c58=")</f>
        <v>#VALUE!</v>
      </c>
      <c r="FE38" t="e">
        <f>AND('Planilla_General_29-11-2012_10_'!J567,"AAAAADf3c6A=")</f>
        <v>#VALUE!</v>
      </c>
      <c r="FF38" t="e">
        <f>AND('Planilla_General_29-11-2012_10_'!K567,"AAAAADf3c6E=")</f>
        <v>#VALUE!</v>
      </c>
      <c r="FG38" t="e">
        <f>AND('Planilla_General_29-11-2012_10_'!L567,"AAAAADf3c6I=")</f>
        <v>#VALUE!</v>
      </c>
      <c r="FH38" t="e">
        <f>AND('Planilla_General_29-11-2012_10_'!M567,"AAAAADf3c6M=")</f>
        <v>#VALUE!</v>
      </c>
      <c r="FI38" t="e">
        <f>AND('Planilla_General_29-11-2012_10_'!N567,"AAAAADf3c6Q=")</f>
        <v>#VALUE!</v>
      </c>
      <c r="FJ38" t="e">
        <f>AND('Planilla_General_29-11-2012_10_'!O567,"AAAAADf3c6U=")</f>
        <v>#VALUE!</v>
      </c>
      <c r="FK38" t="e">
        <f>AND('Planilla_General_29-11-2012_10_'!P567,"AAAAADf3c6Y=")</f>
        <v>#VALUE!</v>
      </c>
      <c r="FL38">
        <f>IF('Planilla_General_29-11-2012_10_'!568:568,"AAAAADf3c6c=",0)</f>
        <v>0</v>
      </c>
      <c r="FM38" t="e">
        <f>AND('Planilla_General_29-11-2012_10_'!A568,"AAAAADf3c6g=")</f>
        <v>#VALUE!</v>
      </c>
      <c r="FN38" t="e">
        <f>AND('Planilla_General_29-11-2012_10_'!B568,"AAAAADf3c6k=")</f>
        <v>#VALUE!</v>
      </c>
      <c r="FO38" t="e">
        <f>AND('Planilla_General_29-11-2012_10_'!C568,"AAAAADf3c6o=")</f>
        <v>#VALUE!</v>
      </c>
      <c r="FP38" t="e">
        <f>AND('Planilla_General_29-11-2012_10_'!D568,"AAAAADf3c6s=")</f>
        <v>#VALUE!</v>
      </c>
      <c r="FQ38" t="e">
        <f>AND('Planilla_General_29-11-2012_10_'!E568,"AAAAADf3c6w=")</f>
        <v>#VALUE!</v>
      </c>
      <c r="FR38" t="e">
        <f>AND('Planilla_General_29-11-2012_10_'!F568,"AAAAADf3c60=")</f>
        <v>#VALUE!</v>
      </c>
      <c r="FS38" t="e">
        <f>AND('Planilla_General_29-11-2012_10_'!G568,"AAAAADf3c64=")</f>
        <v>#VALUE!</v>
      </c>
      <c r="FT38" t="e">
        <f>AND('Planilla_General_29-11-2012_10_'!H568,"AAAAADf3c68=")</f>
        <v>#VALUE!</v>
      </c>
      <c r="FU38" t="e">
        <f>AND('Planilla_General_29-11-2012_10_'!I568,"AAAAADf3c7A=")</f>
        <v>#VALUE!</v>
      </c>
      <c r="FV38" t="e">
        <f>AND('Planilla_General_29-11-2012_10_'!J568,"AAAAADf3c7E=")</f>
        <v>#VALUE!</v>
      </c>
      <c r="FW38" t="e">
        <f>AND('Planilla_General_29-11-2012_10_'!K568,"AAAAADf3c7I=")</f>
        <v>#VALUE!</v>
      </c>
      <c r="FX38" t="e">
        <f>AND('Planilla_General_29-11-2012_10_'!L568,"AAAAADf3c7M=")</f>
        <v>#VALUE!</v>
      </c>
      <c r="FY38" t="e">
        <f>AND('Planilla_General_29-11-2012_10_'!M568,"AAAAADf3c7Q=")</f>
        <v>#VALUE!</v>
      </c>
      <c r="FZ38" t="e">
        <f>AND('Planilla_General_29-11-2012_10_'!N568,"AAAAADf3c7U=")</f>
        <v>#VALUE!</v>
      </c>
      <c r="GA38" t="e">
        <f>AND('Planilla_General_29-11-2012_10_'!O568,"AAAAADf3c7Y=")</f>
        <v>#VALUE!</v>
      </c>
      <c r="GB38" t="e">
        <f>AND('Planilla_General_29-11-2012_10_'!P568,"AAAAADf3c7c=")</f>
        <v>#VALUE!</v>
      </c>
      <c r="GC38">
        <f>IF('Planilla_General_29-11-2012_10_'!569:569,"AAAAADf3c7g=",0)</f>
        <v>0</v>
      </c>
      <c r="GD38" t="e">
        <f>AND('Planilla_General_29-11-2012_10_'!A569,"AAAAADf3c7k=")</f>
        <v>#VALUE!</v>
      </c>
      <c r="GE38" t="e">
        <f>AND('Planilla_General_29-11-2012_10_'!B569,"AAAAADf3c7o=")</f>
        <v>#VALUE!</v>
      </c>
      <c r="GF38" t="e">
        <f>AND('Planilla_General_29-11-2012_10_'!C569,"AAAAADf3c7s=")</f>
        <v>#VALUE!</v>
      </c>
      <c r="GG38" t="e">
        <f>AND('Planilla_General_29-11-2012_10_'!D569,"AAAAADf3c7w=")</f>
        <v>#VALUE!</v>
      </c>
      <c r="GH38" t="e">
        <f>AND('Planilla_General_29-11-2012_10_'!E569,"AAAAADf3c70=")</f>
        <v>#VALUE!</v>
      </c>
      <c r="GI38" t="e">
        <f>AND('Planilla_General_29-11-2012_10_'!F569,"AAAAADf3c74=")</f>
        <v>#VALUE!</v>
      </c>
      <c r="GJ38" t="e">
        <f>AND('Planilla_General_29-11-2012_10_'!G569,"AAAAADf3c78=")</f>
        <v>#VALUE!</v>
      </c>
      <c r="GK38" t="e">
        <f>AND('Planilla_General_29-11-2012_10_'!H569,"AAAAADf3c8A=")</f>
        <v>#VALUE!</v>
      </c>
      <c r="GL38" t="e">
        <f>AND('Planilla_General_29-11-2012_10_'!I569,"AAAAADf3c8E=")</f>
        <v>#VALUE!</v>
      </c>
      <c r="GM38" t="e">
        <f>AND('Planilla_General_29-11-2012_10_'!J569,"AAAAADf3c8I=")</f>
        <v>#VALUE!</v>
      </c>
      <c r="GN38" t="e">
        <f>AND('Planilla_General_29-11-2012_10_'!K569,"AAAAADf3c8M=")</f>
        <v>#VALUE!</v>
      </c>
      <c r="GO38" t="e">
        <f>AND('Planilla_General_29-11-2012_10_'!L569,"AAAAADf3c8Q=")</f>
        <v>#VALUE!</v>
      </c>
      <c r="GP38" t="e">
        <f>AND('Planilla_General_29-11-2012_10_'!M569,"AAAAADf3c8U=")</f>
        <v>#VALUE!</v>
      </c>
      <c r="GQ38" t="e">
        <f>AND('Planilla_General_29-11-2012_10_'!N569,"AAAAADf3c8Y=")</f>
        <v>#VALUE!</v>
      </c>
      <c r="GR38" t="e">
        <f>AND('Planilla_General_29-11-2012_10_'!O569,"AAAAADf3c8c=")</f>
        <v>#VALUE!</v>
      </c>
      <c r="GS38" t="e">
        <f>AND('Planilla_General_29-11-2012_10_'!P569,"AAAAADf3c8g=")</f>
        <v>#VALUE!</v>
      </c>
      <c r="GT38">
        <f>IF('Planilla_General_29-11-2012_10_'!570:570,"AAAAADf3c8k=",0)</f>
        <v>0</v>
      </c>
      <c r="GU38" t="e">
        <f>AND('Planilla_General_29-11-2012_10_'!A570,"AAAAADf3c8o=")</f>
        <v>#VALUE!</v>
      </c>
      <c r="GV38" t="e">
        <f>AND('Planilla_General_29-11-2012_10_'!B570,"AAAAADf3c8s=")</f>
        <v>#VALUE!</v>
      </c>
      <c r="GW38" t="e">
        <f>AND('Planilla_General_29-11-2012_10_'!C570,"AAAAADf3c8w=")</f>
        <v>#VALUE!</v>
      </c>
      <c r="GX38" t="e">
        <f>AND('Planilla_General_29-11-2012_10_'!D570,"AAAAADf3c80=")</f>
        <v>#VALUE!</v>
      </c>
      <c r="GY38" t="e">
        <f>AND('Planilla_General_29-11-2012_10_'!E570,"AAAAADf3c84=")</f>
        <v>#VALUE!</v>
      </c>
      <c r="GZ38" t="e">
        <f>AND('Planilla_General_29-11-2012_10_'!F570,"AAAAADf3c88=")</f>
        <v>#VALUE!</v>
      </c>
      <c r="HA38" t="e">
        <f>AND('Planilla_General_29-11-2012_10_'!G570,"AAAAADf3c9A=")</f>
        <v>#VALUE!</v>
      </c>
      <c r="HB38" t="e">
        <f>AND('Planilla_General_29-11-2012_10_'!H570,"AAAAADf3c9E=")</f>
        <v>#VALUE!</v>
      </c>
      <c r="HC38" t="e">
        <f>AND('Planilla_General_29-11-2012_10_'!I570,"AAAAADf3c9I=")</f>
        <v>#VALUE!</v>
      </c>
      <c r="HD38" t="e">
        <f>AND('Planilla_General_29-11-2012_10_'!J570,"AAAAADf3c9M=")</f>
        <v>#VALUE!</v>
      </c>
      <c r="HE38" t="e">
        <f>AND('Planilla_General_29-11-2012_10_'!K570,"AAAAADf3c9Q=")</f>
        <v>#VALUE!</v>
      </c>
      <c r="HF38" t="e">
        <f>AND('Planilla_General_29-11-2012_10_'!L570,"AAAAADf3c9U=")</f>
        <v>#VALUE!</v>
      </c>
      <c r="HG38" t="e">
        <f>AND('Planilla_General_29-11-2012_10_'!M570,"AAAAADf3c9Y=")</f>
        <v>#VALUE!</v>
      </c>
      <c r="HH38" t="e">
        <f>AND('Planilla_General_29-11-2012_10_'!N570,"AAAAADf3c9c=")</f>
        <v>#VALUE!</v>
      </c>
      <c r="HI38" t="e">
        <f>AND('Planilla_General_29-11-2012_10_'!O570,"AAAAADf3c9g=")</f>
        <v>#VALUE!</v>
      </c>
      <c r="HJ38" t="e">
        <f>AND('Planilla_General_29-11-2012_10_'!P570,"AAAAADf3c9k=")</f>
        <v>#VALUE!</v>
      </c>
      <c r="HK38">
        <f>IF('Planilla_General_29-11-2012_10_'!571:571,"AAAAADf3c9o=",0)</f>
        <v>0</v>
      </c>
      <c r="HL38" t="e">
        <f>AND('Planilla_General_29-11-2012_10_'!A571,"AAAAADf3c9s=")</f>
        <v>#VALUE!</v>
      </c>
      <c r="HM38" t="e">
        <f>AND('Planilla_General_29-11-2012_10_'!B571,"AAAAADf3c9w=")</f>
        <v>#VALUE!</v>
      </c>
      <c r="HN38" t="e">
        <f>AND('Planilla_General_29-11-2012_10_'!C571,"AAAAADf3c90=")</f>
        <v>#VALUE!</v>
      </c>
      <c r="HO38" t="e">
        <f>AND('Planilla_General_29-11-2012_10_'!D571,"AAAAADf3c94=")</f>
        <v>#VALUE!</v>
      </c>
      <c r="HP38" t="e">
        <f>AND('Planilla_General_29-11-2012_10_'!E571,"AAAAADf3c98=")</f>
        <v>#VALUE!</v>
      </c>
      <c r="HQ38" t="e">
        <f>AND('Planilla_General_29-11-2012_10_'!F571,"AAAAADf3c+A=")</f>
        <v>#VALUE!</v>
      </c>
      <c r="HR38" t="e">
        <f>AND('Planilla_General_29-11-2012_10_'!G571,"AAAAADf3c+E=")</f>
        <v>#VALUE!</v>
      </c>
      <c r="HS38" t="e">
        <f>AND('Planilla_General_29-11-2012_10_'!H571,"AAAAADf3c+I=")</f>
        <v>#VALUE!</v>
      </c>
      <c r="HT38" t="e">
        <f>AND('Planilla_General_29-11-2012_10_'!I571,"AAAAADf3c+M=")</f>
        <v>#VALUE!</v>
      </c>
      <c r="HU38" t="e">
        <f>AND('Planilla_General_29-11-2012_10_'!J571,"AAAAADf3c+Q=")</f>
        <v>#VALUE!</v>
      </c>
      <c r="HV38" t="e">
        <f>AND('Planilla_General_29-11-2012_10_'!K571,"AAAAADf3c+U=")</f>
        <v>#VALUE!</v>
      </c>
      <c r="HW38" t="e">
        <f>AND('Planilla_General_29-11-2012_10_'!L571,"AAAAADf3c+Y=")</f>
        <v>#VALUE!</v>
      </c>
      <c r="HX38" t="e">
        <f>AND('Planilla_General_29-11-2012_10_'!M571,"AAAAADf3c+c=")</f>
        <v>#VALUE!</v>
      </c>
      <c r="HY38" t="e">
        <f>AND('Planilla_General_29-11-2012_10_'!N571,"AAAAADf3c+g=")</f>
        <v>#VALUE!</v>
      </c>
      <c r="HZ38" t="e">
        <f>AND('Planilla_General_29-11-2012_10_'!O571,"AAAAADf3c+k=")</f>
        <v>#VALUE!</v>
      </c>
      <c r="IA38" t="e">
        <f>AND('Planilla_General_29-11-2012_10_'!P571,"AAAAADf3c+o=")</f>
        <v>#VALUE!</v>
      </c>
      <c r="IB38">
        <f>IF('Planilla_General_29-11-2012_10_'!572:572,"AAAAADf3c+s=",0)</f>
        <v>0</v>
      </c>
      <c r="IC38" t="e">
        <f>AND('Planilla_General_29-11-2012_10_'!A572,"AAAAADf3c+w=")</f>
        <v>#VALUE!</v>
      </c>
      <c r="ID38" t="e">
        <f>AND('Planilla_General_29-11-2012_10_'!B572,"AAAAADf3c+0=")</f>
        <v>#VALUE!</v>
      </c>
      <c r="IE38" t="e">
        <f>AND('Planilla_General_29-11-2012_10_'!C572,"AAAAADf3c+4=")</f>
        <v>#VALUE!</v>
      </c>
      <c r="IF38" t="e">
        <f>AND('Planilla_General_29-11-2012_10_'!D572,"AAAAADf3c+8=")</f>
        <v>#VALUE!</v>
      </c>
      <c r="IG38" t="e">
        <f>AND('Planilla_General_29-11-2012_10_'!E572,"AAAAADf3c/A=")</f>
        <v>#VALUE!</v>
      </c>
      <c r="IH38" t="e">
        <f>AND('Planilla_General_29-11-2012_10_'!F572,"AAAAADf3c/E=")</f>
        <v>#VALUE!</v>
      </c>
      <c r="II38" t="e">
        <f>AND('Planilla_General_29-11-2012_10_'!G572,"AAAAADf3c/I=")</f>
        <v>#VALUE!</v>
      </c>
      <c r="IJ38" t="e">
        <f>AND('Planilla_General_29-11-2012_10_'!H572,"AAAAADf3c/M=")</f>
        <v>#VALUE!</v>
      </c>
      <c r="IK38" t="e">
        <f>AND('Planilla_General_29-11-2012_10_'!I572,"AAAAADf3c/Q=")</f>
        <v>#VALUE!</v>
      </c>
      <c r="IL38" t="e">
        <f>AND('Planilla_General_29-11-2012_10_'!J572,"AAAAADf3c/U=")</f>
        <v>#VALUE!</v>
      </c>
      <c r="IM38" t="e">
        <f>AND('Planilla_General_29-11-2012_10_'!K572,"AAAAADf3c/Y=")</f>
        <v>#VALUE!</v>
      </c>
      <c r="IN38" t="e">
        <f>AND('Planilla_General_29-11-2012_10_'!L572,"AAAAADf3c/c=")</f>
        <v>#VALUE!</v>
      </c>
      <c r="IO38" t="e">
        <f>AND('Planilla_General_29-11-2012_10_'!M572,"AAAAADf3c/g=")</f>
        <v>#VALUE!</v>
      </c>
      <c r="IP38" t="e">
        <f>AND('Planilla_General_29-11-2012_10_'!N572,"AAAAADf3c/k=")</f>
        <v>#VALUE!</v>
      </c>
      <c r="IQ38" t="e">
        <f>AND('Planilla_General_29-11-2012_10_'!O572,"AAAAADf3c/o=")</f>
        <v>#VALUE!</v>
      </c>
      <c r="IR38" t="e">
        <f>AND('Planilla_General_29-11-2012_10_'!P572,"AAAAADf3c/s=")</f>
        <v>#VALUE!</v>
      </c>
      <c r="IS38">
        <f>IF('Planilla_General_29-11-2012_10_'!573:573,"AAAAADf3c/w=",0)</f>
        <v>0</v>
      </c>
      <c r="IT38" t="e">
        <f>AND('Planilla_General_29-11-2012_10_'!A573,"AAAAADf3c/0=")</f>
        <v>#VALUE!</v>
      </c>
      <c r="IU38" t="e">
        <f>AND('Planilla_General_29-11-2012_10_'!B573,"AAAAADf3c/4=")</f>
        <v>#VALUE!</v>
      </c>
      <c r="IV38" t="e">
        <f>AND('Planilla_General_29-11-2012_10_'!C573,"AAAAADf3c/8=")</f>
        <v>#VALUE!</v>
      </c>
    </row>
    <row r="39" spans="1:256" x14ac:dyDescent="0.25">
      <c r="A39" t="e">
        <f>AND('Planilla_General_29-11-2012_10_'!D573,"AAAAAH3//wA=")</f>
        <v>#VALUE!</v>
      </c>
      <c r="B39" t="e">
        <f>AND('Planilla_General_29-11-2012_10_'!E573,"AAAAAH3//wE=")</f>
        <v>#VALUE!</v>
      </c>
      <c r="C39" t="e">
        <f>AND('Planilla_General_29-11-2012_10_'!F573,"AAAAAH3//wI=")</f>
        <v>#VALUE!</v>
      </c>
      <c r="D39" t="e">
        <f>AND('Planilla_General_29-11-2012_10_'!G573,"AAAAAH3//wM=")</f>
        <v>#VALUE!</v>
      </c>
      <c r="E39" t="e">
        <f>AND('Planilla_General_29-11-2012_10_'!H573,"AAAAAH3//wQ=")</f>
        <v>#VALUE!</v>
      </c>
      <c r="F39" t="e">
        <f>AND('Planilla_General_29-11-2012_10_'!I573,"AAAAAH3//wU=")</f>
        <v>#VALUE!</v>
      </c>
      <c r="G39" t="e">
        <f>AND('Planilla_General_29-11-2012_10_'!J573,"AAAAAH3//wY=")</f>
        <v>#VALUE!</v>
      </c>
      <c r="H39" t="e">
        <f>AND('Planilla_General_29-11-2012_10_'!K573,"AAAAAH3//wc=")</f>
        <v>#VALUE!</v>
      </c>
      <c r="I39" t="e">
        <f>AND('Planilla_General_29-11-2012_10_'!L573,"AAAAAH3//wg=")</f>
        <v>#VALUE!</v>
      </c>
      <c r="J39" t="e">
        <f>AND('Planilla_General_29-11-2012_10_'!M573,"AAAAAH3//wk=")</f>
        <v>#VALUE!</v>
      </c>
      <c r="K39" t="e">
        <f>AND('Planilla_General_29-11-2012_10_'!N573,"AAAAAH3//wo=")</f>
        <v>#VALUE!</v>
      </c>
      <c r="L39" t="e">
        <f>AND('Planilla_General_29-11-2012_10_'!O573,"AAAAAH3//ws=")</f>
        <v>#VALUE!</v>
      </c>
      <c r="M39" t="e">
        <f>AND('Planilla_General_29-11-2012_10_'!P573,"AAAAAH3//ww=")</f>
        <v>#VALUE!</v>
      </c>
      <c r="N39" t="str">
        <f>IF('Planilla_General_29-11-2012_10_'!574:574,"AAAAAH3//w0=",0)</f>
        <v>AAAAAH3//w0=</v>
      </c>
      <c r="O39" t="e">
        <f>AND('Planilla_General_29-11-2012_10_'!A574,"AAAAAH3//w4=")</f>
        <v>#VALUE!</v>
      </c>
      <c r="P39" t="e">
        <f>AND('Planilla_General_29-11-2012_10_'!B574,"AAAAAH3//w8=")</f>
        <v>#VALUE!</v>
      </c>
      <c r="Q39" t="e">
        <f>AND('Planilla_General_29-11-2012_10_'!C574,"AAAAAH3//xA=")</f>
        <v>#VALUE!</v>
      </c>
      <c r="R39" t="e">
        <f>AND('Planilla_General_29-11-2012_10_'!D574,"AAAAAH3//xE=")</f>
        <v>#VALUE!</v>
      </c>
      <c r="S39" t="e">
        <f>AND('Planilla_General_29-11-2012_10_'!E574,"AAAAAH3//xI=")</f>
        <v>#VALUE!</v>
      </c>
      <c r="T39" t="e">
        <f>AND('Planilla_General_29-11-2012_10_'!F574,"AAAAAH3//xM=")</f>
        <v>#VALUE!</v>
      </c>
      <c r="U39" t="e">
        <f>AND('Planilla_General_29-11-2012_10_'!G574,"AAAAAH3//xQ=")</f>
        <v>#VALUE!</v>
      </c>
      <c r="V39" t="e">
        <f>AND('Planilla_General_29-11-2012_10_'!H574,"AAAAAH3//xU=")</f>
        <v>#VALUE!</v>
      </c>
      <c r="W39" t="e">
        <f>AND('Planilla_General_29-11-2012_10_'!I574,"AAAAAH3//xY=")</f>
        <v>#VALUE!</v>
      </c>
      <c r="X39" t="e">
        <f>AND('Planilla_General_29-11-2012_10_'!J574,"AAAAAH3//xc=")</f>
        <v>#VALUE!</v>
      </c>
      <c r="Y39" t="e">
        <f>AND('Planilla_General_29-11-2012_10_'!K574,"AAAAAH3//xg=")</f>
        <v>#VALUE!</v>
      </c>
      <c r="Z39" t="e">
        <f>AND('Planilla_General_29-11-2012_10_'!L574,"AAAAAH3//xk=")</f>
        <v>#VALUE!</v>
      </c>
      <c r="AA39" t="e">
        <f>AND('Planilla_General_29-11-2012_10_'!M574,"AAAAAH3//xo=")</f>
        <v>#VALUE!</v>
      </c>
      <c r="AB39" t="e">
        <f>AND('Planilla_General_29-11-2012_10_'!N574,"AAAAAH3//xs=")</f>
        <v>#VALUE!</v>
      </c>
      <c r="AC39" t="e">
        <f>AND('Planilla_General_29-11-2012_10_'!O574,"AAAAAH3//xw=")</f>
        <v>#VALUE!</v>
      </c>
      <c r="AD39" t="e">
        <f>AND('Planilla_General_29-11-2012_10_'!P574,"AAAAAH3//x0=")</f>
        <v>#VALUE!</v>
      </c>
      <c r="AE39">
        <f>IF('Planilla_General_29-11-2012_10_'!575:575,"AAAAAH3//x4=",0)</f>
        <v>0</v>
      </c>
      <c r="AF39" t="e">
        <f>AND('Planilla_General_29-11-2012_10_'!A575,"AAAAAH3//x8=")</f>
        <v>#VALUE!</v>
      </c>
      <c r="AG39" t="e">
        <f>AND('Planilla_General_29-11-2012_10_'!B575,"AAAAAH3//yA=")</f>
        <v>#VALUE!</v>
      </c>
      <c r="AH39" t="e">
        <f>AND('Planilla_General_29-11-2012_10_'!C575,"AAAAAH3//yE=")</f>
        <v>#VALUE!</v>
      </c>
      <c r="AI39" t="e">
        <f>AND('Planilla_General_29-11-2012_10_'!D575,"AAAAAH3//yI=")</f>
        <v>#VALUE!</v>
      </c>
      <c r="AJ39" t="e">
        <f>AND('Planilla_General_29-11-2012_10_'!E575,"AAAAAH3//yM=")</f>
        <v>#VALUE!</v>
      </c>
      <c r="AK39" t="e">
        <f>AND('Planilla_General_29-11-2012_10_'!F575,"AAAAAH3//yQ=")</f>
        <v>#VALUE!</v>
      </c>
      <c r="AL39" t="e">
        <f>AND('Planilla_General_29-11-2012_10_'!G575,"AAAAAH3//yU=")</f>
        <v>#VALUE!</v>
      </c>
      <c r="AM39" t="e">
        <f>AND('Planilla_General_29-11-2012_10_'!H575,"AAAAAH3//yY=")</f>
        <v>#VALUE!</v>
      </c>
      <c r="AN39" t="e">
        <f>AND('Planilla_General_29-11-2012_10_'!I575,"AAAAAH3//yc=")</f>
        <v>#VALUE!</v>
      </c>
      <c r="AO39" t="e">
        <f>AND('Planilla_General_29-11-2012_10_'!J575,"AAAAAH3//yg=")</f>
        <v>#VALUE!</v>
      </c>
      <c r="AP39" t="e">
        <f>AND('Planilla_General_29-11-2012_10_'!K575,"AAAAAH3//yk=")</f>
        <v>#VALUE!</v>
      </c>
      <c r="AQ39" t="e">
        <f>AND('Planilla_General_29-11-2012_10_'!L575,"AAAAAH3//yo=")</f>
        <v>#VALUE!</v>
      </c>
      <c r="AR39" t="e">
        <f>AND('Planilla_General_29-11-2012_10_'!M575,"AAAAAH3//ys=")</f>
        <v>#VALUE!</v>
      </c>
      <c r="AS39" t="e">
        <f>AND('Planilla_General_29-11-2012_10_'!N575,"AAAAAH3//yw=")</f>
        <v>#VALUE!</v>
      </c>
      <c r="AT39" t="e">
        <f>AND('Planilla_General_29-11-2012_10_'!O575,"AAAAAH3//y0=")</f>
        <v>#VALUE!</v>
      </c>
      <c r="AU39" t="e">
        <f>AND('Planilla_General_29-11-2012_10_'!P575,"AAAAAH3//y4=")</f>
        <v>#VALUE!</v>
      </c>
      <c r="AV39">
        <f>IF('Planilla_General_29-11-2012_10_'!576:576,"AAAAAH3//y8=",0)</f>
        <v>0</v>
      </c>
      <c r="AW39" t="e">
        <f>AND('Planilla_General_29-11-2012_10_'!A576,"AAAAAH3//zA=")</f>
        <v>#VALUE!</v>
      </c>
      <c r="AX39" t="e">
        <f>AND('Planilla_General_29-11-2012_10_'!B576,"AAAAAH3//zE=")</f>
        <v>#VALUE!</v>
      </c>
      <c r="AY39" t="e">
        <f>AND('Planilla_General_29-11-2012_10_'!C576,"AAAAAH3//zI=")</f>
        <v>#VALUE!</v>
      </c>
      <c r="AZ39" t="e">
        <f>AND('Planilla_General_29-11-2012_10_'!D576,"AAAAAH3//zM=")</f>
        <v>#VALUE!</v>
      </c>
      <c r="BA39" t="e">
        <f>AND('Planilla_General_29-11-2012_10_'!E576,"AAAAAH3//zQ=")</f>
        <v>#VALUE!</v>
      </c>
      <c r="BB39" t="e">
        <f>AND('Planilla_General_29-11-2012_10_'!F576,"AAAAAH3//zU=")</f>
        <v>#VALUE!</v>
      </c>
      <c r="BC39" t="e">
        <f>AND('Planilla_General_29-11-2012_10_'!G576,"AAAAAH3//zY=")</f>
        <v>#VALUE!</v>
      </c>
      <c r="BD39" t="e">
        <f>AND('Planilla_General_29-11-2012_10_'!H576,"AAAAAH3//zc=")</f>
        <v>#VALUE!</v>
      </c>
      <c r="BE39" t="e">
        <f>AND('Planilla_General_29-11-2012_10_'!I576,"AAAAAH3//zg=")</f>
        <v>#VALUE!</v>
      </c>
      <c r="BF39" t="e">
        <f>AND('Planilla_General_29-11-2012_10_'!J576,"AAAAAH3//zk=")</f>
        <v>#VALUE!</v>
      </c>
      <c r="BG39" t="e">
        <f>AND('Planilla_General_29-11-2012_10_'!K576,"AAAAAH3//zo=")</f>
        <v>#VALUE!</v>
      </c>
      <c r="BH39" t="e">
        <f>AND('Planilla_General_29-11-2012_10_'!L576,"AAAAAH3//zs=")</f>
        <v>#VALUE!</v>
      </c>
      <c r="BI39" t="e">
        <f>AND('Planilla_General_29-11-2012_10_'!M576,"AAAAAH3//zw=")</f>
        <v>#VALUE!</v>
      </c>
      <c r="BJ39" t="e">
        <f>AND('Planilla_General_29-11-2012_10_'!N576,"AAAAAH3//z0=")</f>
        <v>#VALUE!</v>
      </c>
      <c r="BK39" t="e">
        <f>AND('Planilla_General_29-11-2012_10_'!O576,"AAAAAH3//z4=")</f>
        <v>#VALUE!</v>
      </c>
      <c r="BL39" t="e">
        <f>AND('Planilla_General_29-11-2012_10_'!P576,"AAAAAH3//z8=")</f>
        <v>#VALUE!</v>
      </c>
      <c r="BM39">
        <f>IF('Planilla_General_29-11-2012_10_'!577:577,"AAAAAH3//0A=",0)</f>
        <v>0</v>
      </c>
      <c r="BN39" t="e">
        <f>AND('Planilla_General_29-11-2012_10_'!A577,"AAAAAH3//0E=")</f>
        <v>#VALUE!</v>
      </c>
      <c r="BO39" t="e">
        <f>AND('Planilla_General_29-11-2012_10_'!B577,"AAAAAH3//0I=")</f>
        <v>#VALUE!</v>
      </c>
      <c r="BP39" t="e">
        <f>AND('Planilla_General_29-11-2012_10_'!C577,"AAAAAH3//0M=")</f>
        <v>#VALUE!</v>
      </c>
      <c r="BQ39" t="e">
        <f>AND('Planilla_General_29-11-2012_10_'!D577,"AAAAAH3//0Q=")</f>
        <v>#VALUE!</v>
      </c>
      <c r="BR39" t="e">
        <f>AND('Planilla_General_29-11-2012_10_'!E577,"AAAAAH3//0U=")</f>
        <v>#VALUE!</v>
      </c>
      <c r="BS39" t="e">
        <f>AND('Planilla_General_29-11-2012_10_'!F577,"AAAAAH3//0Y=")</f>
        <v>#VALUE!</v>
      </c>
      <c r="BT39" t="e">
        <f>AND('Planilla_General_29-11-2012_10_'!G577,"AAAAAH3//0c=")</f>
        <v>#VALUE!</v>
      </c>
      <c r="BU39" t="e">
        <f>AND('Planilla_General_29-11-2012_10_'!H577,"AAAAAH3//0g=")</f>
        <v>#VALUE!</v>
      </c>
      <c r="BV39" t="e">
        <f>AND('Planilla_General_29-11-2012_10_'!I577,"AAAAAH3//0k=")</f>
        <v>#VALUE!</v>
      </c>
      <c r="BW39" t="e">
        <f>AND('Planilla_General_29-11-2012_10_'!J577,"AAAAAH3//0o=")</f>
        <v>#VALUE!</v>
      </c>
      <c r="BX39" t="e">
        <f>AND('Planilla_General_29-11-2012_10_'!K577,"AAAAAH3//0s=")</f>
        <v>#VALUE!</v>
      </c>
      <c r="BY39" t="e">
        <f>AND('Planilla_General_29-11-2012_10_'!L577,"AAAAAH3//0w=")</f>
        <v>#VALUE!</v>
      </c>
      <c r="BZ39" t="e">
        <f>AND('Planilla_General_29-11-2012_10_'!M577,"AAAAAH3//00=")</f>
        <v>#VALUE!</v>
      </c>
      <c r="CA39" t="e">
        <f>AND('Planilla_General_29-11-2012_10_'!N577,"AAAAAH3//04=")</f>
        <v>#VALUE!</v>
      </c>
      <c r="CB39" t="e">
        <f>AND('Planilla_General_29-11-2012_10_'!O577,"AAAAAH3//08=")</f>
        <v>#VALUE!</v>
      </c>
      <c r="CC39" t="e">
        <f>AND('Planilla_General_29-11-2012_10_'!P577,"AAAAAH3//1A=")</f>
        <v>#VALUE!</v>
      </c>
      <c r="CD39">
        <f>IF('Planilla_General_29-11-2012_10_'!578:578,"AAAAAH3//1E=",0)</f>
        <v>0</v>
      </c>
      <c r="CE39" t="e">
        <f>AND('Planilla_General_29-11-2012_10_'!A578,"AAAAAH3//1I=")</f>
        <v>#VALUE!</v>
      </c>
      <c r="CF39" t="e">
        <f>AND('Planilla_General_29-11-2012_10_'!B578,"AAAAAH3//1M=")</f>
        <v>#VALUE!</v>
      </c>
      <c r="CG39" t="e">
        <f>AND('Planilla_General_29-11-2012_10_'!C578,"AAAAAH3//1Q=")</f>
        <v>#VALUE!</v>
      </c>
      <c r="CH39" t="e">
        <f>AND('Planilla_General_29-11-2012_10_'!D578,"AAAAAH3//1U=")</f>
        <v>#VALUE!</v>
      </c>
      <c r="CI39" t="e">
        <f>AND('Planilla_General_29-11-2012_10_'!E578,"AAAAAH3//1Y=")</f>
        <v>#VALUE!</v>
      </c>
      <c r="CJ39" t="e">
        <f>AND('Planilla_General_29-11-2012_10_'!F578,"AAAAAH3//1c=")</f>
        <v>#VALUE!</v>
      </c>
      <c r="CK39" t="e">
        <f>AND('Planilla_General_29-11-2012_10_'!G578,"AAAAAH3//1g=")</f>
        <v>#VALUE!</v>
      </c>
      <c r="CL39" t="e">
        <f>AND('Planilla_General_29-11-2012_10_'!H578,"AAAAAH3//1k=")</f>
        <v>#VALUE!</v>
      </c>
      <c r="CM39" t="e">
        <f>AND('Planilla_General_29-11-2012_10_'!I578,"AAAAAH3//1o=")</f>
        <v>#VALUE!</v>
      </c>
      <c r="CN39" t="e">
        <f>AND('Planilla_General_29-11-2012_10_'!J578,"AAAAAH3//1s=")</f>
        <v>#VALUE!</v>
      </c>
      <c r="CO39" t="e">
        <f>AND('Planilla_General_29-11-2012_10_'!K578,"AAAAAH3//1w=")</f>
        <v>#VALUE!</v>
      </c>
      <c r="CP39" t="e">
        <f>AND('Planilla_General_29-11-2012_10_'!L578,"AAAAAH3//10=")</f>
        <v>#VALUE!</v>
      </c>
      <c r="CQ39" t="e">
        <f>AND('Planilla_General_29-11-2012_10_'!M578,"AAAAAH3//14=")</f>
        <v>#VALUE!</v>
      </c>
      <c r="CR39" t="e">
        <f>AND('Planilla_General_29-11-2012_10_'!N578,"AAAAAH3//18=")</f>
        <v>#VALUE!</v>
      </c>
      <c r="CS39" t="e">
        <f>AND('Planilla_General_29-11-2012_10_'!O578,"AAAAAH3//2A=")</f>
        <v>#VALUE!</v>
      </c>
      <c r="CT39" t="e">
        <f>AND('Planilla_General_29-11-2012_10_'!P578,"AAAAAH3//2E=")</f>
        <v>#VALUE!</v>
      </c>
      <c r="CU39">
        <f>IF('Planilla_General_29-11-2012_10_'!579:579,"AAAAAH3//2I=",0)</f>
        <v>0</v>
      </c>
      <c r="CV39" t="e">
        <f>AND('Planilla_General_29-11-2012_10_'!A579,"AAAAAH3//2M=")</f>
        <v>#VALUE!</v>
      </c>
      <c r="CW39" t="e">
        <f>AND('Planilla_General_29-11-2012_10_'!B579,"AAAAAH3//2Q=")</f>
        <v>#VALUE!</v>
      </c>
      <c r="CX39" t="e">
        <f>AND('Planilla_General_29-11-2012_10_'!C579,"AAAAAH3//2U=")</f>
        <v>#VALUE!</v>
      </c>
      <c r="CY39" t="e">
        <f>AND('Planilla_General_29-11-2012_10_'!D579,"AAAAAH3//2Y=")</f>
        <v>#VALUE!</v>
      </c>
      <c r="CZ39" t="e">
        <f>AND('Planilla_General_29-11-2012_10_'!E579,"AAAAAH3//2c=")</f>
        <v>#VALUE!</v>
      </c>
      <c r="DA39" t="e">
        <f>AND('Planilla_General_29-11-2012_10_'!F579,"AAAAAH3//2g=")</f>
        <v>#VALUE!</v>
      </c>
      <c r="DB39" t="e">
        <f>AND('Planilla_General_29-11-2012_10_'!G579,"AAAAAH3//2k=")</f>
        <v>#VALUE!</v>
      </c>
      <c r="DC39" t="e">
        <f>AND('Planilla_General_29-11-2012_10_'!H579,"AAAAAH3//2o=")</f>
        <v>#VALUE!</v>
      </c>
      <c r="DD39" t="e">
        <f>AND('Planilla_General_29-11-2012_10_'!I579,"AAAAAH3//2s=")</f>
        <v>#VALUE!</v>
      </c>
      <c r="DE39" t="e">
        <f>AND('Planilla_General_29-11-2012_10_'!J579,"AAAAAH3//2w=")</f>
        <v>#VALUE!</v>
      </c>
      <c r="DF39" t="e">
        <f>AND('Planilla_General_29-11-2012_10_'!K579,"AAAAAH3//20=")</f>
        <v>#VALUE!</v>
      </c>
      <c r="DG39" t="e">
        <f>AND('Planilla_General_29-11-2012_10_'!L579,"AAAAAH3//24=")</f>
        <v>#VALUE!</v>
      </c>
      <c r="DH39" t="e">
        <f>AND('Planilla_General_29-11-2012_10_'!M579,"AAAAAH3//28=")</f>
        <v>#VALUE!</v>
      </c>
      <c r="DI39" t="e">
        <f>AND('Planilla_General_29-11-2012_10_'!N579,"AAAAAH3//3A=")</f>
        <v>#VALUE!</v>
      </c>
      <c r="DJ39" t="e">
        <f>AND('Planilla_General_29-11-2012_10_'!O579,"AAAAAH3//3E=")</f>
        <v>#VALUE!</v>
      </c>
      <c r="DK39" t="e">
        <f>AND('Planilla_General_29-11-2012_10_'!P579,"AAAAAH3//3I=")</f>
        <v>#VALUE!</v>
      </c>
      <c r="DL39">
        <f>IF('Planilla_General_29-11-2012_10_'!580:580,"AAAAAH3//3M=",0)</f>
        <v>0</v>
      </c>
      <c r="DM39" t="e">
        <f>AND('Planilla_General_29-11-2012_10_'!A580,"AAAAAH3//3Q=")</f>
        <v>#VALUE!</v>
      </c>
      <c r="DN39" t="e">
        <f>AND('Planilla_General_29-11-2012_10_'!B580,"AAAAAH3//3U=")</f>
        <v>#VALUE!</v>
      </c>
      <c r="DO39" t="e">
        <f>AND('Planilla_General_29-11-2012_10_'!C580,"AAAAAH3//3Y=")</f>
        <v>#VALUE!</v>
      </c>
      <c r="DP39" t="e">
        <f>AND('Planilla_General_29-11-2012_10_'!D580,"AAAAAH3//3c=")</f>
        <v>#VALUE!</v>
      </c>
      <c r="DQ39" t="e">
        <f>AND('Planilla_General_29-11-2012_10_'!E580,"AAAAAH3//3g=")</f>
        <v>#VALUE!</v>
      </c>
      <c r="DR39" t="e">
        <f>AND('Planilla_General_29-11-2012_10_'!F580,"AAAAAH3//3k=")</f>
        <v>#VALUE!</v>
      </c>
      <c r="DS39" t="e">
        <f>AND('Planilla_General_29-11-2012_10_'!G580,"AAAAAH3//3o=")</f>
        <v>#VALUE!</v>
      </c>
      <c r="DT39" t="e">
        <f>AND('Planilla_General_29-11-2012_10_'!H580,"AAAAAH3//3s=")</f>
        <v>#VALUE!</v>
      </c>
      <c r="DU39" t="e">
        <f>AND('Planilla_General_29-11-2012_10_'!I580,"AAAAAH3//3w=")</f>
        <v>#VALUE!</v>
      </c>
      <c r="DV39" t="e">
        <f>AND('Planilla_General_29-11-2012_10_'!J580,"AAAAAH3//30=")</f>
        <v>#VALUE!</v>
      </c>
      <c r="DW39" t="e">
        <f>AND('Planilla_General_29-11-2012_10_'!K580,"AAAAAH3//34=")</f>
        <v>#VALUE!</v>
      </c>
      <c r="DX39" t="e">
        <f>AND('Planilla_General_29-11-2012_10_'!L580,"AAAAAH3//38=")</f>
        <v>#VALUE!</v>
      </c>
      <c r="DY39" t="e">
        <f>AND('Planilla_General_29-11-2012_10_'!M580,"AAAAAH3//4A=")</f>
        <v>#VALUE!</v>
      </c>
      <c r="DZ39" t="e">
        <f>AND('Planilla_General_29-11-2012_10_'!N580,"AAAAAH3//4E=")</f>
        <v>#VALUE!</v>
      </c>
      <c r="EA39" t="e">
        <f>AND('Planilla_General_29-11-2012_10_'!O580,"AAAAAH3//4I=")</f>
        <v>#VALUE!</v>
      </c>
      <c r="EB39" t="e">
        <f>AND('Planilla_General_29-11-2012_10_'!P580,"AAAAAH3//4M=")</f>
        <v>#VALUE!</v>
      </c>
      <c r="EC39">
        <f>IF('Planilla_General_29-11-2012_10_'!581:581,"AAAAAH3//4Q=",0)</f>
        <v>0</v>
      </c>
      <c r="ED39" t="e">
        <f>AND('Planilla_General_29-11-2012_10_'!A581,"AAAAAH3//4U=")</f>
        <v>#VALUE!</v>
      </c>
      <c r="EE39" t="e">
        <f>AND('Planilla_General_29-11-2012_10_'!B581,"AAAAAH3//4Y=")</f>
        <v>#VALUE!</v>
      </c>
      <c r="EF39" t="e">
        <f>AND('Planilla_General_29-11-2012_10_'!C581,"AAAAAH3//4c=")</f>
        <v>#VALUE!</v>
      </c>
      <c r="EG39" t="e">
        <f>AND('Planilla_General_29-11-2012_10_'!D581,"AAAAAH3//4g=")</f>
        <v>#VALUE!</v>
      </c>
      <c r="EH39" t="e">
        <f>AND('Planilla_General_29-11-2012_10_'!E581,"AAAAAH3//4k=")</f>
        <v>#VALUE!</v>
      </c>
      <c r="EI39" t="e">
        <f>AND('Planilla_General_29-11-2012_10_'!F581,"AAAAAH3//4o=")</f>
        <v>#VALUE!</v>
      </c>
      <c r="EJ39" t="e">
        <f>AND('Planilla_General_29-11-2012_10_'!G581,"AAAAAH3//4s=")</f>
        <v>#VALUE!</v>
      </c>
      <c r="EK39" t="e">
        <f>AND('Planilla_General_29-11-2012_10_'!H581,"AAAAAH3//4w=")</f>
        <v>#VALUE!</v>
      </c>
      <c r="EL39" t="e">
        <f>AND('Planilla_General_29-11-2012_10_'!I581,"AAAAAH3//40=")</f>
        <v>#VALUE!</v>
      </c>
      <c r="EM39" t="e">
        <f>AND('Planilla_General_29-11-2012_10_'!J581,"AAAAAH3//44=")</f>
        <v>#VALUE!</v>
      </c>
      <c r="EN39" t="e">
        <f>AND('Planilla_General_29-11-2012_10_'!K581,"AAAAAH3//48=")</f>
        <v>#VALUE!</v>
      </c>
      <c r="EO39" t="e">
        <f>AND('Planilla_General_29-11-2012_10_'!L581,"AAAAAH3//5A=")</f>
        <v>#VALUE!</v>
      </c>
      <c r="EP39" t="e">
        <f>AND('Planilla_General_29-11-2012_10_'!M581,"AAAAAH3//5E=")</f>
        <v>#VALUE!</v>
      </c>
      <c r="EQ39" t="e">
        <f>AND('Planilla_General_29-11-2012_10_'!N581,"AAAAAH3//5I=")</f>
        <v>#VALUE!</v>
      </c>
      <c r="ER39" t="e">
        <f>AND('Planilla_General_29-11-2012_10_'!O581,"AAAAAH3//5M=")</f>
        <v>#VALUE!</v>
      </c>
      <c r="ES39" t="e">
        <f>AND('Planilla_General_29-11-2012_10_'!P581,"AAAAAH3//5Q=")</f>
        <v>#VALUE!</v>
      </c>
      <c r="ET39">
        <f>IF('Planilla_General_29-11-2012_10_'!582:582,"AAAAAH3//5U=",0)</f>
        <v>0</v>
      </c>
      <c r="EU39" t="e">
        <f>AND('Planilla_General_29-11-2012_10_'!A582,"AAAAAH3//5Y=")</f>
        <v>#VALUE!</v>
      </c>
      <c r="EV39" t="e">
        <f>AND('Planilla_General_29-11-2012_10_'!B582,"AAAAAH3//5c=")</f>
        <v>#VALUE!</v>
      </c>
      <c r="EW39" t="e">
        <f>AND('Planilla_General_29-11-2012_10_'!C582,"AAAAAH3//5g=")</f>
        <v>#VALUE!</v>
      </c>
      <c r="EX39" t="e">
        <f>AND('Planilla_General_29-11-2012_10_'!D582,"AAAAAH3//5k=")</f>
        <v>#VALUE!</v>
      </c>
      <c r="EY39" t="e">
        <f>AND('Planilla_General_29-11-2012_10_'!E582,"AAAAAH3//5o=")</f>
        <v>#VALUE!</v>
      </c>
      <c r="EZ39" t="e">
        <f>AND('Planilla_General_29-11-2012_10_'!F582,"AAAAAH3//5s=")</f>
        <v>#VALUE!</v>
      </c>
      <c r="FA39" t="e">
        <f>AND('Planilla_General_29-11-2012_10_'!G582,"AAAAAH3//5w=")</f>
        <v>#VALUE!</v>
      </c>
      <c r="FB39" t="e">
        <f>AND('Planilla_General_29-11-2012_10_'!H582,"AAAAAH3//50=")</f>
        <v>#VALUE!</v>
      </c>
      <c r="FC39" t="e">
        <f>AND('Planilla_General_29-11-2012_10_'!I582,"AAAAAH3//54=")</f>
        <v>#VALUE!</v>
      </c>
      <c r="FD39" t="e">
        <f>AND('Planilla_General_29-11-2012_10_'!J582,"AAAAAH3//58=")</f>
        <v>#VALUE!</v>
      </c>
      <c r="FE39" t="e">
        <f>AND('Planilla_General_29-11-2012_10_'!K582,"AAAAAH3//6A=")</f>
        <v>#VALUE!</v>
      </c>
      <c r="FF39" t="e">
        <f>AND('Planilla_General_29-11-2012_10_'!L582,"AAAAAH3//6E=")</f>
        <v>#VALUE!</v>
      </c>
      <c r="FG39" t="e">
        <f>AND('Planilla_General_29-11-2012_10_'!M582,"AAAAAH3//6I=")</f>
        <v>#VALUE!</v>
      </c>
      <c r="FH39" t="e">
        <f>AND('Planilla_General_29-11-2012_10_'!N582,"AAAAAH3//6M=")</f>
        <v>#VALUE!</v>
      </c>
      <c r="FI39" t="e">
        <f>AND('Planilla_General_29-11-2012_10_'!O582,"AAAAAH3//6Q=")</f>
        <v>#VALUE!</v>
      </c>
      <c r="FJ39" t="e">
        <f>AND('Planilla_General_29-11-2012_10_'!P582,"AAAAAH3//6U=")</f>
        <v>#VALUE!</v>
      </c>
      <c r="FK39">
        <f>IF('Planilla_General_29-11-2012_10_'!583:583,"AAAAAH3//6Y=",0)</f>
        <v>0</v>
      </c>
      <c r="FL39" t="e">
        <f>AND('Planilla_General_29-11-2012_10_'!A583,"AAAAAH3//6c=")</f>
        <v>#VALUE!</v>
      </c>
      <c r="FM39" t="e">
        <f>AND('Planilla_General_29-11-2012_10_'!B583,"AAAAAH3//6g=")</f>
        <v>#VALUE!</v>
      </c>
      <c r="FN39" t="e">
        <f>AND('Planilla_General_29-11-2012_10_'!C583,"AAAAAH3//6k=")</f>
        <v>#VALUE!</v>
      </c>
      <c r="FO39" t="e">
        <f>AND('Planilla_General_29-11-2012_10_'!D583,"AAAAAH3//6o=")</f>
        <v>#VALUE!</v>
      </c>
      <c r="FP39" t="e">
        <f>AND('Planilla_General_29-11-2012_10_'!E583,"AAAAAH3//6s=")</f>
        <v>#VALUE!</v>
      </c>
      <c r="FQ39" t="e">
        <f>AND('Planilla_General_29-11-2012_10_'!F583,"AAAAAH3//6w=")</f>
        <v>#VALUE!</v>
      </c>
      <c r="FR39" t="e">
        <f>AND('Planilla_General_29-11-2012_10_'!G583,"AAAAAH3//60=")</f>
        <v>#VALUE!</v>
      </c>
      <c r="FS39" t="e">
        <f>AND('Planilla_General_29-11-2012_10_'!H583,"AAAAAH3//64=")</f>
        <v>#VALUE!</v>
      </c>
      <c r="FT39" t="e">
        <f>AND('Planilla_General_29-11-2012_10_'!I583,"AAAAAH3//68=")</f>
        <v>#VALUE!</v>
      </c>
      <c r="FU39" t="e">
        <f>AND('Planilla_General_29-11-2012_10_'!J583,"AAAAAH3//7A=")</f>
        <v>#VALUE!</v>
      </c>
      <c r="FV39" t="e">
        <f>AND('Planilla_General_29-11-2012_10_'!K583,"AAAAAH3//7E=")</f>
        <v>#VALUE!</v>
      </c>
      <c r="FW39" t="e">
        <f>AND('Planilla_General_29-11-2012_10_'!L583,"AAAAAH3//7I=")</f>
        <v>#VALUE!</v>
      </c>
      <c r="FX39" t="e">
        <f>AND('Planilla_General_29-11-2012_10_'!M583,"AAAAAH3//7M=")</f>
        <v>#VALUE!</v>
      </c>
      <c r="FY39" t="e">
        <f>AND('Planilla_General_29-11-2012_10_'!N583,"AAAAAH3//7Q=")</f>
        <v>#VALUE!</v>
      </c>
      <c r="FZ39" t="e">
        <f>AND('Planilla_General_29-11-2012_10_'!O583,"AAAAAH3//7U=")</f>
        <v>#VALUE!</v>
      </c>
      <c r="GA39" t="e">
        <f>AND('Planilla_General_29-11-2012_10_'!P583,"AAAAAH3//7Y=")</f>
        <v>#VALUE!</v>
      </c>
      <c r="GB39">
        <f>IF('Planilla_General_29-11-2012_10_'!584:584,"AAAAAH3//7c=",0)</f>
        <v>0</v>
      </c>
      <c r="GC39" t="e">
        <f>AND('Planilla_General_29-11-2012_10_'!A584,"AAAAAH3//7g=")</f>
        <v>#VALUE!</v>
      </c>
      <c r="GD39" t="e">
        <f>AND('Planilla_General_29-11-2012_10_'!B584,"AAAAAH3//7k=")</f>
        <v>#VALUE!</v>
      </c>
      <c r="GE39" t="e">
        <f>AND('Planilla_General_29-11-2012_10_'!C584,"AAAAAH3//7o=")</f>
        <v>#VALUE!</v>
      </c>
      <c r="GF39" t="e">
        <f>AND('Planilla_General_29-11-2012_10_'!D584,"AAAAAH3//7s=")</f>
        <v>#VALUE!</v>
      </c>
      <c r="GG39" t="e">
        <f>AND('Planilla_General_29-11-2012_10_'!E584,"AAAAAH3//7w=")</f>
        <v>#VALUE!</v>
      </c>
      <c r="GH39" t="e">
        <f>AND('Planilla_General_29-11-2012_10_'!F584,"AAAAAH3//70=")</f>
        <v>#VALUE!</v>
      </c>
      <c r="GI39" t="e">
        <f>AND('Planilla_General_29-11-2012_10_'!G584,"AAAAAH3//74=")</f>
        <v>#VALUE!</v>
      </c>
      <c r="GJ39" t="e">
        <f>AND('Planilla_General_29-11-2012_10_'!H584,"AAAAAH3//78=")</f>
        <v>#VALUE!</v>
      </c>
      <c r="GK39" t="e">
        <f>AND('Planilla_General_29-11-2012_10_'!I584,"AAAAAH3//8A=")</f>
        <v>#VALUE!</v>
      </c>
      <c r="GL39" t="e">
        <f>AND('Planilla_General_29-11-2012_10_'!J584,"AAAAAH3//8E=")</f>
        <v>#VALUE!</v>
      </c>
      <c r="GM39" t="e">
        <f>AND('Planilla_General_29-11-2012_10_'!K584,"AAAAAH3//8I=")</f>
        <v>#VALUE!</v>
      </c>
      <c r="GN39" t="e">
        <f>AND('Planilla_General_29-11-2012_10_'!L584,"AAAAAH3//8M=")</f>
        <v>#VALUE!</v>
      </c>
      <c r="GO39" t="e">
        <f>AND('Planilla_General_29-11-2012_10_'!M584,"AAAAAH3//8Q=")</f>
        <v>#VALUE!</v>
      </c>
      <c r="GP39" t="e">
        <f>AND('Planilla_General_29-11-2012_10_'!N584,"AAAAAH3//8U=")</f>
        <v>#VALUE!</v>
      </c>
      <c r="GQ39" t="e">
        <f>AND('Planilla_General_29-11-2012_10_'!O584,"AAAAAH3//8Y=")</f>
        <v>#VALUE!</v>
      </c>
      <c r="GR39" t="e">
        <f>AND('Planilla_General_29-11-2012_10_'!P584,"AAAAAH3//8c=")</f>
        <v>#VALUE!</v>
      </c>
      <c r="GS39">
        <f>IF('Planilla_General_29-11-2012_10_'!585:585,"AAAAAH3//8g=",0)</f>
        <v>0</v>
      </c>
      <c r="GT39" t="e">
        <f>AND('Planilla_General_29-11-2012_10_'!A585,"AAAAAH3//8k=")</f>
        <v>#VALUE!</v>
      </c>
      <c r="GU39" t="e">
        <f>AND('Planilla_General_29-11-2012_10_'!B585,"AAAAAH3//8o=")</f>
        <v>#VALUE!</v>
      </c>
      <c r="GV39" t="e">
        <f>AND('Planilla_General_29-11-2012_10_'!C585,"AAAAAH3//8s=")</f>
        <v>#VALUE!</v>
      </c>
      <c r="GW39" t="e">
        <f>AND('Planilla_General_29-11-2012_10_'!D585,"AAAAAH3//8w=")</f>
        <v>#VALUE!</v>
      </c>
      <c r="GX39" t="e">
        <f>AND('Planilla_General_29-11-2012_10_'!E585,"AAAAAH3//80=")</f>
        <v>#VALUE!</v>
      </c>
      <c r="GY39" t="e">
        <f>AND('Planilla_General_29-11-2012_10_'!F585,"AAAAAH3//84=")</f>
        <v>#VALUE!</v>
      </c>
      <c r="GZ39" t="e">
        <f>AND('Planilla_General_29-11-2012_10_'!G585,"AAAAAH3//88=")</f>
        <v>#VALUE!</v>
      </c>
      <c r="HA39" t="e">
        <f>AND('Planilla_General_29-11-2012_10_'!H585,"AAAAAH3//9A=")</f>
        <v>#VALUE!</v>
      </c>
      <c r="HB39" t="e">
        <f>AND('Planilla_General_29-11-2012_10_'!I585,"AAAAAH3//9E=")</f>
        <v>#VALUE!</v>
      </c>
      <c r="HC39" t="e">
        <f>AND('Planilla_General_29-11-2012_10_'!J585,"AAAAAH3//9I=")</f>
        <v>#VALUE!</v>
      </c>
      <c r="HD39" t="e">
        <f>AND('Planilla_General_29-11-2012_10_'!K585,"AAAAAH3//9M=")</f>
        <v>#VALUE!</v>
      </c>
      <c r="HE39" t="e">
        <f>AND('Planilla_General_29-11-2012_10_'!L585,"AAAAAH3//9Q=")</f>
        <v>#VALUE!</v>
      </c>
      <c r="HF39" t="e">
        <f>AND('Planilla_General_29-11-2012_10_'!M585,"AAAAAH3//9U=")</f>
        <v>#VALUE!</v>
      </c>
      <c r="HG39" t="e">
        <f>AND('Planilla_General_29-11-2012_10_'!N585,"AAAAAH3//9Y=")</f>
        <v>#VALUE!</v>
      </c>
      <c r="HH39" t="e">
        <f>AND('Planilla_General_29-11-2012_10_'!O585,"AAAAAH3//9c=")</f>
        <v>#VALUE!</v>
      </c>
      <c r="HI39" t="e">
        <f>AND('Planilla_General_29-11-2012_10_'!P585,"AAAAAH3//9g=")</f>
        <v>#VALUE!</v>
      </c>
      <c r="HJ39">
        <f>IF('Planilla_General_29-11-2012_10_'!586:586,"AAAAAH3//9k=",0)</f>
        <v>0</v>
      </c>
      <c r="HK39" t="e">
        <f>AND('Planilla_General_29-11-2012_10_'!A586,"AAAAAH3//9o=")</f>
        <v>#VALUE!</v>
      </c>
      <c r="HL39" t="e">
        <f>AND('Planilla_General_29-11-2012_10_'!B586,"AAAAAH3//9s=")</f>
        <v>#VALUE!</v>
      </c>
      <c r="HM39" t="e">
        <f>AND('Planilla_General_29-11-2012_10_'!C586,"AAAAAH3//9w=")</f>
        <v>#VALUE!</v>
      </c>
      <c r="HN39" t="e">
        <f>AND('Planilla_General_29-11-2012_10_'!D586,"AAAAAH3//90=")</f>
        <v>#VALUE!</v>
      </c>
      <c r="HO39" t="e">
        <f>AND('Planilla_General_29-11-2012_10_'!E586,"AAAAAH3//94=")</f>
        <v>#VALUE!</v>
      </c>
      <c r="HP39" t="e">
        <f>AND('Planilla_General_29-11-2012_10_'!F586,"AAAAAH3//98=")</f>
        <v>#VALUE!</v>
      </c>
      <c r="HQ39" t="e">
        <f>AND('Planilla_General_29-11-2012_10_'!G586,"AAAAAH3//+A=")</f>
        <v>#VALUE!</v>
      </c>
      <c r="HR39" t="e">
        <f>AND('Planilla_General_29-11-2012_10_'!H586,"AAAAAH3//+E=")</f>
        <v>#VALUE!</v>
      </c>
      <c r="HS39" t="e">
        <f>AND('Planilla_General_29-11-2012_10_'!I586,"AAAAAH3//+I=")</f>
        <v>#VALUE!</v>
      </c>
      <c r="HT39" t="e">
        <f>AND('Planilla_General_29-11-2012_10_'!J586,"AAAAAH3//+M=")</f>
        <v>#VALUE!</v>
      </c>
      <c r="HU39" t="e">
        <f>AND('Planilla_General_29-11-2012_10_'!K586,"AAAAAH3//+Q=")</f>
        <v>#VALUE!</v>
      </c>
      <c r="HV39" t="e">
        <f>AND('Planilla_General_29-11-2012_10_'!L586,"AAAAAH3//+U=")</f>
        <v>#VALUE!</v>
      </c>
      <c r="HW39" t="e">
        <f>AND('Planilla_General_29-11-2012_10_'!M586,"AAAAAH3//+Y=")</f>
        <v>#VALUE!</v>
      </c>
      <c r="HX39" t="e">
        <f>AND('Planilla_General_29-11-2012_10_'!N586,"AAAAAH3//+c=")</f>
        <v>#VALUE!</v>
      </c>
      <c r="HY39" t="e">
        <f>AND('Planilla_General_29-11-2012_10_'!O586,"AAAAAH3//+g=")</f>
        <v>#VALUE!</v>
      </c>
      <c r="HZ39" t="e">
        <f>AND('Planilla_General_29-11-2012_10_'!P586,"AAAAAH3//+k=")</f>
        <v>#VALUE!</v>
      </c>
      <c r="IA39">
        <f>IF('Planilla_General_29-11-2012_10_'!587:587,"AAAAAH3//+o=",0)</f>
        <v>0</v>
      </c>
      <c r="IB39" t="e">
        <f>AND('Planilla_General_29-11-2012_10_'!A587,"AAAAAH3//+s=")</f>
        <v>#VALUE!</v>
      </c>
      <c r="IC39" t="e">
        <f>AND('Planilla_General_29-11-2012_10_'!B587,"AAAAAH3//+w=")</f>
        <v>#VALUE!</v>
      </c>
      <c r="ID39" t="e">
        <f>AND('Planilla_General_29-11-2012_10_'!C587,"AAAAAH3//+0=")</f>
        <v>#VALUE!</v>
      </c>
      <c r="IE39" t="e">
        <f>AND('Planilla_General_29-11-2012_10_'!D587,"AAAAAH3//+4=")</f>
        <v>#VALUE!</v>
      </c>
      <c r="IF39" t="e">
        <f>AND('Planilla_General_29-11-2012_10_'!E587,"AAAAAH3//+8=")</f>
        <v>#VALUE!</v>
      </c>
      <c r="IG39" t="e">
        <f>AND('Planilla_General_29-11-2012_10_'!F587,"AAAAAH3///A=")</f>
        <v>#VALUE!</v>
      </c>
      <c r="IH39" t="e">
        <f>AND('Planilla_General_29-11-2012_10_'!G587,"AAAAAH3///E=")</f>
        <v>#VALUE!</v>
      </c>
      <c r="II39" t="e">
        <f>AND('Planilla_General_29-11-2012_10_'!H587,"AAAAAH3///I=")</f>
        <v>#VALUE!</v>
      </c>
      <c r="IJ39" t="e">
        <f>AND('Planilla_General_29-11-2012_10_'!I587,"AAAAAH3///M=")</f>
        <v>#VALUE!</v>
      </c>
      <c r="IK39" t="e">
        <f>AND('Planilla_General_29-11-2012_10_'!J587,"AAAAAH3///Q=")</f>
        <v>#VALUE!</v>
      </c>
      <c r="IL39" t="e">
        <f>AND('Planilla_General_29-11-2012_10_'!K587,"AAAAAH3///U=")</f>
        <v>#VALUE!</v>
      </c>
      <c r="IM39" t="e">
        <f>AND('Planilla_General_29-11-2012_10_'!L587,"AAAAAH3///Y=")</f>
        <v>#VALUE!</v>
      </c>
      <c r="IN39" t="e">
        <f>AND('Planilla_General_29-11-2012_10_'!M587,"AAAAAH3///c=")</f>
        <v>#VALUE!</v>
      </c>
      <c r="IO39" t="e">
        <f>AND('Planilla_General_29-11-2012_10_'!N587,"AAAAAH3///g=")</f>
        <v>#VALUE!</v>
      </c>
      <c r="IP39" t="e">
        <f>AND('Planilla_General_29-11-2012_10_'!O587,"AAAAAH3///k=")</f>
        <v>#VALUE!</v>
      </c>
      <c r="IQ39" t="e">
        <f>AND('Planilla_General_29-11-2012_10_'!P587,"AAAAAH3///o=")</f>
        <v>#VALUE!</v>
      </c>
      <c r="IR39">
        <f>IF('Planilla_General_29-11-2012_10_'!588:588,"AAAAAH3///s=",0)</f>
        <v>0</v>
      </c>
      <c r="IS39" t="e">
        <f>AND('Planilla_General_29-11-2012_10_'!A588,"AAAAAH3///w=")</f>
        <v>#VALUE!</v>
      </c>
      <c r="IT39" t="e">
        <f>AND('Planilla_General_29-11-2012_10_'!B588,"AAAAAH3///0=")</f>
        <v>#VALUE!</v>
      </c>
      <c r="IU39" t="e">
        <f>AND('Planilla_General_29-11-2012_10_'!C588,"AAAAAH3///4=")</f>
        <v>#VALUE!</v>
      </c>
      <c r="IV39" t="e">
        <f>AND('Planilla_General_29-11-2012_10_'!D588,"AAAAAH3///8=")</f>
        <v>#VALUE!</v>
      </c>
    </row>
    <row r="40" spans="1:256" x14ac:dyDescent="0.25">
      <c r="A40" t="e">
        <f>AND('Planilla_General_29-11-2012_10_'!E588,"AAAAAFt/3QA=")</f>
        <v>#VALUE!</v>
      </c>
      <c r="B40" t="e">
        <f>AND('Planilla_General_29-11-2012_10_'!F588,"AAAAAFt/3QE=")</f>
        <v>#VALUE!</v>
      </c>
      <c r="C40" t="e">
        <f>AND('Planilla_General_29-11-2012_10_'!G588,"AAAAAFt/3QI=")</f>
        <v>#VALUE!</v>
      </c>
      <c r="D40" t="e">
        <f>AND('Planilla_General_29-11-2012_10_'!H588,"AAAAAFt/3QM=")</f>
        <v>#VALUE!</v>
      </c>
      <c r="E40" t="e">
        <f>AND('Planilla_General_29-11-2012_10_'!I588,"AAAAAFt/3QQ=")</f>
        <v>#VALUE!</v>
      </c>
      <c r="F40" t="e">
        <f>AND('Planilla_General_29-11-2012_10_'!J588,"AAAAAFt/3QU=")</f>
        <v>#VALUE!</v>
      </c>
      <c r="G40" t="e">
        <f>AND('Planilla_General_29-11-2012_10_'!K588,"AAAAAFt/3QY=")</f>
        <v>#VALUE!</v>
      </c>
      <c r="H40" t="e">
        <f>AND('Planilla_General_29-11-2012_10_'!L588,"AAAAAFt/3Qc=")</f>
        <v>#VALUE!</v>
      </c>
      <c r="I40" t="e">
        <f>AND('Planilla_General_29-11-2012_10_'!M588,"AAAAAFt/3Qg=")</f>
        <v>#VALUE!</v>
      </c>
      <c r="J40" t="e">
        <f>AND('Planilla_General_29-11-2012_10_'!N588,"AAAAAFt/3Qk=")</f>
        <v>#VALUE!</v>
      </c>
      <c r="K40" t="e">
        <f>AND('Planilla_General_29-11-2012_10_'!O588,"AAAAAFt/3Qo=")</f>
        <v>#VALUE!</v>
      </c>
      <c r="L40" t="e">
        <f>AND('Planilla_General_29-11-2012_10_'!P588,"AAAAAFt/3Qs=")</f>
        <v>#VALUE!</v>
      </c>
      <c r="M40" t="str">
        <f>IF('Planilla_General_29-11-2012_10_'!589:589,"AAAAAFt/3Qw=",0)</f>
        <v>AAAAAFt/3Qw=</v>
      </c>
      <c r="N40" t="e">
        <f>AND('Planilla_General_29-11-2012_10_'!A589,"AAAAAFt/3Q0=")</f>
        <v>#VALUE!</v>
      </c>
      <c r="O40" t="e">
        <f>AND('Planilla_General_29-11-2012_10_'!B589,"AAAAAFt/3Q4=")</f>
        <v>#VALUE!</v>
      </c>
      <c r="P40" t="e">
        <f>AND('Planilla_General_29-11-2012_10_'!C589,"AAAAAFt/3Q8=")</f>
        <v>#VALUE!</v>
      </c>
      <c r="Q40" t="e">
        <f>AND('Planilla_General_29-11-2012_10_'!D589,"AAAAAFt/3RA=")</f>
        <v>#VALUE!</v>
      </c>
      <c r="R40" t="e">
        <f>AND('Planilla_General_29-11-2012_10_'!E589,"AAAAAFt/3RE=")</f>
        <v>#VALUE!</v>
      </c>
      <c r="S40" t="e">
        <f>AND('Planilla_General_29-11-2012_10_'!F589,"AAAAAFt/3RI=")</f>
        <v>#VALUE!</v>
      </c>
      <c r="T40" t="e">
        <f>AND('Planilla_General_29-11-2012_10_'!G589,"AAAAAFt/3RM=")</f>
        <v>#VALUE!</v>
      </c>
      <c r="U40" t="e">
        <f>AND('Planilla_General_29-11-2012_10_'!H589,"AAAAAFt/3RQ=")</f>
        <v>#VALUE!</v>
      </c>
      <c r="V40" t="e">
        <f>AND('Planilla_General_29-11-2012_10_'!I589,"AAAAAFt/3RU=")</f>
        <v>#VALUE!</v>
      </c>
      <c r="W40" t="e">
        <f>AND('Planilla_General_29-11-2012_10_'!J589,"AAAAAFt/3RY=")</f>
        <v>#VALUE!</v>
      </c>
      <c r="X40" t="e">
        <f>AND('Planilla_General_29-11-2012_10_'!K589,"AAAAAFt/3Rc=")</f>
        <v>#VALUE!</v>
      </c>
      <c r="Y40" t="e">
        <f>AND('Planilla_General_29-11-2012_10_'!L589,"AAAAAFt/3Rg=")</f>
        <v>#VALUE!</v>
      </c>
      <c r="Z40" t="e">
        <f>AND('Planilla_General_29-11-2012_10_'!M589,"AAAAAFt/3Rk=")</f>
        <v>#VALUE!</v>
      </c>
      <c r="AA40" t="e">
        <f>AND('Planilla_General_29-11-2012_10_'!N589,"AAAAAFt/3Ro=")</f>
        <v>#VALUE!</v>
      </c>
      <c r="AB40" t="e">
        <f>AND('Planilla_General_29-11-2012_10_'!O589,"AAAAAFt/3Rs=")</f>
        <v>#VALUE!</v>
      </c>
      <c r="AC40" t="e">
        <f>AND('Planilla_General_29-11-2012_10_'!P589,"AAAAAFt/3Rw=")</f>
        <v>#VALUE!</v>
      </c>
      <c r="AD40">
        <f>IF('Planilla_General_29-11-2012_10_'!590:590,"AAAAAFt/3R0=",0)</f>
        <v>0</v>
      </c>
      <c r="AE40" t="e">
        <f>AND('Planilla_General_29-11-2012_10_'!A590,"AAAAAFt/3R4=")</f>
        <v>#VALUE!</v>
      </c>
      <c r="AF40" t="e">
        <f>AND('Planilla_General_29-11-2012_10_'!B590,"AAAAAFt/3R8=")</f>
        <v>#VALUE!</v>
      </c>
      <c r="AG40" t="e">
        <f>AND('Planilla_General_29-11-2012_10_'!C590,"AAAAAFt/3SA=")</f>
        <v>#VALUE!</v>
      </c>
      <c r="AH40" t="e">
        <f>AND('Planilla_General_29-11-2012_10_'!D590,"AAAAAFt/3SE=")</f>
        <v>#VALUE!</v>
      </c>
      <c r="AI40" t="e">
        <f>AND('Planilla_General_29-11-2012_10_'!E590,"AAAAAFt/3SI=")</f>
        <v>#VALUE!</v>
      </c>
      <c r="AJ40" t="e">
        <f>AND('Planilla_General_29-11-2012_10_'!F590,"AAAAAFt/3SM=")</f>
        <v>#VALUE!</v>
      </c>
      <c r="AK40" t="e">
        <f>AND('Planilla_General_29-11-2012_10_'!G590,"AAAAAFt/3SQ=")</f>
        <v>#VALUE!</v>
      </c>
      <c r="AL40" t="e">
        <f>AND('Planilla_General_29-11-2012_10_'!H590,"AAAAAFt/3SU=")</f>
        <v>#VALUE!</v>
      </c>
      <c r="AM40" t="e">
        <f>AND('Planilla_General_29-11-2012_10_'!I590,"AAAAAFt/3SY=")</f>
        <v>#VALUE!</v>
      </c>
      <c r="AN40" t="e">
        <f>AND('Planilla_General_29-11-2012_10_'!J590,"AAAAAFt/3Sc=")</f>
        <v>#VALUE!</v>
      </c>
      <c r="AO40" t="e">
        <f>AND('Planilla_General_29-11-2012_10_'!K590,"AAAAAFt/3Sg=")</f>
        <v>#VALUE!</v>
      </c>
      <c r="AP40" t="e">
        <f>AND('Planilla_General_29-11-2012_10_'!L590,"AAAAAFt/3Sk=")</f>
        <v>#VALUE!</v>
      </c>
      <c r="AQ40" t="e">
        <f>AND('Planilla_General_29-11-2012_10_'!M590,"AAAAAFt/3So=")</f>
        <v>#VALUE!</v>
      </c>
      <c r="AR40" t="e">
        <f>AND('Planilla_General_29-11-2012_10_'!N590,"AAAAAFt/3Ss=")</f>
        <v>#VALUE!</v>
      </c>
      <c r="AS40" t="e">
        <f>AND('Planilla_General_29-11-2012_10_'!O590,"AAAAAFt/3Sw=")</f>
        <v>#VALUE!</v>
      </c>
      <c r="AT40" t="e">
        <f>AND('Planilla_General_29-11-2012_10_'!P590,"AAAAAFt/3S0=")</f>
        <v>#VALUE!</v>
      </c>
      <c r="AU40">
        <f>IF('Planilla_General_29-11-2012_10_'!591:591,"AAAAAFt/3S4=",0)</f>
        <v>0</v>
      </c>
      <c r="AV40" t="e">
        <f>AND('Planilla_General_29-11-2012_10_'!A591,"AAAAAFt/3S8=")</f>
        <v>#VALUE!</v>
      </c>
      <c r="AW40" t="e">
        <f>AND('Planilla_General_29-11-2012_10_'!B591,"AAAAAFt/3TA=")</f>
        <v>#VALUE!</v>
      </c>
      <c r="AX40" t="e">
        <f>AND('Planilla_General_29-11-2012_10_'!C591,"AAAAAFt/3TE=")</f>
        <v>#VALUE!</v>
      </c>
      <c r="AY40" t="e">
        <f>AND('Planilla_General_29-11-2012_10_'!D591,"AAAAAFt/3TI=")</f>
        <v>#VALUE!</v>
      </c>
      <c r="AZ40" t="e">
        <f>AND('Planilla_General_29-11-2012_10_'!E591,"AAAAAFt/3TM=")</f>
        <v>#VALUE!</v>
      </c>
      <c r="BA40" t="e">
        <f>AND('Planilla_General_29-11-2012_10_'!F591,"AAAAAFt/3TQ=")</f>
        <v>#VALUE!</v>
      </c>
      <c r="BB40" t="e">
        <f>AND('Planilla_General_29-11-2012_10_'!G591,"AAAAAFt/3TU=")</f>
        <v>#VALUE!</v>
      </c>
      <c r="BC40" t="e">
        <f>AND('Planilla_General_29-11-2012_10_'!H591,"AAAAAFt/3TY=")</f>
        <v>#VALUE!</v>
      </c>
      <c r="BD40" t="e">
        <f>AND('Planilla_General_29-11-2012_10_'!I591,"AAAAAFt/3Tc=")</f>
        <v>#VALUE!</v>
      </c>
      <c r="BE40" t="e">
        <f>AND('Planilla_General_29-11-2012_10_'!J591,"AAAAAFt/3Tg=")</f>
        <v>#VALUE!</v>
      </c>
      <c r="BF40" t="e">
        <f>AND('Planilla_General_29-11-2012_10_'!K591,"AAAAAFt/3Tk=")</f>
        <v>#VALUE!</v>
      </c>
      <c r="BG40" t="e">
        <f>AND('Planilla_General_29-11-2012_10_'!L591,"AAAAAFt/3To=")</f>
        <v>#VALUE!</v>
      </c>
      <c r="BH40" t="e">
        <f>AND('Planilla_General_29-11-2012_10_'!M591,"AAAAAFt/3Ts=")</f>
        <v>#VALUE!</v>
      </c>
      <c r="BI40" t="e">
        <f>AND('Planilla_General_29-11-2012_10_'!N591,"AAAAAFt/3Tw=")</f>
        <v>#VALUE!</v>
      </c>
      <c r="BJ40" t="e">
        <f>AND('Planilla_General_29-11-2012_10_'!O591,"AAAAAFt/3T0=")</f>
        <v>#VALUE!</v>
      </c>
      <c r="BK40" t="e">
        <f>AND('Planilla_General_29-11-2012_10_'!P591,"AAAAAFt/3T4=")</f>
        <v>#VALUE!</v>
      </c>
      <c r="BL40">
        <f>IF('Planilla_General_29-11-2012_10_'!592:592,"AAAAAFt/3T8=",0)</f>
        <v>0</v>
      </c>
      <c r="BM40" t="e">
        <f>AND('Planilla_General_29-11-2012_10_'!A592,"AAAAAFt/3UA=")</f>
        <v>#VALUE!</v>
      </c>
      <c r="BN40" t="e">
        <f>AND('Planilla_General_29-11-2012_10_'!B592,"AAAAAFt/3UE=")</f>
        <v>#VALUE!</v>
      </c>
      <c r="BO40" t="e">
        <f>AND('Planilla_General_29-11-2012_10_'!C592,"AAAAAFt/3UI=")</f>
        <v>#VALUE!</v>
      </c>
      <c r="BP40" t="e">
        <f>AND('Planilla_General_29-11-2012_10_'!D592,"AAAAAFt/3UM=")</f>
        <v>#VALUE!</v>
      </c>
      <c r="BQ40" t="e">
        <f>AND('Planilla_General_29-11-2012_10_'!E592,"AAAAAFt/3UQ=")</f>
        <v>#VALUE!</v>
      </c>
      <c r="BR40" t="e">
        <f>AND('Planilla_General_29-11-2012_10_'!F592,"AAAAAFt/3UU=")</f>
        <v>#VALUE!</v>
      </c>
      <c r="BS40" t="e">
        <f>AND('Planilla_General_29-11-2012_10_'!G592,"AAAAAFt/3UY=")</f>
        <v>#VALUE!</v>
      </c>
      <c r="BT40" t="e">
        <f>AND('Planilla_General_29-11-2012_10_'!H592,"AAAAAFt/3Uc=")</f>
        <v>#VALUE!</v>
      </c>
      <c r="BU40" t="e">
        <f>AND('Planilla_General_29-11-2012_10_'!I592,"AAAAAFt/3Ug=")</f>
        <v>#VALUE!</v>
      </c>
      <c r="BV40" t="e">
        <f>AND('Planilla_General_29-11-2012_10_'!J592,"AAAAAFt/3Uk=")</f>
        <v>#VALUE!</v>
      </c>
      <c r="BW40" t="e">
        <f>AND('Planilla_General_29-11-2012_10_'!K592,"AAAAAFt/3Uo=")</f>
        <v>#VALUE!</v>
      </c>
      <c r="BX40" t="e">
        <f>AND('Planilla_General_29-11-2012_10_'!L592,"AAAAAFt/3Us=")</f>
        <v>#VALUE!</v>
      </c>
      <c r="BY40" t="e">
        <f>AND('Planilla_General_29-11-2012_10_'!M592,"AAAAAFt/3Uw=")</f>
        <v>#VALUE!</v>
      </c>
      <c r="BZ40" t="e">
        <f>AND('Planilla_General_29-11-2012_10_'!N592,"AAAAAFt/3U0=")</f>
        <v>#VALUE!</v>
      </c>
      <c r="CA40" t="e">
        <f>AND('Planilla_General_29-11-2012_10_'!O592,"AAAAAFt/3U4=")</f>
        <v>#VALUE!</v>
      </c>
      <c r="CB40" t="e">
        <f>AND('Planilla_General_29-11-2012_10_'!P592,"AAAAAFt/3U8=")</f>
        <v>#VALUE!</v>
      </c>
      <c r="CC40">
        <f>IF('Planilla_General_29-11-2012_10_'!593:593,"AAAAAFt/3VA=",0)</f>
        <v>0</v>
      </c>
      <c r="CD40" t="e">
        <f>AND('Planilla_General_29-11-2012_10_'!A593,"AAAAAFt/3VE=")</f>
        <v>#VALUE!</v>
      </c>
      <c r="CE40" t="e">
        <f>AND('Planilla_General_29-11-2012_10_'!B593,"AAAAAFt/3VI=")</f>
        <v>#VALUE!</v>
      </c>
      <c r="CF40" t="e">
        <f>AND('Planilla_General_29-11-2012_10_'!C593,"AAAAAFt/3VM=")</f>
        <v>#VALUE!</v>
      </c>
      <c r="CG40" t="e">
        <f>AND('Planilla_General_29-11-2012_10_'!D593,"AAAAAFt/3VQ=")</f>
        <v>#VALUE!</v>
      </c>
      <c r="CH40" t="e">
        <f>AND('Planilla_General_29-11-2012_10_'!E593,"AAAAAFt/3VU=")</f>
        <v>#VALUE!</v>
      </c>
      <c r="CI40" t="e">
        <f>AND('Planilla_General_29-11-2012_10_'!F593,"AAAAAFt/3VY=")</f>
        <v>#VALUE!</v>
      </c>
      <c r="CJ40" t="e">
        <f>AND('Planilla_General_29-11-2012_10_'!G593,"AAAAAFt/3Vc=")</f>
        <v>#VALUE!</v>
      </c>
      <c r="CK40" t="e">
        <f>AND('Planilla_General_29-11-2012_10_'!H593,"AAAAAFt/3Vg=")</f>
        <v>#VALUE!</v>
      </c>
      <c r="CL40" t="e">
        <f>AND('Planilla_General_29-11-2012_10_'!I593,"AAAAAFt/3Vk=")</f>
        <v>#VALUE!</v>
      </c>
      <c r="CM40" t="e">
        <f>AND('Planilla_General_29-11-2012_10_'!J593,"AAAAAFt/3Vo=")</f>
        <v>#VALUE!</v>
      </c>
      <c r="CN40" t="e">
        <f>AND('Planilla_General_29-11-2012_10_'!K593,"AAAAAFt/3Vs=")</f>
        <v>#VALUE!</v>
      </c>
      <c r="CO40" t="e">
        <f>AND('Planilla_General_29-11-2012_10_'!L593,"AAAAAFt/3Vw=")</f>
        <v>#VALUE!</v>
      </c>
      <c r="CP40" t="e">
        <f>AND('Planilla_General_29-11-2012_10_'!M593,"AAAAAFt/3V0=")</f>
        <v>#VALUE!</v>
      </c>
      <c r="CQ40" t="e">
        <f>AND('Planilla_General_29-11-2012_10_'!N593,"AAAAAFt/3V4=")</f>
        <v>#VALUE!</v>
      </c>
      <c r="CR40" t="e">
        <f>AND('Planilla_General_29-11-2012_10_'!O593,"AAAAAFt/3V8=")</f>
        <v>#VALUE!</v>
      </c>
      <c r="CS40" t="e">
        <f>AND('Planilla_General_29-11-2012_10_'!P593,"AAAAAFt/3WA=")</f>
        <v>#VALUE!</v>
      </c>
      <c r="CT40">
        <f>IF('Planilla_General_29-11-2012_10_'!594:594,"AAAAAFt/3WE=",0)</f>
        <v>0</v>
      </c>
      <c r="CU40" t="e">
        <f>AND('Planilla_General_29-11-2012_10_'!A594,"AAAAAFt/3WI=")</f>
        <v>#VALUE!</v>
      </c>
      <c r="CV40" t="e">
        <f>AND('Planilla_General_29-11-2012_10_'!B594,"AAAAAFt/3WM=")</f>
        <v>#VALUE!</v>
      </c>
      <c r="CW40" t="e">
        <f>AND('Planilla_General_29-11-2012_10_'!C594,"AAAAAFt/3WQ=")</f>
        <v>#VALUE!</v>
      </c>
      <c r="CX40" t="e">
        <f>AND('Planilla_General_29-11-2012_10_'!D594,"AAAAAFt/3WU=")</f>
        <v>#VALUE!</v>
      </c>
      <c r="CY40" t="e">
        <f>AND('Planilla_General_29-11-2012_10_'!E594,"AAAAAFt/3WY=")</f>
        <v>#VALUE!</v>
      </c>
      <c r="CZ40" t="e">
        <f>AND('Planilla_General_29-11-2012_10_'!F594,"AAAAAFt/3Wc=")</f>
        <v>#VALUE!</v>
      </c>
      <c r="DA40" t="e">
        <f>AND('Planilla_General_29-11-2012_10_'!G594,"AAAAAFt/3Wg=")</f>
        <v>#VALUE!</v>
      </c>
      <c r="DB40" t="e">
        <f>AND('Planilla_General_29-11-2012_10_'!H594,"AAAAAFt/3Wk=")</f>
        <v>#VALUE!</v>
      </c>
      <c r="DC40" t="e">
        <f>AND('Planilla_General_29-11-2012_10_'!I594,"AAAAAFt/3Wo=")</f>
        <v>#VALUE!</v>
      </c>
      <c r="DD40" t="e">
        <f>AND('Planilla_General_29-11-2012_10_'!J594,"AAAAAFt/3Ws=")</f>
        <v>#VALUE!</v>
      </c>
      <c r="DE40" t="e">
        <f>AND('Planilla_General_29-11-2012_10_'!K594,"AAAAAFt/3Ww=")</f>
        <v>#VALUE!</v>
      </c>
      <c r="DF40" t="e">
        <f>AND('Planilla_General_29-11-2012_10_'!L594,"AAAAAFt/3W0=")</f>
        <v>#VALUE!</v>
      </c>
      <c r="DG40" t="e">
        <f>AND('Planilla_General_29-11-2012_10_'!M594,"AAAAAFt/3W4=")</f>
        <v>#VALUE!</v>
      </c>
      <c r="DH40" t="e">
        <f>AND('Planilla_General_29-11-2012_10_'!N594,"AAAAAFt/3W8=")</f>
        <v>#VALUE!</v>
      </c>
      <c r="DI40" t="e">
        <f>AND('Planilla_General_29-11-2012_10_'!O594,"AAAAAFt/3XA=")</f>
        <v>#VALUE!</v>
      </c>
      <c r="DJ40" t="e">
        <f>AND('Planilla_General_29-11-2012_10_'!P594,"AAAAAFt/3XE=")</f>
        <v>#VALUE!</v>
      </c>
      <c r="DK40">
        <f>IF('Planilla_General_29-11-2012_10_'!595:595,"AAAAAFt/3XI=",0)</f>
        <v>0</v>
      </c>
      <c r="DL40" t="e">
        <f>AND('Planilla_General_29-11-2012_10_'!A595,"AAAAAFt/3XM=")</f>
        <v>#VALUE!</v>
      </c>
      <c r="DM40" t="e">
        <f>AND('Planilla_General_29-11-2012_10_'!B595,"AAAAAFt/3XQ=")</f>
        <v>#VALUE!</v>
      </c>
      <c r="DN40" t="e">
        <f>AND('Planilla_General_29-11-2012_10_'!C595,"AAAAAFt/3XU=")</f>
        <v>#VALUE!</v>
      </c>
      <c r="DO40" t="e">
        <f>AND('Planilla_General_29-11-2012_10_'!D595,"AAAAAFt/3XY=")</f>
        <v>#VALUE!</v>
      </c>
      <c r="DP40" t="e">
        <f>AND('Planilla_General_29-11-2012_10_'!E595,"AAAAAFt/3Xc=")</f>
        <v>#VALUE!</v>
      </c>
      <c r="DQ40" t="e">
        <f>AND('Planilla_General_29-11-2012_10_'!F595,"AAAAAFt/3Xg=")</f>
        <v>#VALUE!</v>
      </c>
      <c r="DR40" t="e">
        <f>AND('Planilla_General_29-11-2012_10_'!G595,"AAAAAFt/3Xk=")</f>
        <v>#VALUE!</v>
      </c>
      <c r="DS40" t="e">
        <f>AND('Planilla_General_29-11-2012_10_'!H595,"AAAAAFt/3Xo=")</f>
        <v>#VALUE!</v>
      </c>
      <c r="DT40" t="e">
        <f>AND('Planilla_General_29-11-2012_10_'!I595,"AAAAAFt/3Xs=")</f>
        <v>#VALUE!</v>
      </c>
      <c r="DU40" t="e">
        <f>AND('Planilla_General_29-11-2012_10_'!J595,"AAAAAFt/3Xw=")</f>
        <v>#VALUE!</v>
      </c>
      <c r="DV40" t="e">
        <f>AND('Planilla_General_29-11-2012_10_'!K595,"AAAAAFt/3X0=")</f>
        <v>#VALUE!</v>
      </c>
      <c r="DW40" t="e">
        <f>AND('Planilla_General_29-11-2012_10_'!L595,"AAAAAFt/3X4=")</f>
        <v>#VALUE!</v>
      </c>
      <c r="DX40" t="e">
        <f>AND('Planilla_General_29-11-2012_10_'!M595,"AAAAAFt/3X8=")</f>
        <v>#VALUE!</v>
      </c>
      <c r="DY40" t="e">
        <f>AND('Planilla_General_29-11-2012_10_'!N595,"AAAAAFt/3YA=")</f>
        <v>#VALUE!</v>
      </c>
      <c r="DZ40" t="e">
        <f>AND('Planilla_General_29-11-2012_10_'!O595,"AAAAAFt/3YE=")</f>
        <v>#VALUE!</v>
      </c>
      <c r="EA40" t="e">
        <f>AND('Planilla_General_29-11-2012_10_'!P595,"AAAAAFt/3YI=")</f>
        <v>#VALUE!</v>
      </c>
      <c r="EB40">
        <f>IF('Planilla_General_29-11-2012_10_'!596:596,"AAAAAFt/3YM=",0)</f>
        <v>0</v>
      </c>
      <c r="EC40" t="e">
        <f>AND('Planilla_General_29-11-2012_10_'!A596,"AAAAAFt/3YQ=")</f>
        <v>#VALUE!</v>
      </c>
      <c r="ED40" t="e">
        <f>AND('Planilla_General_29-11-2012_10_'!B596,"AAAAAFt/3YU=")</f>
        <v>#VALUE!</v>
      </c>
      <c r="EE40" t="e">
        <f>AND('Planilla_General_29-11-2012_10_'!C596,"AAAAAFt/3YY=")</f>
        <v>#VALUE!</v>
      </c>
      <c r="EF40" t="e">
        <f>AND('Planilla_General_29-11-2012_10_'!D596,"AAAAAFt/3Yc=")</f>
        <v>#VALUE!</v>
      </c>
      <c r="EG40" t="e">
        <f>AND('Planilla_General_29-11-2012_10_'!E596,"AAAAAFt/3Yg=")</f>
        <v>#VALUE!</v>
      </c>
      <c r="EH40" t="e">
        <f>AND('Planilla_General_29-11-2012_10_'!F596,"AAAAAFt/3Yk=")</f>
        <v>#VALUE!</v>
      </c>
      <c r="EI40" t="e">
        <f>AND('Planilla_General_29-11-2012_10_'!G596,"AAAAAFt/3Yo=")</f>
        <v>#VALUE!</v>
      </c>
      <c r="EJ40" t="e">
        <f>AND('Planilla_General_29-11-2012_10_'!H596,"AAAAAFt/3Ys=")</f>
        <v>#VALUE!</v>
      </c>
      <c r="EK40" t="e">
        <f>AND('Planilla_General_29-11-2012_10_'!I596,"AAAAAFt/3Yw=")</f>
        <v>#VALUE!</v>
      </c>
      <c r="EL40" t="e">
        <f>AND('Planilla_General_29-11-2012_10_'!J596,"AAAAAFt/3Y0=")</f>
        <v>#VALUE!</v>
      </c>
      <c r="EM40" t="e">
        <f>AND('Planilla_General_29-11-2012_10_'!K596,"AAAAAFt/3Y4=")</f>
        <v>#VALUE!</v>
      </c>
      <c r="EN40" t="e">
        <f>AND('Planilla_General_29-11-2012_10_'!L596,"AAAAAFt/3Y8=")</f>
        <v>#VALUE!</v>
      </c>
      <c r="EO40" t="e">
        <f>AND('Planilla_General_29-11-2012_10_'!M596,"AAAAAFt/3ZA=")</f>
        <v>#VALUE!</v>
      </c>
      <c r="EP40" t="e">
        <f>AND('Planilla_General_29-11-2012_10_'!N596,"AAAAAFt/3ZE=")</f>
        <v>#VALUE!</v>
      </c>
      <c r="EQ40" t="e">
        <f>AND('Planilla_General_29-11-2012_10_'!O596,"AAAAAFt/3ZI=")</f>
        <v>#VALUE!</v>
      </c>
      <c r="ER40" t="e">
        <f>AND('Planilla_General_29-11-2012_10_'!P596,"AAAAAFt/3ZM=")</f>
        <v>#VALUE!</v>
      </c>
      <c r="ES40">
        <f>IF('Planilla_General_29-11-2012_10_'!597:597,"AAAAAFt/3ZQ=",0)</f>
        <v>0</v>
      </c>
      <c r="ET40" t="e">
        <f>AND('Planilla_General_29-11-2012_10_'!A597,"AAAAAFt/3ZU=")</f>
        <v>#VALUE!</v>
      </c>
      <c r="EU40" t="e">
        <f>AND('Planilla_General_29-11-2012_10_'!B597,"AAAAAFt/3ZY=")</f>
        <v>#VALUE!</v>
      </c>
      <c r="EV40" t="e">
        <f>AND('Planilla_General_29-11-2012_10_'!C597,"AAAAAFt/3Zc=")</f>
        <v>#VALUE!</v>
      </c>
      <c r="EW40" t="e">
        <f>AND('Planilla_General_29-11-2012_10_'!D597,"AAAAAFt/3Zg=")</f>
        <v>#VALUE!</v>
      </c>
      <c r="EX40" t="e">
        <f>AND('Planilla_General_29-11-2012_10_'!E597,"AAAAAFt/3Zk=")</f>
        <v>#VALUE!</v>
      </c>
      <c r="EY40" t="e">
        <f>AND('Planilla_General_29-11-2012_10_'!F597,"AAAAAFt/3Zo=")</f>
        <v>#VALUE!</v>
      </c>
      <c r="EZ40" t="e">
        <f>AND('Planilla_General_29-11-2012_10_'!G597,"AAAAAFt/3Zs=")</f>
        <v>#VALUE!</v>
      </c>
      <c r="FA40" t="e">
        <f>AND('Planilla_General_29-11-2012_10_'!H597,"AAAAAFt/3Zw=")</f>
        <v>#VALUE!</v>
      </c>
      <c r="FB40" t="e">
        <f>AND('Planilla_General_29-11-2012_10_'!I597,"AAAAAFt/3Z0=")</f>
        <v>#VALUE!</v>
      </c>
      <c r="FC40" t="e">
        <f>AND('Planilla_General_29-11-2012_10_'!J597,"AAAAAFt/3Z4=")</f>
        <v>#VALUE!</v>
      </c>
      <c r="FD40" t="e">
        <f>AND('Planilla_General_29-11-2012_10_'!K597,"AAAAAFt/3Z8=")</f>
        <v>#VALUE!</v>
      </c>
      <c r="FE40" t="e">
        <f>AND('Planilla_General_29-11-2012_10_'!L597,"AAAAAFt/3aA=")</f>
        <v>#VALUE!</v>
      </c>
      <c r="FF40" t="e">
        <f>AND('Planilla_General_29-11-2012_10_'!M597,"AAAAAFt/3aE=")</f>
        <v>#VALUE!</v>
      </c>
      <c r="FG40" t="e">
        <f>AND('Planilla_General_29-11-2012_10_'!N597,"AAAAAFt/3aI=")</f>
        <v>#VALUE!</v>
      </c>
      <c r="FH40" t="e">
        <f>AND('Planilla_General_29-11-2012_10_'!O597,"AAAAAFt/3aM=")</f>
        <v>#VALUE!</v>
      </c>
      <c r="FI40" t="e">
        <f>AND('Planilla_General_29-11-2012_10_'!P597,"AAAAAFt/3aQ=")</f>
        <v>#VALUE!</v>
      </c>
      <c r="FJ40">
        <f>IF('Planilla_General_29-11-2012_10_'!598:598,"AAAAAFt/3aU=",0)</f>
        <v>0</v>
      </c>
      <c r="FK40" t="e">
        <f>AND('Planilla_General_29-11-2012_10_'!A598,"AAAAAFt/3aY=")</f>
        <v>#VALUE!</v>
      </c>
      <c r="FL40" t="e">
        <f>AND('Planilla_General_29-11-2012_10_'!B598,"AAAAAFt/3ac=")</f>
        <v>#VALUE!</v>
      </c>
      <c r="FM40" t="e">
        <f>AND('Planilla_General_29-11-2012_10_'!C598,"AAAAAFt/3ag=")</f>
        <v>#VALUE!</v>
      </c>
      <c r="FN40" t="e">
        <f>AND('Planilla_General_29-11-2012_10_'!D598,"AAAAAFt/3ak=")</f>
        <v>#VALUE!</v>
      </c>
      <c r="FO40" t="e">
        <f>AND('Planilla_General_29-11-2012_10_'!E598,"AAAAAFt/3ao=")</f>
        <v>#VALUE!</v>
      </c>
      <c r="FP40" t="e">
        <f>AND('Planilla_General_29-11-2012_10_'!F598,"AAAAAFt/3as=")</f>
        <v>#VALUE!</v>
      </c>
      <c r="FQ40" t="e">
        <f>AND('Planilla_General_29-11-2012_10_'!G598,"AAAAAFt/3aw=")</f>
        <v>#VALUE!</v>
      </c>
      <c r="FR40" t="e">
        <f>AND('Planilla_General_29-11-2012_10_'!H598,"AAAAAFt/3a0=")</f>
        <v>#VALUE!</v>
      </c>
      <c r="FS40" t="e">
        <f>AND('Planilla_General_29-11-2012_10_'!I598,"AAAAAFt/3a4=")</f>
        <v>#VALUE!</v>
      </c>
      <c r="FT40" t="e">
        <f>AND('Planilla_General_29-11-2012_10_'!J598,"AAAAAFt/3a8=")</f>
        <v>#VALUE!</v>
      </c>
      <c r="FU40" t="e">
        <f>AND('Planilla_General_29-11-2012_10_'!K598,"AAAAAFt/3bA=")</f>
        <v>#VALUE!</v>
      </c>
      <c r="FV40" t="e">
        <f>AND('Planilla_General_29-11-2012_10_'!L598,"AAAAAFt/3bE=")</f>
        <v>#VALUE!</v>
      </c>
      <c r="FW40" t="e">
        <f>AND('Planilla_General_29-11-2012_10_'!M598,"AAAAAFt/3bI=")</f>
        <v>#VALUE!</v>
      </c>
      <c r="FX40" t="e">
        <f>AND('Planilla_General_29-11-2012_10_'!N598,"AAAAAFt/3bM=")</f>
        <v>#VALUE!</v>
      </c>
      <c r="FY40" t="e">
        <f>AND('Planilla_General_29-11-2012_10_'!O598,"AAAAAFt/3bQ=")</f>
        <v>#VALUE!</v>
      </c>
      <c r="FZ40" t="e">
        <f>AND('Planilla_General_29-11-2012_10_'!P598,"AAAAAFt/3bU=")</f>
        <v>#VALUE!</v>
      </c>
      <c r="GA40">
        <f>IF('Planilla_General_29-11-2012_10_'!599:599,"AAAAAFt/3bY=",0)</f>
        <v>0</v>
      </c>
      <c r="GB40" t="e">
        <f>AND('Planilla_General_29-11-2012_10_'!A599,"AAAAAFt/3bc=")</f>
        <v>#VALUE!</v>
      </c>
      <c r="GC40" t="e">
        <f>AND('Planilla_General_29-11-2012_10_'!B599,"AAAAAFt/3bg=")</f>
        <v>#VALUE!</v>
      </c>
      <c r="GD40" t="e">
        <f>AND('Planilla_General_29-11-2012_10_'!C599,"AAAAAFt/3bk=")</f>
        <v>#VALUE!</v>
      </c>
      <c r="GE40" t="e">
        <f>AND('Planilla_General_29-11-2012_10_'!D599,"AAAAAFt/3bo=")</f>
        <v>#VALUE!</v>
      </c>
      <c r="GF40" t="e">
        <f>AND('Planilla_General_29-11-2012_10_'!E599,"AAAAAFt/3bs=")</f>
        <v>#VALUE!</v>
      </c>
      <c r="GG40" t="e">
        <f>AND('Planilla_General_29-11-2012_10_'!F599,"AAAAAFt/3bw=")</f>
        <v>#VALUE!</v>
      </c>
      <c r="GH40" t="e">
        <f>AND('Planilla_General_29-11-2012_10_'!G599,"AAAAAFt/3b0=")</f>
        <v>#VALUE!</v>
      </c>
      <c r="GI40" t="e">
        <f>AND('Planilla_General_29-11-2012_10_'!H599,"AAAAAFt/3b4=")</f>
        <v>#VALUE!</v>
      </c>
      <c r="GJ40" t="e">
        <f>AND('Planilla_General_29-11-2012_10_'!I599,"AAAAAFt/3b8=")</f>
        <v>#VALUE!</v>
      </c>
      <c r="GK40" t="e">
        <f>AND('Planilla_General_29-11-2012_10_'!J599,"AAAAAFt/3cA=")</f>
        <v>#VALUE!</v>
      </c>
      <c r="GL40" t="e">
        <f>AND('Planilla_General_29-11-2012_10_'!K599,"AAAAAFt/3cE=")</f>
        <v>#VALUE!</v>
      </c>
      <c r="GM40" t="e">
        <f>AND('Planilla_General_29-11-2012_10_'!L599,"AAAAAFt/3cI=")</f>
        <v>#VALUE!</v>
      </c>
      <c r="GN40" t="e">
        <f>AND('Planilla_General_29-11-2012_10_'!M599,"AAAAAFt/3cM=")</f>
        <v>#VALUE!</v>
      </c>
      <c r="GO40" t="e">
        <f>AND('Planilla_General_29-11-2012_10_'!N599,"AAAAAFt/3cQ=")</f>
        <v>#VALUE!</v>
      </c>
      <c r="GP40" t="e">
        <f>AND('Planilla_General_29-11-2012_10_'!O599,"AAAAAFt/3cU=")</f>
        <v>#VALUE!</v>
      </c>
      <c r="GQ40" t="e">
        <f>AND('Planilla_General_29-11-2012_10_'!P599,"AAAAAFt/3cY=")</f>
        <v>#VALUE!</v>
      </c>
      <c r="GR40">
        <f>IF('Planilla_General_29-11-2012_10_'!600:600,"AAAAAFt/3cc=",0)</f>
        <v>0</v>
      </c>
      <c r="GS40" t="e">
        <f>AND('Planilla_General_29-11-2012_10_'!A600,"AAAAAFt/3cg=")</f>
        <v>#VALUE!</v>
      </c>
      <c r="GT40" t="e">
        <f>AND('Planilla_General_29-11-2012_10_'!B600,"AAAAAFt/3ck=")</f>
        <v>#VALUE!</v>
      </c>
      <c r="GU40" t="e">
        <f>AND('Planilla_General_29-11-2012_10_'!C600,"AAAAAFt/3co=")</f>
        <v>#VALUE!</v>
      </c>
      <c r="GV40" t="e">
        <f>AND('Planilla_General_29-11-2012_10_'!D600,"AAAAAFt/3cs=")</f>
        <v>#VALUE!</v>
      </c>
      <c r="GW40" t="e">
        <f>AND('Planilla_General_29-11-2012_10_'!E600,"AAAAAFt/3cw=")</f>
        <v>#VALUE!</v>
      </c>
      <c r="GX40" t="e">
        <f>AND('Planilla_General_29-11-2012_10_'!F600,"AAAAAFt/3c0=")</f>
        <v>#VALUE!</v>
      </c>
      <c r="GY40" t="e">
        <f>AND('Planilla_General_29-11-2012_10_'!G600,"AAAAAFt/3c4=")</f>
        <v>#VALUE!</v>
      </c>
      <c r="GZ40" t="e">
        <f>AND('Planilla_General_29-11-2012_10_'!H600,"AAAAAFt/3c8=")</f>
        <v>#VALUE!</v>
      </c>
      <c r="HA40" t="e">
        <f>AND('Planilla_General_29-11-2012_10_'!I600,"AAAAAFt/3dA=")</f>
        <v>#VALUE!</v>
      </c>
      <c r="HB40" t="e">
        <f>AND('Planilla_General_29-11-2012_10_'!J600,"AAAAAFt/3dE=")</f>
        <v>#VALUE!</v>
      </c>
      <c r="HC40" t="e">
        <f>AND('Planilla_General_29-11-2012_10_'!K600,"AAAAAFt/3dI=")</f>
        <v>#VALUE!</v>
      </c>
      <c r="HD40" t="e">
        <f>AND('Planilla_General_29-11-2012_10_'!L600,"AAAAAFt/3dM=")</f>
        <v>#VALUE!</v>
      </c>
      <c r="HE40" t="e">
        <f>AND('Planilla_General_29-11-2012_10_'!M600,"AAAAAFt/3dQ=")</f>
        <v>#VALUE!</v>
      </c>
      <c r="HF40" t="e">
        <f>AND('Planilla_General_29-11-2012_10_'!N600,"AAAAAFt/3dU=")</f>
        <v>#VALUE!</v>
      </c>
      <c r="HG40" t="e">
        <f>AND('Planilla_General_29-11-2012_10_'!O600,"AAAAAFt/3dY=")</f>
        <v>#VALUE!</v>
      </c>
      <c r="HH40" t="e">
        <f>AND('Planilla_General_29-11-2012_10_'!P600,"AAAAAFt/3dc=")</f>
        <v>#VALUE!</v>
      </c>
      <c r="HI40">
        <f>IF('Planilla_General_29-11-2012_10_'!601:601,"AAAAAFt/3dg=",0)</f>
        <v>0</v>
      </c>
      <c r="HJ40" t="e">
        <f>AND('Planilla_General_29-11-2012_10_'!A601,"AAAAAFt/3dk=")</f>
        <v>#VALUE!</v>
      </c>
      <c r="HK40" t="e">
        <f>AND('Planilla_General_29-11-2012_10_'!B601,"AAAAAFt/3do=")</f>
        <v>#VALUE!</v>
      </c>
      <c r="HL40" t="e">
        <f>AND('Planilla_General_29-11-2012_10_'!C601,"AAAAAFt/3ds=")</f>
        <v>#VALUE!</v>
      </c>
      <c r="HM40" t="e">
        <f>AND('Planilla_General_29-11-2012_10_'!D601,"AAAAAFt/3dw=")</f>
        <v>#VALUE!</v>
      </c>
      <c r="HN40" t="e">
        <f>AND('Planilla_General_29-11-2012_10_'!E601,"AAAAAFt/3d0=")</f>
        <v>#VALUE!</v>
      </c>
      <c r="HO40" t="e">
        <f>AND('Planilla_General_29-11-2012_10_'!F601,"AAAAAFt/3d4=")</f>
        <v>#VALUE!</v>
      </c>
      <c r="HP40" t="e">
        <f>AND('Planilla_General_29-11-2012_10_'!G601,"AAAAAFt/3d8=")</f>
        <v>#VALUE!</v>
      </c>
      <c r="HQ40" t="e">
        <f>AND('Planilla_General_29-11-2012_10_'!H601,"AAAAAFt/3eA=")</f>
        <v>#VALUE!</v>
      </c>
      <c r="HR40" t="e">
        <f>AND('Planilla_General_29-11-2012_10_'!I601,"AAAAAFt/3eE=")</f>
        <v>#VALUE!</v>
      </c>
      <c r="HS40" t="e">
        <f>AND('Planilla_General_29-11-2012_10_'!J601,"AAAAAFt/3eI=")</f>
        <v>#VALUE!</v>
      </c>
      <c r="HT40" t="e">
        <f>AND('Planilla_General_29-11-2012_10_'!K601,"AAAAAFt/3eM=")</f>
        <v>#VALUE!</v>
      </c>
      <c r="HU40" t="e">
        <f>AND('Planilla_General_29-11-2012_10_'!L601,"AAAAAFt/3eQ=")</f>
        <v>#VALUE!</v>
      </c>
      <c r="HV40" t="e">
        <f>AND('Planilla_General_29-11-2012_10_'!M601,"AAAAAFt/3eU=")</f>
        <v>#VALUE!</v>
      </c>
      <c r="HW40" t="e">
        <f>AND('Planilla_General_29-11-2012_10_'!N601,"AAAAAFt/3eY=")</f>
        <v>#VALUE!</v>
      </c>
      <c r="HX40" t="e">
        <f>AND('Planilla_General_29-11-2012_10_'!O601,"AAAAAFt/3ec=")</f>
        <v>#VALUE!</v>
      </c>
      <c r="HY40" t="e">
        <f>AND('Planilla_General_29-11-2012_10_'!P601,"AAAAAFt/3eg=")</f>
        <v>#VALUE!</v>
      </c>
      <c r="HZ40">
        <f>IF('Planilla_General_29-11-2012_10_'!602:602,"AAAAAFt/3ek=",0)</f>
        <v>0</v>
      </c>
      <c r="IA40" t="e">
        <f>AND('Planilla_General_29-11-2012_10_'!A602,"AAAAAFt/3eo=")</f>
        <v>#VALUE!</v>
      </c>
      <c r="IB40" t="e">
        <f>AND('Planilla_General_29-11-2012_10_'!B602,"AAAAAFt/3es=")</f>
        <v>#VALUE!</v>
      </c>
      <c r="IC40" t="e">
        <f>AND('Planilla_General_29-11-2012_10_'!C602,"AAAAAFt/3ew=")</f>
        <v>#VALUE!</v>
      </c>
      <c r="ID40" t="e">
        <f>AND('Planilla_General_29-11-2012_10_'!D602,"AAAAAFt/3e0=")</f>
        <v>#VALUE!</v>
      </c>
      <c r="IE40" t="e">
        <f>AND('Planilla_General_29-11-2012_10_'!E602,"AAAAAFt/3e4=")</f>
        <v>#VALUE!</v>
      </c>
      <c r="IF40" t="e">
        <f>AND('Planilla_General_29-11-2012_10_'!F602,"AAAAAFt/3e8=")</f>
        <v>#VALUE!</v>
      </c>
      <c r="IG40" t="e">
        <f>AND('Planilla_General_29-11-2012_10_'!G602,"AAAAAFt/3fA=")</f>
        <v>#VALUE!</v>
      </c>
      <c r="IH40" t="e">
        <f>AND('Planilla_General_29-11-2012_10_'!H602,"AAAAAFt/3fE=")</f>
        <v>#VALUE!</v>
      </c>
      <c r="II40" t="e">
        <f>AND('Planilla_General_29-11-2012_10_'!I602,"AAAAAFt/3fI=")</f>
        <v>#VALUE!</v>
      </c>
      <c r="IJ40" t="e">
        <f>AND('Planilla_General_29-11-2012_10_'!J602,"AAAAAFt/3fM=")</f>
        <v>#VALUE!</v>
      </c>
      <c r="IK40" t="e">
        <f>AND('Planilla_General_29-11-2012_10_'!K602,"AAAAAFt/3fQ=")</f>
        <v>#VALUE!</v>
      </c>
      <c r="IL40" t="e">
        <f>AND('Planilla_General_29-11-2012_10_'!L602,"AAAAAFt/3fU=")</f>
        <v>#VALUE!</v>
      </c>
      <c r="IM40" t="e">
        <f>AND('Planilla_General_29-11-2012_10_'!M602,"AAAAAFt/3fY=")</f>
        <v>#VALUE!</v>
      </c>
      <c r="IN40" t="e">
        <f>AND('Planilla_General_29-11-2012_10_'!N602,"AAAAAFt/3fc=")</f>
        <v>#VALUE!</v>
      </c>
      <c r="IO40" t="e">
        <f>AND('Planilla_General_29-11-2012_10_'!O602,"AAAAAFt/3fg=")</f>
        <v>#VALUE!</v>
      </c>
      <c r="IP40" t="e">
        <f>AND('Planilla_General_29-11-2012_10_'!P602,"AAAAAFt/3fk=")</f>
        <v>#VALUE!</v>
      </c>
      <c r="IQ40">
        <f>IF('Planilla_General_29-11-2012_10_'!603:603,"AAAAAFt/3fo=",0)</f>
        <v>0</v>
      </c>
      <c r="IR40" t="e">
        <f>AND('Planilla_General_29-11-2012_10_'!A603,"AAAAAFt/3fs=")</f>
        <v>#VALUE!</v>
      </c>
      <c r="IS40" t="e">
        <f>AND('Planilla_General_29-11-2012_10_'!B603,"AAAAAFt/3fw=")</f>
        <v>#VALUE!</v>
      </c>
      <c r="IT40" t="e">
        <f>AND('Planilla_General_29-11-2012_10_'!C603,"AAAAAFt/3f0=")</f>
        <v>#VALUE!</v>
      </c>
      <c r="IU40" t="e">
        <f>AND('Planilla_General_29-11-2012_10_'!D603,"AAAAAFt/3f4=")</f>
        <v>#VALUE!</v>
      </c>
      <c r="IV40" t="e">
        <f>AND('Planilla_General_29-11-2012_10_'!E603,"AAAAAFt/3f8=")</f>
        <v>#VALUE!</v>
      </c>
    </row>
    <row r="41" spans="1:256" x14ac:dyDescent="0.25">
      <c r="A41" t="e">
        <f>AND('Planilla_General_29-11-2012_10_'!F603,"AAAAAD08fwA=")</f>
        <v>#VALUE!</v>
      </c>
      <c r="B41" t="e">
        <f>AND('Planilla_General_29-11-2012_10_'!G603,"AAAAAD08fwE=")</f>
        <v>#VALUE!</v>
      </c>
      <c r="C41" t="e">
        <f>AND('Planilla_General_29-11-2012_10_'!H603,"AAAAAD08fwI=")</f>
        <v>#VALUE!</v>
      </c>
      <c r="D41" t="e">
        <f>AND('Planilla_General_29-11-2012_10_'!I603,"AAAAAD08fwM=")</f>
        <v>#VALUE!</v>
      </c>
      <c r="E41" t="e">
        <f>AND('Planilla_General_29-11-2012_10_'!J603,"AAAAAD08fwQ=")</f>
        <v>#VALUE!</v>
      </c>
      <c r="F41" t="e">
        <f>AND('Planilla_General_29-11-2012_10_'!K603,"AAAAAD08fwU=")</f>
        <v>#VALUE!</v>
      </c>
      <c r="G41" t="e">
        <f>AND('Planilla_General_29-11-2012_10_'!L603,"AAAAAD08fwY=")</f>
        <v>#VALUE!</v>
      </c>
      <c r="H41" t="e">
        <f>AND('Planilla_General_29-11-2012_10_'!M603,"AAAAAD08fwc=")</f>
        <v>#VALUE!</v>
      </c>
      <c r="I41" t="e">
        <f>AND('Planilla_General_29-11-2012_10_'!N603,"AAAAAD08fwg=")</f>
        <v>#VALUE!</v>
      </c>
      <c r="J41" t="e">
        <f>AND('Planilla_General_29-11-2012_10_'!O603,"AAAAAD08fwk=")</f>
        <v>#VALUE!</v>
      </c>
      <c r="K41" t="e">
        <f>AND('Planilla_General_29-11-2012_10_'!P603,"AAAAAD08fwo=")</f>
        <v>#VALUE!</v>
      </c>
      <c r="L41" t="str">
        <f>IF('Planilla_General_29-11-2012_10_'!604:604,"AAAAAD08fws=",0)</f>
        <v>AAAAAD08fws=</v>
      </c>
      <c r="M41" t="e">
        <f>AND('Planilla_General_29-11-2012_10_'!A604,"AAAAAD08fww=")</f>
        <v>#VALUE!</v>
      </c>
      <c r="N41" t="e">
        <f>AND('Planilla_General_29-11-2012_10_'!B604,"AAAAAD08fw0=")</f>
        <v>#VALUE!</v>
      </c>
      <c r="O41" t="e">
        <f>AND('Planilla_General_29-11-2012_10_'!C604,"AAAAAD08fw4=")</f>
        <v>#VALUE!</v>
      </c>
      <c r="P41" t="e">
        <f>AND('Planilla_General_29-11-2012_10_'!D604,"AAAAAD08fw8=")</f>
        <v>#VALUE!</v>
      </c>
      <c r="Q41" t="e">
        <f>AND('Planilla_General_29-11-2012_10_'!E604,"AAAAAD08fxA=")</f>
        <v>#VALUE!</v>
      </c>
      <c r="R41" t="e">
        <f>AND('Planilla_General_29-11-2012_10_'!F604,"AAAAAD08fxE=")</f>
        <v>#VALUE!</v>
      </c>
      <c r="S41" t="e">
        <f>AND('Planilla_General_29-11-2012_10_'!G604,"AAAAAD08fxI=")</f>
        <v>#VALUE!</v>
      </c>
      <c r="T41" t="e">
        <f>AND('Planilla_General_29-11-2012_10_'!H604,"AAAAAD08fxM=")</f>
        <v>#VALUE!</v>
      </c>
      <c r="U41" t="e">
        <f>AND('Planilla_General_29-11-2012_10_'!I604,"AAAAAD08fxQ=")</f>
        <v>#VALUE!</v>
      </c>
      <c r="V41" t="e">
        <f>AND('Planilla_General_29-11-2012_10_'!J604,"AAAAAD08fxU=")</f>
        <v>#VALUE!</v>
      </c>
      <c r="W41" t="e">
        <f>AND('Planilla_General_29-11-2012_10_'!K604,"AAAAAD08fxY=")</f>
        <v>#VALUE!</v>
      </c>
      <c r="X41" t="e">
        <f>AND('Planilla_General_29-11-2012_10_'!L604,"AAAAAD08fxc=")</f>
        <v>#VALUE!</v>
      </c>
      <c r="Y41" t="e">
        <f>AND('Planilla_General_29-11-2012_10_'!M604,"AAAAAD08fxg=")</f>
        <v>#VALUE!</v>
      </c>
      <c r="Z41" t="e">
        <f>AND('Planilla_General_29-11-2012_10_'!N604,"AAAAAD08fxk=")</f>
        <v>#VALUE!</v>
      </c>
      <c r="AA41" t="e">
        <f>AND('Planilla_General_29-11-2012_10_'!O604,"AAAAAD08fxo=")</f>
        <v>#VALUE!</v>
      </c>
      <c r="AB41" t="e">
        <f>AND('Planilla_General_29-11-2012_10_'!P604,"AAAAAD08fxs=")</f>
        <v>#VALUE!</v>
      </c>
      <c r="AC41">
        <f>IF('Planilla_General_29-11-2012_10_'!605:605,"AAAAAD08fxw=",0)</f>
        <v>0</v>
      </c>
      <c r="AD41" t="e">
        <f>AND('Planilla_General_29-11-2012_10_'!A605,"AAAAAD08fx0=")</f>
        <v>#VALUE!</v>
      </c>
      <c r="AE41" t="e">
        <f>AND('Planilla_General_29-11-2012_10_'!B605,"AAAAAD08fx4=")</f>
        <v>#VALUE!</v>
      </c>
      <c r="AF41" t="e">
        <f>AND('Planilla_General_29-11-2012_10_'!C605,"AAAAAD08fx8=")</f>
        <v>#VALUE!</v>
      </c>
      <c r="AG41" t="e">
        <f>AND('Planilla_General_29-11-2012_10_'!D605,"AAAAAD08fyA=")</f>
        <v>#VALUE!</v>
      </c>
      <c r="AH41" t="e">
        <f>AND('Planilla_General_29-11-2012_10_'!E605,"AAAAAD08fyE=")</f>
        <v>#VALUE!</v>
      </c>
      <c r="AI41" t="e">
        <f>AND('Planilla_General_29-11-2012_10_'!F605,"AAAAAD08fyI=")</f>
        <v>#VALUE!</v>
      </c>
      <c r="AJ41" t="e">
        <f>AND('Planilla_General_29-11-2012_10_'!G605,"AAAAAD08fyM=")</f>
        <v>#VALUE!</v>
      </c>
      <c r="AK41" t="e">
        <f>AND('Planilla_General_29-11-2012_10_'!H605,"AAAAAD08fyQ=")</f>
        <v>#VALUE!</v>
      </c>
      <c r="AL41" t="e">
        <f>AND('Planilla_General_29-11-2012_10_'!I605,"AAAAAD08fyU=")</f>
        <v>#VALUE!</v>
      </c>
      <c r="AM41" t="e">
        <f>AND('Planilla_General_29-11-2012_10_'!J605,"AAAAAD08fyY=")</f>
        <v>#VALUE!</v>
      </c>
      <c r="AN41" t="e">
        <f>AND('Planilla_General_29-11-2012_10_'!K605,"AAAAAD08fyc=")</f>
        <v>#VALUE!</v>
      </c>
      <c r="AO41" t="e">
        <f>AND('Planilla_General_29-11-2012_10_'!L605,"AAAAAD08fyg=")</f>
        <v>#VALUE!</v>
      </c>
      <c r="AP41" t="e">
        <f>AND('Planilla_General_29-11-2012_10_'!M605,"AAAAAD08fyk=")</f>
        <v>#VALUE!</v>
      </c>
      <c r="AQ41" t="e">
        <f>AND('Planilla_General_29-11-2012_10_'!N605,"AAAAAD08fyo=")</f>
        <v>#VALUE!</v>
      </c>
      <c r="AR41" t="e">
        <f>AND('Planilla_General_29-11-2012_10_'!O605,"AAAAAD08fys=")</f>
        <v>#VALUE!</v>
      </c>
      <c r="AS41" t="e">
        <f>AND('Planilla_General_29-11-2012_10_'!P605,"AAAAAD08fyw=")</f>
        <v>#VALUE!</v>
      </c>
      <c r="AT41">
        <f>IF('Planilla_General_29-11-2012_10_'!606:606,"AAAAAD08fy0=",0)</f>
        <v>0</v>
      </c>
      <c r="AU41" t="e">
        <f>AND('Planilla_General_29-11-2012_10_'!A606,"AAAAAD08fy4=")</f>
        <v>#VALUE!</v>
      </c>
      <c r="AV41" t="e">
        <f>AND('Planilla_General_29-11-2012_10_'!B606,"AAAAAD08fy8=")</f>
        <v>#VALUE!</v>
      </c>
      <c r="AW41" t="e">
        <f>AND('Planilla_General_29-11-2012_10_'!C606,"AAAAAD08fzA=")</f>
        <v>#VALUE!</v>
      </c>
      <c r="AX41" t="e">
        <f>AND('Planilla_General_29-11-2012_10_'!D606,"AAAAAD08fzE=")</f>
        <v>#VALUE!</v>
      </c>
      <c r="AY41" t="e">
        <f>AND('Planilla_General_29-11-2012_10_'!E606,"AAAAAD08fzI=")</f>
        <v>#VALUE!</v>
      </c>
      <c r="AZ41" t="e">
        <f>AND('Planilla_General_29-11-2012_10_'!F606,"AAAAAD08fzM=")</f>
        <v>#VALUE!</v>
      </c>
      <c r="BA41" t="e">
        <f>AND('Planilla_General_29-11-2012_10_'!G606,"AAAAAD08fzQ=")</f>
        <v>#VALUE!</v>
      </c>
      <c r="BB41" t="e">
        <f>AND('Planilla_General_29-11-2012_10_'!H606,"AAAAAD08fzU=")</f>
        <v>#VALUE!</v>
      </c>
      <c r="BC41" t="e">
        <f>AND('Planilla_General_29-11-2012_10_'!I606,"AAAAAD08fzY=")</f>
        <v>#VALUE!</v>
      </c>
      <c r="BD41" t="e">
        <f>AND('Planilla_General_29-11-2012_10_'!J606,"AAAAAD08fzc=")</f>
        <v>#VALUE!</v>
      </c>
      <c r="BE41" t="e">
        <f>AND('Planilla_General_29-11-2012_10_'!K606,"AAAAAD08fzg=")</f>
        <v>#VALUE!</v>
      </c>
      <c r="BF41" t="e">
        <f>AND('Planilla_General_29-11-2012_10_'!L606,"AAAAAD08fzk=")</f>
        <v>#VALUE!</v>
      </c>
      <c r="BG41" t="e">
        <f>AND('Planilla_General_29-11-2012_10_'!M606,"AAAAAD08fzo=")</f>
        <v>#VALUE!</v>
      </c>
      <c r="BH41" t="e">
        <f>AND('Planilla_General_29-11-2012_10_'!N606,"AAAAAD08fzs=")</f>
        <v>#VALUE!</v>
      </c>
      <c r="BI41" t="e">
        <f>AND('Planilla_General_29-11-2012_10_'!O606,"AAAAAD08fzw=")</f>
        <v>#VALUE!</v>
      </c>
      <c r="BJ41" t="e">
        <f>AND('Planilla_General_29-11-2012_10_'!P606,"AAAAAD08fz0=")</f>
        <v>#VALUE!</v>
      </c>
      <c r="BK41">
        <f>IF('Planilla_General_29-11-2012_10_'!607:607,"AAAAAD08fz4=",0)</f>
        <v>0</v>
      </c>
      <c r="BL41" t="e">
        <f>AND('Planilla_General_29-11-2012_10_'!A607,"AAAAAD08fz8=")</f>
        <v>#VALUE!</v>
      </c>
      <c r="BM41" t="e">
        <f>AND('Planilla_General_29-11-2012_10_'!B607,"AAAAAD08f0A=")</f>
        <v>#VALUE!</v>
      </c>
      <c r="BN41" t="e">
        <f>AND('Planilla_General_29-11-2012_10_'!C607,"AAAAAD08f0E=")</f>
        <v>#VALUE!</v>
      </c>
      <c r="BO41" t="e">
        <f>AND('Planilla_General_29-11-2012_10_'!D607,"AAAAAD08f0I=")</f>
        <v>#VALUE!</v>
      </c>
      <c r="BP41" t="e">
        <f>AND('Planilla_General_29-11-2012_10_'!E607,"AAAAAD08f0M=")</f>
        <v>#VALUE!</v>
      </c>
      <c r="BQ41" t="e">
        <f>AND('Planilla_General_29-11-2012_10_'!F607,"AAAAAD08f0Q=")</f>
        <v>#VALUE!</v>
      </c>
      <c r="BR41" t="e">
        <f>AND('Planilla_General_29-11-2012_10_'!G607,"AAAAAD08f0U=")</f>
        <v>#VALUE!</v>
      </c>
      <c r="BS41" t="e">
        <f>AND('Planilla_General_29-11-2012_10_'!H607,"AAAAAD08f0Y=")</f>
        <v>#VALUE!</v>
      </c>
      <c r="BT41" t="e">
        <f>AND('Planilla_General_29-11-2012_10_'!I607,"AAAAAD08f0c=")</f>
        <v>#VALUE!</v>
      </c>
      <c r="BU41" t="e">
        <f>AND('Planilla_General_29-11-2012_10_'!J607,"AAAAAD08f0g=")</f>
        <v>#VALUE!</v>
      </c>
      <c r="BV41" t="e">
        <f>AND('Planilla_General_29-11-2012_10_'!K607,"AAAAAD08f0k=")</f>
        <v>#VALUE!</v>
      </c>
      <c r="BW41" t="e">
        <f>AND('Planilla_General_29-11-2012_10_'!L607,"AAAAAD08f0o=")</f>
        <v>#VALUE!</v>
      </c>
      <c r="BX41" t="e">
        <f>AND('Planilla_General_29-11-2012_10_'!M607,"AAAAAD08f0s=")</f>
        <v>#VALUE!</v>
      </c>
      <c r="BY41" t="e">
        <f>AND('Planilla_General_29-11-2012_10_'!N607,"AAAAAD08f0w=")</f>
        <v>#VALUE!</v>
      </c>
      <c r="BZ41" t="e">
        <f>AND('Planilla_General_29-11-2012_10_'!O607,"AAAAAD08f00=")</f>
        <v>#VALUE!</v>
      </c>
      <c r="CA41" t="e">
        <f>AND('Planilla_General_29-11-2012_10_'!P607,"AAAAAD08f04=")</f>
        <v>#VALUE!</v>
      </c>
      <c r="CB41">
        <f>IF('Planilla_General_29-11-2012_10_'!608:608,"AAAAAD08f08=",0)</f>
        <v>0</v>
      </c>
      <c r="CC41" t="e">
        <f>AND('Planilla_General_29-11-2012_10_'!A608,"AAAAAD08f1A=")</f>
        <v>#VALUE!</v>
      </c>
      <c r="CD41" t="e">
        <f>AND('Planilla_General_29-11-2012_10_'!B608,"AAAAAD08f1E=")</f>
        <v>#VALUE!</v>
      </c>
      <c r="CE41" t="e">
        <f>AND('Planilla_General_29-11-2012_10_'!C608,"AAAAAD08f1I=")</f>
        <v>#VALUE!</v>
      </c>
      <c r="CF41" t="e">
        <f>AND('Planilla_General_29-11-2012_10_'!D608,"AAAAAD08f1M=")</f>
        <v>#VALUE!</v>
      </c>
      <c r="CG41" t="e">
        <f>AND('Planilla_General_29-11-2012_10_'!E608,"AAAAAD08f1Q=")</f>
        <v>#VALUE!</v>
      </c>
      <c r="CH41" t="e">
        <f>AND('Planilla_General_29-11-2012_10_'!F608,"AAAAAD08f1U=")</f>
        <v>#VALUE!</v>
      </c>
      <c r="CI41" t="e">
        <f>AND('Planilla_General_29-11-2012_10_'!G608,"AAAAAD08f1Y=")</f>
        <v>#VALUE!</v>
      </c>
      <c r="CJ41" t="e">
        <f>AND('Planilla_General_29-11-2012_10_'!H608,"AAAAAD08f1c=")</f>
        <v>#VALUE!</v>
      </c>
      <c r="CK41" t="e">
        <f>AND('Planilla_General_29-11-2012_10_'!I608,"AAAAAD08f1g=")</f>
        <v>#VALUE!</v>
      </c>
      <c r="CL41" t="e">
        <f>AND('Planilla_General_29-11-2012_10_'!J608,"AAAAAD08f1k=")</f>
        <v>#VALUE!</v>
      </c>
      <c r="CM41" t="e">
        <f>AND('Planilla_General_29-11-2012_10_'!K608,"AAAAAD08f1o=")</f>
        <v>#VALUE!</v>
      </c>
      <c r="CN41" t="e">
        <f>AND('Planilla_General_29-11-2012_10_'!L608,"AAAAAD08f1s=")</f>
        <v>#VALUE!</v>
      </c>
      <c r="CO41" t="e">
        <f>AND('Planilla_General_29-11-2012_10_'!M608,"AAAAAD08f1w=")</f>
        <v>#VALUE!</v>
      </c>
      <c r="CP41" t="e">
        <f>AND('Planilla_General_29-11-2012_10_'!N608,"AAAAAD08f10=")</f>
        <v>#VALUE!</v>
      </c>
      <c r="CQ41" t="e">
        <f>AND('Planilla_General_29-11-2012_10_'!O608,"AAAAAD08f14=")</f>
        <v>#VALUE!</v>
      </c>
      <c r="CR41" t="e">
        <f>AND('Planilla_General_29-11-2012_10_'!P608,"AAAAAD08f18=")</f>
        <v>#VALUE!</v>
      </c>
      <c r="CS41">
        <f>IF('Planilla_General_29-11-2012_10_'!609:609,"AAAAAD08f2A=",0)</f>
        <v>0</v>
      </c>
      <c r="CT41" t="e">
        <f>AND('Planilla_General_29-11-2012_10_'!A609,"AAAAAD08f2E=")</f>
        <v>#VALUE!</v>
      </c>
      <c r="CU41" t="e">
        <f>AND('Planilla_General_29-11-2012_10_'!B609,"AAAAAD08f2I=")</f>
        <v>#VALUE!</v>
      </c>
      <c r="CV41" t="e">
        <f>AND('Planilla_General_29-11-2012_10_'!C609,"AAAAAD08f2M=")</f>
        <v>#VALUE!</v>
      </c>
      <c r="CW41" t="e">
        <f>AND('Planilla_General_29-11-2012_10_'!D609,"AAAAAD08f2Q=")</f>
        <v>#VALUE!</v>
      </c>
      <c r="CX41" t="e">
        <f>AND('Planilla_General_29-11-2012_10_'!E609,"AAAAAD08f2U=")</f>
        <v>#VALUE!</v>
      </c>
      <c r="CY41" t="e">
        <f>AND('Planilla_General_29-11-2012_10_'!F609,"AAAAAD08f2Y=")</f>
        <v>#VALUE!</v>
      </c>
      <c r="CZ41" t="e">
        <f>AND('Planilla_General_29-11-2012_10_'!G609,"AAAAAD08f2c=")</f>
        <v>#VALUE!</v>
      </c>
      <c r="DA41" t="e">
        <f>AND('Planilla_General_29-11-2012_10_'!H609,"AAAAAD08f2g=")</f>
        <v>#VALUE!</v>
      </c>
      <c r="DB41" t="e">
        <f>AND('Planilla_General_29-11-2012_10_'!I609,"AAAAAD08f2k=")</f>
        <v>#VALUE!</v>
      </c>
      <c r="DC41" t="e">
        <f>AND('Planilla_General_29-11-2012_10_'!J609,"AAAAAD08f2o=")</f>
        <v>#VALUE!</v>
      </c>
      <c r="DD41" t="e">
        <f>AND('Planilla_General_29-11-2012_10_'!K609,"AAAAAD08f2s=")</f>
        <v>#VALUE!</v>
      </c>
      <c r="DE41" t="e">
        <f>AND('Planilla_General_29-11-2012_10_'!L609,"AAAAAD08f2w=")</f>
        <v>#VALUE!</v>
      </c>
      <c r="DF41" t="e">
        <f>AND('Planilla_General_29-11-2012_10_'!M609,"AAAAAD08f20=")</f>
        <v>#VALUE!</v>
      </c>
      <c r="DG41" t="e">
        <f>AND('Planilla_General_29-11-2012_10_'!N609,"AAAAAD08f24=")</f>
        <v>#VALUE!</v>
      </c>
      <c r="DH41" t="e">
        <f>AND('Planilla_General_29-11-2012_10_'!O609,"AAAAAD08f28=")</f>
        <v>#VALUE!</v>
      </c>
      <c r="DI41" t="e">
        <f>AND('Planilla_General_29-11-2012_10_'!P609,"AAAAAD08f3A=")</f>
        <v>#VALUE!</v>
      </c>
      <c r="DJ41">
        <f>IF('Planilla_General_29-11-2012_10_'!610:610,"AAAAAD08f3E=",0)</f>
        <v>0</v>
      </c>
      <c r="DK41" t="e">
        <f>AND('Planilla_General_29-11-2012_10_'!A610,"AAAAAD08f3I=")</f>
        <v>#VALUE!</v>
      </c>
      <c r="DL41" t="e">
        <f>AND('Planilla_General_29-11-2012_10_'!B610,"AAAAAD08f3M=")</f>
        <v>#VALUE!</v>
      </c>
      <c r="DM41" t="e">
        <f>AND('Planilla_General_29-11-2012_10_'!C610,"AAAAAD08f3Q=")</f>
        <v>#VALUE!</v>
      </c>
      <c r="DN41" t="e">
        <f>AND('Planilla_General_29-11-2012_10_'!D610,"AAAAAD08f3U=")</f>
        <v>#VALUE!</v>
      </c>
      <c r="DO41" t="e">
        <f>AND('Planilla_General_29-11-2012_10_'!E610,"AAAAAD08f3Y=")</f>
        <v>#VALUE!</v>
      </c>
      <c r="DP41" t="e">
        <f>AND('Planilla_General_29-11-2012_10_'!F610,"AAAAAD08f3c=")</f>
        <v>#VALUE!</v>
      </c>
      <c r="DQ41" t="e">
        <f>AND('Planilla_General_29-11-2012_10_'!G610,"AAAAAD08f3g=")</f>
        <v>#VALUE!</v>
      </c>
      <c r="DR41" t="e">
        <f>AND('Planilla_General_29-11-2012_10_'!H610,"AAAAAD08f3k=")</f>
        <v>#VALUE!</v>
      </c>
      <c r="DS41" t="e">
        <f>AND('Planilla_General_29-11-2012_10_'!I610,"AAAAAD08f3o=")</f>
        <v>#VALUE!</v>
      </c>
      <c r="DT41" t="e">
        <f>AND('Planilla_General_29-11-2012_10_'!J610,"AAAAAD08f3s=")</f>
        <v>#VALUE!</v>
      </c>
      <c r="DU41" t="e">
        <f>AND('Planilla_General_29-11-2012_10_'!K610,"AAAAAD08f3w=")</f>
        <v>#VALUE!</v>
      </c>
      <c r="DV41" t="e">
        <f>AND('Planilla_General_29-11-2012_10_'!L610,"AAAAAD08f30=")</f>
        <v>#VALUE!</v>
      </c>
      <c r="DW41" t="e">
        <f>AND('Planilla_General_29-11-2012_10_'!M610,"AAAAAD08f34=")</f>
        <v>#VALUE!</v>
      </c>
      <c r="DX41" t="e">
        <f>AND('Planilla_General_29-11-2012_10_'!N610,"AAAAAD08f38=")</f>
        <v>#VALUE!</v>
      </c>
      <c r="DY41" t="e">
        <f>AND('Planilla_General_29-11-2012_10_'!O610,"AAAAAD08f4A=")</f>
        <v>#VALUE!</v>
      </c>
      <c r="DZ41" t="e">
        <f>AND('Planilla_General_29-11-2012_10_'!P610,"AAAAAD08f4E=")</f>
        <v>#VALUE!</v>
      </c>
      <c r="EA41">
        <f>IF('Planilla_General_29-11-2012_10_'!611:611,"AAAAAD08f4I=",0)</f>
        <v>0</v>
      </c>
      <c r="EB41" t="e">
        <f>AND('Planilla_General_29-11-2012_10_'!A611,"AAAAAD08f4M=")</f>
        <v>#VALUE!</v>
      </c>
      <c r="EC41" t="e">
        <f>AND('Planilla_General_29-11-2012_10_'!B611,"AAAAAD08f4Q=")</f>
        <v>#VALUE!</v>
      </c>
      <c r="ED41" t="e">
        <f>AND('Planilla_General_29-11-2012_10_'!C611,"AAAAAD08f4U=")</f>
        <v>#VALUE!</v>
      </c>
      <c r="EE41" t="e">
        <f>AND('Planilla_General_29-11-2012_10_'!D611,"AAAAAD08f4Y=")</f>
        <v>#VALUE!</v>
      </c>
      <c r="EF41" t="e">
        <f>AND('Planilla_General_29-11-2012_10_'!E611,"AAAAAD08f4c=")</f>
        <v>#VALUE!</v>
      </c>
      <c r="EG41" t="e">
        <f>AND('Planilla_General_29-11-2012_10_'!F611,"AAAAAD08f4g=")</f>
        <v>#VALUE!</v>
      </c>
      <c r="EH41" t="e">
        <f>AND('Planilla_General_29-11-2012_10_'!G611,"AAAAAD08f4k=")</f>
        <v>#VALUE!</v>
      </c>
      <c r="EI41" t="e">
        <f>AND('Planilla_General_29-11-2012_10_'!H611,"AAAAAD08f4o=")</f>
        <v>#VALUE!</v>
      </c>
      <c r="EJ41" t="e">
        <f>AND('Planilla_General_29-11-2012_10_'!I611,"AAAAAD08f4s=")</f>
        <v>#VALUE!</v>
      </c>
      <c r="EK41" t="e">
        <f>AND('Planilla_General_29-11-2012_10_'!J611,"AAAAAD08f4w=")</f>
        <v>#VALUE!</v>
      </c>
      <c r="EL41" t="e">
        <f>AND('Planilla_General_29-11-2012_10_'!K611,"AAAAAD08f40=")</f>
        <v>#VALUE!</v>
      </c>
      <c r="EM41" t="e">
        <f>AND('Planilla_General_29-11-2012_10_'!L611,"AAAAAD08f44=")</f>
        <v>#VALUE!</v>
      </c>
      <c r="EN41" t="e">
        <f>AND('Planilla_General_29-11-2012_10_'!M611,"AAAAAD08f48=")</f>
        <v>#VALUE!</v>
      </c>
      <c r="EO41" t="e">
        <f>AND('Planilla_General_29-11-2012_10_'!N611,"AAAAAD08f5A=")</f>
        <v>#VALUE!</v>
      </c>
      <c r="EP41" t="e">
        <f>AND('Planilla_General_29-11-2012_10_'!O611,"AAAAAD08f5E=")</f>
        <v>#VALUE!</v>
      </c>
      <c r="EQ41" t="e">
        <f>AND('Planilla_General_29-11-2012_10_'!P611,"AAAAAD08f5I=")</f>
        <v>#VALUE!</v>
      </c>
      <c r="ER41">
        <f>IF('Planilla_General_29-11-2012_10_'!612:612,"AAAAAD08f5M=",0)</f>
        <v>0</v>
      </c>
      <c r="ES41" t="e">
        <f>AND('Planilla_General_29-11-2012_10_'!A612,"AAAAAD08f5Q=")</f>
        <v>#VALUE!</v>
      </c>
      <c r="ET41" t="e">
        <f>AND('Planilla_General_29-11-2012_10_'!B612,"AAAAAD08f5U=")</f>
        <v>#VALUE!</v>
      </c>
      <c r="EU41" t="e">
        <f>AND('Planilla_General_29-11-2012_10_'!C612,"AAAAAD08f5Y=")</f>
        <v>#VALUE!</v>
      </c>
      <c r="EV41" t="e">
        <f>AND('Planilla_General_29-11-2012_10_'!D612,"AAAAAD08f5c=")</f>
        <v>#VALUE!</v>
      </c>
      <c r="EW41" t="e">
        <f>AND('Planilla_General_29-11-2012_10_'!E612,"AAAAAD08f5g=")</f>
        <v>#VALUE!</v>
      </c>
      <c r="EX41" t="e">
        <f>AND('Planilla_General_29-11-2012_10_'!F612,"AAAAAD08f5k=")</f>
        <v>#VALUE!</v>
      </c>
      <c r="EY41" t="e">
        <f>AND('Planilla_General_29-11-2012_10_'!G612,"AAAAAD08f5o=")</f>
        <v>#VALUE!</v>
      </c>
      <c r="EZ41" t="e">
        <f>AND('Planilla_General_29-11-2012_10_'!H612,"AAAAAD08f5s=")</f>
        <v>#VALUE!</v>
      </c>
      <c r="FA41" t="e">
        <f>AND('Planilla_General_29-11-2012_10_'!I612,"AAAAAD08f5w=")</f>
        <v>#VALUE!</v>
      </c>
      <c r="FB41" t="e">
        <f>AND('Planilla_General_29-11-2012_10_'!J612,"AAAAAD08f50=")</f>
        <v>#VALUE!</v>
      </c>
      <c r="FC41" t="e">
        <f>AND('Planilla_General_29-11-2012_10_'!K612,"AAAAAD08f54=")</f>
        <v>#VALUE!</v>
      </c>
      <c r="FD41" t="e">
        <f>AND('Planilla_General_29-11-2012_10_'!L612,"AAAAAD08f58=")</f>
        <v>#VALUE!</v>
      </c>
      <c r="FE41" t="e">
        <f>AND('Planilla_General_29-11-2012_10_'!M612,"AAAAAD08f6A=")</f>
        <v>#VALUE!</v>
      </c>
      <c r="FF41" t="e">
        <f>AND('Planilla_General_29-11-2012_10_'!N612,"AAAAAD08f6E=")</f>
        <v>#VALUE!</v>
      </c>
      <c r="FG41" t="e">
        <f>AND('Planilla_General_29-11-2012_10_'!O612,"AAAAAD08f6I=")</f>
        <v>#VALUE!</v>
      </c>
      <c r="FH41" t="e">
        <f>AND('Planilla_General_29-11-2012_10_'!P612,"AAAAAD08f6M=")</f>
        <v>#VALUE!</v>
      </c>
      <c r="FI41">
        <f>IF('Planilla_General_29-11-2012_10_'!613:613,"AAAAAD08f6Q=",0)</f>
        <v>0</v>
      </c>
      <c r="FJ41" t="e">
        <f>AND('Planilla_General_29-11-2012_10_'!A613,"AAAAAD08f6U=")</f>
        <v>#VALUE!</v>
      </c>
      <c r="FK41" t="e">
        <f>AND('Planilla_General_29-11-2012_10_'!B613,"AAAAAD08f6Y=")</f>
        <v>#VALUE!</v>
      </c>
      <c r="FL41" t="e">
        <f>AND('Planilla_General_29-11-2012_10_'!C613,"AAAAAD08f6c=")</f>
        <v>#VALUE!</v>
      </c>
      <c r="FM41" t="e">
        <f>AND('Planilla_General_29-11-2012_10_'!D613,"AAAAAD08f6g=")</f>
        <v>#VALUE!</v>
      </c>
      <c r="FN41" t="e">
        <f>AND('Planilla_General_29-11-2012_10_'!E613,"AAAAAD08f6k=")</f>
        <v>#VALUE!</v>
      </c>
      <c r="FO41" t="e">
        <f>AND('Planilla_General_29-11-2012_10_'!F613,"AAAAAD08f6o=")</f>
        <v>#VALUE!</v>
      </c>
      <c r="FP41" t="e">
        <f>AND('Planilla_General_29-11-2012_10_'!G613,"AAAAAD08f6s=")</f>
        <v>#VALUE!</v>
      </c>
      <c r="FQ41" t="e">
        <f>AND('Planilla_General_29-11-2012_10_'!H613,"AAAAAD08f6w=")</f>
        <v>#VALUE!</v>
      </c>
      <c r="FR41" t="e">
        <f>AND('Planilla_General_29-11-2012_10_'!I613,"AAAAAD08f60=")</f>
        <v>#VALUE!</v>
      </c>
      <c r="FS41" t="e">
        <f>AND('Planilla_General_29-11-2012_10_'!J613,"AAAAAD08f64=")</f>
        <v>#VALUE!</v>
      </c>
      <c r="FT41" t="e">
        <f>AND('Planilla_General_29-11-2012_10_'!K613,"AAAAAD08f68=")</f>
        <v>#VALUE!</v>
      </c>
      <c r="FU41" t="e">
        <f>AND('Planilla_General_29-11-2012_10_'!L613,"AAAAAD08f7A=")</f>
        <v>#VALUE!</v>
      </c>
      <c r="FV41" t="e">
        <f>AND('Planilla_General_29-11-2012_10_'!M613,"AAAAAD08f7E=")</f>
        <v>#VALUE!</v>
      </c>
      <c r="FW41" t="e">
        <f>AND('Planilla_General_29-11-2012_10_'!N613,"AAAAAD08f7I=")</f>
        <v>#VALUE!</v>
      </c>
      <c r="FX41" t="e">
        <f>AND('Planilla_General_29-11-2012_10_'!O613,"AAAAAD08f7M=")</f>
        <v>#VALUE!</v>
      </c>
      <c r="FY41" t="e">
        <f>AND('Planilla_General_29-11-2012_10_'!P613,"AAAAAD08f7Q=")</f>
        <v>#VALUE!</v>
      </c>
      <c r="FZ41">
        <f>IF('Planilla_General_29-11-2012_10_'!614:614,"AAAAAD08f7U=",0)</f>
        <v>0</v>
      </c>
      <c r="GA41" t="e">
        <f>AND('Planilla_General_29-11-2012_10_'!A614,"AAAAAD08f7Y=")</f>
        <v>#VALUE!</v>
      </c>
      <c r="GB41" t="e">
        <f>AND('Planilla_General_29-11-2012_10_'!B614,"AAAAAD08f7c=")</f>
        <v>#VALUE!</v>
      </c>
      <c r="GC41" t="e">
        <f>AND('Planilla_General_29-11-2012_10_'!C614,"AAAAAD08f7g=")</f>
        <v>#VALUE!</v>
      </c>
      <c r="GD41" t="e">
        <f>AND('Planilla_General_29-11-2012_10_'!D614,"AAAAAD08f7k=")</f>
        <v>#VALUE!</v>
      </c>
      <c r="GE41" t="e">
        <f>AND('Planilla_General_29-11-2012_10_'!E614,"AAAAAD08f7o=")</f>
        <v>#VALUE!</v>
      </c>
      <c r="GF41" t="e">
        <f>AND('Planilla_General_29-11-2012_10_'!F614,"AAAAAD08f7s=")</f>
        <v>#VALUE!</v>
      </c>
      <c r="GG41" t="e">
        <f>AND('Planilla_General_29-11-2012_10_'!G614,"AAAAAD08f7w=")</f>
        <v>#VALUE!</v>
      </c>
      <c r="GH41" t="e">
        <f>AND('Planilla_General_29-11-2012_10_'!H614,"AAAAAD08f70=")</f>
        <v>#VALUE!</v>
      </c>
      <c r="GI41" t="e">
        <f>AND('Planilla_General_29-11-2012_10_'!I614,"AAAAAD08f74=")</f>
        <v>#VALUE!</v>
      </c>
      <c r="GJ41" t="e">
        <f>AND('Planilla_General_29-11-2012_10_'!J614,"AAAAAD08f78=")</f>
        <v>#VALUE!</v>
      </c>
      <c r="GK41" t="e">
        <f>AND('Planilla_General_29-11-2012_10_'!K614,"AAAAAD08f8A=")</f>
        <v>#VALUE!</v>
      </c>
      <c r="GL41" t="e">
        <f>AND('Planilla_General_29-11-2012_10_'!L614,"AAAAAD08f8E=")</f>
        <v>#VALUE!</v>
      </c>
      <c r="GM41" t="e">
        <f>AND('Planilla_General_29-11-2012_10_'!M614,"AAAAAD08f8I=")</f>
        <v>#VALUE!</v>
      </c>
      <c r="GN41" t="e">
        <f>AND('Planilla_General_29-11-2012_10_'!N614,"AAAAAD08f8M=")</f>
        <v>#VALUE!</v>
      </c>
      <c r="GO41" t="e">
        <f>AND('Planilla_General_29-11-2012_10_'!O614,"AAAAAD08f8Q=")</f>
        <v>#VALUE!</v>
      </c>
      <c r="GP41" t="e">
        <f>AND('Planilla_General_29-11-2012_10_'!P614,"AAAAAD08f8U=")</f>
        <v>#VALUE!</v>
      </c>
      <c r="GQ41">
        <f>IF('Planilla_General_29-11-2012_10_'!615:615,"AAAAAD08f8Y=",0)</f>
        <v>0</v>
      </c>
      <c r="GR41" t="e">
        <f>AND('Planilla_General_29-11-2012_10_'!A615,"AAAAAD08f8c=")</f>
        <v>#VALUE!</v>
      </c>
      <c r="GS41" t="e">
        <f>AND('Planilla_General_29-11-2012_10_'!B615,"AAAAAD08f8g=")</f>
        <v>#VALUE!</v>
      </c>
      <c r="GT41" t="e">
        <f>AND('Planilla_General_29-11-2012_10_'!C615,"AAAAAD08f8k=")</f>
        <v>#VALUE!</v>
      </c>
      <c r="GU41" t="e">
        <f>AND('Planilla_General_29-11-2012_10_'!D615,"AAAAAD08f8o=")</f>
        <v>#VALUE!</v>
      </c>
      <c r="GV41" t="e">
        <f>AND('Planilla_General_29-11-2012_10_'!E615,"AAAAAD08f8s=")</f>
        <v>#VALUE!</v>
      </c>
      <c r="GW41" t="e">
        <f>AND('Planilla_General_29-11-2012_10_'!F615,"AAAAAD08f8w=")</f>
        <v>#VALUE!</v>
      </c>
      <c r="GX41" t="e">
        <f>AND('Planilla_General_29-11-2012_10_'!G615,"AAAAAD08f80=")</f>
        <v>#VALUE!</v>
      </c>
      <c r="GY41" t="e">
        <f>AND('Planilla_General_29-11-2012_10_'!H615,"AAAAAD08f84=")</f>
        <v>#VALUE!</v>
      </c>
      <c r="GZ41" t="e">
        <f>AND('Planilla_General_29-11-2012_10_'!I615,"AAAAAD08f88=")</f>
        <v>#VALUE!</v>
      </c>
      <c r="HA41" t="e">
        <f>AND('Planilla_General_29-11-2012_10_'!J615,"AAAAAD08f9A=")</f>
        <v>#VALUE!</v>
      </c>
      <c r="HB41" t="e">
        <f>AND('Planilla_General_29-11-2012_10_'!K615,"AAAAAD08f9E=")</f>
        <v>#VALUE!</v>
      </c>
      <c r="HC41" t="e">
        <f>AND('Planilla_General_29-11-2012_10_'!L615,"AAAAAD08f9I=")</f>
        <v>#VALUE!</v>
      </c>
      <c r="HD41" t="e">
        <f>AND('Planilla_General_29-11-2012_10_'!M615,"AAAAAD08f9M=")</f>
        <v>#VALUE!</v>
      </c>
      <c r="HE41" t="e">
        <f>AND('Planilla_General_29-11-2012_10_'!N615,"AAAAAD08f9Q=")</f>
        <v>#VALUE!</v>
      </c>
      <c r="HF41" t="e">
        <f>AND('Planilla_General_29-11-2012_10_'!O615,"AAAAAD08f9U=")</f>
        <v>#VALUE!</v>
      </c>
      <c r="HG41" t="e">
        <f>AND('Planilla_General_29-11-2012_10_'!P615,"AAAAAD08f9Y=")</f>
        <v>#VALUE!</v>
      </c>
      <c r="HH41">
        <f>IF('Planilla_General_29-11-2012_10_'!616:616,"AAAAAD08f9c=",0)</f>
        <v>0</v>
      </c>
      <c r="HI41" t="e">
        <f>AND('Planilla_General_29-11-2012_10_'!A616,"AAAAAD08f9g=")</f>
        <v>#VALUE!</v>
      </c>
      <c r="HJ41" t="e">
        <f>AND('Planilla_General_29-11-2012_10_'!B616,"AAAAAD08f9k=")</f>
        <v>#VALUE!</v>
      </c>
      <c r="HK41" t="e">
        <f>AND('Planilla_General_29-11-2012_10_'!C616,"AAAAAD08f9o=")</f>
        <v>#VALUE!</v>
      </c>
      <c r="HL41" t="e">
        <f>AND('Planilla_General_29-11-2012_10_'!D616,"AAAAAD08f9s=")</f>
        <v>#VALUE!</v>
      </c>
      <c r="HM41" t="e">
        <f>AND('Planilla_General_29-11-2012_10_'!E616,"AAAAAD08f9w=")</f>
        <v>#VALUE!</v>
      </c>
      <c r="HN41" t="e">
        <f>AND('Planilla_General_29-11-2012_10_'!F616,"AAAAAD08f90=")</f>
        <v>#VALUE!</v>
      </c>
      <c r="HO41" t="e">
        <f>AND('Planilla_General_29-11-2012_10_'!G616,"AAAAAD08f94=")</f>
        <v>#VALUE!</v>
      </c>
      <c r="HP41" t="e">
        <f>AND('Planilla_General_29-11-2012_10_'!H616,"AAAAAD08f98=")</f>
        <v>#VALUE!</v>
      </c>
      <c r="HQ41" t="e">
        <f>AND('Planilla_General_29-11-2012_10_'!I616,"AAAAAD08f+A=")</f>
        <v>#VALUE!</v>
      </c>
      <c r="HR41" t="e">
        <f>AND('Planilla_General_29-11-2012_10_'!J616,"AAAAAD08f+E=")</f>
        <v>#VALUE!</v>
      </c>
      <c r="HS41" t="e">
        <f>AND('Planilla_General_29-11-2012_10_'!K616,"AAAAAD08f+I=")</f>
        <v>#VALUE!</v>
      </c>
      <c r="HT41" t="e">
        <f>AND('Planilla_General_29-11-2012_10_'!L616,"AAAAAD08f+M=")</f>
        <v>#VALUE!</v>
      </c>
      <c r="HU41" t="e">
        <f>AND('Planilla_General_29-11-2012_10_'!M616,"AAAAAD08f+Q=")</f>
        <v>#VALUE!</v>
      </c>
      <c r="HV41" t="e">
        <f>AND('Planilla_General_29-11-2012_10_'!N616,"AAAAAD08f+U=")</f>
        <v>#VALUE!</v>
      </c>
      <c r="HW41" t="e">
        <f>AND('Planilla_General_29-11-2012_10_'!O616,"AAAAAD08f+Y=")</f>
        <v>#VALUE!</v>
      </c>
      <c r="HX41" t="e">
        <f>AND('Planilla_General_29-11-2012_10_'!P616,"AAAAAD08f+c=")</f>
        <v>#VALUE!</v>
      </c>
      <c r="HY41">
        <f>IF('Planilla_General_29-11-2012_10_'!617:617,"AAAAAD08f+g=",0)</f>
        <v>0</v>
      </c>
      <c r="HZ41" t="e">
        <f>AND('Planilla_General_29-11-2012_10_'!A617,"AAAAAD08f+k=")</f>
        <v>#VALUE!</v>
      </c>
      <c r="IA41" t="e">
        <f>AND('Planilla_General_29-11-2012_10_'!B617,"AAAAAD08f+o=")</f>
        <v>#VALUE!</v>
      </c>
      <c r="IB41" t="e">
        <f>AND('Planilla_General_29-11-2012_10_'!C617,"AAAAAD08f+s=")</f>
        <v>#VALUE!</v>
      </c>
      <c r="IC41" t="e">
        <f>AND('Planilla_General_29-11-2012_10_'!D617,"AAAAAD08f+w=")</f>
        <v>#VALUE!</v>
      </c>
      <c r="ID41" t="e">
        <f>AND('Planilla_General_29-11-2012_10_'!E617,"AAAAAD08f+0=")</f>
        <v>#VALUE!</v>
      </c>
      <c r="IE41" t="e">
        <f>AND('Planilla_General_29-11-2012_10_'!F617,"AAAAAD08f+4=")</f>
        <v>#VALUE!</v>
      </c>
      <c r="IF41" t="e">
        <f>AND('Planilla_General_29-11-2012_10_'!G617,"AAAAAD08f+8=")</f>
        <v>#VALUE!</v>
      </c>
      <c r="IG41" t="e">
        <f>AND('Planilla_General_29-11-2012_10_'!H617,"AAAAAD08f/A=")</f>
        <v>#VALUE!</v>
      </c>
      <c r="IH41" t="e">
        <f>AND('Planilla_General_29-11-2012_10_'!I617,"AAAAAD08f/E=")</f>
        <v>#VALUE!</v>
      </c>
      <c r="II41" t="e">
        <f>AND('Planilla_General_29-11-2012_10_'!J617,"AAAAAD08f/I=")</f>
        <v>#VALUE!</v>
      </c>
      <c r="IJ41" t="e">
        <f>AND('Planilla_General_29-11-2012_10_'!K617,"AAAAAD08f/M=")</f>
        <v>#VALUE!</v>
      </c>
      <c r="IK41" t="e">
        <f>AND('Planilla_General_29-11-2012_10_'!L617,"AAAAAD08f/Q=")</f>
        <v>#VALUE!</v>
      </c>
      <c r="IL41" t="e">
        <f>AND('Planilla_General_29-11-2012_10_'!M617,"AAAAAD08f/U=")</f>
        <v>#VALUE!</v>
      </c>
      <c r="IM41" t="e">
        <f>AND('Planilla_General_29-11-2012_10_'!N617,"AAAAAD08f/Y=")</f>
        <v>#VALUE!</v>
      </c>
      <c r="IN41" t="e">
        <f>AND('Planilla_General_29-11-2012_10_'!O617,"AAAAAD08f/c=")</f>
        <v>#VALUE!</v>
      </c>
      <c r="IO41" t="e">
        <f>AND('Planilla_General_29-11-2012_10_'!P617,"AAAAAD08f/g=")</f>
        <v>#VALUE!</v>
      </c>
      <c r="IP41">
        <f>IF('Planilla_General_29-11-2012_10_'!618:618,"AAAAAD08f/k=",0)</f>
        <v>0</v>
      </c>
      <c r="IQ41" t="e">
        <f>AND('Planilla_General_29-11-2012_10_'!A618,"AAAAAD08f/o=")</f>
        <v>#VALUE!</v>
      </c>
      <c r="IR41" t="e">
        <f>AND('Planilla_General_29-11-2012_10_'!B618,"AAAAAD08f/s=")</f>
        <v>#VALUE!</v>
      </c>
      <c r="IS41" t="e">
        <f>AND('Planilla_General_29-11-2012_10_'!C618,"AAAAAD08f/w=")</f>
        <v>#VALUE!</v>
      </c>
      <c r="IT41" t="e">
        <f>AND('Planilla_General_29-11-2012_10_'!D618,"AAAAAD08f/0=")</f>
        <v>#VALUE!</v>
      </c>
      <c r="IU41" t="e">
        <f>AND('Planilla_General_29-11-2012_10_'!E618,"AAAAAD08f/4=")</f>
        <v>#VALUE!</v>
      </c>
      <c r="IV41" t="e">
        <f>AND('Planilla_General_29-11-2012_10_'!F618,"AAAAAD08f/8=")</f>
        <v>#VALUE!</v>
      </c>
    </row>
    <row r="42" spans="1:256" x14ac:dyDescent="0.25">
      <c r="A42" t="e">
        <f>AND('Planilla_General_29-11-2012_10_'!G618,"AAAAAEfW/wA=")</f>
        <v>#VALUE!</v>
      </c>
      <c r="B42" t="e">
        <f>AND('Planilla_General_29-11-2012_10_'!H618,"AAAAAEfW/wE=")</f>
        <v>#VALUE!</v>
      </c>
      <c r="C42" t="e">
        <f>AND('Planilla_General_29-11-2012_10_'!I618,"AAAAAEfW/wI=")</f>
        <v>#VALUE!</v>
      </c>
      <c r="D42" t="e">
        <f>AND('Planilla_General_29-11-2012_10_'!J618,"AAAAAEfW/wM=")</f>
        <v>#VALUE!</v>
      </c>
      <c r="E42" t="e">
        <f>AND('Planilla_General_29-11-2012_10_'!K618,"AAAAAEfW/wQ=")</f>
        <v>#VALUE!</v>
      </c>
      <c r="F42" t="e">
        <f>AND('Planilla_General_29-11-2012_10_'!L618,"AAAAAEfW/wU=")</f>
        <v>#VALUE!</v>
      </c>
      <c r="G42" t="e">
        <f>AND('Planilla_General_29-11-2012_10_'!M618,"AAAAAEfW/wY=")</f>
        <v>#VALUE!</v>
      </c>
      <c r="H42" t="e">
        <f>AND('Planilla_General_29-11-2012_10_'!N618,"AAAAAEfW/wc=")</f>
        <v>#VALUE!</v>
      </c>
      <c r="I42" t="e">
        <f>AND('Planilla_General_29-11-2012_10_'!O618,"AAAAAEfW/wg=")</f>
        <v>#VALUE!</v>
      </c>
      <c r="J42" t="e">
        <f>AND('Planilla_General_29-11-2012_10_'!P618,"AAAAAEfW/wk=")</f>
        <v>#VALUE!</v>
      </c>
      <c r="K42" t="str">
        <f>IF('Planilla_General_29-11-2012_10_'!619:619,"AAAAAEfW/wo=",0)</f>
        <v>AAAAAEfW/wo=</v>
      </c>
      <c r="L42" t="e">
        <f>AND('Planilla_General_29-11-2012_10_'!A619,"AAAAAEfW/ws=")</f>
        <v>#VALUE!</v>
      </c>
      <c r="M42" t="e">
        <f>AND('Planilla_General_29-11-2012_10_'!B619,"AAAAAEfW/ww=")</f>
        <v>#VALUE!</v>
      </c>
      <c r="N42" t="e">
        <f>AND('Planilla_General_29-11-2012_10_'!C619,"AAAAAEfW/w0=")</f>
        <v>#VALUE!</v>
      </c>
      <c r="O42" t="e">
        <f>AND('Planilla_General_29-11-2012_10_'!D619,"AAAAAEfW/w4=")</f>
        <v>#VALUE!</v>
      </c>
      <c r="P42" t="e">
        <f>AND('Planilla_General_29-11-2012_10_'!E619,"AAAAAEfW/w8=")</f>
        <v>#VALUE!</v>
      </c>
      <c r="Q42" t="e">
        <f>AND('Planilla_General_29-11-2012_10_'!F619,"AAAAAEfW/xA=")</f>
        <v>#VALUE!</v>
      </c>
      <c r="R42" t="e">
        <f>AND('Planilla_General_29-11-2012_10_'!G619,"AAAAAEfW/xE=")</f>
        <v>#VALUE!</v>
      </c>
      <c r="S42" t="e">
        <f>AND('Planilla_General_29-11-2012_10_'!H619,"AAAAAEfW/xI=")</f>
        <v>#VALUE!</v>
      </c>
      <c r="T42" t="e">
        <f>AND('Planilla_General_29-11-2012_10_'!I619,"AAAAAEfW/xM=")</f>
        <v>#VALUE!</v>
      </c>
      <c r="U42" t="e">
        <f>AND('Planilla_General_29-11-2012_10_'!J619,"AAAAAEfW/xQ=")</f>
        <v>#VALUE!</v>
      </c>
      <c r="V42" t="e">
        <f>AND('Planilla_General_29-11-2012_10_'!K619,"AAAAAEfW/xU=")</f>
        <v>#VALUE!</v>
      </c>
      <c r="W42" t="e">
        <f>AND('Planilla_General_29-11-2012_10_'!L619,"AAAAAEfW/xY=")</f>
        <v>#VALUE!</v>
      </c>
      <c r="X42" t="e">
        <f>AND('Planilla_General_29-11-2012_10_'!M619,"AAAAAEfW/xc=")</f>
        <v>#VALUE!</v>
      </c>
      <c r="Y42" t="e">
        <f>AND('Planilla_General_29-11-2012_10_'!N619,"AAAAAEfW/xg=")</f>
        <v>#VALUE!</v>
      </c>
      <c r="Z42" t="e">
        <f>AND('Planilla_General_29-11-2012_10_'!O619,"AAAAAEfW/xk=")</f>
        <v>#VALUE!</v>
      </c>
      <c r="AA42" t="e">
        <f>AND('Planilla_General_29-11-2012_10_'!P619,"AAAAAEfW/xo=")</f>
        <v>#VALUE!</v>
      </c>
      <c r="AB42">
        <f>IF('Planilla_General_29-11-2012_10_'!620:620,"AAAAAEfW/xs=",0)</f>
        <v>0</v>
      </c>
      <c r="AC42" t="e">
        <f>AND('Planilla_General_29-11-2012_10_'!A620,"AAAAAEfW/xw=")</f>
        <v>#VALUE!</v>
      </c>
      <c r="AD42" t="e">
        <f>AND('Planilla_General_29-11-2012_10_'!B620,"AAAAAEfW/x0=")</f>
        <v>#VALUE!</v>
      </c>
      <c r="AE42" t="e">
        <f>AND('Planilla_General_29-11-2012_10_'!C620,"AAAAAEfW/x4=")</f>
        <v>#VALUE!</v>
      </c>
      <c r="AF42" t="e">
        <f>AND('Planilla_General_29-11-2012_10_'!D620,"AAAAAEfW/x8=")</f>
        <v>#VALUE!</v>
      </c>
      <c r="AG42" t="e">
        <f>AND('Planilla_General_29-11-2012_10_'!E620,"AAAAAEfW/yA=")</f>
        <v>#VALUE!</v>
      </c>
      <c r="AH42" t="e">
        <f>AND('Planilla_General_29-11-2012_10_'!F620,"AAAAAEfW/yE=")</f>
        <v>#VALUE!</v>
      </c>
      <c r="AI42" t="e">
        <f>AND('Planilla_General_29-11-2012_10_'!G620,"AAAAAEfW/yI=")</f>
        <v>#VALUE!</v>
      </c>
      <c r="AJ42" t="e">
        <f>AND('Planilla_General_29-11-2012_10_'!H620,"AAAAAEfW/yM=")</f>
        <v>#VALUE!</v>
      </c>
      <c r="AK42" t="e">
        <f>AND('Planilla_General_29-11-2012_10_'!I620,"AAAAAEfW/yQ=")</f>
        <v>#VALUE!</v>
      </c>
      <c r="AL42" t="e">
        <f>AND('Planilla_General_29-11-2012_10_'!J620,"AAAAAEfW/yU=")</f>
        <v>#VALUE!</v>
      </c>
      <c r="AM42" t="e">
        <f>AND('Planilla_General_29-11-2012_10_'!K620,"AAAAAEfW/yY=")</f>
        <v>#VALUE!</v>
      </c>
      <c r="AN42" t="e">
        <f>AND('Planilla_General_29-11-2012_10_'!L620,"AAAAAEfW/yc=")</f>
        <v>#VALUE!</v>
      </c>
      <c r="AO42" t="e">
        <f>AND('Planilla_General_29-11-2012_10_'!M620,"AAAAAEfW/yg=")</f>
        <v>#VALUE!</v>
      </c>
      <c r="AP42" t="e">
        <f>AND('Planilla_General_29-11-2012_10_'!N620,"AAAAAEfW/yk=")</f>
        <v>#VALUE!</v>
      </c>
      <c r="AQ42" t="e">
        <f>AND('Planilla_General_29-11-2012_10_'!O620,"AAAAAEfW/yo=")</f>
        <v>#VALUE!</v>
      </c>
      <c r="AR42" t="e">
        <f>AND('Planilla_General_29-11-2012_10_'!P620,"AAAAAEfW/ys=")</f>
        <v>#VALUE!</v>
      </c>
      <c r="AS42">
        <f>IF('Planilla_General_29-11-2012_10_'!621:621,"AAAAAEfW/yw=",0)</f>
        <v>0</v>
      </c>
      <c r="AT42" t="e">
        <f>AND('Planilla_General_29-11-2012_10_'!A621,"AAAAAEfW/y0=")</f>
        <v>#VALUE!</v>
      </c>
      <c r="AU42" t="e">
        <f>AND('Planilla_General_29-11-2012_10_'!B621,"AAAAAEfW/y4=")</f>
        <v>#VALUE!</v>
      </c>
      <c r="AV42" t="e">
        <f>AND('Planilla_General_29-11-2012_10_'!C621,"AAAAAEfW/y8=")</f>
        <v>#VALUE!</v>
      </c>
      <c r="AW42" t="e">
        <f>AND('Planilla_General_29-11-2012_10_'!D621,"AAAAAEfW/zA=")</f>
        <v>#VALUE!</v>
      </c>
      <c r="AX42" t="e">
        <f>AND('Planilla_General_29-11-2012_10_'!E621,"AAAAAEfW/zE=")</f>
        <v>#VALUE!</v>
      </c>
      <c r="AY42" t="e">
        <f>AND('Planilla_General_29-11-2012_10_'!F621,"AAAAAEfW/zI=")</f>
        <v>#VALUE!</v>
      </c>
      <c r="AZ42" t="e">
        <f>AND('Planilla_General_29-11-2012_10_'!G621,"AAAAAEfW/zM=")</f>
        <v>#VALUE!</v>
      </c>
      <c r="BA42" t="e">
        <f>AND('Planilla_General_29-11-2012_10_'!H621,"AAAAAEfW/zQ=")</f>
        <v>#VALUE!</v>
      </c>
      <c r="BB42" t="e">
        <f>AND('Planilla_General_29-11-2012_10_'!I621,"AAAAAEfW/zU=")</f>
        <v>#VALUE!</v>
      </c>
      <c r="BC42" t="e">
        <f>AND('Planilla_General_29-11-2012_10_'!J621,"AAAAAEfW/zY=")</f>
        <v>#VALUE!</v>
      </c>
      <c r="BD42" t="e">
        <f>AND('Planilla_General_29-11-2012_10_'!K621,"AAAAAEfW/zc=")</f>
        <v>#VALUE!</v>
      </c>
      <c r="BE42" t="e">
        <f>AND('Planilla_General_29-11-2012_10_'!L621,"AAAAAEfW/zg=")</f>
        <v>#VALUE!</v>
      </c>
      <c r="BF42" t="e">
        <f>AND('Planilla_General_29-11-2012_10_'!M621,"AAAAAEfW/zk=")</f>
        <v>#VALUE!</v>
      </c>
      <c r="BG42" t="e">
        <f>AND('Planilla_General_29-11-2012_10_'!N621,"AAAAAEfW/zo=")</f>
        <v>#VALUE!</v>
      </c>
      <c r="BH42" t="e">
        <f>AND('Planilla_General_29-11-2012_10_'!O621,"AAAAAEfW/zs=")</f>
        <v>#VALUE!</v>
      </c>
      <c r="BI42" t="e">
        <f>AND('Planilla_General_29-11-2012_10_'!P621,"AAAAAEfW/zw=")</f>
        <v>#VALUE!</v>
      </c>
      <c r="BJ42">
        <f>IF('Planilla_General_29-11-2012_10_'!622:622,"AAAAAEfW/z0=",0)</f>
        <v>0</v>
      </c>
      <c r="BK42" t="e">
        <f>AND('Planilla_General_29-11-2012_10_'!A622,"AAAAAEfW/z4=")</f>
        <v>#VALUE!</v>
      </c>
      <c r="BL42" t="e">
        <f>AND('Planilla_General_29-11-2012_10_'!B622,"AAAAAEfW/z8=")</f>
        <v>#VALUE!</v>
      </c>
      <c r="BM42" t="e">
        <f>AND('Planilla_General_29-11-2012_10_'!C622,"AAAAAEfW/0A=")</f>
        <v>#VALUE!</v>
      </c>
      <c r="BN42" t="e">
        <f>AND('Planilla_General_29-11-2012_10_'!D622,"AAAAAEfW/0E=")</f>
        <v>#VALUE!</v>
      </c>
      <c r="BO42" t="e">
        <f>AND('Planilla_General_29-11-2012_10_'!E622,"AAAAAEfW/0I=")</f>
        <v>#VALUE!</v>
      </c>
      <c r="BP42" t="e">
        <f>AND('Planilla_General_29-11-2012_10_'!F622,"AAAAAEfW/0M=")</f>
        <v>#VALUE!</v>
      </c>
      <c r="BQ42" t="e">
        <f>AND('Planilla_General_29-11-2012_10_'!G622,"AAAAAEfW/0Q=")</f>
        <v>#VALUE!</v>
      </c>
      <c r="BR42" t="e">
        <f>AND('Planilla_General_29-11-2012_10_'!H622,"AAAAAEfW/0U=")</f>
        <v>#VALUE!</v>
      </c>
      <c r="BS42" t="e">
        <f>AND('Planilla_General_29-11-2012_10_'!I622,"AAAAAEfW/0Y=")</f>
        <v>#VALUE!</v>
      </c>
      <c r="BT42" t="e">
        <f>AND('Planilla_General_29-11-2012_10_'!J622,"AAAAAEfW/0c=")</f>
        <v>#VALUE!</v>
      </c>
      <c r="BU42" t="e">
        <f>AND('Planilla_General_29-11-2012_10_'!K622,"AAAAAEfW/0g=")</f>
        <v>#VALUE!</v>
      </c>
      <c r="BV42" t="e">
        <f>AND('Planilla_General_29-11-2012_10_'!L622,"AAAAAEfW/0k=")</f>
        <v>#VALUE!</v>
      </c>
      <c r="BW42" t="e">
        <f>AND('Planilla_General_29-11-2012_10_'!M622,"AAAAAEfW/0o=")</f>
        <v>#VALUE!</v>
      </c>
      <c r="BX42" t="e">
        <f>AND('Planilla_General_29-11-2012_10_'!N622,"AAAAAEfW/0s=")</f>
        <v>#VALUE!</v>
      </c>
      <c r="BY42" t="e">
        <f>AND('Planilla_General_29-11-2012_10_'!O622,"AAAAAEfW/0w=")</f>
        <v>#VALUE!</v>
      </c>
      <c r="BZ42" t="e">
        <f>AND('Planilla_General_29-11-2012_10_'!P622,"AAAAAEfW/00=")</f>
        <v>#VALUE!</v>
      </c>
      <c r="CA42">
        <f>IF('Planilla_General_29-11-2012_10_'!623:623,"AAAAAEfW/04=",0)</f>
        <v>0</v>
      </c>
      <c r="CB42" t="e">
        <f>AND('Planilla_General_29-11-2012_10_'!A623,"AAAAAEfW/08=")</f>
        <v>#VALUE!</v>
      </c>
      <c r="CC42" t="e">
        <f>AND('Planilla_General_29-11-2012_10_'!B623,"AAAAAEfW/1A=")</f>
        <v>#VALUE!</v>
      </c>
      <c r="CD42" t="e">
        <f>AND('Planilla_General_29-11-2012_10_'!C623,"AAAAAEfW/1E=")</f>
        <v>#VALUE!</v>
      </c>
      <c r="CE42" t="e">
        <f>AND('Planilla_General_29-11-2012_10_'!D623,"AAAAAEfW/1I=")</f>
        <v>#VALUE!</v>
      </c>
      <c r="CF42" t="e">
        <f>AND('Planilla_General_29-11-2012_10_'!E623,"AAAAAEfW/1M=")</f>
        <v>#VALUE!</v>
      </c>
      <c r="CG42" t="e">
        <f>AND('Planilla_General_29-11-2012_10_'!F623,"AAAAAEfW/1Q=")</f>
        <v>#VALUE!</v>
      </c>
      <c r="CH42" t="e">
        <f>AND('Planilla_General_29-11-2012_10_'!G623,"AAAAAEfW/1U=")</f>
        <v>#VALUE!</v>
      </c>
      <c r="CI42" t="e">
        <f>AND('Planilla_General_29-11-2012_10_'!H623,"AAAAAEfW/1Y=")</f>
        <v>#VALUE!</v>
      </c>
      <c r="CJ42" t="e">
        <f>AND('Planilla_General_29-11-2012_10_'!I623,"AAAAAEfW/1c=")</f>
        <v>#VALUE!</v>
      </c>
      <c r="CK42" t="e">
        <f>AND('Planilla_General_29-11-2012_10_'!J623,"AAAAAEfW/1g=")</f>
        <v>#VALUE!</v>
      </c>
      <c r="CL42" t="e">
        <f>AND('Planilla_General_29-11-2012_10_'!K623,"AAAAAEfW/1k=")</f>
        <v>#VALUE!</v>
      </c>
      <c r="CM42" t="e">
        <f>AND('Planilla_General_29-11-2012_10_'!L623,"AAAAAEfW/1o=")</f>
        <v>#VALUE!</v>
      </c>
      <c r="CN42" t="e">
        <f>AND('Planilla_General_29-11-2012_10_'!M623,"AAAAAEfW/1s=")</f>
        <v>#VALUE!</v>
      </c>
      <c r="CO42" t="e">
        <f>AND('Planilla_General_29-11-2012_10_'!N623,"AAAAAEfW/1w=")</f>
        <v>#VALUE!</v>
      </c>
      <c r="CP42" t="e">
        <f>AND('Planilla_General_29-11-2012_10_'!O623,"AAAAAEfW/10=")</f>
        <v>#VALUE!</v>
      </c>
      <c r="CQ42" t="e">
        <f>AND('Planilla_General_29-11-2012_10_'!P623,"AAAAAEfW/14=")</f>
        <v>#VALUE!</v>
      </c>
      <c r="CR42">
        <f>IF('Planilla_General_29-11-2012_10_'!624:624,"AAAAAEfW/18=",0)</f>
        <v>0</v>
      </c>
      <c r="CS42" t="e">
        <f>AND('Planilla_General_29-11-2012_10_'!A624,"AAAAAEfW/2A=")</f>
        <v>#VALUE!</v>
      </c>
      <c r="CT42" t="e">
        <f>AND('Planilla_General_29-11-2012_10_'!B624,"AAAAAEfW/2E=")</f>
        <v>#VALUE!</v>
      </c>
      <c r="CU42" t="e">
        <f>AND('Planilla_General_29-11-2012_10_'!C624,"AAAAAEfW/2I=")</f>
        <v>#VALUE!</v>
      </c>
      <c r="CV42" t="e">
        <f>AND('Planilla_General_29-11-2012_10_'!D624,"AAAAAEfW/2M=")</f>
        <v>#VALUE!</v>
      </c>
      <c r="CW42" t="e">
        <f>AND('Planilla_General_29-11-2012_10_'!E624,"AAAAAEfW/2Q=")</f>
        <v>#VALUE!</v>
      </c>
      <c r="CX42" t="e">
        <f>AND('Planilla_General_29-11-2012_10_'!F624,"AAAAAEfW/2U=")</f>
        <v>#VALUE!</v>
      </c>
      <c r="CY42" t="e">
        <f>AND('Planilla_General_29-11-2012_10_'!G624,"AAAAAEfW/2Y=")</f>
        <v>#VALUE!</v>
      </c>
      <c r="CZ42" t="e">
        <f>AND('Planilla_General_29-11-2012_10_'!H624,"AAAAAEfW/2c=")</f>
        <v>#VALUE!</v>
      </c>
      <c r="DA42" t="e">
        <f>AND('Planilla_General_29-11-2012_10_'!I624,"AAAAAEfW/2g=")</f>
        <v>#VALUE!</v>
      </c>
      <c r="DB42" t="e">
        <f>AND('Planilla_General_29-11-2012_10_'!J624,"AAAAAEfW/2k=")</f>
        <v>#VALUE!</v>
      </c>
      <c r="DC42" t="e">
        <f>AND('Planilla_General_29-11-2012_10_'!K624,"AAAAAEfW/2o=")</f>
        <v>#VALUE!</v>
      </c>
      <c r="DD42" t="e">
        <f>AND('Planilla_General_29-11-2012_10_'!L624,"AAAAAEfW/2s=")</f>
        <v>#VALUE!</v>
      </c>
      <c r="DE42" t="e">
        <f>AND('Planilla_General_29-11-2012_10_'!M624,"AAAAAEfW/2w=")</f>
        <v>#VALUE!</v>
      </c>
      <c r="DF42" t="e">
        <f>AND('Planilla_General_29-11-2012_10_'!N624,"AAAAAEfW/20=")</f>
        <v>#VALUE!</v>
      </c>
      <c r="DG42" t="e">
        <f>AND('Planilla_General_29-11-2012_10_'!O624,"AAAAAEfW/24=")</f>
        <v>#VALUE!</v>
      </c>
      <c r="DH42" t="e">
        <f>AND('Planilla_General_29-11-2012_10_'!P624,"AAAAAEfW/28=")</f>
        <v>#VALUE!</v>
      </c>
      <c r="DI42">
        <f>IF('Planilla_General_29-11-2012_10_'!625:625,"AAAAAEfW/3A=",0)</f>
        <v>0</v>
      </c>
      <c r="DJ42" t="e">
        <f>AND('Planilla_General_29-11-2012_10_'!A625,"AAAAAEfW/3E=")</f>
        <v>#VALUE!</v>
      </c>
      <c r="DK42" t="e">
        <f>AND('Planilla_General_29-11-2012_10_'!B625,"AAAAAEfW/3I=")</f>
        <v>#VALUE!</v>
      </c>
      <c r="DL42" t="e">
        <f>AND('Planilla_General_29-11-2012_10_'!C625,"AAAAAEfW/3M=")</f>
        <v>#VALUE!</v>
      </c>
      <c r="DM42" t="e">
        <f>AND('Planilla_General_29-11-2012_10_'!D625,"AAAAAEfW/3Q=")</f>
        <v>#VALUE!</v>
      </c>
      <c r="DN42" t="e">
        <f>AND('Planilla_General_29-11-2012_10_'!E625,"AAAAAEfW/3U=")</f>
        <v>#VALUE!</v>
      </c>
      <c r="DO42" t="e">
        <f>AND('Planilla_General_29-11-2012_10_'!F625,"AAAAAEfW/3Y=")</f>
        <v>#VALUE!</v>
      </c>
      <c r="DP42" t="e">
        <f>AND('Planilla_General_29-11-2012_10_'!G625,"AAAAAEfW/3c=")</f>
        <v>#VALUE!</v>
      </c>
      <c r="DQ42" t="e">
        <f>AND('Planilla_General_29-11-2012_10_'!H625,"AAAAAEfW/3g=")</f>
        <v>#VALUE!</v>
      </c>
      <c r="DR42" t="e">
        <f>AND('Planilla_General_29-11-2012_10_'!I625,"AAAAAEfW/3k=")</f>
        <v>#VALUE!</v>
      </c>
      <c r="DS42" t="e">
        <f>AND('Planilla_General_29-11-2012_10_'!J625,"AAAAAEfW/3o=")</f>
        <v>#VALUE!</v>
      </c>
      <c r="DT42" t="e">
        <f>AND('Planilla_General_29-11-2012_10_'!K625,"AAAAAEfW/3s=")</f>
        <v>#VALUE!</v>
      </c>
      <c r="DU42" t="e">
        <f>AND('Planilla_General_29-11-2012_10_'!L625,"AAAAAEfW/3w=")</f>
        <v>#VALUE!</v>
      </c>
      <c r="DV42" t="e">
        <f>AND('Planilla_General_29-11-2012_10_'!M625,"AAAAAEfW/30=")</f>
        <v>#VALUE!</v>
      </c>
      <c r="DW42" t="e">
        <f>AND('Planilla_General_29-11-2012_10_'!N625,"AAAAAEfW/34=")</f>
        <v>#VALUE!</v>
      </c>
      <c r="DX42" t="e">
        <f>AND('Planilla_General_29-11-2012_10_'!O625,"AAAAAEfW/38=")</f>
        <v>#VALUE!</v>
      </c>
      <c r="DY42" t="e">
        <f>AND('Planilla_General_29-11-2012_10_'!P625,"AAAAAEfW/4A=")</f>
        <v>#VALUE!</v>
      </c>
      <c r="DZ42">
        <f>IF('Planilla_General_29-11-2012_10_'!626:626,"AAAAAEfW/4E=",0)</f>
        <v>0</v>
      </c>
      <c r="EA42" t="e">
        <f>AND('Planilla_General_29-11-2012_10_'!A626,"AAAAAEfW/4I=")</f>
        <v>#VALUE!</v>
      </c>
      <c r="EB42" t="e">
        <f>AND('Planilla_General_29-11-2012_10_'!B626,"AAAAAEfW/4M=")</f>
        <v>#VALUE!</v>
      </c>
      <c r="EC42" t="e">
        <f>AND('Planilla_General_29-11-2012_10_'!C626,"AAAAAEfW/4Q=")</f>
        <v>#VALUE!</v>
      </c>
      <c r="ED42" t="e">
        <f>AND('Planilla_General_29-11-2012_10_'!D626,"AAAAAEfW/4U=")</f>
        <v>#VALUE!</v>
      </c>
      <c r="EE42" t="e">
        <f>AND('Planilla_General_29-11-2012_10_'!E626,"AAAAAEfW/4Y=")</f>
        <v>#VALUE!</v>
      </c>
      <c r="EF42" t="e">
        <f>AND('Planilla_General_29-11-2012_10_'!F626,"AAAAAEfW/4c=")</f>
        <v>#VALUE!</v>
      </c>
      <c r="EG42" t="e">
        <f>AND('Planilla_General_29-11-2012_10_'!G626,"AAAAAEfW/4g=")</f>
        <v>#VALUE!</v>
      </c>
      <c r="EH42" t="e">
        <f>AND('Planilla_General_29-11-2012_10_'!H626,"AAAAAEfW/4k=")</f>
        <v>#VALUE!</v>
      </c>
      <c r="EI42" t="e">
        <f>AND('Planilla_General_29-11-2012_10_'!I626,"AAAAAEfW/4o=")</f>
        <v>#VALUE!</v>
      </c>
      <c r="EJ42" t="e">
        <f>AND('Planilla_General_29-11-2012_10_'!J626,"AAAAAEfW/4s=")</f>
        <v>#VALUE!</v>
      </c>
      <c r="EK42" t="e">
        <f>AND('Planilla_General_29-11-2012_10_'!K626,"AAAAAEfW/4w=")</f>
        <v>#VALUE!</v>
      </c>
      <c r="EL42" t="e">
        <f>AND('Planilla_General_29-11-2012_10_'!L626,"AAAAAEfW/40=")</f>
        <v>#VALUE!</v>
      </c>
      <c r="EM42" t="e">
        <f>AND('Planilla_General_29-11-2012_10_'!M626,"AAAAAEfW/44=")</f>
        <v>#VALUE!</v>
      </c>
      <c r="EN42" t="e">
        <f>AND('Planilla_General_29-11-2012_10_'!N626,"AAAAAEfW/48=")</f>
        <v>#VALUE!</v>
      </c>
      <c r="EO42" t="e">
        <f>AND('Planilla_General_29-11-2012_10_'!O626,"AAAAAEfW/5A=")</f>
        <v>#VALUE!</v>
      </c>
      <c r="EP42" t="e">
        <f>AND('Planilla_General_29-11-2012_10_'!P626,"AAAAAEfW/5E=")</f>
        <v>#VALUE!</v>
      </c>
      <c r="EQ42">
        <f>IF('Planilla_General_29-11-2012_10_'!627:627,"AAAAAEfW/5I=",0)</f>
        <v>0</v>
      </c>
      <c r="ER42" t="e">
        <f>AND('Planilla_General_29-11-2012_10_'!A627,"AAAAAEfW/5M=")</f>
        <v>#VALUE!</v>
      </c>
      <c r="ES42" t="e">
        <f>AND('Planilla_General_29-11-2012_10_'!B627,"AAAAAEfW/5Q=")</f>
        <v>#VALUE!</v>
      </c>
      <c r="ET42" t="e">
        <f>AND('Planilla_General_29-11-2012_10_'!C627,"AAAAAEfW/5U=")</f>
        <v>#VALUE!</v>
      </c>
      <c r="EU42" t="e">
        <f>AND('Planilla_General_29-11-2012_10_'!D627,"AAAAAEfW/5Y=")</f>
        <v>#VALUE!</v>
      </c>
      <c r="EV42" t="e">
        <f>AND('Planilla_General_29-11-2012_10_'!E627,"AAAAAEfW/5c=")</f>
        <v>#VALUE!</v>
      </c>
      <c r="EW42" t="e">
        <f>AND('Planilla_General_29-11-2012_10_'!F627,"AAAAAEfW/5g=")</f>
        <v>#VALUE!</v>
      </c>
      <c r="EX42" t="e">
        <f>AND('Planilla_General_29-11-2012_10_'!G627,"AAAAAEfW/5k=")</f>
        <v>#VALUE!</v>
      </c>
      <c r="EY42" t="e">
        <f>AND('Planilla_General_29-11-2012_10_'!H627,"AAAAAEfW/5o=")</f>
        <v>#VALUE!</v>
      </c>
      <c r="EZ42" t="e">
        <f>AND('Planilla_General_29-11-2012_10_'!I627,"AAAAAEfW/5s=")</f>
        <v>#VALUE!</v>
      </c>
      <c r="FA42" t="e">
        <f>AND('Planilla_General_29-11-2012_10_'!J627,"AAAAAEfW/5w=")</f>
        <v>#VALUE!</v>
      </c>
      <c r="FB42" t="e">
        <f>AND('Planilla_General_29-11-2012_10_'!K627,"AAAAAEfW/50=")</f>
        <v>#VALUE!</v>
      </c>
      <c r="FC42" t="e">
        <f>AND('Planilla_General_29-11-2012_10_'!L627,"AAAAAEfW/54=")</f>
        <v>#VALUE!</v>
      </c>
      <c r="FD42" t="e">
        <f>AND('Planilla_General_29-11-2012_10_'!M627,"AAAAAEfW/58=")</f>
        <v>#VALUE!</v>
      </c>
      <c r="FE42" t="e">
        <f>AND('Planilla_General_29-11-2012_10_'!N627,"AAAAAEfW/6A=")</f>
        <v>#VALUE!</v>
      </c>
      <c r="FF42" t="e">
        <f>AND('Planilla_General_29-11-2012_10_'!O627,"AAAAAEfW/6E=")</f>
        <v>#VALUE!</v>
      </c>
      <c r="FG42" t="e">
        <f>AND('Planilla_General_29-11-2012_10_'!P627,"AAAAAEfW/6I=")</f>
        <v>#VALUE!</v>
      </c>
      <c r="FH42">
        <f>IF('Planilla_General_29-11-2012_10_'!628:628,"AAAAAEfW/6M=",0)</f>
        <v>0</v>
      </c>
      <c r="FI42" t="e">
        <f>AND('Planilla_General_29-11-2012_10_'!A628,"AAAAAEfW/6Q=")</f>
        <v>#VALUE!</v>
      </c>
      <c r="FJ42" t="e">
        <f>AND('Planilla_General_29-11-2012_10_'!B628,"AAAAAEfW/6U=")</f>
        <v>#VALUE!</v>
      </c>
      <c r="FK42" t="e">
        <f>AND('Planilla_General_29-11-2012_10_'!C628,"AAAAAEfW/6Y=")</f>
        <v>#VALUE!</v>
      </c>
      <c r="FL42" t="e">
        <f>AND('Planilla_General_29-11-2012_10_'!D628,"AAAAAEfW/6c=")</f>
        <v>#VALUE!</v>
      </c>
      <c r="FM42" t="e">
        <f>AND('Planilla_General_29-11-2012_10_'!E628,"AAAAAEfW/6g=")</f>
        <v>#VALUE!</v>
      </c>
      <c r="FN42" t="e">
        <f>AND('Planilla_General_29-11-2012_10_'!F628,"AAAAAEfW/6k=")</f>
        <v>#VALUE!</v>
      </c>
      <c r="FO42" t="e">
        <f>AND('Planilla_General_29-11-2012_10_'!G628,"AAAAAEfW/6o=")</f>
        <v>#VALUE!</v>
      </c>
      <c r="FP42" t="e">
        <f>AND('Planilla_General_29-11-2012_10_'!H628,"AAAAAEfW/6s=")</f>
        <v>#VALUE!</v>
      </c>
      <c r="FQ42" t="e">
        <f>AND('Planilla_General_29-11-2012_10_'!I628,"AAAAAEfW/6w=")</f>
        <v>#VALUE!</v>
      </c>
      <c r="FR42" t="e">
        <f>AND('Planilla_General_29-11-2012_10_'!J628,"AAAAAEfW/60=")</f>
        <v>#VALUE!</v>
      </c>
      <c r="FS42" t="e">
        <f>AND('Planilla_General_29-11-2012_10_'!K628,"AAAAAEfW/64=")</f>
        <v>#VALUE!</v>
      </c>
      <c r="FT42" t="e">
        <f>AND('Planilla_General_29-11-2012_10_'!L628,"AAAAAEfW/68=")</f>
        <v>#VALUE!</v>
      </c>
      <c r="FU42" t="e">
        <f>AND('Planilla_General_29-11-2012_10_'!M628,"AAAAAEfW/7A=")</f>
        <v>#VALUE!</v>
      </c>
      <c r="FV42" t="e">
        <f>AND('Planilla_General_29-11-2012_10_'!N628,"AAAAAEfW/7E=")</f>
        <v>#VALUE!</v>
      </c>
      <c r="FW42" t="e">
        <f>AND('Planilla_General_29-11-2012_10_'!O628,"AAAAAEfW/7I=")</f>
        <v>#VALUE!</v>
      </c>
      <c r="FX42" t="e">
        <f>AND('Planilla_General_29-11-2012_10_'!P628,"AAAAAEfW/7M=")</f>
        <v>#VALUE!</v>
      </c>
      <c r="FY42">
        <f>IF('Planilla_General_29-11-2012_10_'!629:629,"AAAAAEfW/7Q=",0)</f>
        <v>0</v>
      </c>
      <c r="FZ42" t="e">
        <f>AND('Planilla_General_29-11-2012_10_'!A629,"AAAAAEfW/7U=")</f>
        <v>#VALUE!</v>
      </c>
      <c r="GA42" t="e">
        <f>AND('Planilla_General_29-11-2012_10_'!B629,"AAAAAEfW/7Y=")</f>
        <v>#VALUE!</v>
      </c>
      <c r="GB42" t="e">
        <f>AND('Planilla_General_29-11-2012_10_'!C629,"AAAAAEfW/7c=")</f>
        <v>#VALUE!</v>
      </c>
      <c r="GC42" t="e">
        <f>AND('Planilla_General_29-11-2012_10_'!D629,"AAAAAEfW/7g=")</f>
        <v>#VALUE!</v>
      </c>
      <c r="GD42" t="e">
        <f>AND('Planilla_General_29-11-2012_10_'!E629,"AAAAAEfW/7k=")</f>
        <v>#VALUE!</v>
      </c>
      <c r="GE42" t="e">
        <f>AND('Planilla_General_29-11-2012_10_'!F629,"AAAAAEfW/7o=")</f>
        <v>#VALUE!</v>
      </c>
      <c r="GF42" t="e">
        <f>AND('Planilla_General_29-11-2012_10_'!G629,"AAAAAEfW/7s=")</f>
        <v>#VALUE!</v>
      </c>
      <c r="GG42" t="e">
        <f>AND('Planilla_General_29-11-2012_10_'!H629,"AAAAAEfW/7w=")</f>
        <v>#VALUE!</v>
      </c>
      <c r="GH42" t="e">
        <f>AND('Planilla_General_29-11-2012_10_'!I629,"AAAAAEfW/70=")</f>
        <v>#VALUE!</v>
      </c>
      <c r="GI42" t="e">
        <f>AND('Planilla_General_29-11-2012_10_'!J629,"AAAAAEfW/74=")</f>
        <v>#VALUE!</v>
      </c>
      <c r="GJ42" t="e">
        <f>AND('Planilla_General_29-11-2012_10_'!K629,"AAAAAEfW/78=")</f>
        <v>#VALUE!</v>
      </c>
      <c r="GK42" t="e">
        <f>AND('Planilla_General_29-11-2012_10_'!L629,"AAAAAEfW/8A=")</f>
        <v>#VALUE!</v>
      </c>
      <c r="GL42" t="e">
        <f>AND('Planilla_General_29-11-2012_10_'!M629,"AAAAAEfW/8E=")</f>
        <v>#VALUE!</v>
      </c>
      <c r="GM42" t="e">
        <f>AND('Planilla_General_29-11-2012_10_'!N629,"AAAAAEfW/8I=")</f>
        <v>#VALUE!</v>
      </c>
      <c r="GN42" t="e">
        <f>AND('Planilla_General_29-11-2012_10_'!O629,"AAAAAEfW/8M=")</f>
        <v>#VALUE!</v>
      </c>
      <c r="GO42" t="e">
        <f>AND('Planilla_General_29-11-2012_10_'!P629,"AAAAAEfW/8Q=")</f>
        <v>#VALUE!</v>
      </c>
      <c r="GP42">
        <f>IF('Planilla_General_29-11-2012_10_'!630:630,"AAAAAEfW/8U=",0)</f>
        <v>0</v>
      </c>
      <c r="GQ42" t="e">
        <f>AND('Planilla_General_29-11-2012_10_'!A630,"AAAAAEfW/8Y=")</f>
        <v>#VALUE!</v>
      </c>
      <c r="GR42" t="e">
        <f>AND('Planilla_General_29-11-2012_10_'!B630,"AAAAAEfW/8c=")</f>
        <v>#VALUE!</v>
      </c>
      <c r="GS42" t="e">
        <f>AND('Planilla_General_29-11-2012_10_'!C630,"AAAAAEfW/8g=")</f>
        <v>#VALUE!</v>
      </c>
      <c r="GT42" t="e">
        <f>AND('Planilla_General_29-11-2012_10_'!D630,"AAAAAEfW/8k=")</f>
        <v>#VALUE!</v>
      </c>
      <c r="GU42" t="e">
        <f>AND('Planilla_General_29-11-2012_10_'!E630,"AAAAAEfW/8o=")</f>
        <v>#VALUE!</v>
      </c>
      <c r="GV42" t="e">
        <f>AND('Planilla_General_29-11-2012_10_'!F630,"AAAAAEfW/8s=")</f>
        <v>#VALUE!</v>
      </c>
      <c r="GW42" t="e">
        <f>AND('Planilla_General_29-11-2012_10_'!G630,"AAAAAEfW/8w=")</f>
        <v>#VALUE!</v>
      </c>
      <c r="GX42" t="e">
        <f>AND('Planilla_General_29-11-2012_10_'!H630,"AAAAAEfW/80=")</f>
        <v>#VALUE!</v>
      </c>
      <c r="GY42" t="e">
        <f>AND('Planilla_General_29-11-2012_10_'!I630,"AAAAAEfW/84=")</f>
        <v>#VALUE!</v>
      </c>
      <c r="GZ42" t="e">
        <f>AND('Planilla_General_29-11-2012_10_'!J630,"AAAAAEfW/88=")</f>
        <v>#VALUE!</v>
      </c>
      <c r="HA42" t="e">
        <f>AND('Planilla_General_29-11-2012_10_'!K630,"AAAAAEfW/9A=")</f>
        <v>#VALUE!</v>
      </c>
      <c r="HB42" t="e">
        <f>AND('Planilla_General_29-11-2012_10_'!L630,"AAAAAEfW/9E=")</f>
        <v>#VALUE!</v>
      </c>
      <c r="HC42" t="e">
        <f>AND('Planilla_General_29-11-2012_10_'!M630,"AAAAAEfW/9I=")</f>
        <v>#VALUE!</v>
      </c>
      <c r="HD42" t="e">
        <f>AND('Planilla_General_29-11-2012_10_'!N630,"AAAAAEfW/9M=")</f>
        <v>#VALUE!</v>
      </c>
      <c r="HE42" t="e">
        <f>AND('Planilla_General_29-11-2012_10_'!O630,"AAAAAEfW/9Q=")</f>
        <v>#VALUE!</v>
      </c>
      <c r="HF42" t="e">
        <f>AND('Planilla_General_29-11-2012_10_'!P630,"AAAAAEfW/9U=")</f>
        <v>#VALUE!</v>
      </c>
      <c r="HG42">
        <f>IF('Planilla_General_29-11-2012_10_'!631:631,"AAAAAEfW/9Y=",0)</f>
        <v>0</v>
      </c>
      <c r="HH42" t="e">
        <f>AND('Planilla_General_29-11-2012_10_'!A631,"AAAAAEfW/9c=")</f>
        <v>#VALUE!</v>
      </c>
      <c r="HI42" t="e">
        <f>AND('Planilla_General_29-11-2012_10_'!B631,"AAAAAEfW/9g=")</f>
        <v>#VALUE!</v>
      </c>
      <c r="HJ42" t="e">
        <f>AND('Planilla_General_29-11-2012_10_'!C631,"AAAAAEfW/9k=")</f>
        <v>#VALUE!</v>
      </c>
      <c r="HK42" t="e">
        <f>AND('Planilla_General_29-11-2012_10_'!D631,"AAAAAEfW/9o=")</f>
        <v>#VALUE!</v>
      </c>
      <c r="HL42" t="e">
        <f>AND('Planilla_General_29-11-2012_10_'!E631,"AAAAAEfW/9s=")</f>
        <v>#VALUE!</v>
      </c>
      <c r="HM42" t="e">
        <f>AND('Planilla_General_29-11-2012_10_'!F631,"AAAAAEfW/9w=")</f>
        <v>#VALUE!</v>
      </c>
      <c r="HN42" t="e">
        <f>AND('Planilla_General_29-11-2012_10_'!G631,"AAAAAEfW/90=")</f>
        <v>#VALUE!</v>
      </c>
      <c r="HO42" t="e">
        <f>AND('Planilla_General_29-11-2012_10_'!H631,"AAAAAEfW/94=")</f>
        <v>#VALUE!</v>
      </c>
      <c r="HP42" t="e">
        <f>AND('Planilla_General_29-11-2012_10_'!I631,"AAAAAEfW/98=")</f>
        <v>#VALUE!</v>
      </c>
      <c r="HQ42" t="e">
        <f>AND('Planilla_General_29-11-2012_10_'!J631,"AAAAAEfW/+A=")</f>
        <v>#VALUE!</v>
      </c>
      <c r="HR42" t="e">
        <f>AND('Planilla_General_29-11-2012_10_'!K631,"AAAAAEfW/+E=")</f>
        <v>#VALUE!</v>
      </c>
      <c r="HS42" t="e">
        <f>AND('Planilla_General_29-11-2012_10_'!L631,"AAAAAEfW/+I=")</f>
        <v>#VALUE!</v>
      </c>
      <c r="HT42" t="e">
        <f>AND('Planilla_General_29-11-2012_10_'!M631,"AAAAAEfW/+M=")</f>
        <v>#VALUE!</v>
      </c>
      <c r="HU42" t="e">
        <f>AND('Planilla_General_29-11-2012_10_'!N631,"AAAAAEfW/+Q=")</f>
        <v>#VALUE!</v>
      </c>
      <c r="HV42" t="e">
        <f>AND('Planilla_General_29-11-2012_10_'!O631,"AAAAAEfW/+U=")</f>
        <v>#VALUE!</v>
      </c>
      <c r="HW42" t="e">
        <f>AND('Planilla_General_29-11-2012_10_'!P631,"AAAAAEfW/+Y=")</f>
        <v>#VALUE!</v>
      </c>
      <c r="HX42">
        <f>IF('Planilla_General_29-11-2012_10_'!632:632,"AAAAAEfW/+c=",0)</f>
        <v>0</v>
      </c>
      <c r="HY42" t="e">
        <f>AND('Planilla_General_29-11-2012_10_'!A632,"AAAAAEfW/+g=")</f>
        <v>#VALUE!</v>
      </c>
      <c r="HZ42" t="e">
        <f>AND('Planilla_General_29-11-2012_10_'!B632,"AAAAAEfW/+k=")</f>
        <v>#VALUE!</v>
      </c>
      <c r="IA42" t="e">
        <f>AND('Planilla_General_29-11-2012_10_'!C632,"AAAAAEfW/+o=")</f>
        <v>#VALUE!</v>
      </c>
      <c r="IB42" t="e">
        <f>AND('Planilla_General_29-11-2012_10_'!D632,"AAAAAEfW/+s=")</f>
        <v>#VALUE!</v>
      </c>
      <c r="IC42" t="e">
        <f>AND('Planilla_General_29-11-2012_10_'!E632,"AAAAAEfW/+w=")</f>
        <v>#VALUE!</v>
      </c>
      <c r="ID42" t="e">
        <f>AND('Planilla_General_29-11-2012_10_'!F632,"AAAAAEfW/+0=")</f>
        <v>#VALUE!</v>
      </c>
      <c r="IE42" t="e">
        <f>AND('Planilla_General_29-11-2012_10_'!G632,"AAAAAEfW/+4=")</f>
        <v>#VALUE!</v>
      </c>
      <c r="IF42" t="e">
        <f>AND('Planilla_General_29-11-2012_10_'!H632,"AAAAAEfW/+8=")</f>
        <v>#VALUE!</v>
      </c>
      <c r="IG42" t="e">
        <f>AND('Planilla_General_29-11-2012_10_'!I632,"AAAAAEfW//A=")</f>
        <v>#VALUE!</v>
      </c>
      <c r="IH42" t="e">
        <f>AND('Planilla_General_29-11-2012_10_'!J632,"AAAAAEfW//E=")</f>
        <v>#VALUE!</v>
      </c>
      <c r="II42" t="e">
        <f>AND('Planilla_General_29-11-2012_10_'!K632,"AAAAAEfW//I=")</f>
        <v>#VALUE!</v>
      </c>
      <c r="IJ42" t="e">
        <f>AND('Planilla_General_29-11-2012_10_'!L632,"AAAAAEfW//M=")</f>
        <v>#VALUE!</v>
      </c>
      <c r="IK42" t="e">
        <f>AND('Planilla_General_29-11-2012_10_'!M632,"AAAAAEfW//Q=")</f>
        <v>#VALUE!</v>
      </c>
      <c r="IL42" t="e">
        <f>AND('Planilla_General_29-11-2012_10_'!N632,"AAAAAEfW//U=")</f>
        <v>#VALUE!</v>
      </c>
      <c r="IM42" t="e">
        <f>AND('Planilla_General_29-11-2012_10_'!O632,"AAAAAEfW//Y=")</f>
        <v>#VALUE!</v>
      </c>
      <c r="IN42" t="e">
        <f>AND('Planilla_General_29-11-2012_10_'!P632,"AAAAAEfW//c=")</f>
        <v>#VALUE!</v>
      </c>
      <c r="IO42">
        <f>IF('Planilla_General_29-11-2012_10_'!633:633,"AAAAAEfW//g=",0)</f>
        <v>0</v>
      </c>
      <c r="IP42" t="e">
        <f>AND('Planilla_General_29-11-2012_10_'!A633,"AAAAAEfW//k=")</f>
        <v>#VALUE!</v>
      </c>
      <c r="IQ42" t="e">
        <f>AND('Planilla_General_29-11-2012_10_'!B633,"AAAAAEfW//o=")</f>
        <v>#VALUE!</v>
      </c>
      <c r="IR42" t="e">
        <f>AND('Planilla_General_29-11-2012_10_'!C633,"AAAAAEfW//s=")</f>
        <v>#VALUE!</v>
      </c>
      <c r="IS42" t="e">
        <f>AND('Planilla_General_29-11-2012_10_'!D633,"AAAAAEfW//w=")</f>
        <v>#VALUE!</v>
      </c>
      <c r="IT42" t="e">
        <f>AND('Planilla_General_29-11-2012_10_'!E633,"AAAAAEfW//0=")</f>
        <v>#VALUE!</v>
      </c>
      <c r="IU42" t="e">
        <f>AND('Planilla_General_29-11-2012_10_'!F633,"AAAAAEfW//4=")</f>
        <v>#VALUE!</v>
      </c>
      <c r="IV42" t="e">
        <f>AND('Planilla_General_29-11-2012_10_'!G633,"AAAAAEfW//8=")</f>
        <v>#VALUE!</v>
      </c>
    </row>
    <row r="43" spans="1:256" x14ac:dyDescent="0.25">
      <c r="A43" t="e">
        <f>AND('Planilla_General_29-11-2012_10_'!H633,"AAAAAH/VvwA=")</f>
        <v>#VALUE!</v>
      </c>
      <c r="B43" t="e">
        <f>AND('Planilla_General_29-11-2012_10_'!I633,"AAAAAH/VvwE=")</f>
        <v>#VALUE!</v>
      </c>
      <c r="C43" t="e">
        <f>AND('Planilla_General_29-11-2012_10_'!J633,"AAAAAH/VvwI=")</f>
        <v>#VALUE!</v>
      </c>
      <c r="D43" t="e">
        <f>AND('Planilla_General_29-11-2012_10_'!K633,"AAAAAH/VvwM=")</f>
        <v>#VALUE!</v>
      </c>
      <c r="E43" t="e">
        <f>AND('Planilla_General_29-11-2012_10_'!L633,"AAAAAH/VvwQ=")</f>
        <v>#VALUE!</v>
      </c>
      <c r="F43" t="e">
        <f>AND('Planilla_General_29-11-2012_10_'!M633,"AAAAAH/VvwU=")</f>
        <v>#VALUE!</v>
      </c>
      <c r="G43" t="e">
        <f>AND('Planilla_General_29-11-2012_10_'!N633,"AAAAAH/VvwY=")</f>
        <v>#VALUE!</v>
      </c>
      <c r="H43" t="e">
        <f>AND('Planilla_General_29-11-2012_10_'!O633,"AAAAAH/Vvwc=")</f>
        <v>#VALUE!</v>
      </c>
      <c r="I43" t="e">
        <f>AND('Planilla_General_29-11-2012_10_'!P633,"AAAAAH/Vvwg=")</f>
        <v>#VALUE!</v>
      </c>
      <c r="J43" t="e">
        <f>IF('Planilla_General_29-11-2012_10_'!634:634,"AAAAAH/Vvwk=",0)</f>
        <v>#VALUE!</v>
      </c>
      <c r="K43" t="e">
        <f>AND('Planilla_General_29-11-2012_10_'!A634,"AAAAAH/Vvwo=")</f>
        <v>#VALUE!</v>
      </c>
      <c r="L43" t="e">
        <f>AND('Planilla_General_29-11-2012_10_'!B634,"AAAAAH/Vvws=")</f>
        <v>#VALUE!</v>
      </c>
      <c r="M43" t="e">
        <f>AND('Planilla_General_29-11-2012_10_'!C634,"AAAAAH/Vvww=")</f>
        <v>#VALUE!</v>
      </c>
      <c r="N43" t="e">
        <f>AND('Planilla_General_29-11-2012_10_'!D634,"AAAAAH/Vvw0=")</f>
        <v>#VALUE!</v>
      </c>
      <c r="O43" t="e">
        <f>AND('Planilla_General_29-11-2012_10_'!E634,"AAAAAH/Vvw4=")</f>
        <v>#VALUE!</v>
      </c>
      <c r="P43" t="e">
        <f>AND('Planilla_General_29-11-2012_10_'!F634,"AAAAAH/Vvw8=")</f>
        <v>#VALUE!</v>
      </c>
      <c r="Q43" t="e">
        <f>AND('Planilla_General_29-11-2012_10_'!G634,"AAAAAH/VvxA=")</f>
        <v>#VALUE!</v>
      </c>
      <c r="R43" t="e">
        <f>AND('Planilla_General_29-11-2012_10_'!H634,"AAAAAH/VvxE=")</f>
        <v>#VALUE!</v>
      </c>
      <c r="S43" t="e">
        <f>AND('Planilla_General_29-11-2012_10_'!I634,"AAAAAH/VvxI=")</f>
        <v>#VALUE!</v>
      </c>
      <c r="T43" t="e">
        <f>AND('Planilla_General_29-11-2012_10_'!J634,"AAAAAH/VvxM=")</f>
        <v>#VALUE!</v>
      </c>
      <c r="U43" t="e">
        <f>AND('Planilla_General_29-11-2012_10_'!K634,"AAAAAH/VvxQ=")</f>
        <v>#VALUE!</v>
      </c>
      <c r="V43" t="e">
        <f>AND('Planilla_General_29-11-2012_10_'!L634,"AAAAAH/VvxU=")</f>
        <v>#VALUE!</v>
      </c>
      <c r="W43" t="e">
        <f>AND('Planilla_General_29-11-2012_10_'!M634,"AAAAAH/VvxY=")</f>
        <v>#VALUE!</v>
      </c>
      <c r="X43" t="e">
        <f>AND('Planilla_General_29-11-2012_10_'!N634,"AAAAAH/Vvxc=")</f>
        <v>#VALUE!</v>
      </c>
      <c r="Y43" t="e">
        <f>AND('Planilla_General_29-11-2012_10_'!O634,"AAAAAH/Vvxg=")</f>
        <v>#VALUE!</v>
      </c>
      <c r="Z43" t="e">
        <f>AND('Planilla_General_29-11-2012_10_'!P634,"AAAAAH/Vvxk=")</f>
        <v>#VALUE!</v>
      </c>
      <c r="AA43">
        <f>IF('Planilla_General_29-11-2012_10_'!635:635,"AAAAAH/Vvxo=",0)</f>
        <v>0</v>
      </c>
      <c r="AB43" t="e">
        <f>AND('Planilla_General_29-11-2012_10_'!A635,"AAAAAH/Vvxs=")</f>
        <v>#VALUE!</v>
      </c>
      <c r="AC43" t="e">
        <f>AND('Planilla_General_29-11-2012_10_'!B635,"AAAAAH/Vvxw=")</f>
        <v>#VALUE!</v>
      </c>
      <c r="AD43" t="e">
        <f>AND('Planilla_General_29-11-2012_10_'!C635,"AAAAAH/Vvx0=")</f>
        <v>#VALUE!</v>
      </c>
      <c r="AE43" t="e">
        <f>AND('Planilla_General_29-11-2012_10_'!D635,"AAAAAH/Vvx4=")</f>
        <v>#VALUE!</v>
      </c>
      <c r="AF43" t="e">
        <f>AND('Planilla_General_29-11-2012_10_'!E635,"AAAAAH/Vvx8=")</f>
        <v>#VALUE!</v>
      </c>
      <c r="AG43" t="e">
        <f>AND('Planilla_General_29-11-2012_10_'!F635,"AAAAAH/VvyA=")</f>
        <v>#VALUE!</v>
      </c>
      <c r="AH43" t="e">
        <f>AND('Planilla_General_29-11-2012_10_'!G635,"AAAAAH/VvyE=")</f>
        <v>#VALUE!</v>
      </c>
      <c r="AI43" t="e">
        <f>AND('Planilla_General_29-11-2012_10_'!H635,"AAAAAH/VvyI=")</f>
        <v>#VALUE!</v>
      </c>
      <c r="AJ43" t="e">
        <f>AND('Planilla_General_29-11-2012_10_'!I635,"AAAAAH/VvyM=")</f>
        <v>#VALUE!</v>
      </c>
      <c r="AK43" t="e">
        <f>AND('Planilla_General_29-11-2012_10_'!J635,"AAAAAH/VvyQ=")</f>
        <v>#VALUE!</v>
      </c>
      <c r="AL43" t="e">
        <f>AND('Planilla_General_29-11-2012_10_'!K635,"AAAAAH/VvyU=")</f>
        <v>#VALUE!</v>
      </c>
      <c r="AM43" t="e">
        <f>AND('Planilla_General_29-11-2012_10_'!L635,"AAAAAH/VvyY=")</f>
        <v>#VALUE!</v>
      </c>
      <c r="AN43" t="e">
        <f>AND('Planilla_General_29-11-2012_10_'!M635,"AAAAAH/Vvyc=")</f>
        <v>#VALUE!</v>
      </c>
      <c r="AO43" t="e">
        <f>AND('Planilla_General_29-11-2012_10_'!N635,"AAAAAH/Vvyg=")</f>
        <v>#VALUE!</v>
      </c>
      <c r="AP43" t="e">
        <f>AND('Planilla_General_29-11-2012_10_'!O635,"AAAAAH/Vvyk=")</f>
        <v>#VALUE!</v>
      </c>
      <c r="AQ43" t="e">
        <f>AND('Planilla_General_29-11-2012_10_'!P635,"AAAAAH/Vvyo=")</f>
        <v>#VALUE!</v>
      </c>
      <c r="AR43">
        <f>IF('Planilla_General_29-11-2012_10_'!636:636,"AAAAAH/Vvys=",0)</f>
        <v>0</v>
      </c>
      <c r="AS43" t="e">
        <f>AND('Planilla_General_29-11-2012_10_'!A636,"AAAAAH/Vvyw=")</f>
        <v>#VALUE!</v>
      </c>
      <c r="AT43" t="e">
        <f>AND('Planilla_General_29-11-2012_10_'!B636,"AAAAAH/Vvy0=")</f>
        <v>#VALUE!</v>
      </c>
      <c r="AU43" t="e">
        <f>AND('Planilla_General_29-11-2012_10_'!C636,"AAAAAH/Vvy4=")</f>
        <v>#VALUE!</v>
      </c>
      <c r="AV43" t="e">
        <f>AND('Planilla_General_29-11-2012_10_'!D636,"AAAAAH/Vvy8=")</f>
        <v>#VALUE!</v>
      </c>
      <c r="AW43" t="e">
        <f>AND('Planilla_General_29-11-2012_10_'!E636,"AAAAAH/VvzA=")</f>
        <v>#VALUE!</v>
      </c>
      <c r="AX43" t="e">
        <f>AND('Planilla_General_29-11-2012_10_'!F636,"AAAAAH/VvzE=")</f>
        <v>#VALUE!</v>
      </c>
      <c r="AY43" t="e">
        <f>AND('Planilla_General_29-11-2012_10_'!G636,"AAAAAH/VvzI=")</f>
        <v>#VALUE!</v>
      </c>
      <c r="AZ43" t="e">
        <f>AND('Planilla_General_29-11-2012_10_'!H636,"AAAAAH/VvzM=")</f>
        <v>#VALUE!</v>
      </c>
      <c r="BA43" t="e">
        <f>AND('Planilla_General_29-11-2012_10_'!I636,"AAAAAH/VvzQ=")</f>
        <v>#VALUE!</v>
      </c>
      <c r="BB43" t="e">
        <f>AND('Planilla_General_29-11-2012_10_'!J636,"AAAAAH/VvzU=")</f>
        <v>#VALUE!</v>
      </c>
      <c r="BC43" t="e">
        <f>AND('Planilla_General_29-11-2012_10_'!K636,"AAAAAH/VvzY=")</f>
        <v>#VALUE!</v>
      </c>
      <c r="BD43" t="e">
        <f>AND('Planilla_General_29-11-2012_10_'!L636,"AAAAAH/Vvzc=")</f>
        <v>#VALUE!</v>
      </c>
      <c r="BE43" t="e">
        <f>AND('Planilla_General_29-11-2012_10_'!M636,"AAAAAH/Vvzg=")</f>
        <v>#VALUE!</v>
      </c>
      <c r="BF43" t="e">
        <f>AND('Planilla_General_29-11-2012_10_'!N636,"AAAAAH/Vvzk=")</f>
        <v>#VALUE!</v>
      </c>
      <c r="BG43" t="e">
        <f>AND('Planilla_General_29-11-2012_10_'!O636,"AAAAAH/Vvzo=")</f>
        <v>#VALUE!</v>
      </c>
      <c r="BH43" t="e">
        <f>AND('Planilla_General_29-11-2012_10_'!P636,"AAAAAH/Vvzs=")</f>
        <v>#VALUE!</v>
      </c>
      <c r="BI43">
        <f>IF('Planilla_General_29-11-2012_10_'!637:637,"AAAAAH/Vvzw=",0)</f>
        <v>0</v>
      </c>
      <c r="BJ43" t="e">
        <f>AND('Planilla_General_29-11-2012_10_'!A637,"AAAAAH/Vvz0=")</f>
        <v>#VALUE!</v>
      </c>
      <c r="BK43" t="e">
        <f>AND('Planilla_General_29-11-2012_10_'!B637,"AAAAAH/Vvz4=")</f>
        <v>#VALUE!</v>
      </c>
      <c r="BL43" t="e">
        <f>AND('Planilla_General_29-11-2012_10_'!C637,"AAAAAH/Vvz8=")</f>
        <v>#VALUE!</v>
      </c>
      <c r="BM43" t="e">
        <f>AND('Planilla_General_29-11-2012_10_'!D637,"AAAAAH/Vv0A=")</f>
        <v>#VALUE!</v>
      </c>
      <c r="BN43" t="e">
        <f>AND('Planilla_General_29-11-2012_10_'!E637,"AAAAAH/Vv0E=")</f>
        <v>#VALUE!</v>
      </c>
      <c r="BO43" t="e">
        <f>AND('Planilla_General_29-11-2012_10_'!F637,"AAAAAH/Vv0I=")</f>
        <v>#VALUE!</v>
      </c>
      <c r="BP43" t="e">
        <f>AND('Planilla_General_29-11-2012_10_'!G637,"AAAAAH/Vv0M=")</f>
        <v>#VALUE!</v>
      </c>
      <c r="BQ43" t="e">
        <f>AND('Planilla_General_29-11-2012_10_'!H637,"AAAAAH/Vv0Q=")</f>
        <v>#VALUE!</v>
      </c>
      <c r="BR43" t="e">
        <f>AND('Planilla_General_29-11-2012_10_'!I637,"AAAAAH/Vv0U=")</f>
        <v>#VALUE!</v>
      </c>
      <c r="BS43" t="e">
        <f>AND('Planilla_General_29-11-2012_10_'!J637,"AAAAAH/Vv0Y=")</f>
        <v>#VALUE!</v>
      </c>
      <c r="BT43" t="e">
        <f>AND('Planilla_General_29-11-2012_10_'!K637,"AAAAAH/Vv0c=")</f>
        <v>#VALUE!</v>
      </c>
      <c r="BU43" t="e">
        <f>AND('Planilla_General_29-11-2012_10_'!L637,"AAAAAH/Vv0g=")</f>
        <v>#VALUE!</v>
      </c>
      <c r="BV43" t="e">
        <f>AND('Planilla_General_29-11-2012_10_'!M637,"AAAAAH/Vv0k=")</f>
        <v>#VALUE!</v>
      </c>
      <c r="BW43" t="e">
        <f>AND('Planilla_General_29-11-2012_10_'!N637,"AAAAAH/Vv0o=")</f>
        <v>#VALUE!</v>
      </c>
      <c r="BX43" t="e">
        <f>AND('Planilla_General_29-11-2012_10_'!O637,"AAAAAH/Vv0s=")</f>
        <v>#VALUE!</v>
      </c>
      <c r="BY43" t="e">
        <f>AND('Planilla_General_29-11-2012_10_'!P637,"AAAAAH/Vv0w=")</f>
        <v>#VALUE!</v>
      </c>
      <c r="BZ43">
        <f>IF('Planilla_General_29-11-2012_10_'!638:638,"AAAAAH/Vv00=",0)</f>
        <v>0</v>
      </c>
      <c r="CA43" t="e">
        <f>AND('Planilla_General_29-11-2012_10_'!A638,"AAAAAH/Vv04=")</f>
        <v>#VALUE!</v>
      </c>
      <c r="CB43" t="e">
        <f>AND('Planilla_General_29-11-2012_10_'!B638,"AAAAAH/Vv08=")</f>
        <v>#VALUE!</v>
      </c>
      <c r="CC43" t="e">
        <f>AND('Planilla_General_29-11-2012_10_'!C638,"AAAAAH/Vv1A=")</f>
        <v>#VALUE!</v>
      </c>
      <c r="CD43" t="e">
        <f>AND('Planilla_General_29-11-2012_10_'!D638,"AAAAAH/Vv1E=")</f>
        <v>#VALUE!</v>
      </c>
      <c r="CE43" t="e">
        <f>AND('Planilla_General_29-11-2012_10_'!E638,"AAAAAH/Vv1I=")</f>
        <v>#VALUE!</v>
      </c>
      <c r="CF43" t="e">
        <f>AND('Planilla_General_29-11-2012_10_'!F638,"AAAAAH/Vv1M=")</f>
        <v>#VALUE!</v>
      </c>
      <c r="CG43" t="e">
        <f>AND('Planilla_General_29-11-2012_10_'!G638,"AAAAAH/Vv1Q=")</f>
        <v>#VALUE!</v>
      </c>
      <c r="CH43" t="e">
        <f>AND('Planilla_General_29-11-2012_10_'!H638,"AAAAAH/Vv1U=")</f>
        <v>#VALUE!</v>
      </c>
      <c r="CI43" t="e">
        <f>AND('Planilla_General_29-11-2012_10_'!I638,"AAAAAH/Vv1Y=")</f>
        <v>#VALUE!</v>
      </c>
      <c r="CJ43" t="e">
        <f>AND('Planilla_General_29-11-2012_10_'!J638,"AAAAAH/Vv1c=")</f>
        <v>#VALUE!</v>
      </c>
      <c r="CK43" t="e">
        <f>AND('Planilla_General_29-11-2012_10_'!K638,"AAAAAH/Vv1g=")</f>
        <v>#VALUE!</v>
      </c>
      <c r="CL43" t="e">
        <f>AND('Planilla_General_29-11-2012_10_'!L638,"AAAAAH/Vv1k=")</f>
        <v>#VALUE!</v>
      </c>
      <c r="CM43" t="e">
        <f>AND('Planilla_General_29-11-2012_10_'!M638,"AAAAAH/Vv1o=")</f>
        <v>#VALUE!</v>
      </c>
      <c r="CN43" t="e">
        <f>AND('Planilla_General_29-11-2012_10_'!N638,"AAAAAH/Vv1s=")</f>
        <v>#VALUE!</v>
      </c>
      <c r="CO43" t="e">
        <f>AND('Planilla_General_29-11-2012_10_'!O638,"AAAAAH/Vv1w=")</f>
        <v>#VALUE!</v>
      </c>
      <c r="CP43" t="e">
        <f>AND('Planilla_General_29-11-2012_10_'!P638,"AAAAAH/Vv10=")</f>
        <v>#VALUE!</v>
      </c>
      <c r="CQ43">
        <f>IF('Planilla_General_29-11-2012_10_'!639:639,"AAAAAH/Vv14=",0)</f>
        <v>0</v>
      </c>
      <c r="CR43" t="e">
        <f>AND('Planilla_General_29-11-2012_10_'!A639,"AAAAAH/Vv18=")</f>
        <v>#VALUE!</v>
      </c>
      <c r="CS43" t="e">
        <f>AND('Planilla_General_29-11-2012_10_'!B639,"AAAAAH/Vv2A=")</f>
        <v>#VALUE!</v>
      </c>
      <c r="CT43" t="e">
        <f>AND('Planilla_General_29-11-2012_10_'!C639,"AAAAAH/Vv2E=")</f>
        <v>#VALUE!</v>
      </c>
      <c r="CU43" t="e">
        <f>AND('Planilla_General_29-11-2012_10_'!D639,"AAAAAH/Vv2I=")</f>
        <v>#VALUE!</v>
      </c>
      <c r="CV43" t="e">
        <f>AND('Planilla_General_29-11-2012_10_'!E639,"AAAAAH/Vv2M=")</f>
        <v>#VALUE!</v>
      </c>
      <c r="CW43" t="e">
        <f>AND('Planilla_General_29-11-2012_10_'!F639,"AAAAAH/Vv2Q=")</f>
        <v>#VALUE!</v>
      </c>
      <c r="CX43" t="e">
        <f>AND('Planilla_General_29-11-2012_10_'!G639,"AAAAAH/Vv2U=")</f>
        <v>#VALUE!</v>
      </c>
      <c r="CY43" t="e">
        <f>AND('Planilla_General_29-11-2012_10_'!H639,"AAAAAH/Vv2Y=")</f>
        <v>#VALUE!</v>
      </c>
      <c r="CZ43" t="e">
        <f>AND('Planilla_General_29-11-2012_10_'!I639,"AAAAAH/Vv2c=")</f>
        <v>#VALUE!</v>
      </c>
      <c r="DA43" t="e">
        <f>AND('Planilla_General_29-11-2012_10_'!J639,"AAAAAH/Vv2g=")</f>
        <v>#VALUE!</v>
      </c>
      <c r="DB43" t="e">
        <f>AND('Planilla_General_29-11-2012_10_'!K639,"AAAAAH/Vv2k=")</f>
        <v>#VALUE!</v>
      </c>
      <c r="DC43" t="e">
        <f>AND('Planilla_General_29-11-2012_10_'!L639,"AAAAAH/Vv2o=")</f>
        <v>#VALUE!</v>
      </c>
      <c r="DD43" t="e">
        <f>AND('Planilla_General_29-11-2012_10_'!M639,"AAAAAH/Vv2s=")</f>
        <v>#VALUE!</v>
      </c>
      <c r="DE43" t="e">
        <f>AND('Planilla_General_29-11-2012_10_'!N639,"AAAAAH/Vv2w=")</f>
        <v>#VALUE!</v>
      </c>
      <c r="DF43" t="e">
        <f>AND('Planilla_General_29-11-2012_10_'!O639,"AAAAAH/Vv20=")</f>
        <v>#VALUE!</v>
      </c>
      <c r="DG43" t="e">
        <f>AND('Planilla_General_29-11-2012_10_'!P639,"AAAAAH/Vv24=")</f>
        <v>#VALUE!</v>
      </c>
      <c r="DH43">
        <f>IF('Planilla_General_29-11-2012_10_'!640:640,"AAAAAH/Vv28=",0)</f>
        <v>0</v>
      </c>
      <c r="DI43" t="e">
        <f>AND('Planilla_General_29-11-2012_10_'!A640,"AAAAAH/Vv3A=")</f>
        <v>#VALUE!</v>
      </c>
      <c r="DJ43" t="e">
        <f>AND('Planilla_General_29-11-2012_10_'!B640,"AAAAAH/Vv3E=")</f>
        <v>#VALUE!</v>
      </c>
      <c r="DK43" t="e">
        <f>AND('Planilla_General_29-11-2012_10_'!C640,"AAAAAH/Vv3I=")</f>
        <v>#VALUE!</v>
      </c>
      <c r="DL43" t="e">
        <f>AND('Planilla_General_29-11-2012_10_'!D640,"AAAAAH/Vv3M=")</f>
        <v>#VALUE!</v>
      </c>
      <c r="DM43" t="e">
        <f>AND('Planilla_General_29-11-2012_10_'!E640,"AAAAAH/Vv3Q=")</f>
        <v>#VALUE!</v>
      </c>
      <c r="DN43" t="e">
        <f>AND('Planilla_General_29-11-2012_10_'!F640,"AAAAAH/Vv3U=")</f>
        <v>#VALUE!</v>
      </c>
      <c r="DO43" t="e">
        <f>AND('Planilla_General_29-11-2012_10_'!G640,"AAAAAH/Vv3Y=")</f>
        <v>#VALUE!</v>
      </c>
      <c r="DP43" t="e">
        <f>AND('Planilla_General_29-11-2012_10_'!H640,"AAAAAH/Vv3c=")</f>
        <v>#VALUE!</v>
      </c>
      <c r="DQ43" t="e">
        <f>AND('Planilla_General_29-11-2012_10_'!I640,"AAAAAH/Vv3g=")</f>
        <v>#VALUE!</v>
      </c>
      <c r="DR43" t="e">
        <f>AND('Planilla_General_29-11-2012_10_'!J640,"AAAAAH/Vv3k=")</f>
        <v>#VALUE!</v>
      </c>
      <c r="DS43" t="e">
        <f>AND('Planilla_General_29-11-2012_10_'!K640,"AAAAAH/Vv3o=")</f>
        <v>#VALUE!</v>
      </c>
      <c r="DT43" t="e">
        <f>AND('Planilla_General_29-11-2012_10_'!L640,"AAAAAH/Vv3s=")</f>
        <v>#VALUE!</v>
      </c>
      <c r="DU43" t="e">
        <f>AND('Planilla_General_29-11-2012_10_'!M640,"AAAAAH/Vv3w=")</f>
        <v>#VALUE!</v>
      </c>
      <c r="DV43" t="e">
        <f>AND('Planilla_General_29-11-2012_10_'!N640,"AAAAAH/Vv30=")</f>
        <v>#VALUE!</v>
      </c>
      <c r="DW43" t="e">
        <f>AND('Planilla_General_29-11-2012_10_'!O640,"AAAAAH/Vv34=")</f>
        <v>#VALUE!</v>
      </c>
      <c r="DX43" t="e">
        <f>AND('Planilla_General_29-11-2012_10_'!P640,"AAAAAH/Vv38=")</f>
        <v>#VALUE!</v>
      </c>
      <c r="DY43">
        <f>IF('Planilla_General_29-11-2012_10_'!641:641,"AAAAAH/Vv4A=",0)</f>
        <v>0</v>
      </c>
      <c r="DZ43" t="e">
        <f>AND('Planilla_General_29-11-2012_10_'!A641,"AAAAAH/Vv4E=")</f>
        <v>#VALUE!</v>
      </c>
      <c r="EA43" t="e">
        <f>AND('Planilla_General_29-11-2012_10_'!B641,"AAAAAH/Vv4I=")</f>
        <v>#VALUE!</v>
      </c>
      <c r="EB43" t="e">
        <f>AND('Planilla_General_29-11-2012_10_'!C641,"AAAAAH/Vv4M=")</f>
        <v>#VALUE!</v>
      </c>
      <c r="EC43" t="e">
        <f>AND('Planilla_General_29-11-2012_10_'!D641,"AAAAAH/Vv4Q=")</f>
        <v>#VALUE!</v>
      </c>
      <c r="ED43" t="e">
        <f>AND('Planilla_General_29-11-2012_10_'!E641,"AAAAAH/Vv4U=")</f>
        <v>#VALUE!</v>
      </c>
      <c r="EE43" t="e">
        <f>AND('Planilla_General_29-11-2012_10_'!F641,"AAAAAH/Vv4Y=")</f>
        <v>#VALUE!</v>
      </c>
      <c r="EF43" t="e">
        <f>AND('Planilla_General_29-11-2012_10_'!G641,"AAAAAH/Vv4c=")</f>
        <v>#VALUE!</v>
      </c>
      <c r="EG43" t="e">
        <f>AND('Planilla_General_29-11-2012_10_'!H641,"AAAAAH/Vv4g=")</f>
        <v>#VALUE!</v>
      </c>
      <c r="EH43" t="e">
        <f>AND('Planilla_General_29-11-2012_10_'!I641,"AAAAAH/Vv4k=")</f>
        <v>#VALUE!</v>
      </c>
      <c r="EI43" t="e">
        <f>AND('Planilla_General_29-11-2012_10_'!J641,"AAAAAH/Vv4o=")</f>
        <v>#VALUE!</v>
      </c>
      <c r="EJ43" t="e">
        <f>AND('Planilla_General_29-11-2012_10_'!K641,"AAAAAH/Vv4s=")</f>
        <v>#VALUE!</v>
      </c>
      <c r="EK43" t="e">
        <f>AND('Planilla_General_29-11-2012_10_'!L641,"AAAAAH/Vv4w=")</f>
        <v>#VALUE!</v>
      </c>
      <c r="EL43" t="e">
        <f>AND('Planilla_General_29-11-2012_10_'!M641,"AAAAAH/Vv40=")</f>
        <v>#VALUE!</v>
      </c>
      <c r="EM43" t="e">
        <f>AND('Planilla_General_29-11-2012_10_'!N641,"AAAAAH/Vv44=")</f>
        <v>#VALUE!</v>
      </c>
      <c r="EN43" t="e">
        <f>AND('Planilla_General_29-11-2012_10_'!O641,"AAAAAH/Vv48=")</f>
        <v>#VALUE!</v>
      </c>
      <c r="EO43" t="e">
        <f>AND('Planilla_General_29-11-2012_10_'!P641,"AAAAAH/Vv5A=")</f>
        <v>#VALUE!</v>
      </c>
      <c r="EP43">
        <f>IF('Planilla_General_29-11-2012_10_'!642:642,"AAAAAH/Vv5E=",0)</f>
        <v>0</v>
      </c>
      <c r="EQ43" t="e">
        <f>AND('Planilla_General_29-11-2012_10_'!A642,"AAAAAH/Vv5I=")</f>
        <v>#VALUE!</v>
      </c>
      <c r="ER43" t="e">
        <f>AND('Planilla_General_29-11-2012_10_'!B642,"AAAAAH/Vv5M=")</f>
        <v>#VALUE!</v>
      </c>
      <c r="ES43" t="e">
        <f>AND('Planilla_General_29-11-2012_10_'!C642,"AAAAAH/Vv5Q=")</f>
        <v>#VALUE!</v>
      </c>
      <c r="ET43" t="e">
        <f>AND('Planilla_General_29-11-2012_10_'!D642,"AAAAAH/Vv5U=")</f>
        <v>#VALUE!</v>
      </c>
      <c r="EU43" t="e">
        <f>AND('Planilla_General_29-11-2012_10_'!E642,"AAAAAH/Vv5Y=")</f>
        <v>#VALUE!</v>
      </c>
      <c r="EV43" t="e">
        <f>AND('Planilla_General_29-11-2012_10_'!F642,"AAAAAH/Vv5c=")</f>
        <v>#VALUE!</v>
      </c>
      <c r="EW43" t="e">
        <f>AND('Planilla_General_29-11-2012_10_'!G642,"AAAAAH/Vv5g=")</f>
        <v>#VALUE!</v>
      </c>
      <c r="EX43" t="e">
        <f>AND('Planilla_General_29-11-2012_10_'!H642,"AAAAAH/Vv5k=")</f>
        <v>#VALUE!</v>
      </c>
      <c r="EY43" t="e">
        <f>AND('Planilla_General_29-11-2012_10_'!I642,"AAAAAH/Vv5o=")</f>
        <v>#VALUE!</v>
      </c>
      <c r="EZ43" t="e">
        <f>AND('Planilla_General_29-11-2012_10_'!J642,"AAAAAH/Vv5s=")</f>
        <v>#VALUE!</v>
      </c>
      <c r="FA43" t="e">
        <f>AND('Planilla_General_29-11-2012_10_'!K642,"AAAAAH/Vv5w=")</f>
        <v>#VALUE!</v>
      </c>
      <c r="FB43" t="e">
        <f>AND('Planilla_General_29-11-2012_10_'!L642,"AAAAAH/Vv50=")</f>
        <v>#VALUE!</v>
      </c>
      <c r="FC43" t="e">
        <f>AND('Planilla_General_29-11-2012_10_'!M642,"AAAAAH/Vv54=")</f>
        <v>#VALUE!</v>
      </c>
      <c r="FD43" t="e">
        <f>AND('Planilla_General_29-11-2012_10_'!N642,"AAAAAH/Vv58=")</f>
        <v>#VALUE!</v>
      </c>
      <c r="FE43" t="e">
        <f>AND('Planilla_General_29-11-2012_10_'!O642,"AAAAAH/Vv6A=")</f>
        <v>#VALUE!</v>
      </c>
      <c r="FF43" t="e">
        <f>AND('Planilla_General_29-11-2012_10_'!P642,"AAAAAH/Vv6E=")</f>
        <v>#VALUE!</v>
      </c>
      <c r="FG43">
        <f>IF('Planilla_General_29-11-2012_10_'!643:643,"AAAAAH/Vv6I=",0)</f>
        <v>0</v>
      </c>
      <c r="FH43" t="e">
        <f>AND('Planilla_General_29-11-2012_10_'!A643,"AAAAAH/Vv6M=")</f>
        <v>#VALUE!</v>
      </c>
      <c r="FI43" t="e">
        <f>AND('Planilla_General_29-11-2012_10_'!B643,"AAAAAH/Vv6Q=")</f>
        <v>#VALUE!</v>
      </c>
      <c r="FJ43" t="e">
        <f>AND('Planilla_General_29-11-2012_10_'!C643,"AAAAAH/Vv6U=")</f>
        <v>#VALUE!</v>
      </c>
      <c r="FK43" t="e">
        <f>AND('Planilla_General_29-11-2012_10_'!D643,"AAAAAH/Vv6Y=")</f>
        <v>#VALUE!</v>
      </c>
      <c r="FL43" t="e">
        <f>AND('Planilla_General_29-11-2012_10_'!E643,"AAAAAH/Vv6c=")</f>
        <v>#VALUE!</v>
      </c>
      <c r="FM43" t="e">
        <f>AND('Planilla_General_29-11-2012_10_'!F643,"AAAAAH/Vv6g=")</f>
        <v>#VALUE!</v>
      </c>
      <c r="FN43" t="e">
        <f>AND('Planilla_General_29-11-2012_10_'!G643,"AAAAAH/Vv6k=")</f>
        <v>#VALUE!</v>
      </c>
      <c r="FO43" t="e">
        <f>AND('Planilla_General_29-11-2012_10_'!H643,"AAAAAH/Vv6o=")</f>
        <v>#VALUE!</v>
      </c>
      <c r="FP43" t="e">
        <f>AND('Planilla_General_29-11-2012_10_'!I643,"AAAAAH/Vv6s=")</f>
        <v>#VALUE!</v>
      </c>
      <c r="FQ43" t="e">
        <f>AND('Planilla_General_29-11-2012_10_'!J643,"AAAAAH/Vv6w=")</f>
        <v>#VALUE!</v>
      </c>
      <c r="FR43" t="e">
        <f>AND('Planilla_General_29-11-2012_10_'!K643,"AAAAAH/Vv60=")</f>
        <v>#VALUE!</v>
      </c>
      <c r="FS43" t="e">
        <f>AND('Planilla_General_29-11-2012_10_'!L643,"AAAAAH/Vv64=")</f>
        <v>#VALUE!</v>
      </c>
      <c r="FT43" t="e">
        <f>AND('Planilla_General_29-11-2012_10_'!M643,"AAAAAH/Vv68=")</f>
        <v>#VALUE!</v>
      </c>
      <c r="FU43" t="e">
        <f>AND('Planilla_General_29-11-2012_10_'!N643,"AAAAAH/Vv7A=")</f>
        <v>#VALUE!</v>
      </c>
      <c r="FV43" t="e">
        <f>AND('Planilla_General_29-11-2012_10_'!O643,"AAAAAH/Vv7E=")</f>
        <v>#VALUE!</v>
      </c>
      <c r="FW43" t="e">
        <f>AND('Planilla_General_29-11-2012_10_'!P643,"AAAAAH/Vv7I=")</f>
        <v>#VALUE!</v>
      </c>
      <c r="FX43">
        <f>IF('Planilla_General_29-11-2012_10_'!644:644,"AAAAAH/Vv7M=",0)</f>
        <v>0</v>
      </c>
      <c r="FY43" t="e">
        <f>AND('Planilla_General_29-11-2012_10_'!A644,"AAAAAH/Vv7Q=")</f>
        <v>#VALUE!</v>
      </c>
      <c r="FZ43" t="e">
        <f>AND('Planilla_General_29-11-2012_10_'!B644,"AAAAAH/Vv7U=")</f>
        <v>#VALUE!</v>
      </c>
      <c r="GA43" t="e">
        <f>AND('Planilla_General_29-11-2012_10_'!C644,"AAAAAH/Vv7Y=")</f>
        <v>#VALUE!</v>
      </c>
      <c r="GB43" t="e">
        <f>AND('Planilla_General_29-11-2012_10_'!D644,"AAAAAH/Vv7c=")</f>
        <v>#VALUE!</v>
      </c>
      <c r="GC43" t="e">
        <f>AND('Planilla_General_29-11-2012_10_'!E644,"AAAAAH/Vv7g=")</f>
        <v>#VALUE!</v>
      </c>
      <c r="GD43" t="e">
        <f>AND('Planilla_General_29-11-2012_10_'!F644,"AAAAAH/Vv7k=")</f>
        <v>#VALUE!</v>
      </c>
      <c r="GE43" t="e">
        <f>AND('Planilla_General_29-11-2012_10_'!G644,"AAAAAH/Vv7o=")</f>
        <v>#VALUE!</v>
      </c>
      <c r="GF43" t="e">
        <f>AND('Planilla_General_29-11-2012_10_'!H644,"AAAAAH/Vv7s=")</f>
        <v>#VALUE!</v>
      </c>
      <c r="GG43" t="e">
        <f>AND('Planilla_General_29-11-2012_10_'!I644,"AAAAAH/Vv7w=")</f>
        <v>#VALUE!</v>
      </c>
      <c r="GH43" t="e">
        <f>AND('Planilla_General_29-11-2012_10_'!J644,"AAAAAH/Vv70=")</f>
        <v>#VALUE!</v>
      </c>
      <c r="GI43" t="e">
        <f>AND('Planilla_General_29-11-2012_10_'!K644,"AAAAAH/Vv74=")</f>
        <v>#VALUE!</v>
      </c>
      <c r="GJ43" t="e">
        <f>AND('Planilla_General_29-11-2012_10_'!L644,"AAAAAH/Vv78=")</f>
        <v>#VALUE!</v>
      </c>
      <c r="GK43" t="e">
        <f>AND('Planilla_General_29-11-2012_10_'!M644,"AAAAAH/Vv8A=")</f>
        <v>#VALUE!</v>
      </c>
      <c r="GL43" t="e">
        <f>AND('Planilla_General_29-11-2012_10_'!N644,"AAAAAH/Vv8E=")</f>
        <v>#VALUE!</v>
      </c>
      <c r="GM43" t="e">
        <f>AND('Planilla_General_29-11-2012_10_'!O644,"AAAAAH/Vv8I=")</f>
        <v>#VALUE!</v>
      </c>
      <c r="GN43" t="e">
        <f>AND('Planilla_General_29-11-2012_10_'!P644,"AAAAAH/Vv8M=")</f>
        <v>#VALUE!</v>
      </c>
      <c r="GO43">
        <f>IF('Planilla_General_29-11-2012_10_'!645:645,"AAAAAH/Vv8Q=",0)</f>
        <v>0</v>
      </c>
      <c r="GP43" t="e">
        <f>AND('Planilla_General_29-11-2012_10_'!A645,"AAAAAH/Vv8U=")</f>
        <v>#VALUE!</v>
      </c>
      <c r="GQ43" t="e">
        <f>AND('Planilla_General_29-11-2012_10_'!B645,"AAAAAH/Vv8Y=")</f>
        <v>#VALUE!</v>
      </c>
      <c r="GR43" t="e">
        <f>AND('Planilla_General_29-11-2012_10_'!C645,"AAAAAH/Vv8c=")</f>
        <v>#VALUE!</v>
      </c>
      <c r="GS43" t="e">
        <f>AND('Planilla_General_29-11-2012_10_'!D645,"AAAAAH/Vv8g=")</f>
        <v>#VALUE!</v>
      </c>
      <c r="GT43" t="e">
        <f>AND('Planilla_General_29-11-2012_10_'!E645,"AAAAAH/Vv8k=")</f>
        <v>#VALUE!</v>
      </c>
      <c r="GU43" t="e">
        <f>AND('Planilla_General_29-11-2012_10_'!F645,"AAAAAH/Vv8o=")</f>
        <v>#VALUE!</v>
      </c>
      <c r="GV43" t="e">
        <f>AND('Planilla_General_29-11-2012_10_'!G645,"AAAAAH/Vv8s=")</f>
        <v>#VALUE!</v>
      </c>
      <c r="GW43" t="e">
        <f>AND('Planilla_General_29-11-2012_10_'!H645,"AAAAAH/Vv8w=")</f>
        <v>#VALUE!</v>
      </c>
      <c r="GX43" t="e">
        <f>AND('Planilla_General_29-11-2012_10_'!I645,"AAAAAH/Vv80=")</f>
        <v>#VALUE!</v>
      </c>
      <c r="GY43" t="e">
        <f>AND('Planilla_General_29-11-2012_10_'!J645,"AAAAAH/Vv84=")</f>
        <v>#VALUE!</v>
      </c>
      <c r="GZ43" t="e">
        <f>AND('Planilla_General_29-11-2012_10_'!K645,"AAAAAH/Vv88=")</f>
        <v>#VALUE!</v>
      </c>
      <c r="HA43" t="e">
        <f>AND('Planilla_General_29-11-2012_10_'!L645,"AAAAAH/Vv9A=")</f>
        <v>#VALUE!</v>
      </c>
      <c r="HB43" t="e">
        <f>AND('Planilla_General_29-11-2012_10_'!M645,"AAAAAH/Vv9E=")</f>
        <v>#VALUE!</v>
      </c>
      <c r="HC43" t="e">
        <f>AND('Planilla_General_29-11-2012_10_'!N645,"AAAAAH/Vv9I=")</f>
        <v>#VALUE!</v>
      </c>
      <c r="HD43" t="e">
        <f>AND('Planilla_General_29-11-2012_10_'!O645,"AAAAAH/Vv9M=")</f>
        <v>#VALUE!</v>
      </c>
      <c r="HE43" t="e">
        <f>AND('Planilla_General_29-11-2012_10_'!P645,"AAAAAH/Vv9Q=")</f>
        <v>#VALUE!</v>
      </c>
      <c r="HF43">
        <f>IF('Planilla_General_29-11-2012_10_'!646:646,"AAAAAH/Vv9U=",0)</f>
        <v>0</v>
      </c>
      <c r="HG43" t="e">
        <f>AND('Planilla_General_29-11-2012_10_'!A646,"AAAAAH/Vv9Y=")</f>
        <v>#VALUE!</v>
      </c>
      <c r="HH43" t="e">
        <f>AND('Planilla_General_29-11-2012_10_'!B646,"AAAAAH/Vv9c=")</f>
        <v>#VALUE!</v>
      </c>
      <c r="HI43" t="e">
        <f>AND('Planilla_General_29-11-2012_10_'!C646,"AAAAAH/Vv9g=")</f>
        <v>#VALUE!</v>
      </c>
      <c r="HJ43" t="e">
        <f>AND('Planilla_General_29-11-2012_10_'!D646,"AAAAAH/Vv9k=")</f>
        <v>#VALUE!</v>
      </c>
      <c r="HK43" t="e">
        <f>AND('Planilla_General_29-11-2012_10_'!E646,"AAAAAH/Vv9o=")</f>
        <v>#VALUE!</v>
      </c>
      <c r="HL43" t="e">
        <f>AND('Planilla_General_29-11-2012_10_'!F646,"AAAAAH/Vv9s=")</f>
        <v>#VALUE!</v>
      </c>
      <c r="HM43" t="e">
        <f>AND('Planilla_General_29-11-2012_10_'!G646,"AAAAAH/Vv9w=")</f>
        <v>#VALUE!</v>
      </c>
      <c r="HN43" t="e">
        <f>AND('Planilla_General_29-11-2012_10_'!H646,"AAAAAH/Vv90=")</f>
        <v>#VALUE!</v>
      </c>
      <c r="HO43" t="e">
        <f>AND('Planilla_General_29-11-2012_10_'!I646,"AAAAAH/Vv94=")</f>
        <v>#VALUE!</v>
      </c>
      <c r="HP43" t="e">
        <f>AND('Planilla_General_29-11-2012_10_'!J646,"AAAAAH/Vv98=")</f>
        <v>#VALUE!</v>
      </c>
      <c r="HQ43" t="e">
        <f>AND('Planilla_General_29-11-2012_10_'!K646,"AAAAAH/Vv+A=")</f>
        <v>#VALUE!</v>
      </c>
      <c r="HR43" t="e">
        <f>AND('Planilla_General_29-11-2012_10_'!L646,"AAAAAH/Vv+E=")</f>
        <v>#VALUE!</v>
      </c>
      <c r="HS43" t="e">
        <f>AND('Planilla_General_29-11-2012_10_'!M646,"AAAAAH/Vv+I=")</f>
        <v>#VALUE!</v>
      </c>
      <c r="HT43" t="e">
        <f>AND('Planilla_General_29-11-2012_10_'!N646,"AAAAAH/Vv+M=")</f>
        <v>#VALUE!</v>
      </c>
      <c r="HU43" t="e">
        <f>AND('Planilla_General_29-11-2012_10_'!O646,"AAAAAH/Vv+Q=")</f>
        <v>#VALUE!</v>
      </c>
      <c r="HV43" t="e">
        <f>AND('Planilla_General_29-11-2012_10_'!P646,"AAAAAH/Vv+U=")</f>
        <v>#VALUE!</v>
      </c>
      <c r="HW43">
        <f>IF('Planilla_General_29-11-2012_10_'!647:647,"AAAAAH/Vv+Y=",0)</f>
        <v>0</v>
      </c>
      <c r="HX43" t="e">
        <f>AND('Planilla_General_29-11-2012_10_'!A647,"AAAAAH/Vv+c=")</f>
        <v>#VALUE!</v>
      </c>
      <c r="HY43" t="e">
        <f>AND('Planilla_General_29-11-2012_10_'!B647,"AAAAAH/Vv+g=")</f>
        <v>#VALUE!</v>
      </c>
      <c r="HZ43" t="e">
        <f>AND('Planilla_General_29-11-2012_10_'!C647,"AAAAAH/Vv+k=")</f>
        <v>#VALUE!</v>
      </c>
      <c r="IA43" t="e">
        <f>AND('Planilla_General_29-11-2012_10_'!D647,"AAAAAH/Vv+o=")</f>
        <v>#VALUE!</v>
      </c>
      <c r="IB43" t="e">
        <f>AND('Planilla_General_29-11-2012_10_'!E647,"AAAAAH/Vv+s=")</f>
        <v>#VALUE!</v>
      </c>
      <c r="IC43" t="e">
        <f>AND('Planilla_General_29-11-2012_10_'!F647,"AAAAAH/Vv+w=")</f>
        <v>#VALUE!</v>
      </c>
      <c r="ID43" t="e">
        <f>AND('Planilla_General_29-11-2012_10_'!G647,"AAAAAH/Vv+0=")</f>
        <v>#VALUE!</v>
      </c>
      <c r="IE43" t="e">
        <f>AND('Planilla_General_29-11-2012_10_'!H647,"AAAAAH/Vv+4=")</f>
        <v>#VALUE!</v>
      </c>
      <c r="IF43" t="e">
        <f>AND('Planilla_General_29-11-2012_10_'!I647,"AAAAAH/Vv+8=")</f>
        <v>#VALUE!</v>
      </c>
      <c r="IG43" t="e">
        <f>AND('Planilla_General_29-11-2012_10_'!J647,"AAAAAH/Vv/A=")</f>
        <v>#VALUE!</v>
      </c>
      <c r="IH43" t="e">
        <f>AND('Planilla_General_29-11-2012_10_'!K647,"AAAAAH/Vv/E=")</f>
        <v>#VALUE!</v>
      </c>
      <c r="II43" t="e">
        <f>AND('Planilla_General_29-11-2012_10_'!L647,"AAAAAH/Vv/I=")</f>
        <v>#VALUE!</v>
      </c>
      <c r="IJ43" t="e">
        <f>AND('Planilla_General_29-11-2012_10_'!M647,"AAAAAH/Vv/M=")</f>
        <v>#VALUE!</v>
      </c>
      <c r="IK43" t="e">
        <f>AND('Planilla_General_29-11-2012_10_'!N647,"AAAAAH/Vv/Q=")</f>
        <v>#VALUE!</v>
      </c>
      <c r="IL43" t="e">
        <f>AND('Planilla_General_29-11-2012_10_'!O647,"AAAAAH/Vv/U=")</f>
        <v>#VALUE!</v>
      </c>
      <c r="IM43" t="e">
        <f>AND('Planilla_General_29-11-2012_10_'!P647,"AAAAAH/Vv/Y=")</f>
        <v>#VALUE!</v>
      </c>
      <c r="IN43">
        <f>IF('Planilla_General_29-11-2012_10_'!648:648,"AAAAAH/Vv/c=",0)</f>
        <v>0</v>
      </c>
      <c r="IO43" t="e">
        <f>AND('Planilla_General_29-11-2012_10_'!A648,"AAAAAH/Vv/g=")</f>
        <v>#VALUE!</v>
      </c>
      <c r="IP43" t="e">
        <f>AND('Planilla_General_29-11-2012_10_'!B648,"AAAAAH/Vv/k=")</f>
        <v>#VALUE!</v>
      </c>
      <c r="IQ43" t="e">
        <f>AND('Planilla_General_29-11-2012_10_'!C648,"AAAAAH/Vv/o=")</f>
        <v>#VALUE!</v>
      </c>
      <c r="IR43" t="e">
        <f>AND('Planilla_General_29-11-2012_10_'!D648,"AAAAAH/Vv/s=")</f>
        <v>#VALUE!</v>
      </c>
      <c r="IS43" t="e">
        <f>AND('Planilla_General_29-11-2012_10_'!E648,"AAAAAH/Vv/w=")</f>
        <v>#VALUE!</v>
      </c>
      <c r="IT43" t="e">
        <f>AND('Planilla_General_29-11-2012_10_'!F648,"AAAAAH/Vv/0=")</f>
        <v>#VALUE!</v>
      </c>
      <c r="IU43" t="e">
        <f>AND('Planilla_General_29-11-2012_10_'!G648,"AAAAAH/Vv/4=")</f>
        <v>#VALUE!</v>
      </c>
      <c r="IV43" t="e">
        <f>AND('Planilla_General_29-11-2012_10_'!H648,"AAAAAH/Vv/8=")</f>
        <v>#VALUE!</v>
      </c>
    </row>
    <row r="44" spans="1:256" x14ac:dyDescent="0.25">
      <c r="A44" t="e">
        <f>AND('Planilla_General_29-11-2012_10_'!I648,"AAAAAH/m7wA=")</f>
        <v>#VALUE!</v>
      </c>
      <c r="B44" t="e">
        <f>AND('Planilla_General_29-11-2012_10_'!J648,"AAAAAH/m7wE=")</f>
        <v>#VALUE!</v>
      </c>
      <c r="C44" t="e">
        <f>AND('Planilla_General_29-11-2012_10_'!K648,"AAAAAH/m7wI=")</f>
        <v>#VALUE!</v>
      </c>
      <c r="D44" t="e">
        <f>AND('Planilla_General_29-11-2012_10_'!L648,"AAAAAH/m7wM=")</f>
        <v>#VALUE!</v>
      </c>
      <c r="E44" t="e">
        <f>AND('Planilla_General_29-11-2012_10_'!M648,"AAAAAH/m7wQ=")</f>
        <v>#VALUE!</v>
      </c>
      <c r="F44" t="e">
        <f>AND('Planilla_General_29-11-2012_10_'!N648,"AAAAAH/m7wU=")</f>
        <v>#VALUE!</v>
      </c>
      <c r="G44" t="e">
        <f>AND('Planilla_General_29-11-2012_10_'!O648,"AAAAAH/m7wY=")</f>
        <v>#VALUE!</v>
      </c>
      <c r="H44" t="e">
        <f>AND('Planilla_General_29-11-2012_10_'!P648,"AAAAAH/m7wc=")</f>
        <v>#VALUE!</v>
      </c>
      <c r="I44" t="e">
        <f>IF('Planilla_General_29-11-2012_10_'!649:649,"AAAAAH/m7wg=",0)</f>
        <v>#VALUE!</v>
      </c>
      <c r="J44" t="e">
        <f>AND('Planilla_General_29-11-2012_10_'!A649,"AAAAAH/m7wk=")</f>
        <v>#VALUE!</v>
      </c>
      <c r="K44" t="e">
        <f>AND('Planilla_General_29-11-2012_10_'!B649,"AAAAAH/m7wo=")</f>
        <v>#VALUE!</v>
      </c>
      <c r="L44" t="e">
        <f>AND('Planilla_General_29-11-2012_10_'!C649,"AAAAAH/m7ws=")</f>
        <v>#VALUE!</v>
      </c>
      <c r="M44" t="e">
        <f>AND('Planilla_General_29-11-2012_10_'!D649,"AAAAAH/m7ww=")</f>
        <v>#VALUE!</v>
      </c>
      <c r="N44" t="e">
        <f>AND('Planilla_General_29-11-2012_10_'!E649,"AAAAAH/m7w0=")</f>
        <v>#VALUE!</v>
      </c>
      <c r="O44" t="e">
        <f>AND('Planilla_General_29-11-2012_10_'!F649,"AAAAAH/m7w4=")</f>
        <v>#VALUE!</v>
      </c>
      <c r="P44" t="e">
        <f>AND('Planilla_General_29-11-2012_10_'!G649,"AAAAAH/m7w8=")</f>
        <v>#VALUE!</v>
      </c>
      <c r="Q44" t="e">
        <f>AND('Planilla_General_29-11-2012_10_'!H649,"AAAAAH/m7xA=")</f>
        <v>#VALUE!</v>
      </c>
      <c r="R44" t="e">
        <f>AND('Planilla_General_29-11-2012_10_'!I649,"AAAAAH/m7xE=")</f>
        <v>#VALUE!</v>
      </c>
      <c r="S44" t="e">
        <f>AND('Planilla_General_29-11-2012_10_'!J649,"AAAAAH/m7xI=")</f>
        <v>#VALUE!</v>
      </c>
      <c r="T44" t="e">
        <f>AND('Planilla_General_29-11-2012_10_'!K649,"AAAAAH/m7xM=")</f>
        <v>#VALUE!</v>
      </c>
      <c r="U44" t="e">
        <f>AND('Planilla_General_29-11-2012_10_'!L649,"AAAAAH/m7xQ=")</f>
        <v>#VALUE!</v>
      </c>
      <c r="V44" t="e">
        <f>AND('Planilla_General_29-11-2012_10_'!M649,"AAAAAH/m7xU=")</f>
        <v>#VALUE!</v>
      </c>
      <c r="W44" t="e">
        <f>AND('Planilla_General_29-11-2012_10_'!N649,"AAAAAH/m7xY=")</f>
        <v>#VALUE!</v>
      </c>
      <c r="X44" t="e">
        <f>AND('Planilla_General_29-11-2012_10_'!O649,"AAAAAH/m7xc=")</f>
        <v>#VALUE!</v>
      </c>
      <c r="Y44" t="e">
        <f>AND('Planilla_General_29-11-2012_10_'!P649,"AAAAAH/m7xg=")</f>
        <v>#VALUE!</v>
      </c>
      <c r="Z44">
        <f>IF('Planilla_General_29-11-2012_10_'!650:650,"AAAAAH/m7xk=",0)</f>
        <v>0</v>
      </c>
      <c r="AA44" t="e">
        <f>AND('Planilla_General_29-11-2012_10_'!A650,"AAAAAH/m7xo=")</f>
        <v>#VALUE!</v>
      </c>
      <c r="AB44" t="e">
        <f>AND('Planilla_General_29-11-2012_10_'!B650,"AAAAAH/m7xs=")</f>
        <v>#VALUE!</v>
      </c>
      <c r="AC44" t="e">
        <f>AND('Planilla_General_29-11-2012_10_'!C650,"AAAAAH/m7xw=")</f>
        <v>#VALUE!</v>
      </c>
      <c r="AD44" t="e">
        <f>AND('Planilla_General_29-11-2012_10_'!D650,"AAAAAH/m7x0=")</f>
        <v>#VALUE!</v>
      </c>
      <c r="AE44" t="e">
        <f>AND('Planilla_General_29-11-2012_10_'!E650,"AAAAAH/m7x4=")</f>
        <v>#VALUE!</v>
      </c>
      <c r="AF44" t="e">
        <f>AND('Planilla_General_29-11-2012_10_'!F650,"AAAAAH/m7x8=")</f>
        <v>#VALUE!</v>
      </c>
      <c r="AG44" t="e">
        <f>AND('Planilla_General_29-11-2012_10_'!G650,"AAAAAH/m7yA=")</f>
        <v>#VALUE!</v>
      </c>
      <c r="AH44" t="e">
        <f>AND('Planilla_General_29-11-2012_10_'!H650,"AAAAAH/m7yE=")</f>
        <v>#VALUE!</v>
      </c>
      <c r="AI44" t="e">
        <f>AND('Planilla_General_29-11-2012_10_'!I650,"AAAAAH/m7yI=")</f>
        <v>#VALUE!</v>
      </c>
      <c r="AJ44" t="e">
        <f>AND('Planilla_General_29-11-2012_10_'!J650,"AAAAAH/m7yM=")</f>
        <v>#VALUE!</v>
      </c>
      <c r="AK44" t="e">
        <f>AND('Planilla_General_29-11-2012_10_'!K650,"AAAAAH/m7yQ=")</f>
        <v>#VALUE!</v>
      </c>
      <c r="AL44" t="e">
        <f>AND('Planilla_General_29-11-2012_10_'!L650,"AAAAAH/m7yU=")</f>
        <v>#VALUE!</v>
      </c>
      <c r="AM44" t="e">
        <f>AND('Planilla_General_29-11-2012_10_'!M650,"AAAAAH/m7yY=")</f>
        <v>#VALUE!</v>
      </c>
      <c r="AN44" t="e">
        <f>AND('Planilla_General_29-11-2012_10_'!N650,"AAAAAH/m7yc=")</f>
        <v>#VALUE!</v>
      </c>
      <c r="AO44" t="e">
        <f>AND('Planilla_General_29-11-2012_10_'!O650,"AAAAAH/m7yg=")</f>
        <v>#VALUE!</v>
      </c>
      <c r="AP44" t="e">
        <f>AND('Planilla_General_29-11-2012_10_'!P650,"AAAAAH/m7yk=")</f>
        <v>#VALUE!</v>
      </c>
      <c r="AQ44">
        <f>IF('Planilla_General_29-11-2012_10_'!651:651,"AAAAAH/m7yo=",0)</f>
        <v>0</v>
      </c>
      <c r="AR44" t="e">
        <f>AND('Planilla_General_29-11-2012_10_'!A651,"AAAAAH/m7ys=")</f>
        <v>#VALUE!</v>
      </c>
      <c r="AS44" t="e">
        <f>AND('Planilla_General_29-11-2012_10_'!B651,"AAAAAH/m7yw=")</f>
        <v>#VALUE!</v>
      </c>
      <c r="AT44" t="e">
        <f>AND('Planilla_General_29-11-2012_10_'!C651,"AAAAAH/m7y0=")</f>
        <v>#VALUE!</v>
      </c>
      <c r="AU44" t="e">
        <f>AND('Planilla_General_29-11-2012_10_'!D651,"AAAAAH/m7y4=")</f>
        <v>#VALUE!</v>
      </c>
      <c r="AV44" t="e">
        <f>AND('Planilla_General_29-11-2012_10_'!E651,"AAAAAH/m7y8=")</f>
        <v>#VALUE!</v>
      </c>
      <c r="AW44" t="e">
        <f>AND('Planilla_General_29-11-2012_10_'!F651,"AAAAAH/m7zA=")</f>
        <v>#VALUE!</v>
      </c>
      <c r="AX44" t="e">
        <f>AND('Planilla_General_29-11-2012_10_'!G651,"AAAAAH/m7zE=")</f>
        <v>#VALUE!</v>
      </c>
      <c r="AY44" t="e">
        <f>AND('Planilla_General_29-11-2012_10_'!H651,"AAAAAH/m7zI=")</f>
        <v>#VALUE!</v>
      </c>
      <c r="AZ44" t="e">
        <f>AND('Planilla_General_29-11-2012_10_'!I651,"AAAAAH/m7zM=")</f>
        <v>#VALUE!</v>
      </c>
      <c r="BA44" t="e">
        <f>AND('Planilla_General_29-11-2012_10_'!J651,"AAAAAH/m7zQ=")</f>
        <v>#VALUE!</v>
      </c>
      <c r="BB44" t="e">
        <f>AND('Planilla_General_29-11-2012_10_'!K651,"AAAAAH/m7zU=")</f>
        <v>#VALUE!</v>
      </c>
      <c r="BC44" t="e">
        <f>AND('Planilla_General_29-11-2012_10_'!L651,"AAAAAH/m7zY=")</f>
        <v>#VALUE!</v>
      </c>
      <c r="BD44" t="e">
        <f>AND('Planilla_General_29-11-2012_10_'!M651,"AAAAAH/m7zc=")</f>
        <v>#VALUE!</v>
      </c>
      <c r="BE44" t="e">
        <f>AND('Planilla_General_29-11-2012_10_'!N651,"AAAAAH/m7zg=")</f>
        <v>#VALUE!</v>
      </c>
      <c r="BF44" t="e">
        <f>AND('Planilla_General_29-11-2012_10_'!O651,"AAAAAH/m7zk=")</f>
        <v>#VALUE!</v>
      </c>
      <c r="BG44" t="e">
        <f>AND('Planilla_General_29-11-2012_10_'!P651,"AAAAAH/m7zo=")</f>
        <v>#VALUE!</v>
      </c>
      <c r="BH44">
        <f>IF('Planilla_General_29-11-2012_10_'!652:652,"AAAAAH/m7zs=",0)</f>
        <v>0</v>
      </c>
      <c r="BI44" t="e">
        <f>AND('Planilla_General_29-11-2012_10_'!A652,"AAAAAH/m7zw=")</f>
        <v>#VALUE!</v>
      </c>
      <c r="BJ44" t="e">
        <f>AND('Planilla_General_29-11-2012_10_'!B652,"AAAAAH/m7z0=")</f>
        <v>#VALUE!</v>
      </c>
      <c r="BK44" t="e">
        <f>AND('Planilla_General_29-11-2012_10_'!C652,"AAAAAH/m7z4=")</f>
        <v>#VALUE!</v>
      </c>
      <c r="BL44" t="e">
        <f>AND('Planilla_General_29-11-2012_10_'!D652,"AAAAAH/m7z8=")</f>
        <v>#VALUE!</v>
      </c>
      <c r="BM44" t="e">
        <f>AND('Planilla_General_29-11-2012_10_'!E652,"AAAAAH/m70A=")</f>
        <v>#VALUE!</v>
      </c>
      <c r="BN44" t="e">
        <f>AND('Planilla_General_29-11-2012_10_'!F652,"AAAAAH/m70E=")</f>
        <v>#VALUE!</v>
      </c>
      <c r="BO44" t="e">
        <f>AND('Planilla_General_29-11-2012_10_'!G652,"AAAAAH/m70I=")</f>
        <v>#VALUE!</v>
      </c>
      <c r="BP44" t="e">
        <f>AND('Planilla_General_29-11-2012_10_'!H652,"AAAAAH/m70M=")</f>
        <v>#VALUE!</v>
      </c>
      <c r="BQ44" t="e">
        <f>AND('Planilla_General_29-11-2012_10_'!I652,"AAAAAH/m70Q=")</f>
        <v>#VALUE!</v>
      </c>
      <c r="BR44" t="e">
        <f>AND('Planilla_General_29-11-2012_10_'!J652,"AAAAAH/m70U=")</f>
        <v>#VALUE!</v>
      </c>
      <c r="BS44" t="e">
        <f>AND('Planilla_General_29-11-2012_10_'!K652,"AAAAAH/m70Y=")</f>
        <v>#VALUE!</v>
      </c>
      <c r="BT44" t="e">
        <f>AND('Planilla_General_29-11-2012_10_'!L652,"AAAAAH/m70c=")</f>
        <v>#VALUE!</v>
      </c>
      <c r="BU44" t="e">
        <f>AND('Planilla_General_29-11-2012_10_'!M652,"AAAAAH/m70g=")</f>
        <v>#VALUE!</v>
      </c>
      <c r="BV44" t="e">
        <f>AND('Planilla_General_29-11-2012_10_'!N652,"AAAAAH/m70k=")</f>
        <v>#VALUE!</v>
      </c>
      <c r="BW44" t="e">
        <f>AND('Planilla_General_29-11-2012_10_'!O652,"AAAAAH/m70o=")</f>
        <v>#VALUE!</v>
      </c>
      <c r="BX44" t="e">
        <f>AND('Planilla_General_29-11-2012_10_'!P652,"AAAAAH/m70s=")</f>
        <v>#VALUE!</v>
      </c>
      <c r="BY44">
        <f>IF('Planilla_General_29-11-2012_10_'!653:653,"AAAAAH/m70w=",0)</f>
        <v>0</v>
      </c>
      <c r="BZ44" t="e">
        <f>AND('Planilla_General_29-11-2012_10_'!A653,"AAAAAH/m700=")</f>
        <v>#VALUE!</v>
      </c>
      <c r="CA44" t="e">
        <f>AND('Planilla_General_29-11-2012_10_'!B653,"AAAAAH/m704=")</f>
        <v>#VALUE!</v>
      </c>
      <c r="CB44" t="e">
        <f>AND('Planilla_General_29-11-2012_10_'!C653,"AAAAAH/m708=")</f>
        <v>#VALUE!</v>
      </c>
      <c r="CC44" t="e">
        <f>AND('Planilla_General_29-11-2012_10_'!D653,"AAAAAH/m71A=")</f>
        <v>#VALUE!</v>
      </c>
      <c r="CD44" t="e">
        <f>AND('Planilla_General_29-11-2012_10_'!E653,"AAAAAH/m71E=")</f>
        <v>#VALUE!</v>
      </c>
      <c r="CE44" t="e">
        <f>AND('Planilla_General_29-11-2012_10_'!F653,"AAAAAH/m71I=")</f>
        <v>#VALUE!</v>
      </c>
      <c r="CF44" t="e">
        <f>AND('Planilla_General_29-11-2012_10_'!G653,"AAAAAH/m71M=")</f>
        <v>#VALUE!</v>
      </c>
      <c r="CG44" t="e">
        <f>AND('Planilla_General_29-11-2012_10_'!H653,"AAAAAH/m71Q=")</f>
        <v>#VALUE!</v>
      </c>
      <c r="CH44" t="e">
        <f>AND('Planilla_General_29-11-2012_10_'!I653,"AAAAAH/m71U=")</f>
        <v>#VALUE!</v>
      </c>
      <c r="CI44" t="e">
        <f>AND('Planilla_General_29-11-2012_10_'!J653,"AAAAAH/m71Y=")</f>
        <v>#VALUE!</v>
      </c>
      <c r="CJ44" t="e">
        <f>AND('Planilla_General_29-11-2012_10_'!K653,"AAAAAH/m71c=")</f>
        <v>#VALUE!</v>
      </c>
      <c r="CK44" t="e">
        <f>AND('Planilla_General_29-11-2012_10_'!L653,"AAAAAH/m71g=")</f>
        <v>#VALUE!</v>
      </c>
      <c r="CL44" t="e">
        <f>AND('Planilla_General_29-11-2012_10_'!M653,"AAAAAH/m71k=")</f>
        <v>#VALUE!</v>
      </c>
      <c r="CM44" t="e">
        <f>AND('Planilla_General_29-11-2012_10_'!N653,"AAAAAH/m71o=")</f>
        <v>#VALUE!</v>
      </c>
      <c r="CN44" t="e">
        <f>AND('Planilla_General_29-11-2012_10_'!O653,"AAAAAH/m71s=")</f>
        <v>#VALUE!</v>
      </c>
      <c r="CO44" t="e">
        <f>AND('Planilla_General_29-11-2012_10_'!P653,"AAAAAH/m71w=")</f>
        <v>#VALUE!</v>
      </c>
      <c r="CP44">
        <f>IF('Planilla_General_29-11-2012_10_'!654:654,"AAAAAH/m710=",0)</f>
        <v>0</v>
      </c>
      <c r="CQ44" t="e">
        <f>AND('Planilla_General_29-11-2012_10_'!A654,"AAAAAH/m714=")</f>
        <v>#VALUE!</v>
      </c>
      <c r="CR44" t="e">
        <f>AND('Planilla_General_29-11-2012_10_'!B654,"AAAAAH/m718=")</f>
        <v>#VALUE!</v>
      </c>
      <c r="CS44" t="e">
        <f>AND('Planilla_General_29-11-2012_10_'!C654,"AAAAAH/m72A=")</f>
        <v>#VALUE!</v>
      </c>
      <c r="CT44" t="e">
        <f>AND('Planilla_General_29-11-2012_10_'!D654,"AAAAAH/m72E=")</f>
        <v>#VALUE!</v>
      </c>
      <c r="CU44" t="e">
        <f>AND('Planilla_General_29-11-2012_10_'!E654,"AAAAAH/m72I=")</f>
        <v>#VALUE!</v>
      </c>
      <c r="CV44" t="e">
        <f>AND('Planilla_General_29-11-2012_10_'!F654,"AAAAAH/m72M=")</f>
        <v>#VALUE!</v>
      </c>
      <c r="CW44" t="e">
        <f>AND('Planilla_General_29-11-2012_10_'!G654,"AAAAAH/m72Q=")</f>
        <v>#VALUE!</v>
      </c>
      <c r="CX44" t="e">
        <f>AND('Planilla_General_29-11-2012_10_'!H654,"AAAAAH/m72U=")</f>
        <v>#VALUE!</v>
      </c>
      <c r="CY44" t="e">
        <f>AND('Planilla_General_29-11-2012_10_'!I654,"AAAAAH/m72Y=")</f>
        <v>#VALUE!</v>
      </c>
      <c r="CZ44" t="e">
        <f>AND('Planilla_General_29-11-2012_10_'!J654,"AAAAAH/m72c=")</f>
        <v>#VALUE!</v>
      </c>
      <c r="DA44" t="e">
        <f>AND('Planilla_General_29-11-2012_10_'!K654,"AAAAAH/m72g=")</f>
        <v>#VALUE!</v>
      </c>
      <c r="DB44" t="e">
        <f>AND('Planilla_General_29-11-2012_10_'!L654,"AAAAAH/m72k=")</f>
        <v>#VALUE!</v>
      </c>
      <c r="DC44" t="e">
        <f>AND('Planilla_General_29-11-2012_10_'!M654,"AAAAAH/m72o=")</f>
        <v>#VALUE!</v>
      </c>
      <c r="DD44" t="e">
        <f>AND('Planilla_General_29-11-2012_10_'!N654,"AAAAAH/m72s=")</f>
        <v>#VALUE!</v>
      </c>
      <c r="DE44" t="e">
        <f>AND('Planilla_General_29-11-2012_10_'!O654,"AAAAAH/m72w=")</f>
        <v>#VALUE!</v>
      </c>
      <c r="DF44" t="e">
        <f>AND('Planilla_General_29-11-2012_10_'!P654,"AAAAAH/m720=")</f>
        <v>#VALUE!</v>
      </c>
      <c r="DG44">
        <f>IF('Planilla_General_29-11-2012_10_'!655:655,"AAAAAH/m724=",0)</f>
        <v>0</v>
      </c>
      <c r="DH44" t="e">
        <f>AND('Planilla_General_29-11-2012_10_'!A655,"AAAAAH/m728=")</f>
        <v>#VALUE!</v>
      </c>
      <c r="DI44" t="e">
        <f>AND('Planilla_General_29-11-2012_10_'!B655,"AAAAAH/m73A=")</f>
        <v>#VALUE!</v>
      </c>
      <c r="DJ44" t="e">
        <f>AND('Planilla_General_29-11-2012_10_'!C655,"AAAAAH/m73E=")</f>
        <v>#VALUE!</v>
      </c>
      <c r="DK44" t="e">
        <f>AND('Planilla_General_29-11-2012_10_'!D655,"AAAAAH/m73I=")</f>
        <v>#VALUE!</v>
      </c>
      <c r="DL44" t="e">
        <f>AND('Planilla_General_29-11-2012_10_'!E655,"AAAAAH/m73M=")</f>
        <v>#VALUE!</v>
      </c>
      <c r="DM44" t="e">
        <f>AND('Planilla_General_29-11-2012_10_'!F655,"AAAAAH/m73Q=")</f>
        <v>#VALUE!</v>
      </c>
      <c r="DN44" t="e">
        <f>AND('Planilla_General_29-11-2012_10_'!G655,"AAAAAH/m73U=")</f>
        <v>#VALUE!</v>
      </c>
      <c r="DO44" t="e">
        <f>AND('Planilla_General_29-11-2012_10_'!H655,"AAAAAH/m73Y=")</f>
        <v>#VALUE!</v>
      </c>
      <c r="DP44" t="e">
        <f>AND('Planilla_General_29-11-2012_10_'!I655,"AAAAAH/m73c=")</f>
        <v>#VALUE!</v>
      </c>
      <c r="DQ44" t="e">
        <f>AND('Planilla_General_29-11-2012_10_'!J655,"AAAAAH/m73g=")</f>
        <v>#VALUE!</v>
      </c>
      <c r="DR44" t="e">
        <f>AND('Planilla_General_29-11-2012_10_'!K655,"AAAAAH/m73k=")</f>
        <v>#VALUE!</v>
      </c>
      <c r="DS44" t="e">
        <f>AND('Planilla_General_29-11-2012_10_'!L655,"AAAAAH/m73o=")</f>
        <v>#VALUE!</v>
      </c>
      <c r="DT44" t="e">
        <f>AND('Planilla_General_29-11-2012_10_'!M655,"AAAAAH/m73s=")</f>
        <v>#VALUE!</v>
      </c>
      <c r="DU44" t="e">
        <f>AND('Planilla_General_29-11-2012_10_'!N655,"AAAAAH/m73w=")</f>
        <v>#VALUE!</v>
      </c>
      <c r="DV44" t="e">
        <f>AND('Planilla_General_29-11-2012_10_'!O655,"AAAAAH/m730=")</f>
        <v>#VALUE!</v>
      </c>
      <c r="DW44" t="e">
        <f>AND('Planilla_General_29-11-2012_10_'!P655,"AAAAAH/m734=")</f>
        <v>#VALUE!</v>
      </c>
      <c r="DX44">
        <f>IF('Planilla_General_29-11-2012_10_'!656:656,"AAAAAH/m738=",0)</f>
        <v>0</v>
      </c>
      <c r="DY44" t="e">
        <f>AND('Planilla_General_29-11-2012_10_'!A656,"AAAAAH/m74A=")</f>
        <v>#VALUE!</v>
      </c>
      <c r="DZ44" t="e">
        <f>AND('Planilla_General_29-11-2012_10_'!B656,"AAAAAH/m74E=")</f>
        <v>#VALUE!</v>
      </c>
      <c r="EA44" t="e">
        <f>AND('Planilla_General_29-11-2012_10_'!C656,"AAAAAH/m74I=")</f>
        <v>#VALUE!</v>
      </c>
      <c r="EB44" t="e">
        <f>AND('Planilla_General_29-11-2012_10_'!D656,"AAAAAH/m74M=")</f>
        <v>#VALUE!</v>
      </c>
      <c r="EC44" t="e">
        <f>AND('Planilla_General_29-11-2012_10_'!E656,"AAAAAH/m74Q=")</f>
        <v>#VALUE!</v>
      </c>
      <c r="ED44" t="e">
        <f>AND('Planilla_General_29-11-2012_10_'!F656,"AAAAAH/m74U=")</f>
        <v>#VALUE!</v>
      </c>
      <c r="EE44" t="e">
        <f>AND('Planilla_General_29-11-2012_10_'!G656,"AAAAAH/m74Y=")</f>
        <v>#VALUE!</v>
      </c>
      <c r="EF44" t="e">
        <f>AND('Planilla_General_29-11-2012_10_'!H656,"AAAAAH/m74c=")</f>
        <v>#VALUE!</v>
      </c>
      <c r="EG44" t="e">
        <f>AND('Planilla_General_29-11-2012_10_'!I656,"AAAAAH/m74g=")</f>
        <v>#VALUE!</v>
      </c>
      <c r="EH44" t="e">
        <f>AND('Planilla_General_29-11-2012_10_'!J656,"AAAAAH/m74k=")</f>
        <v>#VALUE!</v>
      </c>
      <c r="EI44" t="e">
        <f>AND('Planilla_General_29-11-2012_10_'!K656,"AAAAAH/m74o=")</f>
        <v>#VALUE!</v>
      </c>
      <c r="EJ44" t="e">
        <f>AND('Planilla_General_29-11-2012_10_'!L656,"AAAAAH/m74s=")</f>
        <v>#VALUE!</v>
      </c>
      <c r="EK44" t="e">
        <f>AND('Planilla_General_29-11-2012_10_'!M656,"AAAAAH/m74w=")</f>
        <v>#VALUE!</v>
      </c>
      <c r="EL44" t="e">
        <f>AND('Planilla_General_29-11-2012_10_'!N656,"AAAAAH/m740=")</f>
        <v>#VALUE!</v>
      </c>
      <c r="EM44" t="e">
        <f>AND('Planilla_General_29-11-2012_10_'!O656,"AAAAAH/m744=")</f>
        <v>#VALUE!</v>
      </c>
      <c r="EN44" t="e">
        <f>AND('Planilla_General_29-11-2012_10_'!P656,"AAAAAH/m748=")</f>
        <v>#VALUE!</v>
      </c>
      <c r="EO44">
        <f>IF('Planilla_General_29-11-2012_10_'!657:657,"AAAAAH/m75A=",0)</f>
        <v>0</v>
      </c>
      <c r="EP44" t="e">
        <f>AND('Planilla_General_29-11-2012_10_'!A657,"AAAAAH/m75E=")</f>
        <v>#VALUE!</v>
      </c>
      <c r="EQ44" t="e">
        <f>AND('Planilla_General_29-11-2012_10_'!B657,"AAAAAH/m75I=")</f>
        <v>#VALUE!</v>
      </c>
      <c r="ER44" t="e">
        <f>AND('Planilla_General_29-11-2012_10_'!C657,"AAAAAH/m75M=")</f>
        <v>#VALUE!</v>
      </c>
      <c r="ES44" t="e">
        <f>AND('Planilla_General_29-11-2012_10_'!D657,"AAAAAH/m75Q=")</f>
        <v>#VALUE!</v>
      </c>
      <c r="ET44" t="e">
        <f>AND('Planilla_General_29-11-2012_10_'!E657,"AAAAAH/m75U=")</f>
        <v>#VALUE!</v>
      </c>
      <c r="EU44" t="e">
        <f>AND('Planilla_General_29-11-2012_10_'!F657,"AAAAAH/m75Y=")</f>
        <v>#VALUE!</v>
      </c>
      <c r="EV44" t="e">
        <f>AND('Planilla_General_29-11-2012_10_'!G657,"AAAAAH/m75c=")</f>
        <v>#VALUE!</v>
      </c>
      <c r="EW44" t="e">
        <f>AND('Planilla_General_29-11-2012_10_'!H657,"AAAAAH/m75g=")</f>
        <v>#VALUE!</v>
      </c>
      <c r="EX44" t="e">
        <f>AND('Planilla_General_29-11-2012_10_'!I657,"AAAAAH/m75k=")</f>
        <v>#VALUE!</v>
      </c>
      <c r="EY44" t="e">
        <f>AND('Planilla_General_29-11-2012_10_'!J657,"AAAAAH/m75o=")</f>
        <v>#VALUE!</v>
      </c>
      <c r="EZ44" t="e">
        <f>AND('Planilla_General_29-11-2012_10_'!K657,"AAAAAH/m75s=")</f>
        <v>#VALUE!</v>
      </c>
      <c r="FA44" t="e">
        <f>AND('Planilla_General_29-11-2012_10_'!L657,"AAAAAH/m75w=")</f>
        <v>#VALUE!</v>
      </c>
      <c r="FB44" t="e">
        <f>AND('Planilla_General_29-11-2012_10_'!M657,"AAAAAH/m750=")</f>
        <v>#VALUE!</v>
      </c>
      <c r="FC44" t="e">
        <f>AND('Planilla_General_29-11-2012_10_'!N657,"AAAAAH/m754=")</f>
        <v>#VALUE!</v>
      </c>
      <c r="FD44" t="e">
        <f>AND('Planilla_General_29-11-2012_10_'!O657,"AAAAAH/m758=")</f>
        <v>#VALUE!</v>
      </c>
      <c r="FE44" t="e">
        <f>AND('Planilla_General_29-11-2012_10_'!P657,"AAAAAH/m76A=")</f>
        <v>#VALUE!</v>
      </c>
      <c r="FF44">
        <f>IF('Planilla_General_29-11-2012_10_'!658:658,"AAAAAH/m76E=",0)</f>
        <v>0</v>
      </c>
      <c r="FG44" t="e">
        <f>AND('Planilla_General_29-11-2012_10_'!A658,"AAAAAH/m76I=")</f>
        <v>#VALUE!</v>
      </c>
      <c r="FH44" t="e">
        <f>AND('Planilla_General_29-11-2012_10_'!B658,"AAAAAH/m76M=")</f>
        <v>#VALUE!</v>
      </c>
      <c r="FI44" t="e">
        <f>AND('Planilla_General_29-11-2012_10_'!C658,"AAAAAH/m76Q=")</f>
        <v>#VALUE!</v>
      </c>
      <c r="FJ44" t="e">
        <f>AND('Planilla_General_29-11-2012_10_'!D658,"AAAAAH/m76U=")</f>
        <v>#VALUE!</v>
      </c>
      <c r="FK44" t="e">
        <f>AND('Planilla_General_29-11-2012_10_'!E658,"AAAAAH/m76Y=")</f>
        <v>#VALUE!</v>
      </c>
      <c r="FL44" t="e">
        <f>AND('Planilla_General_29-11-2012_10_'!F658,"AAAAAH/m76c=")</f>
        <v>#VALUE!</v>
      </c>
      <c r="FM44" t="e">
        <f>AND('Planilla_General_29-11-2012_10_'!G658,"AAAAAH/m76g=")</f>
        <v>#VALUE!</v>
      </c>
      <c r="FN44" t="e">
        <f>AND('Planilla_General_29-11-2012_10_'!H658,"AAAAAH/m76k=")</f>
        <v>#VALUE!</v>
      </c>
      <c r="FO44" t="e">
        <f>AND('Planilla_General_29-11-2012_10_'!I658,"AAAAAH/m76o=")</f>
        <v>#VALUE!</v>
      </c>
      <c r="FP44" t="e">
        <f>AND('Planilla_General_29-11-2012_10_'!J658,"AAAAAH/m76s=")</f>
        <v>#VALUE!</v>
      </c>
      <c r="FQ44" t="e">
        <f>AND('Planilla_General_29-11-2012_10_'!K658,"AAAAAH/m76w=")</f>
        <v>#VALUE!</v>
      </c>
      <c r="FR44" t="e">
        <f>AND('Planilla_General_29-11-2012_10_'!L658,"AAAAAH/m760=")</f>
        <v>#VALUE!</v>
      </c>
      <c r="FS44" t="e">
        <f>AND('Planilla_General_29-11-2012_10_'!M658,"AAAAAH/m764=")</f>
        <v>#VALUE!</v>
      </c>
      <c r="FT44" t="e">
        <f>AND('Planilla_General_29-11-2012_10_'!N658,"AAAAAH/m768=")</f>
        <v>#VALUE!</v>
      </c>
      <c r="FU44" t="e">
        <f>AND('Planilla_General_29-11-2012_10_'!O658,"AAAAAH/m77A=")</f>
        <v>#VALUE!</v>
      </c>
      <c r="FV44" t="e">
        <f>AND('Planilla_General_29-11-2012_10_'!P658,"AAAAAH/m77E=")</f>
        <v>#VALUE!</v>
      </c>
      <c r="FW44">
        <f>IF('Planilla_General_29-11-2012_10_'!659:659,"AAAAAH/m77I=",0)</f>
        <v>0</v>
      </c>
      <c r="FX44" t="e">
        <f>AND('Planilla_General_29-11-2012_10_'!A659,"AAAAAH/m77M=")</f>
        <v>#VALUE!</v>
      </c>
      <c r="FY44" t="e">
        <f>AND('Planilla_General_29-11-2012_10_'!B659,"AAAAAH/m77Q=")</f>
        <v>#VALUE!</v>
      </c>
      <c r="FZ44" t="e">
        <f>AND('Planilla_General_29-11-2012_10_'!C659,"AAAAAH/m77U=")</f>
        <v>#VALUE!</v>
      </c>
      <c r="GA44" t="e">
        <f>AND('Planilla_General_29-11-2012_10_'!D659,"AAAAAH/m77Y=")</f>
        <v>#VALUE!</v>
      </c>
      <c r="GB44" t="e">
        <f>AND('Planilla_General_29-11-2012_10_'!E659,"AAAAAH/m77c=")</f>
        <v>#VALUE!</v>
      </c>
      <c r="GC44" t="e">
        <f>AND('Planilla_General_29-11-2012_10_'!F659,"AAAAAH/m77g=")</f>
        <v>#VALUE!</v>
      </c>
      <c r="GD44" t="e">
        <f>AND('Planilla_General_29-11-2012_10_'!G659,"AAAAAH/m77k=")</f>
        <v>#VALUE!</v>
      </c>
      <c r="GE44" t="e">
        <f>AND('Planilla_General_29-11-2012_10_'!H659,"AAAAAH/m77o=")</f>
        <v>#VALUE!</v>
      </c>
      <c r="GF44" t="e">
        <f>AND('Planilla_General_29-11-2012_10_'!I659,"AAAAAH/m77s=")</f>
        <v>#VALUE!</v>
      </c>
      <c r="GG44" t="e">
        <f>AND('Planilla_General_29-11-2012_10_'!J659,"AAAAAH/m77w=")</f>
        <v>#VALUE!</v>
      </c>
      <c r="GH44" t="e">
        <f>AND('Planilla_General_29-11-2012_10_'!K659,"AAAAAH/m770=")</f>
        <v>#VALUE!</v>
      </c>
      <c r="GI44" t="e">
        <f>AND('Planilla_General_29-11-2012_10_'!L659,"AAAAAH/m774=")</f>
        <v>#VALUE!</v>
      </c>
      <c r="GJ44" t="e">
        <f>AND('Planilla_General_29-11-2012_10_'!M659,"AAAAAH/m778=")</f>
        <v>#VALUE!</v>
      </c>
      <c r="GK44" t="e">
        <f>AND('Planilla_General_29-11-2012_10_'!N659,"AAAAAH/m78A=")</f>
        <v>#VALUE!</v>
      </c>
      <c r="GL44" t="e">
        <f>AND('Planilla_General_29-11-2012_10_'!O659,"AAAAAH/m78E=")</f>
        <v>#VALUE!</v>
      </c>
      <c r="GM44" t="e">
        <f>AND('Planilla_General_29-11-2012_10_'!P659,"AAAAAH/m78I=")</f>
        <v>#VALUE!</v>
      </c>
      <c r="GN44">
        <f>IF('Planilla_General_29-11-2012_10_'!660:660,"AAAAAH/m78M=",0)</f>
        <v>0</v>
      </c>
      <c r="GO44" t="e">
        <f>AND('Planilla_General_29-11-2012_10_'!A660,"AAAAAH/m78Q=")</f>
        <v>#VALUE!</v>
      </c>
      <c r="GP44" t="e">
        <f>AND('Planilla_General_29-11-2012_10_'!B660,"AAAAAH/m78U=")</f>
        <v>#VALUE!</v>
      </c>
      <c r="GQ44" t="e">
        <f>AND('Planilla_General_29-11-2012_10_'!C660,"AAAAAH/m78Y=")</f>
        <v>#VALUE!</v>
      </c>
      <c r="GR44" t="e">
        <f>AND('Planilla_General_29-11-2012_10_'!D660,"AAAAAH/m78c=")</f>
        <v>#VALUE!</v>
      </c>
      <c r="GS44" t="e">
        <f>AND('Planilla_General_29-11-2012_10_'!E660,"AAAAAH/m78g=")</f>
        <v>#VALUE!</v>
      </c>
      <c r="GT44" t="e">
        <f>AND('Planilla_General_29-11-2012_10_'!F660,"AAAAAH/m78k=")</f>
        <v>#VALUE!</v>
      </c>
      <c r="GU44" t="e">
        <f>AND('Planilla_General_29-11-2012_10_'!G660,"AAAAAH/m78o=")</f>
        <v>#VALUE!</v>
      </c>
      <c r="GV44" t="e">
        <f>AND('Planilla_General_29-11-2012_10_'!H660,"AAAAAH/m78s=")</f>
        <v>#VALUE!</v>
      </c>
      <c r="GW44" t="e">
        <f>AND('Planilla_General_29-11-2012_10_'!I660,"AAAAAH/m78w=")</f>
        <v>#VALUE!</v>
      </c>
      <c r="GX44" t="e">
        <f>AND('Planilla_General_29-11-2012_10_'!J660,"AAAAAH/m780=")</f>
        <v>#VALUE!</v>
      </c>
      <c r="GY44" t="e">
        <f>AND('Planilla_General_29-11-2012_10_'!K660,"AAAAAH/m784=")</f>
        <v>#VALUE!</v>
      </c>
      <c r="GZ44" t="e">
        <f>AND('Planilla_General_29-11-2012_10_'!L660,"AAAAAH/m788=")</f>
        <v>#VALUE!</v>
      </c>
      <c r="HA44" t="e">
        <f>AND('Planilla_General_29-11-2012_10_'!M660,"AAAAAH/m79A=")</f>
        <v>#VALUE!</v>
      </c>
      <c r="HB44" t="e">
        <f>AND('Planilla_General_29-11-2012_10_'!N660,"AAAAAH/m79E=")</f>
        <v>#VALUE!</v>
      </c>
      <c r="HC44" t="e">
        <f>AND('Planilla_General_29-11-2012_10_'!O660,"AAAAAH/m79I=")</f>
        <v>#VALUE!</v>
      </c>
      <c r="HD44" t="e">
        <f>AND('Planilla_General_29-11-2012_10_'!P660,"AAAAAH/m79M=")</f>
        <v>#VALUE!</v>
      </c>
      <c r="HE44">
        <f>IF('Planilla_General_29-11-2012_10_'!661:661,"AAAAAH/m79Q=",0)</f>
        <v>0</v>
      </c>
      <c r="HF44" t="e">
        <f>AND('Planilla_General_29-11-2012_10_'!A661,"AAAAAH/m79U=")</f>
        <v>#VALUE!</v>
      </c>
      <c r="HG44" t="e">
        <f>AND('Planilla_General_29-11-2012_10_'!B661,"AAAAAH/m79Y=")</f>
        <v>#VALUE!</v>
      </c>
      <c r="HH44" t="e">
        <f>AND('Planilla_General_29-11-2012_10_'!C661,"AAAAAH/m79c=")</f>
        <v>#VALUE!</v>
      </c>
      <c r="HI44" t="e">
        <f>AND('Planilla_General_29-11-2012_10_'!D661,"AAAAAH/m79g=")</f>
        <v>#VALUE!</v>
      </c>
      <c r="HJ44" t="e">
        <f>AND('Planilla_General_29-11-2012_10_'!E661,"AAAAAH/m79k=")</f>
        <v>#VALUE!</v>
      </c>
      <c r="HK44" t="e">
        <f>AND('Planilla_General_29-11-2012_10_'!F661,"AAAAAH/m79o=")</f>
        <v>#VALUE!</v>
      </c>
      <c r="HL44" t="e">
        <f>AND('Planilla_General_29-11-2012_10_'!G661,"AAAAAH/m79s=")</f>
        <v>#VALUE!</v>
      </c>
      <c r="HM44" t="e">
        <f>AND('Planilla_General_29-11-2012_10_'!H661,"AAAAAH/m79w=")</f>
        <v>#VALUE!</v>
      </c>
      <c r="HN44" t="e">
        <f>AND('Planilla_General_29-11-2012_10_'!I661,"AAAAAH/m790=")</f>
        <v>#VALUE!</v>
      </c>
      <c r="HO44" t="e">
        <f>AND('Planilla_General_29-11-2012_10_'!J661,"AAAAAH/m794=")</f>
        <v>#VALUE!</v>
      </c>
      <c r="HP44" t="e">
        <f>AND('Planilla_General_29-11-2012_10_'!K661,"AAAAAH/m798=")</f>
        <v>#VALUE!</v>
      </c>
      <c r="HQ44" t="e">
        <f>AND('Planilla_General_29-11-2012_10_'!L661,"AAAAAH/m7+A=")</f>
        <v>#VALUE!</v>
      </c>
      <c r="HR44" t="e">
        <f>AND('Planilla_General_29-11-2012_10_'!M661,"AAAAAH/m7+E=")</f>
        <v>#VALUE!</v>
      </c>
      <c r="HS44" t="e">
        <f>AND('Planilla_General_29-11-2012_10_'!N661,"AAAAAH/m7+I=")</f>
        <v>#VALUE!</v>
      </c>
      <c r="HT44" t="e">
        <f>AND('Planilla_General_29-11-2012_10_'!O661,"AAAAAH/m7+M=")</f>
        <v>#VALUE!</v>
      </c>
      <c r="HU44" t="e">
        <f>AND('Planilla_General_29-11-2012_10_'!P661,"AAAAAH/m7+Q=")</f>
        <v>#VALUE!</v>
      </c>
      <c r="HV44">
        <f>IF('Planilla_General_29-11-2012_10_'!662:662,"AAAAAH/m7+U=",0)</f>
        <v>0</v>
      </c>
      <c r="HW44" t="e">
        <f>AND('Planilla_General_29-11-2012_10_'!A662,"AAAAAH/m7+Y=")</f>
        <v>#VALUE!</v>
      </c>
      <c r="HX44" t="e">
        <f>AND('Planilla_General_29-11-2012_10_'!B662,"AAAAAH/m7+c=")</f>
        <v>#VALUE!</v>
      </c>
      <c r="HY44" t="e">
        <f>AND('Planilla_General_29-11-2012_10_'!C662,"AAAAAH/m7+g=")</f>
        <v>#VALUE!</v>
      </c>
      <c r="HZ44" t="e">
        <f>AND('Planilla_General_29-11-2012_10_'!D662,"AAAAAH/m7+k=")</f>
        <v>#VALUE!</v>
      </c>
      <c r="IA44" t="e">
        <f>AND('Planilla_General_29-11-2012_10_'!E662,"AAAAAH/m7+o=")</f>
        <v>#VALUE!</v>
      </c>
      <c r="IB44" t="e">
        <f>AND('Planilla_General_29-11-2012_10_'!F662,"AAAAAH/m7+s=")</f>
        <v>#VALUE!</v>
      </c>
      <c r="IC44" t="e">
        <f>AND('Planilla_General_29-11-2012_10_'!G662,"AAAAAH/m7+w=")</f>
        <v>#VALUE!</v>
      </c>
      <c r="ID44" t="e">
        <f>AND('Planilla_General_29-11-2012_10_'!H662,"AAAAAH/m7+0=")</f>
        <v>#VALUE!</v>
      </c>
      <c r="IE44" t="e">
        <f>AND('Planilla_General_29-11-2012_10_'!I662,"AAAAAH/m7+4=")</f>
        <v>#VALUE!</v>
      </c>
      <c r="IF44" t="e">
        <f>AND('Planilla_General_29-11-2012_10_'!J662,"AAAAAH/m7+8=")</f>
        <v>#VALUE!</v>
      </c>
      <c r="IG44" t="e">
        <f>AND('Planilla_General_29-11-2012_10_'!K662,"AAAAAH/m7/A=")</f>
        <v>#VALUE!</v>
      </c>
      <c r="IH44" t="e">
        <f>AND('Planilla_General_29-11-2012_10_'!L662,"AAAAAH/m7/E=")</f>
        <v>#VALUE!</v>
      </c>
      <c r="II44" t="e">
        <f>AND('Planilla_General_29-11-2012_10_'!M662,"AAAAAH/m7/I=")</f>
        <v>#VALUE!</v>
      </c>
      <c r="IJ44" t="e">
        <f>AND('Planilla_General_29-11-2012_10_'!N662,"AAAAAH/m7/M=")</f>
        <v>#VALUE!</v>
      </c>
      <c r="IK44" t="e">
        <f>AND('Planilla_General_29-11-2012_10_'!O662,"AAAAAH/m7/Q=")</f>
        <v>#VALUE!</v>
      </c>
      <c r="IL44" t="e">
        <f>AND('Planilla_General_29-11-2012_10_'!P662,"AAAAAH/m7/U=")</f>
        <v>#VALUE!</v>
      </c>
      <c r="IM44">
        <f>IF('Planilla_General_29-11-2012_10_'!663:663,"AAAAAH/m7/Y=",0)</f>
        <v>0</v>
      </c>
      <c r="IN44" t="e">
        <f>AND('Planilla_General_29-11-2012_10_'!A663,"AAAAAH/m7/c=")</f>
        <v>#VALUE!</v>
      </c>
      <c r="IO44" t="e">
        <f>AND('Planilla_General_29-11-2012_10_'!B663,"AAAAAH/m7/g=")</f>
        <v>#VALUE!</v>
      </c>
      <c r="IP44" t="e">
        <f>AND('Planilla_General_29-11-2012_10_'!C663,"AAAAAH/m7/k=")</f>
        <v>#VALUE!</v>
      </c>
      <c r="IQ44" t="e">
        <f>AND('Planilla_General_29-11-2012_10_'!D663,"AAAAAH/m7/o=")</f>
        <v>#VALUE!</v>
      </c>
      <c r="IR44" t="e">
        <f>AND('Planilla_General_29-11-2012_10_'!E663,"AAAAAH/m7/s=")</f>
        <v>#VALUE!</v>
      </c>
      <c r="IS44" t="e">
        <f>AND('Planilla_General_29-11-2012_10_'!F663,"AAAAAH/m7/w=")</f>
        <v>#VALUE!</v>
      </c>
      <c r="IT44" t="e">
        <f>AND('Planilla_General_29-11-2012_10_'!G663,"AAAAAH/m7/0=")</f>
        <v>#VALUE!</v>
      </c>
      <c r="IU44" t="e">
        <f>AND('Planilla_General_29-11-2012_10_'!H663,"AAAAAH/m7/4=")</f>
        <v>#VALUE!</v>
      </c>
      <c r="IV44" t="e">
        <f>AND('Planilla_General_29-11-2012_10_'!I663,"AAAAAH/m7/8=")</f>
        <v>#VALUE!</v>
      </c>
    </row>
    <row r="45" spans="1:256" x14ac:dyDescent="0.25">
      <c r="A45" t="e">
        <f>AND('Planilla_General_29-11-2012_10_'!J663,"AAAAAG618wA=")</f>
        <v>#VALUE!</v>
      </c>
      <c r="B45" t="e">
        <f>AND('Planilla_General_29-11-2012_10_'!K663,"AAAAAG618wE=")</f>
        <v>#VALUE!</v>
      </c>
      <c r="C45" t="e">
        <f>AND('Planilla_General_29-11-2012_10_'!L663,"AAAAAG618wI=")</f>
        <v>#VALUE!</v>
      </c>
      <c r="D45" t="e">
        <f>AND('Planilla_General_29-11-2012_10_'!M663,"AAAAAG618wM=")</f>
        <v>#VALUE!</v>
      </c>
      <c r="E45" t="e">
        <f>AND('Planilla_General_29-11-2012_10_'!N663,"AAAAAG618wQ=")</f>
        <v>#VALUE!</v>
      </c>
      <c r="F45" t="e">
        <f>AND('Planilla_General_29-11-2012_10_'!O663,"AAAAAG618wU=")</f>
        <v>#VALUE!</v>
      </c>
      <c r="G45" t="e">
        <f>AND('Planilla_General_29-11-2012_10_'!P663,"AAAAAG618wY=")</f>
        <v>#VALUE!</v>
      </c>
      <c r="H45" t="e">
        <f>IF('Planilla_General_29-11-2012_10_'!664:664,"AAAAAG618wc=",0)</f>
        <v>#VALUE!</v>
      </c>
      <c r="I45" t="e">
        <f>AND('Planilla_General_29-11-2012_10_'!A664,"AAAAAG618wg=")</f>
        <v>#VALUE!</v>
      </c>
      <c r="J45" t="e">
        <f>AND('Planilla_General_29-11-2012_10_'!B664,"AAAAAG618wk=")</f>
        <v>#VALUE!</v>
      </c>
      <c r="K45" t="e">
        <f>AND('Planilla_General_29-11-2012_10_'!C664,"AAAAAG618wo=")</f>
        <v>#VALUE!</v>
      </c>
      <c r="L45" t="e">
        <f>AND('Planilla_General_29-11-2012_10_'!D664,"AAAAAG618ws=")</f>
        <v>#VALUE!</v>
      </c>
      <c r="M45" t="e">
        <f>AND('Planilla_General_29-11-2012_10_'!E664,"AAAAAG618ww=")</f>
        <v>#VALUE!</v>
      </c>
      <c r="N45" t="e">
        <f>AND('Planilla_General_29-11-2012_10_'!F664,"AAAAAG618w0=")</f>
        <v>#VALUE!</v>
      </c>
      <c r="O45" t="e">
        <f>AND('Planilla_General_29-11-2012_10_'!G664,"AAAAAG618w4=")</f>
        <v>#VALUE!</v>
      </c>
      <c r="P45" t="e">
        <f>AND('Planilla_General_29-11-2012_10_'!H664,"AAAAAG618w8=")</f>
        <v>#VALUE!</v>
      </c>
      <c r="Q45" t="e">
        <f>AND('Planilla_General_29-11-2012_10_'!I664,"AAAAAG618xA=")</f>
        <v>#VALUE!</v>
      </c>
      <c r="R45" t="e">
        <f>AND('Planilla_General_29-11-2012_10_'!J664,"AAAAAG618xE=")</f>
        <v>#VALUE!</v>
      </c>
      <c r="S45" t="e">
        <f>AND('Planilla_General_29-11-2012_10_'!K664,"AAAAAG618xI=")</f>
        <v>#VALUE!</v>
      </c>
      <c r="T45" t="e">
        <f>AND('Planilla_General_29-11-2012_10_'!L664,"AAAAAG618xM=")</f>
        <v>#VALUE!</v>
      </c>
      <c r="U45" t="e">
        <f>AND('Planilla_General_29-11-2012_10_'!M664,"AAAAAG618xQ=")</f>
        <v>#VALUE!</v>
      </c>
      <c r="V45" t="e">
        <f>AND('Planilla_General_29-11-2012_10_'!N664,"AAAAAG618xU=")</f>
        <v>#VALUE!</v>
      </c>
      <c r="W45" t="e">
        <f>AND('Planilla_General_29-11-2012_10_'!O664,"AAAAAG618xY=")</f>
        <v>#VALUE!</v>
      </c>
      <c r="X45" t="e">
        <f>AND('Planilla_General_29-11-2012_10_'!P664,"AAAAAG618xc=")</f>
        <v>#VALUE!</v>
      </c>
      <c r="Y45">
        <f>IF('Planilla_General_29-11-2012_10_'!665:665,"AAAAAG618xg=",0)</f>
        <v>0</v>
      </c>
      <c r="Z45" t="e">
        <f>AND('Planilla_General_29-11-2012_10_'!A665,"AAAAAG618xk=")</f>
        <v>#VALUE!</v>
      </c>
      <c r="AA45" t="e">
        <f>AND('Planilla_General_29-11-2012_10_'!B665,"AAAAAG618xo=")</f>
        <v>#VALUE!</v>
      </c>
      <c r="AB45" t="e">
        <f>AND('Planilla_General_29-11-2012_10_'!C665,"AAAAAG618xs=")</f>
        <v>#VALUE!</v>
      </c>
      <c r="AC45" t="e">
        <f>AND('Planilla_General_29-11-2012_10_'!D665,"AAAAAG618xw=")</f>
        <v>#VALUE!</v>
      </c>
      <c r="AD45" t="e">
        <f>AND('Planilla_General_29-11-2012_10_'!E665,"AAAAAG618x0=")</f>
        <v>#VALUE!</v>
      </c>
      <c r="AE45" t="e">
        <f>AND('Planilla_General_29-11-2012_10_'!F665,"AAAAAG618x4=")</f>
        <v>#VALUE!</v>
      </c>
      <c r="AF45" t="e">
        <f>AND('Planilla_General_29-11-2012_10_'!G665,"AAAAAG618x8=")</f>
        <v>#VALUE!</v>
      </c>
      <c r="AG45" t="e">
        <f>AND('Planilla_General_29-11-2012_10_'!H665,"AAAAAG618yA=")</f>
        <v>#VALUE!</v>
      </c>
      <c r="AH45" t="e">
        <f>AND('Planilla_General_29-11-2012_10_'!I665,"AAAAAG618yE=")</f>
        <v>#VALUE!</v>
      </c>
      <c r="AI45" t="e">
        <f>AND('Planilla_General_29-11-2012_10_'!J665,"AAAAAG618yI=")</f>
        <v>#VALUE!</v>
      </c>
      <c r="AJ45" t="e">
        <f>AND('Planilla_General_29-11-2012_10_'!K665,"AAAAAG618yM=")</f>
        <v>#VALUE!</v>
      </c>
      <c r="AK45" t="e">
        <f>AND('Planilla_General_29-11-2012_10_'!L665,"AAAAAG618yQ=")</f>
        <v>#VALUE!</v>
      </c>
      <c r="AL45" t="e">
        <f>AND('Planilla_General_29-11-2012_10_'!M665,"AAAAAG618yU=")</f>
        <v>#VALUE!</v>
      </c>
      <c r="AM45" t="e">
        <f>AND('Planilla_General_29-11-2012_10_'!N665,"AAAAAG618yY=")</f>
        <v>#VALUE!</v>
      </c>
      <c r="AN45" t="e">
        <f>AND('Planilla_General_29-11-2012_10_'!O665,"AAAAAG618yc=")</f>
        <v>#VALUE!</v>
      </c>
      <c r="AO45" t="e">
        <f>AND('Planilla_General_29-11-2012_10_'!P665,"AAAAAG618yg=")</f>
        <v>#VALUE!</v>
      </c>
      <c r="AP45">
        <f>IF('Planilla_General_29-11-2012_10_'!666:666,"AAAAAG618yk=",0)</f>
        <v>0</v>
      </c>
      <c r="AQ45" t="e">
        <f>AND('Planilla_General_29-11-2012_10_'!A666,"AAAAAG618yo=")</f>
        <v>#VALUE!</v>
      </c>
      <c r="AR45" t="e">
        <f>AND('Planilla_General_29-11-2012_10_'!B666,"AAAAAG618ys=")</f>
        <v>#VALUE!</v>
      </c>
      <c r="AS45" t="e">
        <f>AND('Planilla_General_29-11-2012_10_'!C666,"AAAAAG618yw=")</f>
        <v>#VALUE!</v>
      </c>
      <c r="AT45" t="e">
        <f>AND('Planilla_General_29-11-2012_10_'!D666,"AAAAAG618y0=")</f>
        <v>#VALUE!</v>
      </c>
      <c r="AU45" t="e">
        <f>AND('Planilla_General_29-11-2012_10_'!E666,"AAAAAG618y4=")</f>
        <v>#VALUE!</v>
      </c>
      <c r="AV45" t="e">
        <f>AND('Planilla_General_29-11-2012_10_'!F666,"AAAAAG618y8=")</f>
        <v>#VALUE!</v>
      </c>
      <c r="AW45" t="e">
        <f>AND('Planilla_General_29-11-2012_10_'!G666,"AAAAAG618zA=")</f>
        <v>#VALUE!</v>
      </c>
      <c r="AX45" t="e">
        <f>AND('Planilla_General_29-11-2012_10_'!H666,"AAAAAG618zE=")</f>
        <v>#VALUE!</v>
      </c>
      <c r="AY45" t="e">
        <f>AND('Planilla_General_29-11-2012_10_'!I666,"AAAAAG618zI=")</f>
        <v>#VALUE!</v>
      </c>
      <c r="AZ45" t="e">
        <f>AND('Planilla_General_29-11-2012_10_'!J666,"AAAAAG618zM=")</f>
        <v>#VALUE!</v>
      </c>
      <c r="BA45" t="e">
        <f>AND('Planilla_General_29-11-2012_10_'!K666,"AAAAAG618zQ=")</f>
        <v>#VALUE!</v>
      </c>
      <c r="BB45" t="e">
        <f>AND('Planilla_General_29-11-2012_10_'!L666,"AAAAAG618zU=")</f>
        <v>#VALUE!</v>
      </c>
      <c r="BC45" t="e">
        <f>AND('Planilla_General_29-11-2012_10_'!M666,"AAAAAG618zY=")</f>
        <v>#VALUE!</v>
      </c>
      <c r="BD45" t="e">
        <f>AND('Planilla_General_29-11-2012_10_'!N666,"AAAAAG618zc=")</f>
        <v>#VALUE!</v>
      </c>
      <c r="BE45" t="e">
        <f>AND('Planilla_General_29-11-2012_10_'!O666,"AAAAAG618zg=")</f>
        <v>#VALUE!</v>
      </c>
      <c r="BF45" t="e">
        <f>AND('Planilla_General_29-11-2012_10_'!P666,"AAAAAG618zk=")</f>
        <v>#VALUE!</v>
      </c>
      <c r="BG45">
        <f>IF('Planilla_General_29-11-2012_10_'!667:667,"AAAAAG618zo=",0)</f>
        <v>0</v>
      </c>
      <c r="BH45" t="e">
        <f>AND('Planilla_General_29-11-2012_10_'!A667,"AAAAAG618zs=")</f>
        <v>#VALUE!</v>
      </c>
      <c r="BI45" t="e">
        <f>AND('Planilla_General_29-11-2012_10_'!B667,"AAAAAG618zw=")</f>
        <v>#VALUE!</v>
      </c>
      <c r="BJ45" t="e">
        <f>AND('Planilla_General_29-11-2012_10_'!C667,"AAAAAG618z0=")</f>
        <v>#VALUE!</v>
      </c>
      <c r="BK45" t="e">
        <f>AND('Planilla_General_29-11-2012_10_'!D667,"AAAAAG618z4=")</f>
        <v>#VALUE!</v>
      </c>
      <c r="BL45" t="e">
        <f>AND('Planilla_General_29-11-2012_10_'!E667,"AAAAAG618z8=")</f>
        <v>#VALUE!</v>
      </c>
      <c r="BM45" t="e">
        <f>AND('Planilla_General_29-11-2012_10_'!F667,"AAAAAG6180A=")</f>
        <v>#VALUE!</v>
      </c>
      <c r="BN45" t="e">
        <f>AND('Planilla_General_29-11-2012_10_'!G667,"AAAAAG6180E=")</f>
        <v>#VALUE!</v>
      </c>
      <c r="BO45" t="e">
        <f>AND('Planilla_General_29-11-2012_10_'!H667,"AAAAAG6180I=")</f>
        <v>#VALUE!</v>
      </c>
      <c r="BP45" t="e">
        <f>AND('Planilla_General_29-11-2012_10_'!I667,"AAAAAG6180M=")</f>
        <v>#VALUE!</v>
      </c>
      <c r="BQ45" t="e">
        <f>AND('Planilla_General_29-11-2012_10_'!J667,"AAAAAG6180Q=")</f>
        <v>#VALUE!</v>
      </c>
      <c r="BR45" t="e">
        <f>AND('Planilla_General_29-11-2012_10_'!K667,"AAAAAG6180U=")</f>
        <v>#VALUE!</v>
      </c>
      <c r="BS45" t="e">
        <f>AND('Planilla_General_29-11-2012_10_'!L667,"AAAAAG6180Y=")</f>
        <v>#VALUE!</v>
      </c>
      <c r="BT45" t="e">
        <f>AND('Planilla_General_29-11-2012_10_'!M667,"AAAAAG6180c=")</f>
        <v>#VALUE!</v>
      </c>
      <c r="BU45" t="e">
        <f>AND('Planilla_General_29-11-2012_10_'!N667,"AAAAAG6180g=")</f>
        <v>#VALUE!</v>
      </c>
      <c r="BV45" t="e">
        <f>AND('Planilla_General_29-11-2012_10_'!O667,"AAAAAG6180k=")</f>
        <v>#VALUE!</v>
      </c>
      <c r="BW45" t="e">
        <f>AND('Planilla_General_29-11-2012_10_'!P667,"AAAAAG6180o=")</f>
        <v>#VALUE!</v>
      </c>
      <c r="BX45">
        <f>IF('Planilla_General_29-11-2012_10_'!668:668,"AAAAAG6180s=",0)</f>
        <v>0</v>
      </c>
      <c r="BY45" t="e">
        <f>AND('Planilla_General_29-11-2012_10_'!A668,"AAAAAG6180w=")</f>
        <v>#VALUE!</v>
      </c>
      <c r="BZ45" t="e">
        <f>AND('Planilla_General_29-11-2012_10_'!B668,"AAAAAG61800=")</f>
        <v>#VALUE!</v>
      </c>
      <c r="CA45" t="e">
        <f>AND('Planilla_General_29-11-2012_10_'!C668,"AAAAAG61804=")</f>
        <v>#VALUE!</v>
      </c>
      <c r="CB45" t="e">
        <f>AND('Planilla_General_29-11-2012_10_'!D668,"AAAAAG61808=")</f>
        <v>#VALUE!</v>
      </c>
      <c r="CC45" t="e">
        <f>AND('Planilla_General_29-11-2012_10_'!E668,"AAAAAG6181A=")</f>
        <v>#VALUE!</v>
      </c>
      <c r="CD45" t="e">
        <f>AND('Planilla_General_29-11-2012_10_'!F668,"AAAAAG6181E=")</f>
        <v>#VALUE!</v>
      </c>
      <c r="CE45" t="e">
        <f>AND('Planilla_General_29-11-2012_10_'!G668,"AAAAAG6181I=")</f>
        <v>#VALUE!</v>
      </c>
      <c r="CF45" t="e">
        <f>AND('Planilla_General_29-11-2012_10_'!H668,"AAAAAG6181M=")</f>
        <v>#VALUE!</v>
      </c>
      <c r="CG45" t="e">
        <f>AND('Planilla_General_29-11-2012_10_'!I668,"AAAAAG6181Q=")</f>
        <v>#VALUE!</v>
      </c>
      <c r="CH45" t="e">
        <f>AND('Planilla_General_29-11-2012_10_'!J668,"AAAAAG6181U=")</f>
        <v>#VALUE!</v>
      </c>
      <c r="CI45" t="e">
        <f>AND('Planilla_General_29-11-2012_10_'!K668,"AAAAAG6181Y=")</f>
        <v>#VALUE!</v>
      </c>
      <c r="CJ45" t="e">
        <f>AND('Planilla_General_29-11-2012_10_'!L668,"AAAAAG6181c=")</f>
        <v>#VALUE!</v>
      </c>
      <c r="CK45" t="e">
        <f>AND('Planilla_General_29-11-2012_10_'!M668,"AAAAAG6181g=")</f>
        <v>#VALUE!</v>
      </c>
      <c r="CL45" t="e">
        <f>AND('Planilla_General_29-11-2012_10_'!N668,"AAAAAG6181k=")</f>
        <v>#VALUE!</v>
      </c>
      <c r="CM45" t="e">
        <f>AND('Planilla_General_29-11-2012_10_'!O668,"AAAAAG6181o=")</f>
        <v>#VALUE!</v>
      </c>
      <c r="CN45" t="e">
        <f>AND('Planilla_General_29-11-2012_10_'!P668,"AAAAAG6181s=")</f>
        <v>#VALUE!</v>
      </c>
      <c r="CO45">
        <f>IF('Planilla_General_29-11-2012_10_'!669:669,"AAAAAG6181w=",0)</f>
        <v>0</v>
      </c>
      <c r="CP45" t="e">
        <f>AND('Planilla_General_29-11-2012_10_'!A669,"AAAAAG61810=")</f>
        <v>#VALUE!</v>
      </c>
      <c r="CQ45" t="e">
        <f>AND('Planilla_General_29-11-2012_10_'!B669,"AAAAAG61814=")</f>
        <v>#VALUE!</v>
      </c>
      <c r="CR45" t="e">
        <f>AND('Planilla_General_29-11-2012_10_'!C669,"AAAAAG61818=")</f>
        <v>#VALUE!</v>
      </c>
      <c r="CS45" t="e">
        <f>AND('Planilla_General_29-11-2012_10_'!D669,"AAAAAG6182A=")</f>
        <v>#VALUE!</v>
      </c>
      <c r="CT45" t="e">
        <f>AND('Planilla_General_29-11-2012_10_'!E669,"AAAAAG6182E=")</f>
        <v>#VALUE!</v>
      </c>
      <c r="CU45" t="e">
        <f>AND('Planilla_General_29-11-2012_10_'!F669,"AAAAAG6182I=")</f>
        <v>#VALUE!</v>
      </c>
      <c r="CV45" t="e">
        <f>AND('Planilla_General_29-11-2012_10_'!G669,"AAAAAG6182M=")</f>
        <v>#VALUE!</v>
      </c>
      <c r="CW45" t="e">
        <f>AND('Planilla_General_29-11-2012_10_'!H669,"AAAAAG6182Q=")</f>
        <v>#VALUE!</v>
      </c>
      <c r="CX45" t="e">
        <f>AND('Planilla_General_29-11-2012_10_'!I669,"AAAAAG6182U=")</f>
        <v>#VALUE!</v>
      </c>
      <c r="CY45" t="e">
        <f>AND('Planilla_General_29-11-2012_10_'!J669,"AAAAAG6182Y=")</f>
        <v>#VALUE!</v>
      </c>
      <c r="CZ45" t="e">
        <f>AND('Planilla_General_29-11-2012_10_'!K669,"AAAAAG6182c=")</f>
        <v>#VALUE!</v>
      </c>
      <c r="DA45" t="e">
        <f>AND('Planilla_General_29-11-2012_10_'!L669,"AAAAAG6182g=")</f>
        <v>#VALUE!</v>
      </c>
      <c r="DB45" t="e">
        <f>AND('Planilla_General_29-11-2012_10_'!M669,"AAAAAG6182k=")</f>
        <v>#VALUE!</v>
      </c>
      <c r="DC45" t="e">
        <f>AND('Planilla_General_29-11-2012_10_'!N669,"AAAAAG6182o=")</f>
        <v>#VALUE!</v>
      </c>
      <c r="DD45" t="e">
        <f>AND('Planilla_General_29-11-2012_10_'!O669,"AAAAAG6182s=")</f>
        <v>#VALUE!</v>
      </c>
      <c r="DE45" t="e">
        <f>AND('Planilla_General_29-11-2012_10_'!P669,"AAAAAG6182w=")</f>
        <v>#VALUE!</v>
      </c>
      <c r="DF45">
        <f>IF('Planilla_General_29-11-2012_10_'!670:670,"AAAAAG61820=",0)</f>
        <v>0</v>
      </c>
      <c r="DG45" t="e">
        <f>AND('Planilla_General_29-11-2012_10_'!A670,"AAAAAG61824=")</f>
        <v>#VALUE!</v>
      </c>
      <c r="DH45" t="e">
        <f>AND('Planilla_General_29-11-2012_10_'!B670,"AAAAAG61828=")</f>
        <v>#VALUE!</v>
      </c>
      <c r="DI45" t="e">
        <f>AND('Planilla_General_29-11-2012_10_'!C670,"AAAAAG6183A=")</f>
        <v>#VALUE!</v>
      </c>
      <c r="DJ45" t="e">
        <f>AND('Planilla_General_29-11-2012_10_'!D670,"AAAAAG6183E=")</f>
        <v>#VALUE!</v>
      </c>
      <c r="DK45" t="e">
        <f>AND('Planilla_General_29-11-2012_10_'!E670,"AAAAAG6183I=")</f>
        <v>#VALUE!</v>
      </c>
      <c r="DL45" t="e">
        <f>AND('Planilla_General_29-11-2012_10_'!F670,"AAAAAG6183M=")</f>
        <v>#VALUE!</v>
      </c>
      <c r="DM45" t="e">
        <f>AND('Planilla_General_29-11-2012_10_'!G670,"AAAAAG6183Q=")</f>
        <v>#VALUE!</v>
      </c>
      <c r="DN45" t="e">
        <f>AND('Planilla_General_29-11-2012_10_'!H670,"AAAAAG6183U=")</f>
        <v>#VALUE!</v>
      </c>
      <c r="DO45" t="e">
        <f>AND('Planilla_General_29-11-2012_10_'!I670,"AAAAAG6183Y=")</f>
        <v>#VALUE!</v>
      </c>
      <c r="DP45" t="e">
        <f>AND('Planilla_General_29-11-2012_10_'!J670,"AAAAAG6183c=")</f>
        <v>#VALUE!</v>
      </c>
      <c r="DQ45" t="e">
        <f>AND('Planilla_General_29-11-2012_10_'!K670,"AAAAAG6183g=")</f>
        <v>#VALUE!</v>
      </c>
      <c r="DR45" t="e">
        <f>AND('Planilla_General_29-11-2012_10_'!L670,"AAAAAG6183k=")</f>
        <v>#VALUE!</v>
      </c>
      <c r="DS45" t="e">
        <f>AND('Planilla_General_29-11-2012_10_'!M670,"AAAAAG6183o=")</f>
        <v>#VALUE!</v>
      </c>
      <c r="DT45" t="e">
        <f>AND('Planilla_General_29-11-2012_10_'!N670,"AAAAAG6183s=")</f>
        <v>#VALUE!</v>
      </c>
      <c r="DU45" t="e">
        <f>AND('Planilla_General_29-11-2012_10_'!O670,"AAAAAG6183w=")</f>
        <v>#VALUE!</v>
      </c>
      <c r="DV45" t="e">
        <f>AND('Planilla_General_29-11-2012_10_'!P670,"AAAAAG61830=")</f>
        <v>#VALUE!</v>
      </c>
      <c r="DW45">
        <f>IF('Planilla_General_29-11-2012_10_'!671:671,"AAAAAG61834=",0)</f>
        <v>0</v>
      </c>
      <c r="DX45" t="e">
        <f>AND('Planilla_General_29-11-2012_10_'!A671,"AAAAAG61838=")</f>
        <v>#VALUE!</v>
      </c>
      <c r="DY45" t="e">
        <f>AND('Planilla_General_29-11-2012_10_'!B671,"AAAAAG6184A=")</f>
        <v>#VALUE!</v>
      </c>
      <c r="DZ45" t="e">
        <f>AND('Planilla_General_29-11-2012_10_'!C671,"AAAAAG6184E=")</f>
        <v>#VALUE!</v>
      </c>
      <c r="EA45" t="e">
        <f>AND('Planilla_General_29-11-2012_10_'!D671,"AAAAAG6184I=")</f>
        <v>#VALUE!</v>
      </c>
      <c r="EB45" t="e">
        <f>AND('Planilla_General_29-11-2012_10_'!E671,"AAAAAG6184M=")</f>
        <v>#VALUE!</v>
      </c>
      <c r="EC45" t="e">
        <f>AND('Planilla_General_29-11-2012_10_'!F671,"AAAAAG6184Q=")</f>
        <v>#VALUE!</v>
      </c>
      <c r="ED45" t="e">
        <f>AND('Planilla_General_29-11-2012_10_'!G671,"AAAAAG6184U=")</f>
        <v>#VALUE!</v>
      </c>
      <c r="EE45" t="e">
        <f>AND('Planilla_General_29-11-2012_10_'!H671,"AAAAAG6184Y=")</f>
        <v>#VALUE!</v>
      </c>
      <c r="EF45" t="e">
        <f>AND('Planilla_General_29-11-2012_10_'!I671,"AAAAAG6184c=")</f>
        <v>#VALUE!</v>
      </c>
      <c r="EG45" t="e">
        <f>AND('Planilla_General_29-11-2012_10_'!J671,"AAAAAG6184g=")</f>
        <v>#VALUE!</v>
      </c>
      <c r="EH45" t="e">
        <f>AND('Planilla_General_29-11-2012_10_'!K671,"AAAAAG6184k=")</f>
        <v>#VALUE!</v>
      </c>
      <c r="EI45" t="e">
        <f>AND('Planilla_General_29-11-2012_10_'!L671,"AAAAAG6184o=")</f>
        <v>#VALUE!</v>
      </c>
      <c r="EJ45" t="e">
        <f>AND('Planilla_General_29-11-2012_10_'!M671,"AAAAAG6184s=")</f>
        <v>#VALUE!</v>
      </c>
      <c r="EK45" t="e">
        <f>AND('Planilla_General_29-11-2012_10_'!N671,"AAAAAG6184w=")</f>
        <v>#VALUE!</v>
      </c>
      <c r="EL45" t="e">
        <f>AND('Planilla_General_29-11-2012_10_'!O671,"AAAAAG61840=")</f>
        <v>#VALUE!</v>
      </c>
      <c r="EM45" t="e">
        <f>AND('Planilla_General_29-11-2012_10_'!P671,"AAAAAG61844=")</f>
        <v>#VALUE!</v>
      </c>
      <c r="EN45">
        <f>IF('Planilla_General_29-11-2012_10_'!672:672,"AAAAAG61848=",0)</f>
        <v>0</v>
      </c>
      <c r="EO45" t="e">
        <f>AND('Planilla_General_29-11-2012_10_'!A672,"AAAAAG6185A=")</f>
        <v>#VALUE!</v>
      </c>
      <c r="EP45" t="e">
        <f>AND('Planilla_General_29-11-2012_10_'!B672,"AAAAAG6185E=")</f>
        <v>#VALUE!</v>
      </c>
      <c r="EQ45" t="e">
        <f>AND('Planilla_General_29-11-2012_10_'!C672,"AAAAAG6185I=")</f>
        <v>#VALUE!</v>
      </c>
      <c r="ER45" t="e">
        <f>AND('Planilla_General_29-11-2012_10_'!D672,"AAAAAG6185M=")</f>
        <v>#VALUE!</v>
      </c>
      <c r="ES45" t="e">
        <f>AND('Planilla_General_29-11-2012_10_'!E672,"AAAAAG6185Q=")</f>
        <v>#VALUE!</v>
      </c>
      <c r="ET45" t="e">
        <f>AND('Planilla_General_29-11-2012_10_'!F672,"AAAAAG6185U=")</f>
        <v>#VALUE!</v>
      </c>
      <c r="EU45" t="e">
        <f>AND('Planilla_General_29-11-2012_10_'!G672,"AAAAAG6185Y=")</f>
        <v>#VALUE!</v>
      </c>
      <c r="EV45" t="e">
        <f>AND('Planilla_General_29-11-2012_10_'!H672,"AAAAAG6185c=")</f>
        <v>#VALUE!</v>
      </c>
      <c r="EW45" t="e">
        <f>AND('Planilla_General_29-11-2012_10_'!I672,"AAAAAG6185g=")</f>
        <v>#VALUE!</v>
      </c>
      <c r="EX45" t="e">
        <f>AND('Planilla_General_29-11-2012_10_'!J672,"AAAAAG6185k=")</f>
        <v>#VALUE!</v>
      </c>
      <c r="EY45" t="e">
        <f>AND('Planilla_General_29-11-2012_10_'!K672,"AAAAAG6185o=")</f>
        <v>#VALUE!</v>
      </c>
      <c r="EZ45" t="e">
        <f>AND('Planilla_General_29-11-2012_10_'!L672,"AAAAAG6185s=")</f>
        <v>#VALUE!</v>
      </c>
      <c r="FA45" t="e">
        <f>AND('Planilla_General_29-11-2012_10_'!M672,"AAAAAG6185w=")</f>
        <v>#VALUE!</v>
      </c>
      <c r="FB45" t="e">
        <f>AND('Planilla_General_29-11-2012_10_'!N672,"AAAAAG61850=")</f>
        <v>#VALUE!</v>
      </c>
      <c r="FC45" t="e">
        <f>AND('Planilla_General_29-11-2012_10_'!O672,"AAAAAG61854=")</f>
        <v>#VALUE!</v>
      </c>
      <c r="FD45" t="e">
        <f>AND('Planilla_General_29-11-2012_10_'!P672,"AAAAAG61858=")</f>
        <v>#VALUE!</v>
      </c>
      <c r="FE45">
        <f>IF('Planilla_General_29-11-2012_10_'!673:673,"AAAAAG6186A=",0)</f>
        <v>0</v>
      </c>
      <c r="FF45" t="e">
        <f>AND('Planilla_General_29-11-2012_10_'!A673,"AAAAAG6186E=")</f>
        <v>#VALUE!</v>
      </c>
      <c r="FG45" t="e">
        <f>AND('Planilla_General_29-11-2012_10_'!B673,"AAAAAG6186I=")</f>
        <v>#VALUE!</v>
      </c>
      <c r="FH45" t="e">
        <f>AND('Planilla_General_29-11-2012_10_'!C673,"AAAAAG6186M=")</f>
        <v>#VALUE!</v>
      </c>
      <c r="FI45" t="e">
        <f>AND('Planilla_General_29-11-2012_10_'!D673,"AAAAAG6186Q=")</f>
        <v>#VALUE!</v>
      </c>
      <c r="FJ45" t="e">
        <f>AND('Planilla_General_29-11-2012_10_'!E673,"AAAAAG6186U=")</f>
        <v>#VALUE!</v>
      </c>
      <c r="FK45" t="e">
        <f>AND('Planilla_General_29-11-2012_10_'!F673,"AAAAAG6186Y=")</f>
        <v>#VALUE!</v>
      </c>
      <c r="FL45" t="e">
        <f>AND('Planilla_General_29-11-2012_10_'!G673,"AAAAAG6186c=")</f>
        <v>#VALUE!</v>
      </c>
      <c r="FM45" t="e">
        <f>AND('Planilla_General_29-11-2012_10_'!H673,"AAAAAG6186g=")</f>
        <v>#VALUE!</v>
      </c>
      <c r="FN45" t="e">
        <f>AND('Planilla_General_29-11-2012_10_'!I673,"AAAAAG6186k=")</f>
        <v>#VALUE!</v>
      </c>
      <c r="FO45" t="e">
        <f>AND('Planilla_General_29-11-2012_10_'!J673,"AAAAAG6186o=")</f>
        <v>#VALUE!</v>
      </c>
      <c r="FP45" t="e">
        <f>AND('Planilla_General_29-11-2012_10_'!K673,"AAAAAG6186s=")</f>
        <v>#VALUE!</v>
      </c>
      <c r="FQ45" t="e">
        <f>AND('Planilla_General_29-11-2012_10_'!L673,"AAAAAG6186w=")</f>
        <v>#VALUE!</v>
      </c>
      <c r="FR45" t="e">
        <f>AND('Planilla_General_29-11-2012_10_'!M673,"AAAAAG61860=")</f>
        <v>#VALUE!</v>
      </c>
      <c r="FS45" t="e">
        <f>AND('Planilla_General_29-11-2012_10_'!N673,"AAAAAG61864=")</f>
        <v>#VALUE!</v>
      </c>
      <c r="FT45" t="e">
        <f>AND('Planilla_General_29-11-2012_10_'!O673,"AAAAAG61868=")</f>
        <v>#VALUE!</v>
      </c>
      <c r="FU45" t="e">
        <f>AND('Planilla_General_29-11-2012_10_'!P673,"AAAAAG6187A=")</f>
        <v>#VALUE!</v>
      </c>
      <c r="FV45">
        <f>IF('Planilla_General_29-11-2012_10_'!674:674,"AAAAAG6187E=",0)</f>
        <v>0</v>
      </c>
      <c r="FW45" t="e">
        <f>AND('Planilla_General_29-11-2012_10_'!A674,"AAAAAG6187I=")</f>
        <v>#VALUE!</v>
      </c>
      <c r="FX45" t="e">
        <f>AND('Planilla_General_29-11-2012_10_'!B674,"AAAAAG6187M=")</f>
        <v>#VALUE!</v>
      </c>
      <c r="FY45" t="e">
        <f>AND('Planilla_General_29-11-2012_10_'!C674,"AAAAAG6187Q=")</f>
        <v>#VALUE!</v>
      </c>
      <c r="FZ45" t="e">
        <f>AND('Planilla_General_29-11-2012_10_'!D674,"AAAAAG6187U=")</f>
        <v>#VALUE!</v>
      </c>
      <c r="GA45" t="e">
        <f>AND('Planilla_General_29-11-2012_10_'!E674,"AAAAAG6187Y=")</f>
        <v>#VALUE!</v>
      </c>
      <c r="GB45" t="e">
        <f>AND('Planilla_General_29-11-2012_10_'!F674,"AAAAAG6187c=")</f>
        <v>#VALUE!</v>
      </c>
      <c r="GC45" t="e">
        <f>AND('Planilla_General_29-11-2012_10_'!G674,"AAAAAG6187g=")</f>
        <v>#VALUE!</v>
      </c>
      <c r="GD45" t="e">
        <f>AND('Planilla_General_29-11-2012_10_'!H674,"AAAAAG6187k=")</f>
        <v>#VALUE!</v>
      </c>
      <c r="GE45" t="e">
        <f>AND('Planilla_General_29-11-2012_10_'!I674,"AAAAAG6187o=")</f>
        <v>#VALUE!</v>
      </c>
      <c r="GF45" t="e">
        <f>AND('Planilla_General_29-11-2012_10_'!J674,"AAAAAG6187s=")</f>
        <v>#VALUE!</v>
      </c>
      <c r="GG45" t="e">
        <f>AND('Planilla_General_29-11-2012_10_'!K674,"AAAAAG6187w=")</f>
        <v>#VALUE!</v>
      </c>
      <c r="GH45" t="e">
        <f>AND('Planilla_General_29-11-2012_10_'!L674,"AAAAAG61870=")</f>
        <v>#VALUE!</v>
      </c>
      <c r="GI45" t="e">
        <f>AND('Planilla_General_29-11-2012_10_'!M674,"AAAAAG61874=")</f>
        <v>#VALUE!</v>
      </c>
      <c r="GJ45" t="e">
        <f>AND('Planilla_General_29-11-2012_10_'!N674,"AAAAAG61878=")</f>
        <v>#VALUE!</v>
      </c>
      <c r="GK45" t="e">
        <f>AND('Planilla_General_29-11-2012_10_'!O674,"AAAAAG6188A=")</f>
        <v>#VALUE!</v>
      </c>
      <c r="GL45" t="e">
        <f>AND('Planilla_General_29-11-2012_10_'!P674,"AAAAAG6188E=")</f>
        <v>#VALUE!</v>
      </c>
      <c r="GM45">
        <f>IF('Planilla_General_29-11-2012_10_'!675:675,"AAAAAG6188I=",0)</f>
        <v>0</v>
      </c>
      <c r="GN45" t="e">
        <f>AND('Planilla_General_29-11-2012_10_'!A675,"AAAAAG6188M=")</f>
        <v>#VALUE!</v>
      </c>
      <c r="GO45" t="e">
        <f>AND('Planilla_General_29-11-2012_10_'!B675,"AAAAAG6188Q=")</f>
        <v>#VALUE!</v>
      </c>
      <c r="GP45" t="e">
        <f>AND('Planilla_General_29-11-2012_10_'!C675,"AAAAAG6188U=")</f>
        <v>#VALUE!</v>
      </c>
      <c r="GQ45" t="e">
        <f>AND('Planilla_General_29-11-2012_10_'!D675,"AAAAAG6188Y=")</f>
        <v>#VALUE!</v>
      </c>
      <c r="GR45" t="e">
        <f>AND('Planilla_General_29-11-2012_10_'!E675,"AAAAAG6188c=")</f>
        <v>#VALUE!</v>
      </c>
      <c r="GS45" t="e">
        <f>AND('Planilla_General_29-11-2012_10_'!F675,"AAAAAG6188g=")</f>
        <v>#VALUE!</v>
      </c>
      <c r="GT45" t="e">
        <f>AND('Planilla_General_29-11-2012_10_'!G675,"AAAAAG6188k=")</f>
        <v>#VALUE!</v>
      </c>
      <c r="GU45" t="e">
        <f>AND('Planilla_General_29-11-2012_10_'!H675,"AAAAAG6188o=")</f>
        <v>#VALUE!</v>
      </c>
      <c r="GV45" t="e">
        <f>AND('Planilla_General_29-11-2012_10_'!I675,"AAAAAG6188s=")</f>
        <v>#VALUE!</v>
      </c>
      <c r="GW45" t="e">
        <f>AND('Planilla_General_29-11-2012_10_'!J675,"AAAAAG6188w=")</f>
        <v>#VALUE!</v>
      </c>
      <c r="GX45" t="e">
        <f>AND('Planilla_General_29-11-2012_10_'!K675,"AAAAAG61880=")</f>
        <v>#VALUE!</v>
      </c>
      <c r="GY45" t="e">
        <f>AND('Planilla_General_29-11-2012_10_'!L675,"AAAAAG61884=")</f>
        <v>#VALUE!</v>
      </c>
      <c r="GZ45" t="e">
        <f>AND('Planilla_General_29-11-2012_10_'!M675,"AAAAAG61888=")</f>
        <v>#VALUE!</v>
      </c>
      <c r="HA45" t="e">
        <f>AND('Planilla_General_29-11-2012_10_'!N675,"AAAAAG6189A=")</f>
        <v>#VALUE!</v>
      </c>
      <c r="HB45" t="e">
        <f>AND('Planilla_General_29-11-2012_10_'!O675,"AAAAAG6189E=")</f>
        <v>#VALUE!</v>
      </c>
      <c r="HC45" t="e">
        <f>AND('Planilla_General_29-11-2012_10_'!P675,"AAAAAG6189I=")</f>
        <v>#VALUE!</v>
      </c>
      <c r="HD45">
        <f>IF('Planilla_General_29-11-2012_10_'!676:676,"AAAAAG6189M=",0)</f>
        <v>0</v>
      </c>
      <c r="HE45" t="e">
        <f>AND('Planilla_General_29-11-2012_10_'!A676,"AAAAAG6189Q=")</f>
        <v>#VALUE!</v>
      </c>
      <c r="HF45" t="e">
        <f>AND('Planilla_General_29-11-2012_10_'!B676,"AAAAAG6189U=")</f>
        <v>#VALUE!</v>
      </c>
      <c r="HG45" t="e">
        <f>AND('Planilla_General_29-11-2012_10_'!C676,"AAAAAG6189Y=")</f>
        <v>#VALUE!</v>
      </c>
      <c r="HH45" t="e">
        <f>AND('Planilla_General_29-11-2012_10_'!D676,"AAAAAG6189c=")</f>
        <v>#VALUE!</v>
      </c>
      <c r="HI45" t="e">
        <f>AND('Planilla_General_29-11-2012_10_'!E676,"AAAAAG6189g=")</f>
        <v>#VALUE!</v>
      </c>
      <c r="HJ45" t="e">
        <f>AND('Planilla_General_29-11-2012_10_'!F676,"AAAAAG6189k=")</f>
        <v>#VALUE!</v>
      </c>
      <c r="HK45" t="e">
        <f>AND('Planilla_General_29-11-2012_10_'!G676,"AAAAAG6189o=")</f>
        <v>#VALUE!</v>
      </c>
      <c r="HL45" t="e">
        <f>AND('Planilla_General_29-11-2012_10_'!H676,"AAAAAG6189s=")</f>
        <v>#VALUE!</v>
      </c>
      <c r="HM45" t="e">
        <f>AND('Planilla_General_29-11-2012_10_'!I676,"AAAAAG6189w=")</f>
        <v>#VALUE!</v>
      </c>
      <c r="HN45" t="e">
        <f>AND('Planilla_General_29-11-2012_10_'!J676,"AAAAAG61890=")</f>
        <v>#VALUE!</v>
      </c>
      <c r="HO45" t="e">
        <f>AND('Planilla_General_29-11-2012_10_'!K676,"AAAAAG61894=")</f>
        <v>#VALUE!</v>
      </c>
      <c r="HP45" t="e">
        <f>AND('Planilla_General_29-11-2012_10_'!L676,"AAAAAG61898=")</f>
        <v>#VALUE!</v>
      </c>
      <c r="HQ45" t="e">
        <f>AND('Planilla_General_29-11-2012_10_'!M676,"AAAAAG618+A=")</f>
        <v>#VALUE!</v>
      </c>
      <c r="HR45" t="e">
        <f>AND('Planilla_General_29-11-2012_10_'!N676,"AAAAAG618+E=")</f>
        <v>#VALUE!</v>
      </c>
      <c r="HS45" t="e">
        <f>AND('Planilla_General_29-11-2012_10_'!O676,"AAAAAG618+I=")</f>
        <v>#VALUE!</v>
      </c>
      <c r="HT45" t="e">
        <f>AND('Planilla_General_29-11-2012_10_'!P676,"AAAAAG618+M=")</f>
        <v>#VALUE!</v>
      </c>
      <c r="HU45">
        <f>IF('Planilla_General_29-11-2012_10_'!677:677,"AAAAAG618+Q=",0)</f>
        <v>0</v>
      </c>
      <c r="HV45" t="e">
        <f>AND('Planilla_General_29-11-2012_10_'!A677,"AAAAAG618+U=")</f>
        <v>#VALUE!</v>
      </c>
      <c r="HW45" t="e">
        <f>AND('Planilla_General_29-11-2012_10_'!B677,"AAAAAG618+Y=")</f>
        <v>#VALUE!</v>
      </c>
      <c r="HX45" t="e">
        <f>AND('Planilla_General_29-11-2012_10_'!C677,"AAAAAG618+c=")</f>
        <v>#VALUE!</v>
      </c>
      <c r="HY45" t="e">
        <f>AND('Planilla_General_29-11-2012_10_'!D677,"AAAAAG618+g=")</f>
        <v>#VALUE!</v>
      </c>
      <c r="HZ45" t="e">
        <f>AND('Planilla_General_29-11-2012_10_'!E677,"AAAAAG618+k=")</f>
        <v>#VALUE!</v>
      </c>
      <c r="IA45" t="e">
        <f>AND('Planilla_General_29-11-2012_10_'!F677,"AAAAAG618+o=")</f>
        <v>#VALUE!</v>
      </c>
      <c r="IB45" t="e">
        <f>AND('Planilla_General_29-11-2012_10_'!G677,"AAAAAG618+s=")</f>
        <v>#VALUE!</v>
      </c>
      <c r="IC45" t="e">
        <f>AND('Planilla_General_29-11-2012_10_'!H677,"AAAAAG618+w=")</f>
        <v>#VALUE!</v>
      </c>
      <c r="ID45" t="e">
        <f>AND('Planilla_General_29-11-2012_10_'!I677,"AAAAAG618+0=")</f>
        <v>#VALUE!</v>
      </c>
      <c r="IE45" t="e">
        <f>AND('Planilla_General_29-11-2012_10_'!J677,"AAAAAG618+4=")</f>
        <v>#VALUE!</v>
      </c>
      <c r="IF45" t="e">
        <f>AND('Planilla_General_29-11-2012_10_'!K677,"AAAAAG618+8=")</f>
        <v>#VALUE!</v>
      </c>
      <c r="IG45" t="e">
        <f>AND('Planilla_General_29-11-2012_10_'!L677,"AAAAAG618/A=")</f>
        <v>#VALUE!</v>
      </c>
      <c r="IH45" t="e">
        <f>AND('Planilla_General_29-11-2012_10_'!M677,"AAAAAG618/E=")</f>
        <v>#VALUE!</v>
      </c>
      <c r="II45" t="e">
        <f>AND('Planilla_General_29-11-2012_10_'!N677,"AAAAAG618/I=")</f>
        <v>#VALUE!</v>
      </c>
      <c r="IJ45" t="e">
        <f>AND('Planilla_General_29-11-2012_10_'!O677,"AAAAAG618/M=")</f>
        <v>#VALUE!</v>
      </c>
      <c r="IK45" t="e">
        <f>AND('Planilla_General_29-11-2012_10_'!P677,"AAAAAG618/Q=")</f>
        <v>#VALUE!</v>
      </c>
      <c r="IL45">
        <f>IF('Planilla_General_29-11-2012_10_'!678:678,"AAAAAG618/U=",0)</f>
        <v>0</v>
      </c>
      <c r="IM45" t="e">
        <f>AND('Planilla_General_29-11-2012_10_'!A678,"AAAAAG618/Y=")</f>
        <v>#VALUE!</v>
      </c>
      <c r="IN45" t="e">
        <f>AND('Planilla_General_29-11-2012_10_'!B678,"AAAAAG618/c=")</f>
        <v>#VALUE!</v>
      </c>
      <c r="IO45" t="e">
        <f>AND('Planilla_General_29-11-2012_10_'!C678,"AAAAAG618/g=")</f>
        <v>#VALUE!</v>
      </c>
      <c r="IP45" t="e">
        <f>AND('Planilla_General_29-11-2012_10_'!D678,"AAAAAG618/k=")</f>
        <v>#VALUE!</v>
      </c>
      <c r="IQ45" t="e">
        <f>AND('Planilla_General_29-11-2012_10_'!E678,"AAAAAG618/o=")</f>
        <v>#VALUE!</v>
      </c>
      <c r="IR45" t="e">
        <f>AND('Planilla_General_29-11-2012_10_'!F678,"AAAAAG618/s=")</f>
        <v>#VALUE!</v>
      </c>
      <c r="IS45" t="e">
        <f>AND('Planilla_General_29-11-2012_10_'!G678,"AAAAAG618/w=")</f>
        <v>#VALUE!</v>
      </c>
      <c r="IT45" t="e">
        <f>AND('Planilla_General_29-11-2012_10_'!H678,"AAAAAG618/0=")</f>
        <v>#VALUE!</v>
      </c>
      <c r="IU45" t="e">
        <f>AND('Planilla_General_29-11-2012_10_'!I678,"AAAAAG618/4=")</f>
        <v>#VALUE!</v>
      </c>
      <c r="IV45" t="e">
        <f>AND('Planilla_General_29-11-2012_10_'!J678,"AAAAAG618/8=")</f>
        <v>#VALUE!</v>
      </c>
    </row>
    <row r="46" spans="1:256" x14ac:dyDescent="0.25">
      <c r="A46" t="e">
        <f>AND('Planilla_General_29-11-2012_10_'!K678,"AAAAAHZZdwA=")</f>
        <v>#VALUE!</v>
      </c>
      <c r="B46" t="e">
        <f>AND('Planilla_General_29-11-2012_10_'!L678,"AAAAAHZZdwE=")</f>
        <v>#VALUE!</v>
      </c>
      <c r="C46" t="e">
        <f>AND('Planilla_General_29-11-2012_10_'!M678,"AAAAAHZZdwI=")</f>
        <v>#VALUE!</v>
      </c>
      <c r="D46" t="e">
        <f>AND('Planilla_General_29-11-2012_10_'!N678,"AAAAAHZZdwM=")</f>
        <v>#VALUE!</v>
      </c>
      <c r="E46" t="e">
        <f>AND('Planilla_General_29-11-2012_10_'!O678,"AAAAAHZZdwQ=")</f>
        <v>#VALUE!</v>
      </c>
      <c r="F46" t="e">
        <f>AND('Planilla_General_29-11-2012_10_'!P678,"AAAAAHZZdwU=")</f>
        <v>#VALUE!</v>
      </c>
      <c r="G46" t="e">
        <f>IF('Planilla_General_29-11-2012_10_'!679:679,"AAAAAHZZdwY=",0)</f>
        <v>#VALUE!</v>
      </c>
      <c r="H46" t="e">
        <f>AND('Planilla_General_29-11-2012_10_'!A679,"AAAAAHZZdwc=")</f>
        <v>#VALUE!</v>
      </c>
      <c r="I46" t="e">
        <f>AND('Planilla_General_29-11-2012_10_'!B679,"AAAAAHZZdwg=")</f>
        <v>#VALUE!</v>
      </c>
      <c r="J46" t="e">
        <f>AND('Planilla_General_29-11-2012_10_'!C679,"AAAAAHZZdwk=")</f>
        <v>#VALUE!</v>
      </c>
      <c r="K46" t="e">
        <f>AND('Planilla_General_29-11-2012_10_'!D679,"AAAAAHZZdwo=")</f>
        <v>#VALUE!</v>
      </c>
      <c r="L46" t="e">
        <f>AND('Planilla_General_29-11-2012_10_'!E679,"AAAAAHZZdws=")</f>
        <v>#VALUE!</v>
      </c>
      <c r="M46" t="e">
        <f>AND('Planilla_General_29-11-2012_10_'!F679,"AAAAAHZZdww=")</f>
        <v>#VALUE!</v>
      </c>
      <c r="N46" t="e">
        <f>AND('Planilla_General_29-11-2012_10_'!G679,"AAAAAHZZdw0=")</f>
        <v>#VALUE!</v>
      </c>
      <c r="O46" t="e">
        <f>AND('Planilla_General_29-11-2012_10_'!H679,"AAAAAHZZdw4=")</f>
        <v>#VALUE!</v>
      </c>
      <c r="P46" t="e">
        <f>AND('Planilla_General_29-11-2012_10_'!I679,"AAAAAHZZdw8=")</f>
        <v>#VALUE!</v>
      </c>
      <c r="Q46" t="e">
        <f>AND('Planilla_General_29-11-2012_10_'!J679,"AAAAAHZZdxA=")</f>
        <v>#VALUE!</v>
      </c>
      <c r="R46" t="e">
        <f>AND('Planilla_General_29-11-2012_10_'!K679,"AAAAAHZZdxE=")</f>
        <v>#VALUE!</v>
      </c>
      <c r="S46" t="e">
        <f>AND('Planilla_General_29-11-2012_10_'!L679,"AAAAAHZZdxI=")</f>
        <v>#VALUE!</v>
      </c>
      <c r="T46" t="e">
        <f>AND('Planilla_General_29-11-2012_10_'!M679,"AAAAAHZZdxM=")</f>
        <v>#VALUE!</v>
      </c>
      <c r="U46" t="e">
        <f>AND('Planilla_General_29-11-2012_10_'!N679,"AAAAAHZZdxQ=")</f>
        <v>#VALUE!</v>
      </c>
      <c r="V46" t="e">
        <f>AND('Planilla_General_29-11-2012_10_'!O679,"AAAAAHZZdxU=")</f>
        <v>#VALUE!</v>
      </c>
      <c r="W46" t="e">
        <f>AND('Planilla_General_29-11-2012_10_'!P679,"AAAAAHZZdxY=")</f>
        <v>#VALUE!</v>
      </c>
      <c r="X46">
        <f>IF('Planilla_General_29-11-2012_10_'!680:680,"AAAAAHZZdxc=",0)</f>
        <v>0</v>
      </c>
      <c r="Y46" t="e">
        <f>AND('Planilla_General_29-11-2012_10_'!A680,"AAAAAHZZdxg=")</f>
        <v>#VALUE!</v>
      </c>
      <c r="Z46" t="e">
        <f>AND('Planilla_General_29-11-2012_10_'!B680,"AAAAAHZZdxk=")</f>
        <v>#VALUE!</v>
      </c>
      <c r="AA46" t="e">
        <f>AND('Planilla_General_29-11-2012_10_'!C680,"AAAAAHZZdxo=")</f>
        <v>#VALUE!</v>
      </c>
      <c r="AB46" t="e">
        <f>AND('Planilla_General_29-11-2012_10_'!D680,"AAAAAHZZdxs=")</f>
        <v>#VALUE!</v>
      </c>
      <c r="AC46" t="e">
        <f>AND('Planilla_General_29-11-2012_10_'!E680,"AAAAAHZZdxw=")</f>
        <v>#VALUE!</v>
      </c>
      <c r="AD46" t="e">
        <f>AND('Planilla_General_29-11-2012_10_'!F680,"AAAAAHZZdx0=")</f>
        <v>#VALUE!</v>
      </c>
      <c r="AE46" t="e">
        <f>AND('Planilla_General_29-11-2012_10_'!G680,"AAAAAHZZdx4=")</f>
        <v>#VALUE!</v>
      </c>
      <c r="AF46" t="e">
        <f>AND('Planilla_General_29-11-2012_10_'!H680,"AAAAAHZZdx8=")</f>
        <v>#VALUE!</v>
      </c>
      <c r="AG46" t="e">
        <f>AND('Planilla_General_29-11-2012_10_'!I680,"AAAAAHZZdyA=")</f>
        <v>#VALUE!</v>
      </c>
      <c r="AH46" t="e">
        <f>AND('Planilla_General_29-11-2012_10_'!J680,"AAAAAHZZdyE=")</f>
        <v>#VALUE!</v>
      </c>
      <c r="AI46" t="e">
        <f>AND('Planilla_General_29-11-2012_10_'!K680,"AAAAAHZZdyI=")</f>
        <v>#VALUE!</v>
      </c>
      <c r="AJ46" t="e">
        <f>AND('Planilla_General_29-11-2012_10_'!L680,"AAAAAHZZdyM=")</f>
        <v>#VALUE!</v>
      </c>
      <c r="AK46" t="e">
        <f>AND('Planilla_General_29-11-2012_10_'!M680,"AAAAAHZZdyQ=")</f>
        <v>#VALUE!</v>
      </c>
      <c r="AL46" t="e">
        <f>AND('Planilla_General_29-11-2012_10_'!N680,"AAAAAHZZdyU=")</f>
        <v>#VALUE!</v>
      </c>
      <c r="AM46" t="e">
        <f>AND('Planilla_General_29-11-2012_10_'!O680,"AAAAAHZZdyY=")</f>
        <v>#VALUE!</v>
      </c>
      <c r="AN46" t="e">
        <f>AND('Planilla_General_29-11-2012_10_'!P680,"AAAAAHZZdyc=")</f>
        <v>#VALUE!</v>
      </c>
      <c r="AO46">
        <f>IF('Planilla_General_29-11-2012_10_'!681:681,"AAAAAHZZdyg=",0)</f>
        <v>0</v>
      </c>
      <c r="AP46" t="e">
        <f>AND('Planilla_General_29-11-2012_10_'!A681,"AAAAAHZZdyk=")</f>
        <v>#VALUE!</v>
      </c>
      <c r="AQ46" t="e">
        <f>AND('Planilla_General_29-11-2012_10_'!B681,"AAAAAHZZdyo=")</f>
        <v>#VALUE!</v>
      </c>
      <c r="AR46" t="e">
        <f>AND('Planilla_General_29-11-2012_10_'!C681,"AAAAAHZZdys=")</f>
        <v>#VALUE!</v>
      </c>
      <c r="AS46" t="e">
        <f>AND('Planilla_General_29-11-2012_10_'!D681,"AAAAAHZZdyw=")</f>
        <v>#VALUE!</v>
      </c>
      <c r="AT46" t="e">
        <f>AND('Planilla_General_29-11-2012_10_'!E681,"AAAAAHZZdy0=")</f>
        <v>#VALUE!</v>
      </c>
      <c r="AU46" t="e">
        <f>AND('Planilla_General_29-11-2012_10_'!F681,"AAAAAHZZdy4=")</f>
        <v>#VALUE!</v>
      </c>
      <c r="AV46" t="e">
        <f>AND('Planilla_General_29-11-2012_10_'!G681,"AAAAAHZZdy8=")</f>
        <v>#VALUE!</v>
      </c>
      <c r="AW46" t="e">
        <f>AND('Planilla_General_29-11-2012_10_'!H681,"AAAAAHZZdzA=")</f>
        <v>#VALUE!</v>
      </c>
      <c r="AX46" t="e">
        <f>AND('Planilla_General_29-11-2012_10_'!I681,"AAAAAHZZdzE=")</f>
        <v>#VALUE!</v>
      </c>
      <c r="AY46" t="e">
        <f>AND('Planilla_General_29-11-2012_10_'!J681,"AAAAAHZZdzI=")</f>
        <v>#VALUE!</v>
      </c>
      <c r="AZ46" t="e">
        <f>AND('Planilla_General_29-11-2012_10_'!K681,"AAAAAHZZdzM=")</f>
        <v>#VALUE!</v>
      </c>
      <c r="BA46" t="e">
        <f>AND('Planilla_General_29-11-2012_10_'!L681,"AAAAAHZZdzQ=")</f>
        <v>#VALUE!</v>
      </c>
      <c r="BB46" t="e">
        <f>AND('Planilla_General_29-11-2012_10_'!M681,"AAAAAHZZdzU=")</f>
        <v>#VALUE!</v>
      </c>
      <c r="BC46" t="e">
        <f>AND('Planilla_General_29-11-2012_10_'!N681,"AAAAAHZZdzY=")</f>
        <v>#VALUE!</v>
      </c>
      <c r="BD46" t="e">
        <f>AND('Planilla_General_29-11-2012_10_'!O681,"AAAAAHZZdzc=")</f>
        <v>#VALUE!</v>
      </c>
      <c r="BE46" t="e">
        <f>AND('Planilla_General_29-11-2012_10_'!P681,"AAAAAHZZdzg=")</f>
        <v>#VALUE!</v>
      </c>
      <c r="BF46">
        <f>IF('Planilla_General_29-11-2012_10_'!682:682,"AAAAAHZZdzk=",0)</f>
        <v>0</v>
      </c>
      <c r="BG46" t="e">
        <f>AND('Planilla_General_29-11-2012_10_'!A682,"AAAAAHZZdzo=")</f>
        <v>#VALUE!</v>
      </c>
      <c r="BH46" t="e">
        <f>AND('Planilla_General_29-11-2012_10_'!B682,"AAAAAHZZdzs=")</f>
        <v>#VALUE!</v>
      </c>
      <c r="BI46" t="e">
        <f>AND('Planilla_General_29-11-2012_10_'!C682,"AAAAAHZZdzw=")</f>
        <v>#VALUE!</v>
      </c>
      <c r="BJ46" t="e">
        <f>AND('Planilla_General_29-11-2012_10_'!D682,"AAAAAHZZdz0=")</f>
        <v>#VALUE!</v>
      </c>
      <c r="BK46" t="e">
        <f>AND('Planilla_General_29-11-2012_10_'!E682,"AAAAAHZZdz4=")</f>
        <v>#VALUE!</v>
      </c>
      <c r="BL46" t="e">
        <f>AND('Planilla_General_29-11-2012_10_'!F682,"AAAAAHZZdz8=")</f>
        <v>#VALUE!</v>
      </c>
      <c r="BM46" t="e">
        <f>AND('Planilla_General_29-11-2012_10_'!G682,"AAAAAHZZd0A=")</f>
        <v>#VALUE!</v>
      </c>
      <c r="BN46" t="e">
        <f>AND('Planilla_General_29-11-2012_10_'!H682,"AAAAAHZZd0E=")</f>
        <v>#VALUE!</v>
      </c>
      <c r="BO46" t="e">
        <f>AND('Planilla_General_29-11-2012_10_'!I682,"AAAAAHZZd0I=")</f>
        <v>#VALUE!</v>
      </c>
      <c r="BP46" t="e">
        <f>AND('Planilla_General_29-11-2012_10_'!J682,"AAAAAHZZd0M=")</f>
        <v>#VALUE!</v>
      </c>
      <c r="BQ46" t="e">
        <f>AND('Planilla_General_29-11-2012_10_'!K682,"AAAAAHZZd0Q=")</f>
        <v>#VALUE!</v>
      </c>
      <c r="BR46" t="e">
        <f>AND('Planilla_General_29-11-2012_10_'!L682,"AAAAAHZZd0U=")</f>
        <v>#VALUE!</v>
      </c>
      <c r="BS46" t="e">
        <f>AND('Planilla_General_29-11-2012_10_'!M682,"AAAAAHZZd0Y=")</f>
        <v>#VALUE!</v>
      </c>
      <c r="BT46" t="e">
        <f>AND('Planilla_General_29-11-2012_10_'!N682,"AAAAAHZZd0c=")</f>
        <v>#VALUE!</v>
      </c>
      <c r="BU46" t="e">
        <f>AND('Planilla_General_29-11-2012_10_'!O682,"AAAAAHZZd0g=")</f>
        <v>#VALUE!</v>
      </c>
      <c r="BV46" t="e">
        <f>AND('Planilla_General_29-11-2012_10_'!P682,"AAAAAHZZd0k=")</f>
        <v>#VALUE!</v>
      </c>
      <c r="BW46">
        <f>IF('Planilla_General_29-11-2012_10_'!683:683,"AAAAAHZZd0o=",0)</f>
        <v>0</v>
      </c>
      <c r="BX46" t="e">
        <f>AND('Planilla_General_29-11-2012_10_'!A683,"AAAAAHZZd0s=")</f>
        <v>#VALUE!</v>
      </c>
      <c r="BY46" t="e">
        <f>AND('Planilla_General_29-11-2012_10_'!B683,"AAAAAHZZd0w=")</f>
        <v>#VALUE!</v>
      </c>
      <c r="BZ46" t="e">
        <f>AND('Planilla_General_29-11-2012_10_'!C683,"AAAAAHZZd00=")</f>
        <v>#VALUE!</v>
      </c>
      <c r="CA46" t="e">
        <f>AND('Planilla_General_29-11-2012_10_'!D683,"AAAAAHZZd04=")</f>
        <v>#VALUE!</v>
      </c>
      <c r="CB46" t="e">
        <f>AND('Planilla_General_29-11-2012_10_'!E683,"AAAAAHZZd08=")</f>
        <v>#VALUE!</v>
      </c>
      <c r="CC46" t="e">
        <f>AND('Planilla_General_29-11-2012_10_'!F683,"AAAAAHZZd1A=")</f>
        <v>#VALUE!</v>
      </c>
      <c r="CD46" t="e">
        <f>AND('Planilla_General_29-11-2012_10_'!G683,"AAAAAHZZd1E=")</f>
        <v>#VALUE!</v>
      </c>
      <c r="CE46" t="e">
        <f>AND('Planilla_General_29-11-2012_10_'!H683,"AAAAAHZZd1I=")</f>
        <v>#VALUE!</v>
      </c>
      <c r="CF46" t="e">
        <f>AND('Planilla_General_29-11-2012_10_'!I683,"AAAAAHZZd1M=")</f>
        <v>#VALUE!</v>
      </c>
      <c r="CG46" t="e">
        <f>AND('Planilla_General_29-11-2012_10_'!J683,"AAAAAHZZd1Q=")</f>
        <v>#VALUE!</v>
      </c>
      <c r="CH46" t="e">
        <f>AND('Planilla_General_29-11-2012_10_'!K683,"AAAAAHZZd1U=")</f>
        <v>#VALUE!</v>
      </c>
      <c r="CI46" t="e">
        <f>AND('Planilla_General_29-11-2012_10_'!L683,"AAAAAHZZd1Y=")</f>
        <v>#VALUE!</v>
      </c>
      <c r="CJ46" t="e">
        <f>AND('Planilla_General_29-11-2012_10_'!M683,"AAAAAHZZd1c=")</f>
        <v>#VALUE!</v>
      </c>
      <c r="CK46" t="e">
        <f>AND('Planilla_General_29-11-2012_10_'!N683,"AAAAAHZZd1g=")</f>
        <v>#VALUE!</v>
      </c>
      <c r="CL46" t="e">
        <f>AND('Planilla_General_29-11-2012_10_'!O683,"AAAAAHZZd1k=")</f>
        <v>#VALUE!</v>
      </c>
      <c r="CM46" t="e">
        <f>AND('Planilla_General_29-11-2012_10_'!P683,"AAAAAHZZd1o=")</f>
        <v>#VALUE!</v>
      </c>
      <c r="CN46">
        <f>IF('Planilla_General_29-11-2012_10_'!684:684,"AAAAAHZZd1s=",0)</f>
        <v>0</v>
      </c>
      <c r="CO46" t="e">
        <f>AND('Planilla_General_29-11-2012_10_'!A684,"AAAAAHZZd1w=")</f>
        <v>#VALUE!</v>
      </c>
      <c r="CP46" t="e">
        <f>AND('Planilla_General_29-11-2012_10_'!B684,"AAAAAHZZd10=")</f>
        <v>#VALUE!</v>
      </c>
      <c r="CQ46" t="e">
        <f>AND('Planilla_General_29-11-2012_10_'!C684,"AAAAAHZZd14=")</f>
        <v>#VALUE!</v>
      </c>
      <c r="CR46" t="e">
        <f>AND('Planilla_General_29-11-2012_10_'!D684,"AAAAAHZZd18=")</f>
        <v>#VALUE!</v>
      </c>
      <c r="CS46" t="e">
        <f>AND('Planilla_General_29-11-2012_10_'!E684,"AAAAAHZZd2A=")</f>
        <v>#VALUE!</v>
      </c>
      <c r="CT46" t="e">
        <f>AND('Planilla_General_29-11-2012_10_'!F684,"AAAAAHZZd2E=")</f>
        <v>#VALUE!</v>
      </c>
      <c r="CU46" t="e">
        <f>AND('Planilla_General_29-11-2012_10_'!G684,"AAAAAHZZd2I=")</f>
        <v>#VALUE!</v>
      </c>
      <c r="CV46" t="e">
        <f>AND('Planilla_General_29-11-2012_10_'!H684,"AAAAAHZZd2M=")</f>
        <v>#VALUE!</v>
      </c>
      <c r="CW46" t="e">
        <f>AND('Planilla_General_29-11-2012_10_'!I684,"AAAAAHZZd2Q=")</f>
        <v>#VALUE!</v>
      </c>
      <c r="CX46" t="e">
        <f>AND('Planilla_General_29-11-2012_10_'!J684,"AAAAAHZZd2U=")</f>
        <v>#VALUE!</v>
      </c>
      <c r="CY46" t="e">
        <f>AND('Planilla_General_29-11-2012_10_'!K684,"AAAAAHZZd2Y=")</f>
        <v>#VALUE!</v>
      </c>
      <c r="CZ46" t="e">
        <f>AND('Planilla_General_29-11-2012_10_'!L684,"AAAAAHZZd2c=")</f>
        <v>#VALUE!</v>
      </c>
      <c r="DA46" t="e">
        <f>AND('Planilla_General_29-11-2012_10_'!M684,"AAAAAHZZd2g=")</f>
        <v>#VALUE!</v>
      </c>
      <c r="DB46" t="e">
        <f>AND('Planilla_General_29-11-2012_10_'!N684,"AAAAAHZZd2k=")</f>
        <v>#VALUE!</v>
      </c>
      <c r="DC46" t="e">
        <f>AND('Planilla_General_29-11-2012_10_'!O684,"AAAAAHZZd2o=")</f>
        <v>#VALUE!</v>
      </c>
      <c r="DD46" t="e">
        <f>AND('Planilla_General_29-11-2012_10_'!P684,"AAAAAHZZd2s=")</f>
        <v>#VALUE!</v>
      </c>
      <c r="DE46">
        <f>IF('Planilla_General_29-11-2012_10_'!685:685,"AAAAAHZZd2w=",0)</f>
        <v>0</v>
      </c>
      <c r="DF46" t="e">
        <f>AND('Planilla_General_29-11-2012_10_'!A685,"AAAAAHZZd20=")</f>
        <v>#VALUE!</v>
      </c>
      <c r="DG46" t="e">
        <f>AND('Planilla_General_29-11-2012_10_'!B685,"AAAAAHZZd24=")</f>
        <v>#VALUE!</v>
      </c>
      <c r="DH46" t="e">
        <f>AND('Planilla_General_29-11-2012_10_'!C685,"AAAAAHZZd28=")</f>
        <v>#VALUE!</v>
      </c>
      <c r="DI46" t="e">
        <f>AND('Planilla_General_29-11-2012_10_'!D685,"AAAAAHZZd3A=")</f>
        <v>#VALUE!</v>
      </c>
      <c r="DJ46" t="e">
        <f>AND('Planilla_General_29-11-2012_10_'!E685,"AAAAAHZZd3E=")</f>
        <v>#VALUE!</v>
      </c>
      <c r="DK46" t="e">
        <f>AND('Planilla_General_29-11-2012_10_'!F685,"AAAAAHZZd3I=")</f>
        <v>#VALUE!</v>
      </c>
      <c r="DL46" t="e">
        <f>AND('Planilla_General_29-11-2012_10_'!G685,"AAAAAHZZd3M=")</f>
        <v>#VALUE!</v>
      </c>
      <c r="DM46" t="e">
        <f>AND('Planilla_General_29-11-2012_10_'!H685,"AAAAAHZZd3Q=")</f>
        <v>#VALUE!</v>
      </c>
      <c r="DN46" t="e">
        <f>AND('Planilla_General_29-11-2012_10_'!I685,"AAAAAHZZd3U=")</f>
        <v>#VALUE!</v>
      </c>
      <c r="DO46" t="e">
        <f>AND('Planilla_General_29-11-2012_10_'!J685,"AAAAAHZZd3Y=")</f>
        <v>#VALUE!</v>
      </c>
      <c r="DP46" t="e">
        <f>AND('Planilla_General_29-11-2012_10_'!K685,"AAAAAHZZd3c=")</f>
        <v>#VALUE!</v>
      </c>
      <c r="DQ46" t="e">
        <f>AND('Planilla_General_29-11-2012_10_'!L685,"AAAAAHZZd3g=")</f>
        <v>#VALUE!</v>
      </c>
      <c r="DR46" t="e">
        <f>AND('Planilla_General_29-11-2012_10_'!M685,"AAAAAHZZd3k=")</f>
        <v>#VALUE!</v>
      </c>
      <c r="DS46" t="e">
        <f>AND('Planilla_General_29-11-2012_10_'!N685,"AAAAAHZZd3o=")</f>
        <v>#VALUE!</v>
      </c>
      <c r="DT46" t="e">
        <f>AND('Planilla_General_29-11-2012_10_'!O685,"AAAAAHZZd3s=")</f>
        <v>#VALUE!</v>
      </c>
      <c r="DU46" t="e">
        <f>AND('Planilla_General_29-11-2012_10_'!P685,"AAAAAHZZd3w=")</f>
        <v>#VALUE!</v>
      </c>
      <c r="DV46">
        <f>IF('Planilla_General_29-11-2012_10_'!686:686,"AAAAAHZZd30=",0)</f>
        <v>0</v>
      </c>
      <c r="DW46" t="e">
        <f>AND('Planilla_General_29-11-2012_10_'!A686,"AAAAAHZZd34=")</f>
        <v>#VALUE!</v>
      </c>
      <c r="DX46" t="e">
        <f>AND('Planilla_General_29-11-2012_10_'!B686,"AAAAAHZZd38=")</f>
        <v>#VALUE!</v>
      </c>
      <c r="DY46" t="e">
        <f>AND('Planilla_General_29-11-2012_10_'!C686,"AAAAAHZZd4A=")</f>
        <v>#VALUE!</v>
      </c>
      <c r="DZ46" t="e">
        <f>AND('Planilla_General_29-11-2012_10_'!D686,"AAAAAHZZd4E=")</f>
        <v>#VALUE!</v>
      </c>
      <c r="EA46" t="e">
        <f>AND('Planilla_General_29-11-2012_10_'!E686,"AAAAAHZZd4I=")</f>
        <v>#VALUE!</v>
      </c>
      <c r="EB46" t="e">
        <f>AND('Planilla_General_29-11-2012_10_'!F686,"AAAAAHZZd4M=")</f>
        <v>#VALUE!</v>
      </c>
      <c r="EC46" t="e">
        <f>AND('Planilla_General_29-11-2012_10_'!G686,"AAAAAHZZd4Q=")</f>
        <v>#VALUE!</v>
      </c>
      <c r="ED46" t="e">
        <f>AND('Planilla_General_29-11-2012_10_'!H686,"AAAAAHZZd4U=")</f>
        <v>#VALUE!</v>
      </c>
      <c r="EE46" t="e">
        <f>AND('Planilla_General_29-11-2012_10_'!I686,"AAAAAHZZd4Y=")</f>
        <v>#VALUE!</v>
      </c>
      <c r="EF46" t="e">
        <f>AND('Planilla_General_29-11-2012_10_'!J686,"AAAAAHZZd4c=")</f>
        <v>#VALUE!</v>
      </c>
      <c r="EG46" t="e">
        <f>AND('Planilla_General_29-11-2012_10_'!K686,"AAAAAHZZd4g=")</f>
        <v>#VALUE!</v>
      </c>
      <c r="EH46" t="e">
        <f>AND('Planilla_General_29-11-2012_10_'!L686,"AAAAAHZZd4k=")</f>
        <v>#VALUE!</v>
      </c>
      <c r="EI46" t="e">
        <f>AND('Planilla_General_29-11-2012_10_'!M686,"AAAAAHZZd4o=")</f>
        <v>#VALUE!</v>
      </c>
      <c r="EJ46" t="e">
        <f>AND('Planilla_General_29-11-2012_10_'!N686,"AAAAAHZZd4s=")</f>
        <v>#VALUE!</v>
      </c>
      <c r="EK46" t="e">
        <f>AND('Planilla_General_29-11-2012_10_'!O686,"AAAAAHZZd4w=")</f>
        <v>#VALUE!</v>
      </c>
      <c r="EL46" t="e">
        <f>AND('Planilla_General_29-11-2012_10_'!P686,"AAAAAHZZd40=")</f>
        <v>#VALUE!</v>
      </c>
      <c r="EM46">
        <f>IF('Planilla_General_29-11-2012_10_'!687:687,"AAAAAHZZd44=",0)</f>
        <v>0</v>
      </c>
      <c r="EN46" t="e">
        <f>AND('Planilla_General_29-11-2012_10_'!A687,"AAAAAHZZd48=")</f>
        <v>#VALUE!</v>
      </c>
      <c r="EO46" t="e">
        <f>AND('Planilla_General_29-11-2012_10_'!B687,"AAAAAHZZd5A=")</f>
        <v>#VALUE!</v>
      </c>
      <c r="EP46" t="e">
        <f>AND('Planilla_General_29-11-2012_10_'!C687,"AAAAAHZZd5E=")</f>
        <v>#VALUE!</v>
      </c>
      <c r="EQ46" t="e">
        <f>AND('Planilla_General_29-11-2012_10_'!D687,"AAAAAHZZd5I=")</f>
        <v>#VALUE!</v>
      </c>
      <c r="ER46" t="e">
        <f>AND('Planilla_General_29-11-2012_10_'!E687,"AAAAAHZZd5M=")</f>
        <v>#VALUE!</v>
      </c>
      <c r="ES46" t="e">
        <f>AND('Planilla_General_29-11-2012_10_'!F687,"AAAAAHZZd5Q=")</f>
        <v>#VALUE!</v>
      </c>
      <c r="ET46" t="e">
        <f>AND('Planilla_General_29-11-2012_10_'!G687,"AAAAAHZZd5U=")</f>
        <v>#VALUE!</v>
      </c>
      <c r="EU46" t="e">
        <f>AND('Planilla_General_29-11-2012_10_'!H687,"AAAAAHZZd5Y=")</f>
        <v>#VALUE!</v>
      </c>
      <c r="EV46" t="e">
        <f>AND('Planilla_General_29-11-2012_10_'!I687,"AAAAAHZZd5c=")</f>
        <v>#VALUE!</v>
      </c>
      <c r="EW46" t="e">
        <f>AND('Planilla_General_29-11-2012_10_'!J687,"AAAAAHZZd5g=")</f>
        <v>#VALUE!</v>
      </c>
      <c r="EX46" t="e">
        <f>AND('Planilla_General_29-11-2012_10_'!K687,"AAAAAHZZd5k=")</f>
        <v>#VALUE!</v>
      </c>
      <c r="EY46" t="e">
        <f>AND('Planilla_General_29-11-2012_10_'!L687,"AAAAAHZZd5o=")</f>
        <v>#VALUE!</v>
      </c>
      <c r="EZ46" t="e">
        <f>AND('Planilla_General_29-11-2012_10_'!M687,"AAAAAHZZd5s=")</f>
        <v>#VALUE!</v>
      </c>
      <c r="FA46" t="e">
        <f>AND('Planilla_General_29-11-2012_10_'!N687,"AAAAAHZZd5w=")</f>
        <v>#VALUE!</v>
      </c>
      <c r="FB46" t="e">
        <f>AND('Planilla_General_29-11-2012_10_'!O687,"AAAAAHZZd50=")</f>
        <v>#VALUE!</v>
      </c>
      <c r="FC46" t="e">
        <f>AND('Planilla_General_29-11-2012_10_'!P687,"AAAAAHZZd54=")</f>
        <v>#VALUE!</v>
      </c>
      <c r="FD46">
        <f>IF('Planilla_General_29-11-2012_10_'!688:688,"AAAAAHZZd58=",0)</f>
        <v>0</v>
      </c>
      <c r="FE46" t="e">
        <f>AND('Planilla_General_29-11-2012_10_'!A688,"AAAAAHZZd6A=")</f>
        <v>#VALUE!</v>
      </c>
      <c r="FF46" t="e">
        <f>AND('Planilla_General_29-11-2012_10_'!B688,"AAAAAHZZd6E=")</f>
        <v>#VALUE!</v>
      </c>
      <c r="FG46" t="e">
        <f>AND('Planilla_General_29-11-2012_10_'!C688,"AAAAAHZZd6I=")</f>
        <v>#VALUE!</v>
      </c>
      <c r="FH46" t="e">
        <f>AND('Planilla_General_29-11-2012_10_'!D688,"AAAAAHZZd6M=")</f>
        <v>#VALUE!</v>
      </c>
      <c r="FI46" t="e">
        <f>AND('Planilla_General_29-11-2012_10_'!E688,"AAAAAHZZd6Q=")</f>
        <v>#VALUE!</v>
      </c>
      <c r="FJ46" t="e">
        <f>AND('Planilla_General_29-11-2012_10_'!F688,"AAAAAHZZd6U=")</f>
        <v>#VALUE!</v>
      </c>
      <c r="FK46" t="e">
        <f>AND('Planilla_General_29-11-2012_10_'!G688,"AAAAAHZZd6Y=")</f>
        <v>#VALUE!</v>
      </c>
      <c r="FL46" t="e">
        <f>AND('Planilla_General_29-11-2012_10_'!H688,"AAAAAHZZd6c=")</f>
        <v>#VALUE!</v>
      </c>
      <c r="FM46" t="e">
        <f>AND('Planilla_General_29-11-2012_10_'!I688,"AAAAAHZZd6g=")</f>
        <v>#VALUE!</v>
      </c>
      <c r="FN46" t="e">
        <f>AND('Planilla_General_29-11-2012_10_'!J688,"AAAAAHZZd6k=")</f>
        <v>#VALUE!</v>
      </c>
      <c r="FO46" t="e">
        <f>AND('Planilla_General_29-11-2012_10_'!K688,"AAAAAHZZd6o=")</f>
        <v>#VALUE!</v>
      </c>
      <c r="FP46" t="e">
        <f>AND('Planilla_General_29-11-2012_10_'!L688,"AAAAAHZZd6s=")</f>
        <v>#VALUE!</v>
      </c>
      <c r="FQ46" t="e">
        <f>AND('Planilla_General_29-11-2012_10_'!M688,"AAAAAHZZd6w=")</f>
        <v>#VALUE!</v>
      </c>
      <c r="FR46" t="e">
        <f>AND('Planilla_General_29-11-2012_10_'!N688,"AAAAAHZZd60=")</f>
        <v>#VALUE!</v>
      </c>
      <c r="FS46" t="e">
        <f>AND('Planilla_General_29-11-2012_10_'!O688,"AAAAAHZZd64=")</f>
        <v>#VALUE!</v>
      </c>
      <c r="FT46" t="e">
        <f>AND('Planilla_General_29-11-2012_10_'!P688,"AAAAAHZZd68=")</f>
        <v>#VALUE!</v>
      </c>
      <c r="FU46">
        <f>IF('Planilla_General_29-11-2012_10_'!689:689,"AAAAAHZZd7A=",0)</f>
        <v>0</v>
      </c>
      <c r="FV46" t="e">
        <f>AND('Planilla_General_29-11-2012_10_'!A689,"AAAAAHZZd7E=")</f>
        <v>#VALUE!</v>
      </c>
      <c r="FW46" t="e">
        <f>AND('Planilla_General_29-11-2012_10_'!B689,"AAAAAHZZd7I=")</f>
        <v>#VALUE!</v>
      </c>
      <c r="FX46" t="e">
        <f>AND('Planilla_General_29-11-2012_10_'!C689,"AAAAAHZZd7M=")</f>
        <v>#VALUE!</v>
      </c>
      <c r="FY46" t="e">
        <f>AND('Planilla_General_29-11-2012_10_'!D689,"AAAAAHZZd7Q=")</f>
        <v>#VALUE!</v>
      </c>
      <c r="FZ46" t="e">
        <f>AND('Planilla_General_29-11-2012_10_'!E689,"AAAAAHZZd7U=")</f>
        <v>#VALUE!</v>
      </c>
      <c r="GA46" t="e">
        <f>AND('Planilla_General_29-11-2012_10_'!F689,"AAAAAHZZd7Y=")</f>
        <v>#VALUE!</v>
      </c>
      <c r="GB46" t="e">
        <f>AND('Planilla_General_29-11-2012_10_'!G689,"AAAAAHZZd7c=")</f>
        <v>#VALUE!</v>
      </c>
      <c r="GC46" t="e">
        <f>AND('Planilla_General_29-11-2012_10_'!H689,"AAAAAHZZd7g=")</f>
        <v>#VALUE!</v>
      </c>
      <c r="GD46" t="e">
        <f>AND('Planilla_General_29-11-2012_10_'!I689,"AAAAAHZZd7k=")</f>
        <v>#VALUE!</v>
      </c>
      <c r="GE46" t="e">
        <f>AND('Planilla_General_29-11-2012_10_'!J689,"AAAAAHZZd7o=")</f>
        <v>#VALUE!</v>
      </c>
      <c r="GF46" t="e">
        <f>AND('Planilla_General_29-11-2012_10_'!K689,"AAAAAHZZd7s=")</f>
        <v>#VALUE!</v>
      </c>
      <c r="GG46" t="e">
        <f>AND('Planilla_General_29-11-2012_10_'!L689,"AAAAAHZZd7w=")</f>
        <v>#VALUE!</v>
      </c>
      <c r="GH46" t="e">
        <f>AND('Planilla_General_29-11-2012_10_'!M689,"AAAAAHZZd70=")</f>
        <v>#VALUE!</v>
      </c>
      <c r="GI46" t="e">
        <f>AND('Planilla_General_29-11-2012_10_'!N689,"AAAAAHZZd74=")</f>
        <v>#VALUE!</v>
      </c>
      <c r="GJ46" t="e">
        <f>AND('Planilla_General_29-11-2012_10_'!O689,"AAAAAHZZd78=")</f>
        <v>#VALUE!</v>
      </c>
      <c r="GK46" t="e">
        <f>AND('Planilla_General_29-11-2012_10_'!P689,"AAAAAHZZd8A=")</f>
        <v>#VALUE!</v>
      </c>
      <c r="GL46">
        <f>IF('Planilla_General_29-11-2012_10_'!690:690,"AAAAAHZZd8E=",0)</f>
        <v>0</v>
      </c>
      <c r="GM46" t="e">
        <f>AND('Planilla_General_29-11-2012_10_'!A690,"AAAAAHZZd8I=")</f>
        <v>#VALUE!</v>
      </c>
      <c r="GN46" t="e">
        <f>AND('Planilla_General_29-11-2012_10_'!B690,"AAAAAHZZd8M=")</f>
        <v>#VALUE!</v>
      </c>
      <c r="GO46" t="e">
        <f>AND('Planilla_General_29-11-2012_10_'!C690,"AAAAAHZZd8Q=")</f>
        <v>#VALUE!</v>
      </c>
      <c r="GP46" t="e">
        <f>AND('Planilla_General_29-11-2012_10_'!D690,"AAAAAHZZd8U=")</f>
        <v>#VALUE!</v>
      </c>
      <c r="GQ46" t="e">
        <f>AND('Planilla_General_29-11-2012_10_'!E690,"AAAAAHZZd8Y=")</f>
        <v>#VALUE!</v>
      </c>
      <c r="GR46" t="e">
        <f>AND('Planilla_General_29-11-2012_10_'!F690,"AAAAAHZZd8c=")</f>
        <v>#VALUE!</v>
      </c>
      <c r="GS46" t="e">
        <f>AND('Planilla_General_29-11-2012_10_'!G690,"AAAAAHZZd8g=")</f>
        <v>#VALUE!</v>
      </c>
      <c r="GT46" t="e">
        <f>AND('Planilla_General_29-11-2012_10_'!H690,"AAAAAHZZd8k=")</f>
        <v>#VALUE!</v>
      </c>
      <c r="GU46" t="e">
        <f>AND('Planilla_General_29-11-2012_10_'!I690,"AAAAAHZZd8o=")</f>
        <v>#VALUE!</v>
      </c>
      <c r="GV46" t="e">
        <f>AND('Planilla_General_29-11-2012_10_'!J690,"AAAAAHZZd8s=")</f>
        <v>#VALUE!</v>
      </c>
      <c r="GW46" t="e">
        <f>AND('Planilla_General_29-11-2012_10_'!K690,"AAAAAHZZd8w=")</f>
        <v>#VALUE!</v>
      </c>
      <c r="GX46" t="e">
        <f>AND('Planilla_General_29-11-2012_10_'!L690,"AAAAAHZZd80=")</f>
        <v>#VALUE!</v>
      </c>
      <c r="GY46" t="e">
        <f>AND('Planilla_General_29-11-2012_10_'!M690,"AAAAAHZZd84=")</f>
        <v>#VALUE!</v>
      </c>
      <c r="GZ46" t="e">
        <f>AND('Planilla_General_29-11-2012_10_'!N690,"AAAAAHZZd88=")</f>
        <v>#VALUE!</v>
      </c>
      <c r="HA46" t="e">
        <f>AND('Planilla_General_29-11-2012_10_'!O690,"AAAAAHZZd9A=")</f>
        <v>#VALUE!</v>
      </c>
      <c r="HB46" t="e">
        <f>AND('Planilla_General_29-11-2012_10_'!P690,"AAAAAHZZd9E=")</f>
        <v>#VALUE!</v>
      </c>
      <c r="HC46">
        <f>IF('Planilla_General_29-11-2012_10_'!691:691,"AAAAAHZZd9I=",0)</f>
        <v>0</v>
      </c>
      <c r="HD46" t="e">
        <f>AND('Planilla_General_29-11-2012_10_'!A691,"AAAAAHZZd9M=")</f>
        <v>#VALUE!</v>
      </c>
      <c r="HE46" t="e">
        <f>AND('Planilla_General_29-11-2012_10_'!B691,"AAAAAHZZd9Q=")</f>
        <v>#VALUE!</v>
      </c>
      <c r="HF46" t="e">
        <f>AND('Planilla_General_29-11-2012_10_'!C691,"AAAAAHZZd9U=")</f>
        <v>#VALUE!</v>
      </c>
      <c r="HG46" t="e">
        <f>AND('Planilla_General_29-11-2012_10_'!D691,"AAAAAHZZd9Y=")</f>
        <v>#VALUE!</v>
      </c>
      <c r="HH46" t="e">
        <f>AND('Planilla_General_29-11-2012_10_'!E691,"AAAAAHZZd9c=")</f>
        <v>#VALUE!</v>
      </c>
      <c r="HI46" t="e">
        <f>AND('Planilla_General_29-11-2012_10_'!F691,"AAAAAHZZd9g=")</f>
        <v>#VALUE!</v>
      </c>
      <c r="HJ46" t="e">
        <f>AND('Planilla_General_29-11-2012_10_'!G691,"AAAAAHZZd9k=")</f>
        <v>#VALUE!</v>
      </c>
      <c r="HK46" t="e">
        <f>AND('Planilla_General_29-11-2012_10_'!H691,"AAAAAHZZd9o=")</f>
        <v>#VALUE!</v>
      </c>
      <c r="HL46" t="e">
        <f>AND('Planilla_General_29-11-2012_10_'!I691,"AAAAAHZZd9s=")</f>
        <v>#VALUE!</v>
      </c>
      <c r="HM46" t="e">
        <f>AND('Planilla_General_29-11-2012_10_'!J691,"AAAAAHZZd9w=")</f>
        <v>#VALUE!</v>
      </c>
      <c r="HN46" t="e">
        <f>AND('Planilla_General_29-11-2012_10_'!K691,"AAAAAHZZd90=")</f>
        <v>#VALUE!</v>
      </c>
      <c r="HO46" t="e">
        <f>AND('Planilla_General_29-11-2012_10_'!L691,"AAAAAHZZd94=")</f>
        <v>#VALUE!</v>
      </c>
      <c r="HP46" t="e">
        <f>AND('Planilla_General_29-11-2012_10_'!M691,"AAAAAHZZd98=")</f>
        <v>#VALUE!</v>
      </c>
      <c r="HQ46" t="e">
        <f>AND('Planilla_General_29-11-2012_10_'!N691,"AAAAAHZZd+A=")</f>
        <v>#VALUE!</v>
      </c>
      <c r="HR46" t="e">
        <f>AND('Planilla_General_29-11-2012_10_'!O691,"AAAAAHZZd+E=")</f>
        <v>#VALUE!</v>
      </c>
      <c r="HS46" t="e">
        <f>AND('Planilla_General_29-11-2012_10_'!P691,"AAAAAHZZd+I=")</f>
        <v>#VALUE!</v>
      </c>
      <c r="HT46">
        <f>IF('Planilla_General_29-11-2012_10_'!692:692,"AAAAAHZZd+M=",0)</f>
        <v>0</v>
      </c>
      <c r="HU46" t="e">
        <f>AND('Planilla_General_29-11-2012_10_'!A692,"AAAAAHZZd+Q=")</f>
        <v>#VALUE!</v>
      </c>
      <c r="HV46" t="e">
        <f>AND('Planilla_General_29-11-2012_10_'!B692,"AAAAAHZZd+U=")</f>
        <v>#VALUE!</v>
      </c>
      <c r="HW46" t="e">
        <f>AND('Planilla_General_29-11-2012_10_'!C692,"AAAAAHZZd+Y=")</f>
        <v>#VALUE!</v>
      </c>
      <c r="HX46" t="e">
        <f>AND('Planilla_General_29-11-2012_10_'!D692,"AAAAAHZZd+c=")</f>
        <v>#VALUE!</v>
      </c>
      <c r="HY46" t="e">
        <f>AND('Planilla_General_29-11-2012_10_'!E692,"AAAAAHZZd+g=")</f>
        <v>#VALUE!</v>
      </c>
      <c r="HZ46" t="e">
        <f>AND('Planilla_General_29-11-2012_10_'!F692,"AAAAAHZZd+k=")</f>
        <v>#VALUE!</v>
      </c>
      <c r="IA46" t="e">
        <f>AND('Planilla_General_29-11-2012_10_'!G692,"AAAAAHZZd+o=")</f>
        <v>#VALUE!</v>
      </c>
      <c r="IB46" t="e">
        <f>AND('Planilla_General_29-11-2012_10_'!H692,"AAAAAHZZd+s=")</f>
        <v>#VALUE!</v>
      </c>
      <c r="IC46" t="e">
        <f>AND('Planilla_General_29-11-2012_10_'!I692,"AAAAAHZZd+w=")</f>
        <v>#VALUE!</v>
      </c>
      <c r="ID46" t="e">
        <f>AND('Planilla_General_29-11-2012_10_'!J692,"AAAAAHZZd+0=")</f>
        <v>#VALUE!</v>
      </c>
      <c r="IE46" t="e">
        <f>AND('Planilla_General_29-11-2012_10_'!K692,"AAAAAHZZd+4=")</f>
        <v>#VALUE!</v>
      </c>
      <c r="IF46" t="e">
        <f>AND('Planilla_General_29-11-2012_10_'!L692,"AAAAAHZZd+8=")</f>
        <v>#VALUE!</v>
      </c>
      <c r="IG46" t="e">
        <f>AND('Planilla_General_29-11-2012_10_'!M692,"AAAAAHZZd/A=")</f>
        <v>#VALUE!</v>
      </c>
      <c r="IH46" t="e">
        <f>AND('Planilla_General_29-11-2012_10_'!N692,"AAAAAHZZd/E=")</f>
        <v>#VALUE!</v>
      </c>
      <c r="II46" t="e">
        <f>AND('Planilla_General_29-11-2012_10_'!O692,"AAAAAHZZd/I=")</f>
        <v>#VALUE!</v>
      </c>
      <c r="IJ46" t="e">
        <f>AND('Planilla_General_29-11-2012_10_'!P692,"AAAAAHZZd/M=")</f>
        <v>#VALUE!</v>
      </c>
      <c r="IK46">
        <f>IF('Planilla_General_29-11-2012_10_'!693:693,"AAAAAHZZd/Q=",0)</f>
        <v>0</v>
      </c>
      <c r="IL46" t="e">
        <f>AND('Planilla_General_29-11-2012_10_'!A693,"AAAAAHZZd/U=")</f>
        <v>#VALUE!</v>
      </c>
      <c r="IM46" t="e">
        <f>AND('Planilla_General_29-11-2012_10_'!B693,"AAAAAHZZd/Y=")</f>
        <v>#VALUE!</v>
      </c>
      <c r="IN46" t="e">
        <f>AND('Planilla_General_29-11-2012_10_'!C693,"AAAAAHZZd/c=")</f>
        <v>#VALUE!</v>
      </c>
      <c r="IO46" t="e">
        <f>AND('Planilla_General_29-11-2012_10_'!D693,"AAAAAHZZd/g=")</f>
        <v>#VALUE!</v>
      </c>
      <c r="IP46" t="e">
        <f>AND('Planilla_General_29-11-2012_10_'!E693,"AAAAAHZZd/k=")</f>
        <v>#VALUE!</v>
      </c>
      <c r="IQ46" t="e">
        <f>AND('Planilla_General_29-11-2012_10_'!F693,"AAAAAHZZd/o=")</f>
        <v>#VALUE!</v>
      </c>
      <c r="IR46" t="e">
        <f>AND('Planilla_General_29-11-2012_10_'!G693,"AAAAAHZZd/s=")</f>
        <v>#VALUE!</v>
      </c>
      <c r="IS46" t="e">
        <f>AND('Planilla_General_29-11-2012_10_'!H693,"AAAAAHZZd/w=")</f>
        <v>#VALUE!</v>
      </c>
      <c r="IT46" t="e">
        <f>AND('Planilla_General_29-11-2012_10_'!I693,"AAAAAHZZd/0=")</f>
        <v>#VALUE!</v>
      </c>
      <c r="IU46" t="e">
        <f>AND('Planilla_General_29-11-2012_10_'!J693,"AAAAAHZZd/4=")</f>
        <v>#VALUE!</v>
      </c>
      <c r="IV46" t="e">
        <f>AND('Planilla_General_29-11-2012_10_'!K693,"AAAAAHZZd/8=")</f>
        <v>#VALUE!</v>
      </c>
    </row>
    <row r="47" spans="1:256" x14ac:dyDescent="0.25">
      <c r="A47" t="e">
        <f>AND('Planilla_General_29-11-2012_10_'!L693,"AAAAAD9f5wA=")</f>
        <v>#VALUE!</v>
      </c>
      <c r="B47" t="e">
        <f>AND('Planilla_General_29-11-2012_10_'!M693,"AAAAAD9f5wE=")</f>
        <v>#VALUE!</v>
      </c>
      <c r="C47" t="e">
        <f>AND('Planilla_General_29-11-2012_10_'!N693,"AAAAAD9f5wI=")</f>
        <v>#VALUE!</v>
      </c>
      <c r="D47" t="e">
        <f>AND('Planilla_General_29-11-2012_10_'!O693,"AAAAAD9f5wM=")</f>
        <v>#VALUE!</v>
      </c>
      <c r="E47" t="e">
        <f>AND('Planilla_General_29-11-2012_10_'!P693,"AAAAAD9f5wQ=")</f>
        <v>#VALUE!</v>
      </c>
      <c r="F47" t="e">
        <f>IF('Planilla_General_29-11-2012_10_'!694:694,"AAAAAD9f5wU=",0)</f>
        <v>#VALUE!</v>
      </c>
      <c r="G47" t="e">
        <f>AND('Planilla_General_29-11-2012_10_'!A694,"AAAAAD9f5wY=")</f>
        <v>#VALUE!</v>
      </c>
      <c r="H47" t="e">
        <f>AND('Planilla_General_29-11-2012_10_'!B694,"AAAAAD9f5wc=")</f>
        <v>#VALUE!</v>
      </c>
      <c r="I47" t="e">
        <f>AND('Planilla_General_29-11-2012_10_'!C694,"AAAAAD9f5wg=")</f>
        <v>#VALUE!</v>
      </c>
      <c r="J47" t="e">
        <f>AND('Planilla_General_29-11-2012_10_'!D694,"AAAAAD9f5wk=")</f>
        <v>#VALUE!</v>
      </c>
      <c r="K47" t="e">
        <f>AND('Planilla_General_29-11-2012_10_'!E694,"AAAAAD9f5wo=")</f>
        <v>#VALUE!</v>
      </c>
      <c r="L47" t="e">
        <f>AND('Planilla_General_29-11-2012_10_'!F694,"AAAAAD9f5ws=")</f>
        <v>#VALUE!</v>
      </c>
      <c r="M47" t="e">
        <f>AND('Planilla_General_29-11-2012_10_'!G694,"AAAAAD9f5ww=")</f>
        <v>#VALUE!</v>
      </c>
      <c r="N47" t="e">
        <f>AND('Planilla_General_29-11-2012_10_'!H694,"AAAAAD9f5w0=")</f>
        <v>#VALUE!</v>
      </c>
      <c r="O47" t="e">
        <f>AND('Planilla_General_29-11-2012_10_'!I694,"AAAAAD9f5w4=")</f>
        <v>#VALUE!</v>
      </c>
      <c r="P47" t="e">
        <f>AND('Planilla_General_29-11-2012_10_'!J694,"AAAAAD9f5w8=")</f>
        <v>#VALUE!</v>
      </c>
      <c r="Q47" t="e">
        <f>AND('Planilla_General_29-11-2012_10_'!K694,"AAAAAD9f5xA=")</f>
        <v>#VALUE!</v>
      </c>
      <c r="R47" t="e">
        <f>AND('Planilla_General_29-11-2012_10_'!L694,"AAAAAD9f5xE=")</f>
        <v>#VALUE!</v>
      </c>
      <c r="S47" t="e">
        <f>AND('Planilla_General_29-11-2012_10_'!M694,"AAAAAD9f5xI=")</f>
        <v>#VALUE!</v>
      </c>
      <c r="T47" t="e">
        <f>AND('Planilla_General_29-11-2012_10_'!N694,"AAAAAD9f5xM=")</f>
        <v>#VALUE!</v>
      </c>
      <c r="U47" t="e">
        <f>AND('Planilla_General_29-11-2012_10_'!O694,"AAAAAD9f5xQ=")</f>
        <v>#VALUE!</v>
      </c>
      <c r="V47" t="e">
        <f>AND('Planilla_General_29-11-2012_10_'!P694,"AAAAAD9f5xU=")</f>
        <v>#VALUE!</v>
      </c>
      <c r="W47">
        <f>IF('Planilla_General_29-11-2012_10_'!695:695,"AAAAAD9f5xY=",0)</f>
        <v>0</v>
      </c>
      <c r="X47" t="e">
        <f>AND('Planilla_General_29-11-2012_10_'!A695,"AAAAAD9f5xc=")</f>
        <v>#VALUE!</v>
      </c>
      <c r="Y47" t="e">
        <f>AND('Planilla_General_29-11-2012_10_'!B695,"AAAAAD9f5xg=")</f>
        <v>#VALUE!</v>
      </c>
      <c r="Z47" t="e">
        <f>AND('Planilla_General_29-11-2012_10_'!C695,"AAAAAD9f5xk=")</f>
        <v>#VALUE!</v>
      </c>
      <c r="AA47" t="e">
        <f>AND('Planilla_General_29-11-2012_10_'!D695,"AAAAAD9f5xo=")</f>
        <v>#VALUE!</v>
      </c>
      <c r="AB47" t="e">
        <f>AND('Planilla_General_29-11-2012_10_'!E695,"AAAAAD9f5xs=")</f>
        <v>#VALUE!</v>
      </c>
      <c r="AC47" t="e">
        <f>AND('Planilla_General_29-11-2012_10_'!F695,"AAAAAD9f5xw=")</f>
        <v>#VALUE!</v>
      </c>
      <c r="AD47" t="e">
        <f>AND('Planilla_General_29-11-2012_10_'!G695,"AAAAAD9f5x0=")</f>
        <v>#VALUE!</v>
      </c>
      <c r="AE47" t="e">
        <f>AND('Planilla_General_29-11-2012_10_'!H695,"AAAAAD9f5x4=")</f>
        <v>#VALUE!</v>
      </c>
      <c r="AF47" t="e">
        <f>AND('Planilla_General_29-11-2012_10_'!I695,"AAAAAD9f5x8=")</f>
        <v>#VALUE!</v>
      </c>
      <c r="AG47" t="e">
        <f>AND('Planilla_General_29-11-2012_10_'!J695,"AAAAAD9f5yA=")</f>
        <v>#VALUE!</v>
      </c>
      <c r="AH47" t="e">
        <f>AND('Planilla_General_29-11-2012_10_'!K695,"AAAAAD9f5yE=")</f>
        <v>#VALUE!</v>
      </c>
      <c r="AI47" t="e">
        <f>AND('Planilla_General_29-11-2012_10_'!L695,"AAAAAD9f5yI=")</f>
        <v>#VALUE!</v>
      </c>
      <c r="AJ47" t="e">
        <f>AND('Planilla_General_29-11-2012_10_'!M695,"AAAAAD9f5yM=")</f>
        <v>#VALUE!</v>
      </c>
      <c r="AK47" t="e">
        <f>AND('Planilla_General_29-11-2012_10_'!N695,"AAAAAD9f5yQ=")</f>
        <v>#VALUE!</v>
      </c>
      <c r="AL47" t="e">
        <f>AND('Planilla_General_29-11-2012_10_'!O695,"AAAAAD9f5yU=")</f>
        <v>#VALUE!</v>
      </c>
      <c r="AM47" t="e">
        <f>AND('Planilla_General_29-11-2012_10_'!P695,"AAAAAD9f5yY=")</f>
        <v>#VALUE!</v>
      </c>
      <c r="AN47">
        <f>IF('Planilla_General_29-11-2012_10_'!696:696,"AAAAAD9f5yc=",0)</f>
        <v>0</v>
      </c>
      <c r="AO47" t="e">
        <f>AND('Planilla_General_29-11-2012_10_'!A696,"AAAAAD9f5yg=")</f>
        <v>#VALUE!</v>
      </c>
      <c r="AP47" t="e">
        <f>AND('Planilla_General_29-11-2012_10_'!B696,"AAAAAD9f5yk=")</f>
        <v>#VALUE!</v>
      </c>
      <c r="AQ47" t="e">
        <f>AND('Planilla_General_29-11-2012_10_'!C696,"AAAAAD9f5yo=")</f>
        <v>#VALUE!</v>
      </c>
      <c r="AR47" t="e">
        <f>AND('Planilla_General_29-11-2012_10_'!D696,"AAAAAD9f5ys=")</f>
        <v>#VALUE!</v>
      </c>
      <c r="AS47" t="e">
        <f>AND('Planilla_General_29-11-2012_10_'!E696,"AAAAAD9f5yw=")</f>
        <v>#VALUE!</v>
      </c>
      <c r="AT47" t="e">
        <f>AND('Planilla_General_29-11-2012_10_'!F696,"AAAAAD9f5y0=")</f>
        <v>#VALUE!</v>
      </c>
      <c r="AU47" t="e">
        <f>AND('Planilla_General_29-11-2012_10_'!G696,"AAAAAD9f5y4=")</f>
        <v>#VALUE!</v>
      </c>
      <c r="AV47" t="e">
        <f>AND('Planilla_General_29-11-2012_10_'!H696,"AAAAAD9f5y8=")</f>
        <v>#VALUE!</v>
      </c>
      <c r="AW47" t="e">
        <f>AND('Planilla_General_29-11-2012_10_'!I696,"AAAAAD9f5zA=")</f>
        <v>#VALUE!</v>
      </c>
      <c r="AX47" t="e">
        <f>AND('Planilla_General_29-11-2012_10_'!J696,"AAAAAD9f5zE=")</f>
        <v>#VALUE!</v>
      </c>
      <c r="AY47" t="e">
        <f>AND('Planilla_General_29-11-2012_10_'!K696,"AAAAAD9f5zI=")</f>
        <v>#VALUE!</v>
      </c>
      <c r="AZ47" t="e">
        <f>AND('Planilla_General_29-11-2012_10_'!L696,"AAAAAD9f5zM=")</f>
        <v>#VALUE!</v>
      </c>
      <c r="BA47" t="e">
        <f>AND('Planilla_General_29-11-2012_10_'!M696,"AAAAAD9f5zQ=")</f>
        <v>#VALUE!</v>
      </c>
      <c r="BB47" t="e">
        <f>AND('Planilla_General_29-11-2012_10_'!N696,"AAAAAD9f5zU=")</f>
        <v>#VALUE!</v>
      </c>
      <c r="BC47" t="e">
        <f>AND('Planilla_General_29-11-2012_10_'!O696,"AAAAAD9f5zY=")</f>
        <v>#VALUE!</v>
      </c>
      <c r="BD47" t="e">
        <f>AND('Planilla_General_29-11-2012_10_'!P696,"AAAAAD9f5zc=")</f>
        <v>#VALUE!</v>
      </c>
      <c r="BE47">
        <f>IF('Planilla_General_29-11-2012_10_'!697:697,"AAAAAD9f5zg=",0)</f>
        <v>0</v>
      </c>
      <c r="BF47" t="e">
        <f>AND('Planilla_General_29-11-2012_10_'!A697,"AAAAAD9f5zk=")</f>
        <v>#VALUE!</v>
      </c>
      <c r="BG47" t="e">
        <f>AND('Planilla_General_29-11-2012_10_'!B697,"AAAAAD9f5zo=")</f>
        <v>#VALUE!</v>
      </c>
      <c r="BH47" t="e">
        <f>AND('Planilla_General_29-11-2012_10_'!C697,"AAAAAD9f5zs=")</f>
        <v>#VALUE!</v>
      </c>
      <c r="BI47" t="e">
        <f>AND('Planilla_General_29-11-2012_10_'!D697,"AAAAAD9f5zw=")</f>
        <v>#VALUE!</v>
      </c>
      <c r="BJ47" t="e">
        <f>AND('Planilla_General_29-11-2012_10_'!E697,"AAAAAD9f5z0=")</f>
        <v>#VALUE!</v>
      </c>
      <c r="BK47" t="e">
        <f>AND('Planilla_General_29-11-2012_10_'!F697,"AAAAAD9f5z4=")</f>
        <v>#VALUE!</v>
      </c>
      <c r="BL47" t="e">
        <f>AND('Planilla_General_29-11-2012_10_'!G697,"AAAAAD9f5z8=")</f>
        <v>#VALUE!</v>
      </c>
      <c r="BM47" t="e">
        <f>AND('Planilla_General_29-11-2012_10_'!H697,"AAAAAD9f50A=")</f>
        <v>#VALUE!</v>
      </c>
      <c r="BN47" t="e">
        <f>AND('Planilla_General_29-11-2012_10_'!I697,"AAAAAD9f50E=")</f>
        <v>#VALUE!</v>
      </c>
      <c r="BO47" t="e">
        <f>AND('Planilla_General_29-11-2012_10_'!J697,"AAAAAD9f50I=")</f>
        <v>#VALUE!</v>
      </c>
      <c r="BP47" t="e">
        <f>AND('Planilla_General_29-11-2012_10_'!K697,"AAAAAD9f50M=")</f>
        <v>#VALUE!</v>
      </c>
      <c r="BQ47" t="e">
        <f>AND('Planilla_General_29-11-2012_10_'!L697,"AAAAAD9f50Q=")</f>
        <v>#VALUE!</v>
      </c>
      <c r="BR47" t="e">
        <f>AND('Planilla_General_29-11-2012_10_'!M697,"AAAAAD9f50U=")</f>
        <v>#VALUE!</v>
      </c>
      <c r="BS47" t="e">
        <f>AND('Planilla_General_29-11-2012_10_'!N697,"AAAAAD9f50Y=")</f>
        <v>#VALUE!</v>
      </c>
      <c r="BT47" t="e">
        <f>AND('Planilla_General_29-11-2012_10_'!O697,"AAAAAD9f50c=")</f>
        <v>#VALUE!</v>
      </c>
      <c r="BU47" t="e">
        <f>AND('Planilla_General_29-11-2012_10_'!P697,"AAAAAD9f50g=")</f>
        <v>#VALUE!</v>
      </c>
      <c r="BV47">
        <f>IF('Planilla_General_29-11-2012_10_'!698:698,"AAAAAD9f50k=",0)</f>
        <v>0</v>
      </c>
      <c r="BW47" t="e">
        <f>AND('Planilla_General_29-11-2012_10_'!A698,"AAAAAD9f50o=")</f>
        <v>#VALUE!</v>
      </c>
      <c r="BX47" t="e">
        <f>AND('Planilla_General_29-11-2012_10_'!B698,"AAAAAD9f50s=")</f>
        <v>#VALUE!</v>
      </c>
      <c r="BY47" t="e">
        <f>AND('Planilla_General_29-11-2012_10_'!C698,"AAAAAD9f50w=")</f>
        <v>#VALUE!</v>
      </c>
      <c r="BZ47" t="e">
        <f>AND('Planilla_General_29-11-2012_10_'!D698,"AAAAAD9f500=")</f>
        <v>#VALUE!</v>
      </c>
      <c r="CA47" t="e">
        <f>AND('Planilla_General_29-11-2012_10_'!E698,"AAAAAD9f504=")</f>
        <v>#VALUE!</v>
      </c>
      <c r="CB47" t="e">
        <f>AND('Planilla_General_29-11-2012_10_'!F698,"AAAAAD9f508=")</f>
        <v>#VALUE!</v>
      </c>
      <c r="CC47" t="e">
        <f>AND('Planilla_General_29-11-2012_10_'!G698,"AAAAAD9f51A=")</f>
        <v>#VALUE!</v>
      </c>
      <c r="CD47" t="e">
        <f>AND('Planilla_General_29-11-2012_10_'!H698,"AAAAAD9f51E=")</f>
        <v>#VALUE!</v>
      </c>
      <c r="CE47" t="e">
        <f>AND('Planilla_General_29-11-2012_10_'!I698,"AAAAAD9f51I=")</f>
        <v>#VALUE!</v>
      </c>
      <c r="CF47" t="e">
        <f>AND('Planilla_General_29-11-2012_10_'!J698,"AAAAAD9f51M=")</f>
        <v>#VALUE!</v>
      </c>
      <c r="CG47" t="e">
        <f>AND('Planilla_General_29-11-2012_10_'!K698,"AAAAAD9f51Q=")</f>
        <v>#VALUE!</v>
      </c>
      <c r="CH47" t="e">
        <f>AND('Planilla_General_29-11-2012_10_'!L698,"AAAAAD9f51U=")</f>
        <v>#VALUE!</v>
      </c>
      <c r="CI47" t="e">
        <f>AND('Planilla_General_29-11-2012_10_'!M698,"AAAAAD9f51Y=")</f>
        <v>#VALUE!</v>
      </c>
      <c r="CJ47" t="e">
        <f>AND('Planilla_General_29-11-2012_10_'!N698,"AAAAAD9f51c=")</f>
        <v>#VALUE!</v>
      </c>
      <c r="CK47" t="e">
        <f>AND('Planilla_General_29-11-2012_10_'!O698,"AAAAAD9f51g=")</f>
        <v>#VALUE!</v>
      </c>
      <c r="CL47" t="e">
        <f>AND('Planilla_General_29-11-2012_10_'!P698,"AAAAAD9f51k=")</f>
        <v>#VALUE!</v>
      </c>
      <c r="CM47">
        <f>IF('Planilla_General_29-11-2012_10_'!699:699,"AAAAAD9f51o=",0)</f>
        <v>0</v>
      </c>
      <c r="CN47" t="e">
        <f>AND('Planilla_General_29-11-2012_10_'!A699,"AAAAAD9f51s=")</f>
        <v>#VALUE!</v>
      </c>
      <c r="CO47" t="e">
        <f>AND('Planilla_General_29-11-2012_10_'!B699,"AAAAAD9f51w=")</f>
        <v>#VALUE!</v>
      </c>
      <c r="CP47" t="e">
        <f>AND('Planilla_General_29-11-2012_10_'!C699,"AAAAAD9f510=")</f>
        <v>#VALUE!</v>
      </c>
      <c r="CQ47" t="e">
        <f>AND('Planilla_General_29-11-2012_10_'!D699,"AAAAAD9f514=")</f>
        <v>#VALUE!</v>
      </c>
      <c r="CR47" t="e">
        <f>AND('Planilla_General_29-11-2012_10_'!E699,"AAAAAD9f518=")</f>
        <v>#VALUE!</v>
      </c>
      <c r="CS47" t="e">
        <f>AND('Planilla_General_29-11-2012_10_'!F699,"AAAAAD9f52A=")</f>
        <v>#VALUE!</v>
      </c>
      <c r="CT47" t="e">
        <f>AND('Planilla_General_29-11-2012_10_'!G699,"AAAAAD9f52E=")</f>
        <v>#VALUE!</v>
      </c>
      <c r="CU47" t="e">
        <f>AND('Planilla_General_29-11-2012_10_'!H699,"AAAAAD9f52I=")</f>
        <v>#VALUE!</v>
      </c>
      <c r="CV47" t="e">
        <f>AND('Planilla_General_29-11-2012_10_'!I699,"AAAAAD9f52M=")</f>
        <v>#VALUE!</v>
      </c>
      <c r="CW47" t="e">
        <f>AND('Planilla_General_29-11-2012_10_'!J699,"AAAAAD9f52Q=")</f>
        <v>#VALUE!</v>
      </c>
      <c r="CX47" t="e">
        <f>AND('Planilla_General_29-11-2012_10_'!K699,"AAAAAD9f52U=")</f>
        <v>#VALUE!</v>
      </c>
      <c r="CY47" t="e">
        <f>AND('Planilla_General_29-11-2012_10_'!L699,"AAAAAD9f52Y=")</f>
        <v>#VALUE!</v>
      </c>
      <c r="CZ47" t="e">
        <f>AND('Planilla_General_29-11-2012_10_'!M699,"AAAAAD9f52c=")</f>
        <v>#VALUE!</v>
      </c>
      <c r="DA47" t="e">
        <f>AND('Planilla_General_29-11-2012_10_'!N699,"AAAAAD9f52g=")</f>
        <v>#VALUE!</v>
      </c>
      <c r="DB47" t="e">
        <f>AND('Planilla_General_29-11-2012_10_'!O699,"AAAAAD9f52k=")</f>
        <v>#VALUE!</v>
      </c>
      <c r="DC47" t="e">
        <f>AND('Planilla_General_29-11-2012_10_'!P699,"AAAAAD9f52o=")</f>
        <v>#VALUE!</v>
      </c>
      <c r="DD47">
        <f>IF('Planilla_General_29-11-2012_10_'!700:700,"AAAAAD9f52s=",0)</f>
        <v>0</v>
      </c>
      <c r="DE47" t="e">
        <f>AND('Planilla_General_29-11-2012_10_'!A700,"AAAAAD9f52w=")</f>
        <v>#VALUE!</v>
      </c>
      <c r="DF47" t="e">
        <f>AND('Planilla_General_29-11-2012_10_'!B700,"AAAAAD9f520=")</f>
        <v>#VALUE!</v>
      </c>
      <c r="DG47" t="e">
        <f>AND('Planilla_General_29-11-2012_10_'!C700,"AAAAAD9f524=")</f>
        <v>#VALUE!</v>
      </c>
      <c r="DH47" t="e">
        <f>AND('Planilla_General_29-11-2012_10_'!D700,"AAAAAD9f528=")</f>
        <v>#VALUE!</v>
      </c>
      <c r="DI47" t="e">
        <f>AND('Planilla_General_29-11-2012_10_'!E700,"AAAAAD9f53A=")</f>
        <v>#VALUE!</v>
      </c>
      <c r="DJ47" t="e">
        <f>AND('Planilla_General_29-11-2012_10_'!F700,"AAAAAD9f53E=")</f>
        <v>#VALUE!</v>
      </c>
      <c r="DK47" t="e">
        <f>AND('Planilla_General_29-11-2012_10_'!G700,"AAAAAD9f53I=")</f>
        <v>#VALUE!</v>
      </c>
      <c r="DL47" t="e">
        <f>AND('Planilla_General_29-11-2012_10_'!H700,"AAAAAD9f53M=")</f>
        <v>#VALUE!</v>
      </c>
      <c r="DM47" t="e">
        <f>AND('Planilla_General_29-11-2012_10_'!I700,"AAAAAD9f53Q=")</f>
        <v>#VALUE!</v>
      </c>
      <c r="DN47" t="e">
        <f>AND('Planilla_General_29-11-2012_10_'!J700,"AAAAAD9f53U=")</f>
        <v>#VALUE!</v>
      </c>
      <c r="DO47" t="e">
        <f>AND('Planilla_General_29-11-2012_10_'!K700,"AAAAAD9f53Y=")</f>
        <v>#VALUE!</v>
      </c>
      <c r="DP47" t="e">
        <f>AND('Planilla_General_29-11-2012_10_'!L700,"AAAAAD9f53c=")</f>
        <v>#VALUE!</v>
      </c>
      <c r="DQ47" t="e">
        <f>AND('Planilla_General_29-11-2012_10_'!M700,"AAAAAD9f53g=")</f>
        <v>#VALUE!</v>
      </c>
      <c r="DR47" t="e">
        <f>AND('Planilla_General_29-11-2012_10_'!N700,"AAAAAD9f53k=")</f>
        <v>#VALUE!</v>
      </c>
      <c r="DS47" t="e">
        <f>AND('Planilla_General_29-11-2012_10_'!O700,"AAAAAD9f53o=")</f>
        <v>#VALUE!</v>
      </c>
      <c r="DT47" t="e">
        <f>AND('Planilla_General_29-11-2012_10_'!P700,"AAAAAD9f53s=")</f>
        <v>#VALUE!</v>
      </c>
      <c r="DU47">
        <f>IF('Planilla_General_29-11-2012_10_'!701:701,"AAAAAD9f53w=",0)</f>
        <v>0</v>
      </c>
      <c r="DV47" t="e">
        <f>AND('Planilla_General_29-11-2012_10_'!A701,"AAAAAD9f530=")</f>
        <v>#VALUE!</v>
      </c>
      <c r="DW47" t="e">
        <f>AND('Planilla_General_29-11-2012_10_'!B701,"AAAAAD9f534=")</f>
        <v>#VALUE!</v>
      </c>
      <c r="DX47" t="e">
        <f>AND('Planilla_General_29-11-2012_10_'!C701,"AAAAAD9f538=")</f>
        <v>#VALUE!</v>
      </c>
      <c r="DY47" t="e">
        <f>AND('Planilla_General_29-11-2012_10_'!D701,"AAAAAD9f54A=")</f>
        <v>#VALUE!</v>
      </c>
      <c r="DZ47" t="e">
        <f>AND('Planilla_General_29-11-2012_10_'!E701,"AAAAAD9f54E=")</f>
        <v>#VALUE!</v>
      </c>
      <c r="EA47" t="e">
        <f>AND('Planilla_General_29-11-2012_10_'!F701,"AAAAAD9f54I=")</f>
        <v>#VALUE!</v>
      </c>
      <c r="EB47" t="e">
        <f>AND('Planilla_General_29-11-2012_10_'!G701,"AAAAAD9f54M=")</f>
        <v>#VALUE!</v>
      </c>
      <c r="EC47" t="e">
        <f>AND('Planilla_General_29-11-2012_10_'!H701,"AAAAAD9f54Q=")</f>
        <v>#VALUE!</v>
      </c>
      <c r="ED47" t="e">
        <f>AND('Planilla_General_29-11-2012_10_'!I701,"AAAAAD9f54U=")</f>
        <v>#VALUE!</v>
      </c>
      <c r="EE47" t="e">
        <f>AND('Planilla_General_29-11-2012_10_'!J701,"AAAAAD9f54Y=")</f>
        <v>#VALUE!</v>
      </c>
      <c r="EF47" t="e">
        <f>AND('Planilla_General_29-11-2012_10_'!K701,"AAAAAD9f54c=")</f>
        <v>#VALUE!</v>
      </c>
      <c r="EG47" t="e">
        <f>AND('Planilla_General_29-11-2012_10_'!L701,"AAAAAD9f54g=")</f>
        <v>#VALUE!</v>
      </c>
      <c r="EH47" t="e">
        <f>AND('Planilla_General_29-11-2012_10_'!M701,"AAAAAD9f54k=")</f>
        <v>#VALUE!</v>
      </c>
      <c r="EI47" t="e">
        <f>AND('Planilla_General_29-11-2012_10_'!N701,"AAAAAD9f54o=")</f>
        <v>#VALUE!</v>
      </c>
      <c r="EJ47" t="e">
        <f>AND('Planilla_General_29-11-2012_10_'!O701,"AAAAAD9f54s=")</f>
        <v>#VALUE!</v>
      </c>
      <c r="EK47" t="e">
        <f>AND('Planilla_General_29-11-2012_10_'!P701,"AAAAAD9f54w=")</f>
        <v>#VALUE!</v>
      </c>
      <c r="EL47">
        <f>IF('Planilla_General_29-11-2012_10_'!702:702,"AAAAAD9f540=",0)</f>
        <v>0</v>
      </c>
      <c r="EM47" t="e">
        <f>AND('Planilla_General_29-11-2012_10_'!A702,"AAAAAD9f544=")</f>
        <v>#VALUE!</v>
      </c>
      <c r="EN47" t="e">
        <f>AND('Planilla_General_29-11-2012_10_'!B702,"AAAAAD9f548=")</f>
        <v>#VALUE!</v>
      </c>
      <c r="EO47" t="e">
        <f>AND('Planilla_General_29-11-2012_10_'!C702,"AAAAAD9f55A=")</f>
        <v>#VALUE!</v>
      </c>
      <c r="EP47" t="e">
        <f>AND('Planilla_General_29-11-2012_10_'!D702,"AAAAAD9f55E=")</f>
        <v>#VALUE!</v>
      </c>
      <c r="EQ47" t="e">
        <f>AND('Planilla_General_29-11-2012_10_'!E702,"AAAAAD9f55I=")</f>
        <v>#VALUE!</v>
      </c>
      <c r="ER47" t="e">
        <f>AND('Planilla_General_29-11-2012_10_'!F702,"AAAAAD9f55M=")</f>
        <v>#VALUE!</v>
      </c>
      <c r="ES47" t="e">
        <f>AND('Planilla_General_29-11-2012_10_'!G702,"AAAAAD9f55Q=")</f>
        <v>#VALUE!</v>
      </c>
      <c r="ET47" t="e">
        <f>AND('Planilla_General_29-11-2012_10_'!H702,"AAAAAD9f55U=")</f>
        <v>#VALUE!</v>
      </c>
      <c r="EU47" t="e">
        <f>AND('Planilla_General_29-11-2012_10_'!I702,"AAAAAD9f55Y=")</f>
        <v>#VALUE!</v>
      </c>
      <c r="EV47" t="e">
        <f>AND('Planilla_General_29-11-2012_10_'!J702,"AAAAAD9f55c=")</f>
        <v>#VALUE!</v>
      </c>
      <c r="EW47" t="e">
        <f>AND('Planilla_General_29-11-2012_10_'!K702,"AAAAAD9f55g=")</f>
        <v>#VALUE!</v>
      </c>
      <c r="EX47" t="e">
        <f>AND('Planilla_General_29-11-2012_10_'!L702,"AAAAAD9f55k=")</f>
        <v>#VALUE!</v>
      </c>
      <c r="EY47" t="e">
        <f>AND('Planilla_General_29-11-2012_10_'!M702,"AAAAAD9f55o=")</f>
        <v>#VALUE!</v>
      </c>
      <c r="EZ47" t="e">
        <f>AND('Planilla_General_29-11-2012_10_'!N702,"AAAAAD9f55s=")</f>
        <v>#VALUE!</v>
      </c>
      <c r="FA47" t="e">
        <f>AND('Planilla_General_29-11-2012_10_'!O702,"AAAAAD9f55w=")</f>
        <v>#VALUE!</v>
      </c>
      <c r="FB47" t="e">
        <f>AND('Planilla_General_29-11-2012_10_'!P702,"AAAAAD9f550=")</f>
        <v>#VALUE!</v>
      </c>
      <c r="FC47">
        <f>IF('Planilla_General_29-11-2012_10_'!703:703,"AAAAAD9f554=",0)</f>
        <v>0</v>
      </c>
      <c r="FD47" t="e">
        <f>AND('Planilla_General_29-11-2012_10_'!A703,"AAAAAD9f558=")</f>
        <v>#VALUE!</v>
      </c>
      <c r="FE47" t="e">
        <f>AND('Planilla_General_29-11-2012_10_'!B703,"AAAAAD9f56A=")</f>
        <v>#VALUE!</v>
      </c>
      <c r="FF47" t="e">
        <f>AND('Planilla_General_29-11-2012_10_'!C703,"AAAAAD9f56E=")</f>
        <v>#VALUE!</v>
      </c>
      <c r="FG47" t="e">
        <f>AND('Planilla_General_29-11-2012_10_'!D703,"AAAAAD9f56I=")</f>
        <v>#VALUE!</v>
      </c>
      <c r="FH47" t="e">
        <f>AND('Planilla_General_29-11-2012_10_'!E703,"AAAAAD9f56M=")</f>
        <v>#VALUE!</v>
      </c>
      <c r="FI47" t="e">
        <f>AND('Planilla_General_29-11-2012_10_'!F703,"AAAAAD9f56Q=")</f>
        <v>#VALUE!</v>
      </c>
      <c r="FJ47" t="e">
        <f>AND('Planilla_General_29-11-2012_10_'!G703,"AAAAAD9f56U=")</f>
        <v>#VALUE!</v>
      </c>
      <c r="FK47" t="e">
        <f>AND('Planilla_General_29-11-2012_10_'!H703,"AAAAAD9f56Y=")</f>
        <v>#VALUE!</v>
      </c>
      <c r="FL47" t="e">
        <f>AND('Planilla_General_29-11-2012_10_'!I703,"AAAAAD9f56c=")</f>
        <v>#VALUE!</v>
      </c>
      <c r="FM47" t="e">
        <f>AND('Planilla_General_29-11-2012_10_'!J703,"AAAAAD9f56g=")</f>
        <v>#VALUE!</v>
      </c>
      <c r="FN47" t="e">
        <f>AND('Planilla_General_29-11-2012_10_'!K703,"AAAAAD9f56k=")</f>
        <v>#VALUE!</v>
      </c>
      <c r="FO47" t="e">
        <f>AND('Planilla_General_29-11-2012_10_'!L703,"AAAAAD9f56o=")</f>
        <v>#VALUE!</v>
      </c>
      <c r="FP47" t="e">
        <f>AND('Planilla_General_29-11-2012_10_'!M703,"AAAAAD9f56s=")</f>
        <v>#VALUE!</v>
      </c>
      <c r="FQ47" t="e">
        <f>AND('Planilla_General_29-11-2012_10_'!N703,"AAAAAD9f56w=")</f>
        <v>#VALUE!</v>
      </c>
      <c r="FR47" t="e">
        <f>AND('Planilla_General_29-11-2012_10_'!O703,"AAAAAD9f560=")</f>
        <v>#VALUE!</v>
      </c>
      <c r="FS47" t="e">
        <f>AND('Planilla_General_29-11-2012_10_'!P703,"AAAAAD9f564=")</f>
        <v>#VALUE!</v>
      </c>
      <c r="FT47">
        <f>IF('Planilla_General_29-11-2012_10_'!704:704,"AAAAAD9f568=",0)</f>
        <v>0</v>
      </c>
      <c r="FU47" t="e">
        <f>AND('Planilla_General_29-11-2012_10_'!A704,"AAAAAD9f57A=")</f>
        <v>#VALUE!</v>
      </c>
      <c r="FV47" t="e">
        <f>AND('Planilla_General_29-11-2012_10_'!B704,"AAAAAD9f57E=")</f>
        <v>#VALUE!</v>
      </c>
      <c r="FW47" t="e">
        <f>AND('Planilla_General_29-11-2012_10_'!C704,"AAAAAD9f57I=")</f>
        <v>#VALUE!</v>
      </c>
      <c r="FX47" t="e">
        <f>AND('Planilla_General_29-11-2012_10_'!D704,"AAAAAD9f57M=")</f>
        <v>#VALUE!</v>
      </c>
      <c r="FY47" t="e">
        <f>AND('Planilla_General_29-11-2012_10_'!E704,"AAAAAD9f57Q=")</f>
        <v>#VALUE!</v>
      </c>
      <c r="FZ47" t="e">
        <f>AND('Planilla_General_29-11-2012_10_'!F704,"AAAAAD9f57U=")</f>
        <v>#VALUE!</v>
      </c>
      <c r="GA47" t="e">
        <f>AND('Planilla_General_29-11-2012_10_'!G704,"AAAAAD9f57Y=")</f>
        <v>#VALUE!</v>
      </c>
      <c r="GB47" t="e">
        <f>AND('Planilla_General_29-11-2012_10_'!H704,"AAAAAD9f57c=")</f>
        <v>#VALUE!</v>
      </c>
      <c r="GC47" t="e">
        <f>AND('Planilla_General_29-11-2012_10_'!I704,"AAAAAD9f57g=")</f>
        <v>#VALUE!</v>
      </c>
      <c r="GD47" t="e">
        <f>AND('Planilla_General_29-11-2012_10_'!J704,"AAAAAD9f57k=")</f>
        <v>#VALUE!</v>
      </c>
      <c r="GE47" t="e">
        <f>AND('Planilla_General_29-11-2012_10_'!K704,"AAAAAD9f57o=")</f>
        <v>#VALUE!</v>
      </c>
      <c r="GF47" t="e">
        <f>AND('Planilla_General_29-11-2012_10_'!L704,"AAAAAD9f57s=")</f>
        <v>#VALUE!</v>
      </c>
      <c r="GG47" t="e">
        <f>AND('Planilla_General_29-11-2012_10_'!M704,"AAAAAD9f57w=")</f>
        <v>#VALUE!</v>
      </c>
      <c r="GH47" t="e">
        <f>AND('Planilla_General_29-11-2012_10_'!N704,"AAAAAD9f570=")</f>
        <v>#VALUE!</v>
      </c>
      <c r="GI47" t="e">
        <f>AND('Planilla_General_29-11-2012_10_'!O704,"AAAAAD9f574=")</f>
        <v>#VALUE!</v>
      </c>
      <c r="GJ47" t="e">
        <f>AND('Planilla_General_29-11-2012_10_'!P704,"AAAAAD9f578=")</f>
        <v>#VALUE!</v>
      </c>
      <c r="GK47">
        <f>IF('Planilla_General_29-11-2012_10_'!705:705,"AAAAAD9f58A=",0)</f>
        <v>0</v>
      </c>
      <c r="GL47" t="e">
        <f>AND('Planilla_General_29-11-2012_10_'!A705,"AAAAAD9f58E=")</f>
        <v>#VALUE!</v>
      </c>
      <c r="GM47" t="e">
        <f>AND('Planilla_General_29-11-2012_10_'!B705,"AAAAAD9f58I=")</f>
        <v>#VALUE!</v>
      </c>
      <c r="GN47" t="e">
        <f>AND('Planilla_General_29-11-2012_10_'!C705,"AAAAAD9f58M=")</f>
        <v>#VALUE!</v>
      </c>
      <c r="GO47" t="e">
        <f>AND('Planilla_General_29-11-2012_10_'!D705,"AAAAAD9f58Q=")</f>
        <v>#VALUE!</v>
      </c>
      <c r="GP47" t="e">
        <f>AND('Planilla_General_29-11-2012_10_'!E705,"AAAAAD9f58U=")</f>
        <v>#VALUE!</v>
      </c>
      <c r="GQ47" t="e">
        <f>AND('Planilla_General_29-11-2012_10_'!F705,"AAAAAD9f58Y=")</f>
        <v>#VALUE!</v>
      </c>
      <c r="GR47" t="e">
        <f>AND('Planilla_General_29-11-2012_10_'!G705,"AAAAAD9f58c=")</f>
        <v>#VALUE!</v>
      </c>
      <c r="GS47" t="e">
        <f>AND('Planilla_General_29-11-2012_10_'!H705,"AAAAAD9f58g=")</f>
        <v>#VALUE!</v>
      </c>
      <c r="GT47" t="e">
        <f>AND('Planilla_General_29-11-2012_10_'!I705,"AAAAAD9f58k=")</f>
        <v>#VALUE!</v>
      </c>
      <c r="GU47" t="e">
        <f>AND('Planilla_General_29-11-2012_10_'!J705,"AAAAAD9f58o=")</f>
        <v>#VALUE!</v>
      </c>
      <c r="GV47" t="e">
        <f>AND('Planilla_General_29-11-2012_10_'!K705,"AAAAAD9f58s=")</f>
        <v>#VALUE!</v>
      </c>
      <c r="GW47" t="e">
        <f>AND('Planilla_General_29-11-2012_10_'!L705,"AAAAAD9f58w=")</f>
        <v>#VALUE!</v>
      </c>
      <c r="GX47" t="e">
        <f>AND('Planilla_General_29-11-2012_10_'!M705,"AAAAAD9f580=")</f>
        <v>#VALUE!</v>
      </c>
      <c r="GY47" t="e">
        <f>AND('Planilla_General_29-11-2012_10_'!N705,"AAAAAD9f584=")</f>
        <v>#VALUE!</v>
      </c>
      <c r="GZ47" t="e">
        <f>AND('Planilla_General_29-11-2012_10_'!O705,"AAAAAD9f588=")</f>
        <v>#VALUE!</v>
      </c>
      <c r="HA47" t="e">
        <f>AND('Planilla_General_29-11-2012_10_'!P705,"AAAAAD9f59A=")</f>
        <v>#VALUE!</v>
      </c>
      <c r="HB47">
        <f>IF('Planilla_General_29-11-2012_10_'!706:706,"AAAAAD9f59E=",0)</f>
        <v>0</v>
      </c>
      <c r="HC47" t="e">
        <f>AND('Planilla_General_29-11-2012_10_'!A706,"AAAAAD9f59I=")</f>
        <v>#VALUE!</v>
      </c>
      <c r="HD47" t="e">
        <f>AND('Planilla_General_29-11-2012_10_'!B706,"AAAAAD9f59M=")</f>
        <v>#VALUE!</v>
      </c>
      <c r="HE47" t="e">
        <f>AND('Planilla_General_29-11-2012_10_'!C706,"AAAAAD9f59Q=")</f>
        <v>#VALUE!</v>
      </c>
      <c r="HF47" t="e">
        <f>AND('Planilla_General_29-11-2012_10_'!D706,"AAAAAD9f59U=")</f>
        <v>#VALUE!</v>
      </c>
      <c r="HG47" t="e">
        <f>AND('Planilla_General_29-11-2012_10_'!E706,"AAAAAD9f59Y=")</f>
        <v>#VALUE!</v>
      </c>
      <c r="HH47" t="e">
        <f>AND('Planilla_General_29-11-2012_10_'!F706,"AAAAAD9f59c=")</f>
        <v>#VALUE!</v>
      </c>
      <c r="HI47" t="e">
        <f>AND('Planilla_General_29-11-2012_10_'!G706,"AAAAAD9f59g=")</f>
        <v>#VALUE!</v>
      </c>
      <c r="HJ47" t="e">
        <f>AND('Planilla_General_29-11-2012_10_'!H706,"AAAAAD9f59k=")</f>
        <v>#VALUE!</v>
      </c>
      <c r="HK47" t="e">
        <f>AND('Planilla_General_29-11-2012_10_'!I706,"AAAAAD9f59o=")</f>
        <v>#VALUE!</v>
      </c>
      <c r="HL47" t="e">
        <f>AND('Planilla_General_29-11-2012_10_'!J706,"AAAAAD9f59s=")</f>
        <v>#VALUE!</v>
      </c>
      <c r="HM47" t="e">
        <f>AND('Planilla_General_29-11-2012_10_'!K706,"AAAAAD9f59w=")</f>
        <v>#VALUE!</v>
      </c>
      <c r="HN47" t="e">
        <f>AND('Planilla_General_29-11-2012_10_'!L706,"AAAAAD9f590=")</f>
        <v>#VALUE!</v>
      </c>
      <c r="HO47" t="e">
        <f>AND('Planilla_General_29-11-2012_10_'!M706,"AAAAAD9f594=")</f>
        <v>#VALUE!</v>
      </c>
      <c r="HP47" t="e">
        <f>AND('Planilla_General_29-11-2012_10_'!N706,"AAAAAD9f598=")</f>
        <v>#VALUE!</v>
      </c>
      <c r="HQ47" t="e">
        <f>AND('Planilla_General_29-11-2012_10_'!O706,"AAAAAD9f5+A=")</f>
        <v>#VALUE!</v>
      </c>
      <c r="HR47" t="e">
        <f>AND('Planilla_General_29-11-2012_10_'!P706,"AAAAAD9f5+E=")</f>
        <v>#VALUE!</v>
      </c>
      <c r="HS47">
        <f>IF('Planilla_General_29-11-2012_10_'!707:707,"AAAAAD9f5+I=",0)</f>
        <v>0</v>
      </c>
      <c r="HT47" t="e">
        <f>AND('Planilla_General_29-11-2012_10_'!A707,"AAAAAD9f5+M=")</f>
        <v>#VALUE!</v>
      </c>
      <c r="HU47" t="e">
        <f>AND('Planilla_General_29-11-2012_10_'!B707,"AAAAAD9f5+Q=")</f>
        <v>#VALUE!</v>
      </c>
      <c r="HV47" t="e">
        <f>AND('Planilla_General_29-11-2012_10_'!C707,"AAAAAD9f5+U=")</f>
        <v>#VALUE!</v>
      </c>
      <c r="HW47" t="e">
        <f>AND('Planilla_General_29-11-2012_10_'!D707,"AAAAAD9f5+Y=")</f>
        <v>#VALUE!</v>
      </c>
      <c r="HX47" t="e">
        <f>AND('Planilla_General_29-11-2012_10_'!E707,"AAAAAD9f5+c=")</f>
        <v>#VALUE!</v>
      </c>
      <c r="HY47" t="e">
        <f>AND('Planilla_General_29-11-2012_10_'!F707,"AAAAAD9f5+g=")</f>
        <v>#VALUE!</v>
      </c>
      <c r="HZ47" t="e">
        <f>AND('Planilla_General_29-11-2012_10_'!G707,"AAAAAD9f5+k=")</f>
        <v>#VALUE!</v>
      </c>
      <c r="IA47" t="e">
        <f>AND('Planilla_General_29-11-2012_10_'!H707,"AAAAAD9f5+o=")</f>
        <v>#VALUE!</v>
      </c>
      <c r="IB47" t="e">
        <f>AND('Planilla_General_29-11-2012_10_'!I707,"AAAAAD9f5+s=")</f>
        <v>#VALUE!</v>
      </c>
      <c r="IC47" t="e">
        <f>AND('Planilla_General_29-11-2012_10_'!J707,"AAAAAD9f5+w=")</f>
        <v>#VALUE!</v>
      </c>
      <c r="ID47" t="e">
        <f>AND('Planilla_General_29-11-2012_10_'!K707,"AAAAAD9f5+0=")</f>
        <v>#VALUE!</v>
      </c>
      <c r="IE47" t="e">
        <f>AND('Planilla_General_29-11-2012_10_'!L707,"AAAAAD9f5+4=")</f>
        <v>#VALUE!</v>
      </c>
      <c r="IF47" t="e">
        <f>AND('Planilla_General_29-11-2012_10_'!M707,"AAAAAD9f5+8=")</f>
        <v>#VALUE!</v>
      </c>
      <c r="IG47" t="e">
        <f>AND('Planilla_General_29-11-2012_10_'!N707,"AAAAAD9f5/A=")</f>
        <v>#VALUE!</v>
      </c>
      <c r="IH47" t="e">
        <f>AND('Planilla_General_29-11-2012_10_'!O707,"AAAAAD9f5/E=")</f>
        <v>#VALUE!</v>
      </c>
      <c r="II47" t="e">
        <f>AND('Planilla_General_29-11-2012_10_'!P707,"AAAAAD9f5/I=")</f>
        <v>#VALUE!</v>
      </c>
      <c r="IJ47">
        <f>IF('Planilla_General_29-11-2012_10_'!708:708,"AAAAAD9f5/M=",0)</f>
        <v>0</v>
      </c>
      <c r="IK47" t="e">
        <f>AND('Planilla_General_29-11-2012_10_'!A708,"AAAAAD9f5/Q=")</f>
        <v>#VALUE!</v>
      </c>
      <c r="IL47" t="e">
        <f>AND('Planilla_General_29-11-2012_10_'!B708,"AAAAAD9f5/U=")</f>
        <v>#VALUE!</v>
      </c>
      <c r="IM47" t="e">
        <f>AND('Planilla_General_29-11-2012_10_'!C708,"AAAAAD9f5/Y=")</f>
        <v>#VALUE!</v>
      </c>
      <c r="IN47" t="e">
        <f>AND('Planilla_General_29-11-2012_10_'!D708,"AAAAAD9f5/c=")</f>
        <v>#VALUE!</v>
      </c>
      <c r="IO47" t="e">
        <f>AND('Planilla_General_29-11-2012_10_'!E708,"AAAAAD9f5/g=")</f>
        <v>#VALUE!</v>
      </c>
      <c r="IP47" t="e">
        <f>AND('Planilla_General_29-11-2012_10_'!F708,"AAAAAD9f5/k=")</f>
        <v>#VALUE!</v>
      </c>
      <c r="IQ47" t="e">
        <f>AND('Planilla_General_29-11-2012_10_'!G708,"AAAAAD9f5/o=")</f>
        <v>#VALUE!</v>
      </c>
      <c r="IR47" t="e">
        <f>AND('Planilla_General_29-11-2012_10_'!H708,"AAAAAD9f5/s=")</f>
        <v>#VALUE!</v>
      </c>
      <c r="IS47" t="e">
        <f>AND('Planilla_General_29-11-2012_10_'!I708,"AAAAAD9f5/w=")</f>
        <v>#VALUE!</v>
      </c>
      <c r="IT47" t="e">
        <f>AND('Planilla_General_29-11-2012_10_'!J708,"AAAAAD9f5/0=")</f>
        <v>#VALUE!</v>
      </c>
      <c r="IU47" t="e">
        <f>AND('Planilla_General_29-11-2012_10_'!K708,"AAAAAD9f5/4=")</f>
        <v>#VALUE!</v>
      </c>
      <c r="IV47" t="e">
        <f>AND('Planilla_General_29-11-2012_10_'!L708,"AAAAAD9f5/8=")</f>
        <v>#VALUE!</v>
      </c>
    </row>
    <row r="48" spans="1:256" x14ac:dyDescent="0.25">
      <c r="A48" t="e">
        <f>AND('Planilla_General_29-11-2012_10_'!M708,"AAAAAH1ftAA=")</f>
        <v>#VALUE!</v>
      </c>
      <c r="B48" t="e">
        <f>AND('Planilla_General_29-11-2012_10_'!N708,"AAAAAH1ftAE=")</f>
        <v>#VALUE!</v>
      </c>
      <c r="C48" t="e">
        <f>AND('Planilla_General_29-11-2012_10_'!O708,"AAAAAH1ftAI=")</f>
        <v>#VALUE!</v>
      </c>
      <c r="D48" t="e">
        <f>AND('Planilla_General_29-11-2012_10_'!P708,"AAAAAH1ftAM=")</f>
        <v>#VALUE!</v>
      </c>
      <c r="E48" t="e">
        <f>IF('Planilla_General_29-11-2012_10_'!709:709,"AAAAAH1ftAQ=",0)</f>
        <v>#VALUE!</v>
      </c>
      <c r="F48" t="e">
        <f>AND('Planilla_General_29-11-2012_10_'!A709,"AAAAAH1ftAU=")</f>
        <v>#VALUE!</v>
      </c>
      <c r="G48" t="e">
        <f>AND('Planilla_General_29-11-2012_10_'!B709,"AAAAAH1ftAY=")</f>
        <v>#VALUE!</v>
      </c>
      <c r="H48" t="e">
        <f>AND('Planilla_General_29-11-2012_10_'!C709,"AAAAAH1ftAc=")</f>
        <v>#VALUE!</v>
      </c>
      <c r="I48" t="e">
        <f>AND('Planilla_General_29-11-2012_10_'!D709,"AAAAAH1ftAg=")</f>
        <v>#VALUE!</v>
      </c>
      <c r="J48" t="e">
        <f>AND('Planilla_General_29-11-2012_10_'!E709,"AAAAAH1ftAk=")</f>
        <v>#VALUE!</v>
      </c>
      <c r="K48" t="e">
        <f>AND('Planilla_General_29-11-2012_10_'!F709,"AAAAAH1ftAo=")</f>
        <v>#VALUE!</v>
      </c>
      <c r="L48" t="e">
        <f>AND('Planilla_General_29-11-2012_10_'!G709,"AAAAAH1ftAs=")</f>
        <v>#VALUE!</v>
      </c>
      <c r="M48" t="e">
        <f>AND('Planilla_General_29-11-2012_10_'!H709,"AAAAAH1ftAw=")</f>
        <v>#VALUE!</v>
      </c>
      <c r="N48" t="e">
        <f>AND('Planilla_General_29-11-2012_10_'!I709,"AAAAAH1ftA0=")</f>
        <v>#VALUE!</v>
      </c>
      <c r="O48" t="e">
        <f>AND('Planilla_General_29-11-2012_10_'!J709,"AAAAAH1ftA4=")</f>
        <v>#VALUE!</v>
      </c>
      <c r="P48" t="e">
        <f>AND('Planilla_General_29-11-2012_10_'!K709,"AAAAAH1ftA8=")</f>
        <v>#VALUE!</v>
      </c>
      <c r="Q48" t="e">
        <f>AND('Planilla_General_29-11-2012_10_'!L709,"AAAAAH1ftBA=")</f>
        <v>#VALUE!</v>
      </c>
      <c r="R48" t="e">
        <f>AND('Planilla_General_29-11-2012_10_'!M709,"AAAAAH1ftBE=")</f>
        <v>#VALUE!</v>
      </c>
      <c r="S48" t="e">
        <f>AND('Planilla_General_29-11-2012_10_'!N709,"AAAAAH1ftBI=")</f>
        <v>#VALUE!</v>
      </c>
      <c r="T48" t="e">
        <f>AND('Planilla_General_29-11-2012_10_'!O709,"AAAAAH1ftBM=")</f>
        <v>#VALUE!</v>
      </c>
      <c r="U48" t="e">
        <f>AND('Planilla_General_29-11-2012_10_'!P709,"AAAAAH1ftBQ=")</f>
        <v>#VALUE!</v>
      </c>
      <c r="V48">
        <f>IF('Planilla_General_29-11-2012_10_'!710:710,"AAAAAH1ftBU=",0)</f>
        <v>0</v>
      </c>
      <c r="W48" t="e">
        <f>AND('Planilla_General_29-11-2012_10_'!A710,"AAAAAH1ftBY=")</f>
        <v>#VALUE!</v>
      </c>
      <c r="X48" t="e">
        <f>AND('Planilla_General_29-11-2012_10_'!B710,"AAAAAH1ftBc=")</f>
        <v>#VALUE!</v>
      </c>
      <c r="Y48" t="e">
        <f>AND('Planilla_General_29-11-2012_10_'!C710,"AAAAAH1ftBg=")</f>
        <v>#VALUE!</v>
      </c>
      <c r="Z48" t="e">
        <f>AND('Planilla_General_29-11-2012_10_'!D710,"AAAAAH1ftBk=")</f>
        <v>#VALUE!</v>
      </c>
      <c r="AA48" t="e">
        <f>AND('Planilla_General_29-11-2012_10_'!E710,"AAAAAH1ftBo=")</f>
        <v>#VALUE!</v>
      </c>
      <c r="AB48" t="e">
        <f>AND('Planilla_General_29-11-2012_10_'!F710,"AAAAAH1ftBs=")</f>
        <v>#VALUE!</v>
      </c>
      <c r="AC48" t="e">
        <f>AND('Planilla_General_29-11-2012_10_'!G710,"AAAAAH1ftBw=")</f>
        <v>#VALUE!</v>
      </c>
      <c r="AD48" t="e">
        <f>AND('Planilla_General_29-11-2012_10_'!H710,"AAAAAH1ftB0=")</f>
        <v>#VALUE!</v>
      </c>
      <c r="AE48" t="e">
        <f>AND('Planilla_General_29-11-2012_10_'!I710,"AAAAAH1ftB4=")</f>
        <v>#VALUE!</v>
      </c>
      <c r="AF48" t="e">
        <f>AND('Planilla_General_29-11-2012_10_'!J710,"AAAAAH1ftB8=")</f>
        <v>#VALUE!</v>
      </c>
      <c r="AG48" t="e">
        <f>AND('Planilla_General_29-11-2012_10_'!K710,"AAAAAH1ftCA=")</f>
        <v>#VALUE!</v>
      </c>
      <c r="AH48" t="e">
        <f>AND('Planilla_General_29-11-2012_10_'!L710,"AAAAAH1ftCE=")</f>
        <v>#VALUE!</v>
      </c>
      <c r="AI48" t="e">
        <f>AND('Planilla_General_29-11-2012_10_'!M710,"AAAAAH1ftCI=")</f>
        <v>#VALUE!</v>
      </c>
      <c r="AJ48" t="e">
        <f>AND('Planilla_General_29-11-2012_10_'!N710,"AAAAAH1ftCM=")</f>
        <v>#VALUE!</v>
      </c>
      <c r="AK48" t="e">
        <f>AND('Planilla_General_29-11-2012_10_'!O710,"AAAAAH1ftCQ=")</f>
        <v>#VALUE!</v>
      </c>
      <c r="AL48" t="e">
        <f>AND('Planilla_General_29-11-2012_10_'!P710,"AAAAAH1ftCU=")</f>
        <v>#VALUE!</v>
      </c>
      <c r="AM48">
        <f>IF('Planilla_General_29-11-2012_10_'!711:711,"AAAAAH1ftCY=",0)</f>
        <v>0</v>
      </c>
      <c r="AN48" t="e">
        <f>AND('Planilla_General_29-11-2012_10_'!A711,"AAAAAH1ftCc=")</f>
        <v>#VALUE!</v>
      </c>
      <c r="AO48" t="e">
        <f>AND('Planilla_General_29-11-2012_10_'!B711,"AAAAAH1ftCg=")</f>
        <v>#VALUE!</v>
      </c>
      <c r="AP48" t="e">
        <f>AND('Planilla_General_29-11-2012_10_'!C711,"AAAAAH1ftCk=")</f>
        <v>#VALUE!</v>
      </c>
      <c r="AQ48" t="e">
        <f>AND('Planilla_General_29-11-2012_10_'!D711,"AAAAAH1ftCo=")</f>
        <v>#VALUE!</v>
      </c>
      <c r="AR48" t="e">
        <f>AND('Planilla_General_29-11-2012_10_'!E711,"AAAAAH1ftCs=")</f>
        <v>#VALUE!</v>
      </c>
      <c r="AS48" t="e">
        <f>AND('Planilla_General_29-11-2012_10_'!F711,"AAAAAH1ftCw=")</f>
        <v>#VALUE!</v>
      </c>
      <c r="AT48" t="e">
        <f>AND('Planilla_General_29-11-2012_10_'!G711,"AAAAAH1ftC0=")</f>
        <v>#VALUE!</v>
      </c>
      <c r="AU48" t="e">
        <f>AND('Planilla_General_29-11-2012_10_'!H711,"AAAAAH1ftC4=")</f>
        <v>#VALUE!</v>
      </c>
      <c r="AV48" t="e">
        <f>AND('Planilla_General_29-11-2012_10_'!I711,"AAAAAH1ftC8=")</f>
        <v>#VALUE!</v>
      </c>
      <c r="AW48" t="e">
        <f>AND('Planilla_General_29-11-2012_10_'!J711,"AAAAAH1ftDA=")</f>
        <v>#VALUE!</v>
      </c>
      <c r="AX48" t="e">
        <f>AND('Planilla_General_29-11-2012_10_'!K711,"AAAAAH1ftDE=")</f>
        <v>#VALUE!</v>
      </c>
      <c r="AY48" t="e">
        <f>AND('Planilla_General_29-11-2012_10_'!L711,"AAAAAH1ftDI=")</f>
        <v>#VALUE!</v>
      </c>
      <c r="AZ48" t="e">
        <f>AND('Planilla_General_29-11-2012_10_'!M711,"AAAAAH1ftDM=")</f>
        <v>#VALUE!</v>
      </c>
      <c r="BA48" t="e">
        <f>AND('Planilla_General_29-11-2012_10_'!N711,"AAAAAH1ftDQ=")</f>
        <v>#VALUE!</v>
      </c>
      <c r="BB48" t="e">
        <f>AND('Planilla_General_29-11-2012_10_'!O711,"AAAAAH1ftDU=")</f>
        <v>#VALUE!</v>
      </c>
      <c r="BC48" t="e">
        <f>AND('Planilla_General_29-11-2012_10_'!P711,"AAAAAH1ftDY=")</f>
        <v>#VALUE!</v>
      </c>
      <c r="BD48">
        <f>IF('Planilla_General_29-11-2012_10_'!712:712,"AAAAAH1ftDc=",0)</f>
        <v>0</v>
      </c>
      <c r="BE48" t="e">
        <f>AND('Planilla_General_29-11-2012_10_'!A712,"AAAAAH1ftDg=")</f>
        <v>#VALUE!</v>
      </c>
      <c r="BF48" t="e">
        <f>AND('Planilla_General_29-11-2012_10_'!B712,"AAAAAH1ftDk=")</f>
        <v>#VALUE!</v>
      </c>
      <c r="BG48" t="e">
        <f>AND('Planilla_General_29-11-2012_10_'!C712,"AAAAAH1ftDo=")</f>
        <v>#VALUE!</v>
      </c>
      <c r="BH48" t="e">
        <f>AND('Planilla_General_29-11-2012_10_'!D712,"AAAAAH1ftDs=")</f>
        <v>#VALUE!</v>
      </c>
      <c r="BI48" t="e">
        <f>AND('Planilla_General_29-11-2012_10_'!E712,"AAAAAH1ftDw=")</f>
        <v>#VALUE!</v>
      </c>
      <c r="BJ48" t="e">
        <f>AND('Planilla_General_29-11-2012_10_'!F712,"AAAAAH1ftD0=")</f>
        <v>#VALUE!</v>
      </c>
      <c r="BK48" t="e">
        <f>AND('Planilla_General_29-11-2012_10_'!G712,"AAAAAH1ftD4=")</f>
        <v>#VALUE!</v>
      </c>
      <c r="BL48" t="e">
        <f>AND('Planilla_General_29-11-2012_10_'!H712,"AAAAAH1ftD8=")</f>
        <v>#VALUE!</v>
      </c>
      <c r="BM48" t="e">
        <f>AND('Planilla_General_29-11-2012_10_'!I712,"AAAAAH1ftEA=")</f>
        <v>#VALUE!</v>
      </c>
      <c r="BN48" t="e">
        <f>AND('Planilla_General_29-11-2012_10_'!J712,"AAAAAH1ftEE=")</f>
        <v>#VALUE!</v>
      </c>
      <c r="BO48" t="e">
        <f>AND('Planilla_General_29-11-2012_10_'!K712,"AAAAAH1ftEI=")</f>
        <v>#VALUE!</v>
      </c>
      <c r="BP48" t="e">
        <f>AND('Planilla_General_29-11-2012_10_'!L712,"AAAAAH1ftEM=")</f>
        <v>#VALUE!</v>
      </c>
      <c r="BQ48" t="e">
        <f>AND('Planilla_General_29-11-2012_10_'!M712,"AAAAAH1ftEQ=")</f>
        <v>#VALUE!</v>
      </c>
      <c r="BR48" t="e">
        <f>AND('Planilla_General_29-11-2012_10_'!N712,"AAAAAH1ftEU=")</f>
        <v>#VALUE!</v>
      </c>
      <c r="BS48" t="e">
        <f>AND('Planilla_General_29-11-2012_10_'!O712,"AAAAAH1ftEY=")</f>
        <v>#VALUE!</v>
      </c>
      <c r="BT48" t="e">
        <f>AND('Planilla_General_29-11-2012_10_'!P712,"AAAAAH1ftEc=")</f>
        <v>#VALUE!</v>
      </c>
      <c r="BU48">
        <f>IF('Planilla_General_29-11-2012_10_'!713:713,"AAAAAH1ftEg=",0)</f>
        <v>0</v>
      </c>
      <c r="BV48" t="e">
        <f>AND('Planilla_General_29-11-2012_10_'!A713,"AAAAAH1ftEk=")</f>
        <v>#VALUE!</v>
      </c>
      <c r="BW48" t="e">
        <f>AND('Planilla_General_29-11-2012_10_'!B713,"AAAAAH1ftEo=")</f>
        <v>#VALUE!</v>
      </c>
      <c r="BX48" t="e">
        <f>AND('Planilla_General_29-11-2012_10_'!C713,"AAAAAH1ftEs=")</f>
        <v>#VALUE!</v>
      </c>
      <c r="BY48" t="e">
        <f>AND('Planilla_General_29-11-2012_10_'!D713,"AAAAAH1ftEw=")</f>
        <v>#VALUE!</v>
      </c>
      <c r="BZ48" t="e">
        <f>AND('Planilla_General_29-11-2012_10_'!E713,"AAAAAH1ftE0=")</f>
        <v>#VALUE!</v>
      </c>
      <c r="CA48" t="e">
        <f>AND('Planilla_General_29-11-2012_10_'!F713,"AAAAAH1ftE4=")</f>
        <v>#VALUE!</v>
      </c>
      <c r="CB48" t="e">
        <f>AND('Planilla_General_29-11-2012_10_'!G713,"AAAAAH1ftE8=")</f>
        <v>#VALUE!</v>
      </c>
      <c r="CC48" t="e">
        <f>AND('Planilla_General_29-11-2012_10_'!H713,"AAAAAH1ftFA=")</f>
        <v>#VALUE!</v>
      </c>
      <c r="CD48" t="e">
        <f>AND('Planilla_General_29-11-2012_10_'!I713,"AAAAAH1ftFE=")</f>
        <v>#VALUE!</v>
      </c>
      <c r="CE48" t="e">
        <f>AND('Planilla_General_29-11-2012_10_'!J713,"AAAAAH1ftFI=")</f>
        <v>#VALUE!</v>
      </c>
      <c r="CF48" t="e">
        <f>AND('Planilla_General_29-11-2012_10_'!K713,"AAAAAH1ftFM=")</f>
        <v>#VALUE!</v>
      </c>
      <c r="CG48" t="e">
        <f>AND('Planilla_General_29-11-2012_10_'!L713,"AAAAAH1ftFQ=")</f>
        <v>#VALUE!</v>
      </c>
      <c r="CH48" t="e">
        <f>AND('Planilla_General_29-11-2012_10_'!M713,"AAAAAH1ftFU=")</f>
        <v>#VALUE!</v>
      </c>
      <c r="CI48" t="e">
        <f>AND('Planilla_General_29-11-2012_10_'!N713,"AAAAAH1ftFY=")</f>
        <v>#VALUE!</v>
      </c>
      <c r="CJ48" t="e">
        <f>AND('Planilla_General_29-11-2012_10_'!O713,"AAAAAH1ftFc=")</f>
        <v>#VALUE!</v>
      </c>
      <c r="CK48" t="e">
        <f>AND('Planilla_General_29-11-2012_10_'!P713,"AAAAAH1ftFg=")</f>
        <v>#VALUE!</v>
      </c>
      <c r="CL48">
        <f>IF('Planilla_General_29-11-2012_10_'!714:714,"AAAAAH1ftFk=",0)</f>
        <v>0</v>
      </c>
      <c r="CM48" t="e">
        <f>AND('Planilla_General_29-11-2012_10_'!A714,"AAAAAH1ftFo=")</f>
        <v>#VALUE!</v>
      </c>
      <c r="CN48" t="e">
        <f>AND('Planilla_General_29-11-2012_10_'!B714,"AAAAAH1ftFs=")</f>
        <v>#VALUE!</v>
      </c>
      <c r="CO48" t="e">
        <f>AND('Planilla_General_29-11-2012_10_'!C714,"AAAAAH1ftFw=")</f>
        <v>#VALUE!</v>
      </c>
      <c r="CP48" t="e">
        <f>AND('Planilla_General_29-11-2012_10_'!D714,"AAAAAH1ftF0=")</f>
        <v>#VALUE!</v>
      </c>
      <c r="CQ48" t="e">
        <f>AND('Planilla_General_29-11-2012_10_'!E714,"AAAAAH1ftF4=")</f>
        <v>#VALUE!</v>
      </c>
      <c r="CR48" t="e">
        <f>AND('Planilla_General_29-11-2012_10_'!F714,"AAAAAH1ftF8=")</f>
        <v>#VALUE!</v>
      </c>
      <c r="CS48" t="e">
        <f>AND('Planilla_General_29-11-2012_10_'!G714,"AAAAAH1ftGA=")</f>
        <v>#VALUE!</v>
      </c>
      <c r="CT48" t="e">
        <f>AND('Planilla_General_29-11-2012_10_'!H714,"AAAAAH1ftGE=")</f>
        <v>#VALUE!</v>
      </c>
      <c r="CU48" t="e">
        <f>AND('Planilla_General_29-11-2012_10_'!I714,"AAAAAH1ftGI=")</f>
        <v>#VALUE!</v>
      </c>
      <c r="CV48" t="e">
        <f>AND('Planilla_General_29-11-2012_10_'!J714,"AAAAAH1ftGM=")</f>
        <v>#VALUE!</v>
      </c>
      <c r="CW48" t="e">
        <f>AND('Planilla_General_29-11-2012_10_'!K714,"AAAAAH1ftGQ=")</f>
        <v>#VALUE!</v>
      </c>
      <c r="CX48" t="e">
        <f>AND('Planilla_General_29-11-2012_10_'!L714,"AAAAAH1ftGU=")</f>
        <v>#VALUE!</v>
      </c>
      <c r="CY48" t="e">
        <f>AND('Planilla_General_29-11-2012_10_'!M714,"AAAAAH1ftGY=")</f>
        <v>#VALUE!</v>
      </c>
      <c r="CZ48" t="e">
        <f>AND('Planilla_General_29-11-2012_10_'!N714,"AAAAAH1ftGc=")</f>
        <v>#VALUE!</v>
      </c>
      <c r="DA48" t="e">
        <f>AND('Planilla_General_29-11-2012_10_'!O714,"AAAAAH1ftGg=")</f>
        <v>#VALUE!</v>
      </c>
      <c r="DB48" t="e">
        <f>AND('Planilla_General_29-11-2012_10_'!P714,"AAAAAH1ftGk=")</f>
        <v>#VALUE!</v>
      </c>
      <c r="DC48">
        <f>IF('Planilla_General_29-11-2012_10_'!715:715,"AAAAAH1ftGo=",0)</f>
        <v>0</v>
      </c>
      <c r="DD48" t="e">
        <f>AND('Planilla_General_29-11-2012_10_'!A715,"AAAAAH1ftGs=")</f>
        <v>#VALUE!</v>
      </c>
      <c r="DE48" t="e">
        <f>AND('Planilla_General_29-11-2012_10_'!B715,"AAAAAH1ftGw=")</f>
        <v>#VALUE!</v>
      </c>
      <c r="DF48" t="e">
        <f>AND('Planilla_General_29-11-2012_10_'!C715,"AAAAAH1ftG0=")</f>
        <v>#VALUE!</v>
      </c>
      <c r="DG48" t="e">
        <f>AND('Planilla_General_29-11-2012_10_'!D715,"AAAAAH1ftG4=")</f>
        <v>#VALUE!</v>
      </c>
      <c r="DH48" t="e">
        <f>AND('Planilla_General_29-11-2012_10_'!E715,"AAAAAH1ftG8=")</f>
        <v>#VALUE!</v>
      </c>
      <c r="DI48" t="e">
        <f>AND('Planilla_General_29-11-2012_10_'!F715,"AAAAAH1ftHA=")</f>
        <v>#VALUE!</v>
      </c>
      <c r="DJ48" t="e">
        <f>AND('Planilla_General_29-11-2012_10_'!G715,"AAAAAH1ftHE=")</f>
        <v>#VALUE!</v>
      </c>
      <c r="DK48" t="e">
        <f>AND('Planilla_General_29-11-2012_10_'!H715,"AAAAAH1ftHI=")</f>
        <v>#VALUE!</v>
      </c>
      <c r="DL48" t="e">
        <f>AND('Planilla_General_29-11-2012_10_'!I715,"AAAAAH1ftHM=")</f>
        <v>#VALUE!</v>
      </c>
      <c r="DM48" t="e">
        <f>AND('Planilla_General_29-11-2012_10_'!J715,"AAAAAH1ftHQ=")</f>
        <v>#VALUE!</v>
      </c>
      <c r="DN48" t="e">
        <f>AND('Planilla_General_29-11-2012_10_'!K715,"AAAAAH1ftHU=")</f>
        <v>#VALUE!</v>
      </c>
      <c r="DO48" t="e">
        <f>AND('Planilla_General_29-11-2012_10_'!L715,"AAAAAH1ftHY=")</f>
        <v>#VALUE!</v>
      </c>
      <c r="DP48" t="e">
        <f>AND('Planilla_General_29-11-2012_10_'!M715,"AAAAAH1ftHc=")</f>
        <v>#VALUE!</v>
      </c>
      <c r="DQ48" t="e">
        <f>AND('Planilla_General_29-11-2012_10_'!N715,"AAAAAH1ftHg=")</f>
        <v>#VALUE!</v>
      </c>
      <c r="DR48" t="e">
        <f>AND('Planilla_General_29-11-2012_10_'!O715,"AAAAAH1ftHk=")</f>
        <v>#VALUE!</v>
      </c>
      <c r="DS48" t="e">
        <f>AND('Planilla_General_29-11-2012_10_'!P715,"AAAAAH1ftHo=")</f>
        <v>#VALUE!</v>
      </c>
      <c r="DT48">
        <f>IF('Planilla_General_29-11-2012_10_'!716:716,"AAAAAH1ftHs=",0)</f>
        <v>0</v>
      </c>
      <c r="DU48" t="e">
        <f>AND('Planilla_General_29-11-2012_10_'!A716,"AAAAAH1ftHw=")</f>
        <v>#VALUE!</v>
      </c>
      <c r="DV48" t="e">
        <f>AND('Planilla_General_29-11-2012_10_'!B716,"AAAAAH1ftH0=")</f>
        <v>#VALUE!</v>
      </c>
      <c r="DW48" t="e">
        <f>AND('Planilla_General_29-11-2012_10_'!C716,"AAAAAH1ftH4=")</f>
        <v>#VALUE!</v>
      </c>
      <c r="DX48" t="e">
        <f>AND('Planilla_General_29-11-2012_10_'!D716,"AAAAAH1ftH8=")</f>
        <v>#VALUE!</v>
      </c>
      <c r="DY48" t="e">
        <f>AND('Planilla_General_29-11-2012_10_'!E716,"AAAAAH1ftIA=")</f>
        <v>#VALUE!</v>
      </c>
      <c r="DZ48" t="e">
        <f>AND('Planilla_General_29-11-2012_10_'!F716,"AAAAAH1ftIE=")</f>
        <v>#VALUE!</v>
      </c>
      <c r="EA48" t="e">
        <f>AND('Planilla_General_29-11-2012_10_'!G716,"AAAAAH1ftII=")</f>
        <v>#VALUE!</v>
      </c>
      <c r="EB48" t="e">
        <f>AND('Planilla_General_29-11-2012_10_'!H716,"AAAAAH1ftIM=")</f>
        <v>#VALUE!</v>
      </c>
      <c r="EC48" t="e">
        <f>AND('Planilla_General_29-11-2012_10_'!I716,"AAAAAH1ftIQ=")</f>
        <v>#VALUE!</v>
      </c>
      <c r="ED48" t="e">
        <f>AND('Planilla_General_29-11-2012_10_'!J716,"AAAAAH1ftIU=")</f>
        <v>#VALUE!</v>
      </c>
      <c r="EE48" t="e">
        <f>AND('Planilla_General_29-11-2012_10_'!K716,"AAAAAH1ftIY=")</f>
        <v>#VALUE!</v>
      </c>
      <c r="EF48" t="e">
        <f>AND('Planilla_General_29-11-2012_10_'!L716,"AAAAAH1ftIc=")</f>
        <v>#VALUE!</v>
      </c>
      <c r="EG48" t="e">
        <f>AND('Planilla_General_29-11-2012_10_'!M716,"AAAAAH1ftIg=")</f>
        <v>#VALUE!</v>
      </c>
      <c r="EH48" t="e">
        <f>AND('Planilla_General_29-11-2012_10_'!N716,"AAAAAH1ftIk=")</f>
        <v>#VALUE!</v>
      </c>
      <c r="EI48" t="e">
        <f>AND('Planilla_General_29-11-2012_10_'!O716,"AAAAAH1ftIo=")</f>
        <v>#VALUE!</v>
      </c>
      <c r="EJ48" t="e">
        <f>AND('Planilla_General_29-11-2012_10_'!P716,"AAAAAH1ftIs=")</f>
        <v>#VALUE!</v>
      </c>
      <c r="EK48">
        <f>IF('Planilla_General_29-11-2012_10_'!717:717,"AAAAAH1ftIw=",0)</f>
        <v>0</v>
      </c>
      <c r="EL48" t="e">
        <f>AND('Planilla_General_29-11-2012_10_'!A717,"AAAAAH1ftI0=")</f>
        <v>#VALUE!</v>
      </c>
      <c r="EM48" t="e">
        <f>AND('Planilla_General_29-11-2012_10_'!B717,"AAAAAH1ftI4=")</f>
        <v>#VALUE!</v>
      </c>
      <c r="EN48" t="e">
        <f>AND('Planilla_General_29-11-2012_10_'!C717,"AAAAAH1ftI8=")</f>
        <v>#VALUE!</v>
      </c>
      <c r="EO48" t="e">
        <f>AND('Planilla_General_29-11-2012_10_'!D717,"AAAAAH1ftJA=")</f>
        <v>#VALUE!</v>
      </c>
      <c r="EP48" t="e">
        <f>AND('Planilla_General_29-11-2012_10_'!E717,"AAAAAH1ftJE=")</f>
        <v>#VALUE!</v>
      </c>
      <c r="EQ48" t="e">
        <f>AND('Planilla_General_29-11-2012_10_'!F717,"AAAAAH1ftJI=")</f>
        <v>#VALUE!</v>
      </c>
      <c r="ER48" t="e">
        <f>AND('Planilla_General_29-11-2012_10_'!G717,"AAAAAH1ftJM=")</f>
        <v>#VALUE!</v>
      </c>
      <c r="ES48" t="e">
        <f>AND('Planilla_General_29-11-2012_10_'!H717,"AAAAAH1ftJQ=")</f>
        <v>#VALUE!</v>
      </c>
      <c r="ET48" t="e">
        <f>AND('Planilla_General_29-11-2012_10_'!I717,"AAAAAH1ftJU=")</f>
        <v>#VALUE!</v>
      </c>
      <c r="EU48" t="e">
        <f>AND('Planilla_General_29-11-2012_10_'!J717,"AAAAAH1ftJY=")</f>
        <v>#VALUE!</v>
      </c>
      <c r="EV48" t="e">
        <f>AND('Planilla_General_29-11-2012_10_'!K717,"AAAAAH1ftJc=")</f>
        <v>#VALUE!</v>
      </c>
      <c r="EW48" t="e">
        <f>AND('Planilla_General_29-11-2012_10_'!L717,"AAAAAH1ftJg=")</f>
        <v>#VALUE!</v>
      </c>
      <c r="EX48" t="e">
        <f>AND('Planilla_General_29-11-2012_10_'!M717,"AAAAAH1ftJk=")</f>
        <v>#VALUE!</v>
      </c>
      <c r="EY48" t="e">
        <f>AND('Planilla_General_29-11-2012_10_'!N717,"AAAAAH1ftJo=")</f>
        <v>#VALUE!</v>
      </c>
      <c r="EZ48" t="e">
        <f>AND('Planilla_General_29-11-2012_10_'!O717,"AAAAAH1ftJs=")</f>
        <v>#VALUE!</v>
      </c>
      <c r="FA48" t="e">
        <f>AND('Planilla_General_29-11-2012_10_'!P717,"AAAAAH1ftJw=")</f>
        <v>#VALUE!</v>
      </c>
      <c r="FB48">
        <f>IF('Planilla_General_29-11-2012_10_'!718:718,"AAAAAH1ftJ0=",0)</f>
        <v>0</v>
      </c>
      <c r="FC48" t="e">
        <f>AND('Planilla_General_29-11-2012_10_'!A718,"AAAAAH1ftJ4=")</f>
        <v>#VALUE!</v>
      </c>
      <c r="FD48" t="e">
        <f>AND('Planilla_General_29-11-2012_10_'!B718,"AAAAAH1ftJ8=")</f>
        <v>#VALUE!</v>
      </c>
      <c r="FE48" t="e">
        <f>AND('Planilla_General_29-11-2012_10_'!C718,"AAAAAH1ftKA=")</f>
        <v>#VALUE!</v>
      </c>
      <c r="FF48" t="e">
        <f>AND('Planilla_General_29-11-2012_10_'!D718,"AAAAAH1ftKE=")</f>
        <v>#VALUE!</v>
      </c>
      <c r="FG48" t="e">
        <f>AND('Planilla_General_29-11-2012_10_'!E718,"AAAAAH1ftKI=")</f>
        <v>#VALUE!</v>
      </c>
      <c r="FH48" t="e">
        <f>AND('Planilla_General_29-11-2012_10_'!F718,"AAAAAH1ftKM=")</f>
        <v>#VALUE!</v>
      </c>
      <c r="FI48" t="e">
        <f>AND('Planilla_General_29-11-2012_10_'!G718,"AAAAAH1ftKQ=")</f>
        <v>#VALUE!</v>
      </c>
      <c r="FJ48" t="e">
        <f>AND('Planilla_General_29-11-2012_10_'!H718,"AAAAAH1ftKU=")</f>
        <v>#VALUE!</v>
      </c>
      <c r="FK48" t="e">
        <f>AND('Planilla_General_29-11-2012_10_'!I718,"AAAAAH1ftKY=")</f>
        <v>#VALUE!</v>
      </c>
      <c r="FL48" t="e">
        <f>AND('Planilla_General_29-11-2012_10_'!J718,"AAAAAH1ftKc=")</f>
        <v>#VALUE!</v>
      </c>
      <c r="FM48" t="e">
        <f>AND('Planilla_General_29-11-2012_10_'!K718,"AAAAAH1ftKg=")</f>
        <v>#VALUE!</v>
      </c>
      <c r="FN48" t="e">
        <f>AND('Planilla_General_29-11-2012_10_'!L718,"AAAAAH1ftKk=")</f>
        <v>#VALUE!</v>
      </c>
      <c r="FO48" t="e">
        <f>AND('Planilla_General_29-11-2012_10_'!M718,"AAAAAH1ftKo=")</f>
        <v>#VALUE!</v>
      </c>
      <c r="FP48" t="e">
        <f>AND('Planilla_General_29-11-2012_10_'!N718,"AAAAAH1ftKs=")</f>
        <v>#VALUE!</v>
      </c>
      <c r="FQ48" t="e">
        <f>AND('Planilla_General_29-11-2012_10_'!O718,"AAAAAH1ftKw=")</f>
        <v>#VALUE!</v>
      </c>
      <c r="FR48" t="e">
        <f>AND('Planilla_General_29-11-2012_10_'!P718,"AAAAAH1ftK0=")</f>
        <v>#VALUE!</v>
      </c>
      <c r="FS48">
        <f>IF('Planilla_General_29-11-2012_10_'!719:719,"AAAAAH1ftK4=",0)</f>
        <v>0</v>
      </c>
      <c r="FT48" t="e">
        <f>AND('Planilla_General_29-11-2012_10_'!A719,"AAAAAH1ftK8=")</f>
        <v>#VALUE!</v>
      </c>
      <c r="FU48" t="e">
        <f>AND('Planilla_General_29-11-2012_10_'!B719,"AAAAAH1ftLA=")</f>
        <v>#VALUE!</v>
      </c>
      <c r="FV48" t="e">
        <f>AND('Planilla_General_29-11-2012_10_'!C719,"AAAAAH1ftLE=")</f>
        <v>#VALUE!</v>
      </c>
      <c r="FW48" t="e">
        <f>AND('Planilla_General_29-11-2012_10_'!D719,"AAAAAH1ftLI=")</f>
        <v>#VALUE!</v>
      </c>
      <c r="FX48" t="e">
        <f>AND('Planilla_General_29-11-2012_10_'!E719,"AAAAAH1ftLM=")</f>
        <v>#VALUE!</v>
      </c>
      <c r="FY48" t="e">
        <f>AND('Planilla_General_29-11-2012_10_'!F719,"AAAAAH1ftLQ=")</f>
        <v>#VALUE!</v>
      </c>
      <c r="FZ48" t="e">
        <f>AND('Planilla_General_29-11-2012_10_'!G719,"AAAAAH1ftLU=")</f>
        <v>#VALUE!</v>
      </c>
      <c r="GA48" t="e">
        <f>AND('Planilla_General_29-11-2012_10_'!H719,"AAAAAH1ftLY=")</f>
        <v>#VALUE!</v>
      </c>
      <c r="GB48" t="e">
        <f>AND('Planilla_General_29-11-2012_10_'!I719,"AAAAAH1ftLc=")</f>
        <v>#VALUE!</v>
      </c>
      <c r="GC48" t="e">
        <f>AND('Planilla_General_29-11-2012_10_'!J719,"AAAAAH1ftLg=")</f>
        <v>#VALUE!</v>
      </c>
      <c r="GD48" t="e">
        <f>AND('Planilla_General_29-11-2012_10_'!K719,"AAAAAH1ftLk=")</f>
        <v>#VALUE!</v>
      </c>
      <c r="GE48" t="e">
        <f>AND('Planilla_General_29-11-2012_10_'!L719,"AAAAAH1ftLo=")</f>
        <v>#VALUE!</v>
      </c>
      <c r="GF48" t="e">
        <f>AND('Planilla_General_29-11-2012_10_'!M719,"AAAAAH1ftLs=")</f>
        <v>#VALUE!</v>
      </c>
      <c r="GG48" t="e">
        <f>AND('Planilla_General_29-11-2012_10_'!N719,"AAAAAH1ftLw=")</f>
        <v>#VALUE!</v>
      </c>
      <c r="GH48" t="e">
        <f>AND('Planilla_General_29-11-2012_10_'!O719,"AAAAAH1ftL0=")</f>
        <v>#VALUE!</v>
      </c>
      <c r="GI48" t="e">
        <f>AND('Planilla_General_29-11-2012_10_'!P719,"AAAAAH1ftL4=")</f>
        <v>#VALUE!</v>
      </c>
      <c r="GJ48">
        <f>IF('Planilla_General_29-11-2012_10_'!720:720,"AAAAAH1ftL8=",0)</f>
        <v>0</v>
      </c>
      <c r="GK48" t="e">
        <f>AND('Planilla_General_29-11-2012_10_'!A720,"AAAAAH1ftMA=")</f>
        <v>#VALUE!</v>
      </c>
      <c r="GL48" t="e">
        <f>AND('Planilla_General_29-11-2012_10_'!B720,"AAAAAH1ftME=")</f>
        <v>#VALUE!</v>
      </c>
      <c r="GM48" t="e">
        <f>AND('Planilla_General_29-11-2012_10_'!C720,"AAAAAH1ftMI=")</f>
        <v>#VALUE!</v>
      </c>
      <c r="GN48" t="e">
        <f>AND('Planilla_General_29-11-2012_10_'!D720,"AAAAAH1ftMM=")</f>
        <v>#VALUE!</v>
      </c>
      <c r="GO48" t="e">
        <f>AND('Planilla_General_29-11-2012_10_'!E720,"AAAAAH1ftMQ=")</f>
        <v>#VALUE!</v>
      </c>
      <c r="GP48" t="e">
        <f>AND('Planilla_General_29-11-2012_10_'!F720,"AAAAAH1ftMU=")</f>
        <v>#VALUE!</v>
      </c>
      <c r="GQ48" t="e">
        <f>AND('Planilla_General_29-11-2012_10_'!G720,"AAAAAH1ftMY=")</f>
        <v>#VALUE!</v>
      </c>
      <c r="GR48" t="e">
        <f>AND('Planilla_General_29-11-2012_10_'!H720,"AAAAAH1ftMc=")</f>
        <v>#VALUE!</v>
      </c>
      <c r="GS48" t="e">
        <f>AND('Planilla_General_29-11-2012_10_'!I720,"AAAAAH1ftMg=")</f>
        <v>#VALUE!</v>
      </c>
      <c r="GT48" t="e">
        <f>AND('Planilla_General_29-11-2012_10_'!J720,"AAAAAH1ftMk=")</f>
        <v>#VALUE!</v>
      </c>
      <c r="GU48" t="e">
        <f>AND('Planilla_General_29-11-2012_10_'!K720,"AAAAAH1ftMo=")</f>
        <v>#VALUE!</v>
      </c>
      <c r="GV48" t="e">
        <f>AND('Planilla_General_29-11-2012_10_'!L720,"AAAAAH1ftMs=")</f>
        <v>#VALUE!</v>
      </c>
      <c r="GW48" t="e">
        <f>AND('Planilla_General_29-11-2012_10_'!M720,"AAAAAH1ftMw=")</f>
        <v>#VALUE!</v>
      </c>
      <c r="GX48" t="e">
        <f>AND('Planilla_General_29-11-2012_10_'!N720,"AAAAAH1ftM0=")</f>
        <v>#VALUE!</v>
      </c>
      <c r="GY48" t="e">
        <f>AND('Planilla_General_29-11-2012_10_'!O720,"AAAAAH1ftM4=")</f>
        <v>#VALUE!</v>
      </c>
      <c r="GZ48" t="e">
        <f>AND('Planilla_General_29-11-2012_10_'!P720,"AAAAAH1ftM8=")</f>
        <v>#VALUE!</v>
      </c>
      <c r="HA48">
        <f>IF('Planilla_General_29-11-2012_10_'!721:721,"AAAAAH1ftNA=",0)</f>
        <v>0</v>
      </c>
      <c r="HB48" t="e">
        <f>AND('Planilla_General_29-11-2012_10_'!A721,"AAAAAH1ftNE=")</f>
        <v>#VALUE!</v>
      </c>
      <c r="HC48" t="e">
        <f>AND('Planilla_General_29-11-2012_10_'!B721,"AAAAAH1ftNI=")</f>
        <v>#VALUE!</v>
      </c>
      <c r="HD48" t="e">
        <f>AND('Planilla_General_29-11-2012_10_'!C721,"AAAAAH1ftNM=")</f>
        <v>#VALUE!</v>
      </c>
      <c r="HE48" t="e">
        <f>AND('Planilla_General_29-11-2012_10_'!D721,"AAAAAH1ftNQ=")</f>
        <v>#VALUE!</v>
      </c>
      <c r="HF48" t="e">
        <f>AND('Planilla_General_29-11-2012_10_'!E721,"AAAAAH1ftNU=")</f>
        <v>#VALUE!</v>
      </c>
      <c r="HG48" t="e">
        <f>AND('Planilla_General_29-11-2012_10_'!F721,"AAAAAH1ftNY=")</f>
        <v>#VALUE!</v>
      </c>
      <c r="HH48" t="e">
        <f>AND('Planilla_General_29-11-2012_10_'!G721,"AAAAAH1ftNc=")</f>
        <v>#VALUE!</v>
      </c>
      <c r="HI48" t="e">
        <f>AND('Planilla_General_29-11-2012_10_'!H721,"AAAAAH1ftNg=")</f>
        <v>#VALUE!</v>
      </c>
      <c r="HJ48" t="e">
        <f>AND('Planilla_General_29-11-2012_10_'!I721,"AAAAAH1ftNk=")</f>
        <v>#VALUE!</v>
      </c>
      <c r="HK48" t="e">
        <f>AND('Planilla_General_29-11-2012_10_'!J721,"AAAAAH1ftNo=")</f>
        <v>#VALUE!</v>
      </c>
      <c r="HL48" t="e">
        <f>AND('Planilla_General_29-11-2012_10_'!K721,"AAAAAH1ftNs=")</f>
        <v>#VALUE!</v>
      </c>
      <c r="HM48" t="e">
        <f>AND('Planilla_General_29-11-2012_10_'!L721,"AAAAAH1ftNw=")</f>
        <v>#VALUE!</v>
      </c>
      <c r="HN48" t="e">
        <f>AND('Planilla_General_29-11-2012_10_'!M721,"AAAAAH1ftN0=")</f>
        <v>#VALUE!</v>
      </c>
      <c r="HO48" t="e">
        <f>AND('Planilla_General_29-11-2012_10_'!N721,"AAAAAH1ftN4=")</f>
        <v>#VALUE!</v>
      </c>
      <c r="HP48" t="e">
        <f>AND('Planilla_General_29-11-2012_10_'!O721,"AAAAAH1ftN8=")</f>
        <v>#VALUE!</v>
      </c>
      <c r="HQ48" t="e">
        <f>AND('Planilla_General_29-11-2012_10_'!P721,"AAAAAH1ftOA=")</f>
        <v>#VALUE!</v>
      </c>
      <c r="HR48">
        <f>IF('Planilla_General_29-11-2012_10_'!722:722,"AAAAAH1ftOE=",0)</f>
        <v>0</v>
      </c>
      <c r="HS48" t="e">
        <f>AND('Planilla_General_29-11-2012_10_'!A722,"AAAAAH1ftOI=")</f>
        <v>#VALUE!</v>
      </c>
      <c r="HT48" t="e">
        <f>AND('Planilla_General_29-11-2012_10_'!B722,"AAAAAH1ftOM=")</f>
        <v>#VALUE!</v>
      </c>
      <c r="HU48" t="e">
        <f>AND('Planilla_General_29-11-2012_10_'!C722,"AAAAAH1ftOQ=")</f>
        <v>#VALUE!</v>
      </c>
      <c r="HV48" t="e">
        <f>AND('Planilla_General_29-11-2012_10_'!D722,"AAAAAH1ftOU=")</f>
        <v>#VALUE!</v>
      </c>
      <c r="HW48" t="e">
        <f>AND('Planilla_General_29-11-2012_10_'!E722,"AAAAAH1ftOY=")</f>
        <v>#VALUE!</v>
      </c>
      <c r="HX48" t="e">
        <f>AND('Planilla_General_29-11-2012_10_'!F722,"AAAAAH1ftOc=")</f>
        <v>#VALUE!</v>
      </c>
      <c r="HY48" t="e">
        <f>AND('Planilla_General_29-11-2012_10_'!G722,"AAAAAH1ftOg=")</f>
        <v>#VALUE!</v>
      </c>
      <c r="HZ48" t="e">
        <f>AND('Planilla_General_29-11-2012_10_'!H722,"AAAAAH1ftOk=")</f>
        <v>#VALUE!</v>
      </c>
      <c r="IA48" t="e">
        <f>AND('Planilla_General_29-11-2012_10_'!I722,"AAAAAH1ftOo=")</f>
        <v>#VALUE!</v>
      </c>
      <c r="IB48" t="e">
        <f>AND('Planilla_General_29-11-2012_10_'!J722,"AAAAAH1ftOs=")</f>
        <v>#VALUE!</v>
      </c>
      <c r="IC48" t="e">
        <f>AND('Planilla_General_29-11-2012_10_'!K722,"AAAAAH1ftOw=")</f>
        <v>#VALUE!</v>
      </c>
      <c r="ID48" t="e">
        <f>AND('Planilla_General_29-11-2012_10_'!L722,"AAAAAH1ftO0=")</f>
        <v>#VALUE!</v>
      </c>
      <c r="IE48" t="e">
        <f>AND('Planilla_General_29-11-2012_10_'!M722,"AAAAAH1ftO4=")</f>
        <v>#VALUE!</v>
      </c>
      <c r="IF48" t="e">
        <f>AND('Planilla_General_29-11-2012_10_'!N722,"AAAAAH1ftO8=")</f>
        <v>#VALUE!</v>
      </c>
      <c r="IG48" t="e">
        <f>AND('Planilla_General_29-11-2012_10_'!O722,"AAAAAH1ftPA=")</f>
        <v>#VALUE!</v>
      </c>
      <c r="IH48" t="e">
        <f>AND('Planilla_General_29-11-2012_10_'!P722,"AAAAAH1ftPE=")</f>
        <v>#VALUE!</v>
      </c>
      <c r="II48">
        <f>IF('Planilla_General_29-11-2012_10_'!723:723,"AAAAAH1ftPI=",0)</f>
        <v>0</v>
      </c>
      <c r="IJ48" t="e">
        <f>AND('Planilla_General_29-11-2012_10_'!A723,"AAAAAH1ftPM=")</f>
        <v>#VALUE!</v>
      </c>
      <c r="IK48" t="e">
        <f>AND('Planilla_General_29-11-2012_10_'!B723,"AAAAAH1ftPQ=")</f>
        <v>#VALUE!</v>
      </c>
      <c r="IL48" t="e">
        <f>AND('Planilla_General_29-11-2012_10_'!C723,"AAAAAH1ftPU=")</f>
        <v>#VALUE!</v>
      </c>
      <c r="IM48" t="e">
        <f>AND('Planilla_General_29-11-2012_10_'!D723,"AAAAAH1ftPY=")</f>
        <v>#VALUE!</v>
      </c>
      <c r="IN48" t="e">
        <f>AND('Planilla_General_29-11-2012_10_'!E723,"AAAAAH1ftPc=")</f>
        <v>#VALUE!</v>
      </c>
      <c r="IO48" t="e">
        <f>AND('Planilla_General_29-11-2012_10_'!F723,"AAAAAH1ftPg=")</f>
        <v>#VALUE!</v>
      </c>
      <c r="IP48" t="e">
        <f>AND('Planilla_General_29-11-2012_10_'!G723,"AAAAAH1ftPk=")</f>
        <v>#VALUE!</v>
      </c>
      <c r="IQ48" t="e">
        <f>AND('Planilla_General_29-11-2012_10_'!H723,"AAAAAH1ftPo=")</f>
        <v>#VALUE!</v>
      </c>
      <c r="IR48" t="e">
        <f>AND('Planilla_General_29-11-2012_10_'!I723,"AAAAAH1ftPs=")</f>
        <v>#VALUE!</v>
      </c>
      <c r="IS48" t="e">
        <f>AND('Planilla_General_29-11-2012_10_'!J723,"AAAAAH1ftPw=")</f>
        <v>#VALUE!</v>
      </c>
      <c r="IT48" t="e">
        <f>AND('Planilla_General_29-11-2012_10_'!K723,"AAAAAH1ftP0=")</f>
        <v>#VALUE!</v>
      </c>
      <c r="IU48" t="e">
        <f>AND('Planilla_General_29-11-2012_10_'!L723,"AAAAAH1ftP4=")</f>
        <v>#VALUE!</v>
      </c>
      <c r="IV48" t="e">
        <f>AND('Planilla_General_29-11-2012_10_'!M723,"AAAAAH1ftP8=")</f>
        <v>#VALUE!</v>
      </c>
    </row>
    <row r="49" spans="1:256" x14ac:dyDescent="0.25">
      <c r="A49" t="e">
        <f>AND('Planilla_General_29-11-2012_10_'!N723,"AAAAAHdb3wA=")</f>
        <v>#VALUE!</v>
      </c>
      <c r="B49" t="e">
        <f>AND('Planilla_General_29-11-2012_10_'!O723,"AAAAAHdb3wE=")</f>
        <v>#VALUE!</v>
      </c>
      <c r="C49" t="e">
        <f>AND('Planilla_General_29-11-2012_10_'!P723,"AAAAAHdb3wI=")</f>
        <v>#VALUE!</v>
      </c>
      <c r="D49" t="e">
        <f>IF('Planilla_General_29-11-2012_10_'!724:724,"AAAAAHdb3wM=",0)</f>
        <v>#VALUE!</v>
      </c>
      <c r="E49" t="e">
        <f>AND('Planilla_General_29-11-2012_10_'!A724,"AAAAAHdb3wQ=")</f>
        <v>#VALUE!</v>
      </c>
      <c r="F49" t="e">
        <f>AND('Planilla_General_29-11-2012_10_'!B724,"AAAAAHdb3wU=")</f>
        <v>#VALUE!</v>
      </c>
      <c r="G49" t="e">
        <f>AND('Planilla_General_29-11-2012_10_'!C724,"AAAAAHdb3wY=")</f>
        <v>#VALUE!</v>
      </c>
      <c r="H49" t="e">
        <f>AND('Planilla_General_29-11-2012_10_'!D724,"AAAAAHdb3wc=")</f>
        <v>#VALUE!</v>
      </c>
      <c r="I49" t="e">
        <f>AND('Planilla_General_29-11-2012_10_'!E724,"AAAAAHdb3wg=")</f>
        <v>#VALUE!</v>
      </c>
      <c r="J49" t="e">
        <f>AND('Planilla_General_29-11-2012_10_'!F724,"AAAAAHdb3wk=")</f>
        <v>#VALUE!</v>
      </c>
      <c r="K49" t="e">
        <f>AND('Planilla_General_29-11-2012_10_'!G724,"AAAAAHdb3wo=")</f>
        <v>#VALUE!</v>
      </c>
      <c r="L49" t="e">
        <f>AND('Planilla_General_29-11-2012_10_'!H724,"AAAAAHdb3ws=")</f>
        <v>#VALUE!</v>
      </c>
      <c r="M49" t="e">
        <f>AND('Planilla_General_29-11-2012_10_'!I724,"AAAAAHdb3ww=")</f>
        <v>#VALUE!</v>
      </c>
      <c r="N49" t="e">
        <f>AND('Planilla_General_29-11-2012_10_'!J724,"AAAAAHdb3w0=")</f>
        <v>#VALUE!</v>
      </c>
      <c r="O49" t="e">
        <f>AND('Planilla_General_29-11-2012_10_'!K724,"AAAAAHdb3w4=")</f>
        <v>#VALUE!</v>
      </c>
      <c r="P49" t="e">
        <f>AND('Planilla_General_29-11-2012_10_'!L724,"AAAAAHdb3w8=")</f>
        <v>#VALUE!</v>
      </c>
      <c r="Q49" t="e">
        <f>AND('Planilla_General_29-11-2012_10_'!M724,"AAAAAHdb3xA=")</f>
        <v>#VALUE!</v>
      </c>
      <c r="R49" t="e">
        <f>AND('Planilla_General_29-11-2012_10_'!N724,"AAAAAHdb3xE=")</f>
        <v>#VALUE!</v>
      </c>
      <c r="S49" t="e">
        <f>AND('Planilla_General_29-11-2012_10_'!O724,"AAAAAHdb3xI=")</f>
        <v>#VALUE!</v>
      </c>
      <c r="T49" t="e">
        <f>AND('Planilla_General_29-11-2012_10_'!P724,"AAAAAHdb3xM=")</f>
        <v>#VALUE!</v>
      </c>
      <c r="U49">
        <f>IF('Planilla_General_29-11-2012_10_'!725:725,"AAAAAHdb3xQ=",0)</f>
        <v>0</v>
      </c>
      <c r="V49" t="e">
        <f>AND('Planilla_General_29-11-2012_10_'!A725,"AAAAAHdb3xU=")</f>
        <v>#VALUE!</v>
      </c>
      <c r="W49" t="e">
        <f>AND('Planilla_General_29-11-2012_10_'!B725,"AAAAAHdb3xY=")</f>
        <v>#VALUE!</v>
      </c>
      <c r="X49" t="e">
        <f>AND('Planilla_General_29-11-2012_10_'!C725,"AAAAAHdb3xc=")</f>
        <v>#VALUE!</v>
      </c>
      <c r="Y49" t="e">
        <f>AND('Planilla_General_29-11-2012_10_'!D725,"AAAAAHdb3xg=")</f>
        <v>#VALUE!</v>
      </c>
      <c r="Z49" t="e">
        <f>AND('Planilla_General_29-11-2012_10_'!E725,"AAAAAHdb3xk=")</f>
        <v>#VALUE!</v>
      </c>
      <c r="AA49" t="e">
        <f>AND('Planilla_General_29-11-2012_10_'!F725,"AAAAAHdb3xo=")</f>
        <v>#VALUE!</v>
      </c>
      <c r="AB49" t="e">
        <f>AND('Planilla_General_29-11-2012_10_'!G725,"AAAAAHdb3xs=")</f>
        <v>#VALUE!</v>
      </c>
      <c r="AC49" t="e">
        <f>AND('Planilla_General_29-11-2012_10_'!H725,"AAAAAHdb3xw=")</f>
        <v>#VALUE!</v>
      </c>
      <c r="AD49" t="e">
        <f>AND('Planilla_General_29-11-2012_10_'!I725,"AAAAAHdb3x0=")</f>
        <v>#VALUE!</v>
      </c>
      <c r="AE49" t="e">
        <f>AND('Planilla_General_29-11-2012_10_'!J725,"AAAAAHdb3x4=")</f>
        <v>#VALUE!</v>
      </c>
      <c r="AF49" t="e">
        <f>AND('Planilla_General_29-11-2012_10_'!K725,"AAAAAHdb3x8=")</f>
        <v>#VALUE!</v>
      </c>
      <c r="AG49" t="e">
        <f>AND('Planilla_General_29-11-2012_10_'!L725,"AAAAAHdb3yA=")</f>
        <v>#VALUE!</v>
      </c>
      <c r="AH49" t="e">
        <f>AND('Planilla_General_29-11-2012_10_'!M725,"AAAAAHdb3yE=")</f>
        <v>#VALUE!</v>
      </c>
      <c r="AI49" t="e">
        <f>AND('Planilla_General_29-11-2012_10_'!N725,"AAAAAHdb3yI=")</f>
        <v>#VALUE!</v>
      </c>
      <c r="AJ49" t="e">
        <f>AND('Planilla_General_29-11-2012_10_'!O725,"AAAAAHdb3yM=")</f>
        <v>#VALUE!</v>
      </c>
      <c r="AK49" t="e">
        <f>AND('Planilla_General_29-11-2012_10_'!P725,"AAAAAHdb3yQ=")</f>
        <v>#VALUE!</v>
      </c>
      <c r="AL49">
        <f>IF('Planilla_General_29-11-2012_10_'!726:726,"AAAAAHdb3yU=",0)</f>
        <v>0</v>
      </c>
      <c r="AM49" t="e">
        <f>AND('Planilla_General_29-11-2012_10_'!A726,"AAAAAHdb3yY=")</f>
        <v>#VALUE!</v>
      </c>
      <c r="AN49" t="e">
        <f>AND('Planilla_General_29-11-2012_10_'!B726,"AAAAAHdb3yc=")</f>
        <v>#VALUE!</v>
      </c>
      <c r="AO49" t="e">
        <f>AND('Planilla_General_29-11-2012_10_'!C726,"AAAAAHdb3yg=")</f>
        <v>#VALUE!</v>
      </c>
      <c r="AP49" t="e">
        <f>AND('Planilla_General_29-11-2012_10_'!D726,"AAAAAHdb3yk=")</f>
        <v>#VALUE!</v>
      </c>
      <c r="AQ49" t="e">
        <f>AND('Planilla_General_29-11-2012_10_'!E726,"AAAAAHdb3yo=")</f>
        <v>#VALUE!</v>
      </c>
      <c r="AR49" t="e">
        <f>AND('Planilla_General_29-11-2012_10_'!F726,"AAAAAHdb3ys=")</f>
        <v>#VALUE!</v>
      </c>
      <c r="AS49" t="e">
        <f>AND('Planilla_General_29-11-2012_10_'!G726,"AAAAAHdb3yw=")</f>
        <v>#VALUE!</v>
      </c>
      <c r="AT49" t="e">
        <f>AND('Planilla_General_29-11-2012_10_'!H726,"AAAAAHdb3y0=")</f>
        <v>#VALUE!</v>
      </c>
      <c r="AU49" t="e">
        <f>AND('Planilla_General_29-11-2012_10_'!I726,"AAAAAHdb3y4=")</f>
        <v>#VALUE!</v>
      </c>
      <c r="AV49" t="e">
        <f>AND('Planilla_General_29-11-2012_10_'!J726,"AAAAAHdb3y8=")</f>
        <v>#VALUE!</v>
      </c>
      <c r="AW49" t="e">
        <f>AND('Planilla_General_29-11-2012_10_'!K726,"AAAAAHdb3zA=")</f>
        <v>#VALUE!</v>
      </c>
      <c r="AX49" t="e">
        <f>AND('Planilla_General_29-11-2012_10_'!L726,"AAAAAHdb3zE=")</f>
        <v>#VALUE!</v>
      </c>
      <c r="AY49" t="e">
        <f>AND('Planilla_General_29-11-2012_10_'!M726,"AAAAAHdb3zI=")</f>
        <v>#VALUE!</v>
      </c>
      <c r="AZ49" t="e">
        <f>AND('Planilla_General_29-11-2012_10_'!N726,"AAAAAHdb3zM=")</f>
        <v>#VALUE!</v>
      </c>
      <c r="BA49" t="e">
        <f>AND('Planilla_General_29-11-2012_10_'!O726,"AAAAAHdb3zQ=")</f>
        <v>#VALUE!</v>
      </c>
      <c r="BB49" t="e">
        <f>AND('Planilla_General_29-11-2012_10_'!P726,"AAAAAHdb3zU=")</f>
        <v>#VALUE!</v>
      </c>
      <c r="BC49">
        <f>IF('Planilla_General_29-11-2012_10_'!727:727,"AAAAAHdb3zY=",0)</f>
        <v>0</v>
      </c>
      <c r="BD49" t="e">
        <f>AND('Planilla_General_29-11-2012_10_'!A727,"AAAAAHdb3zc=")</f>
        <v>#VALUE!</v>
      </c>
      <c r="BE49" t="e">
        <f>AND('Planilla_General_29-11-2012_10_'!B727,"AAAAAHdb3zg=")</f>
        <v>#VALUE!</v>
      </c>
      <c r="BF49" t="e">
        <f>AND('Planilla_General_29-11-2012_10_'!C727,"AAAAAHdb3zk=")</f>
        <v>#VALUE!</v>
      </c>
      <c r="BG49" t="e">
        <f>AND('Planilla_General_29-11-2012_10_'!D727,"AAAAAHdb3zo=")</f>
        <v>#VALUE!</v>
      </c>
      <c r="BH49" t="e">
        <f>AND('Planilla_General_29-11-2012_10_'!E727,"AAAAAHdb3zs=")</f>
        <v>#VALUE!</v>
      </c>
      <c r="BI49" t="e">
        <f>AND('Planilla_General_29-11-2012_10_'!F727,"AAAAAHdb3zw=")</f>
        <v>#VALUE!</v>
      </c>
      <c r="BJ49" t="e">
        <f>AND('Planilla_General_29-11-2012_10_'!G727,"AAAAAHdb3z0=")</f>
        <v>#VALUE!</v>
      </c>
      <c r="BK49" t="e">
        <f>AND('Planilla_General_29-11-2012_10_'!H727,"AAAAAHdb3z4=")</f>
        <v>#VALUE!</v>
      </c>
      <c r="BL49" t="e">
        <f>AND('Planilla_General_29-11-2012_10_'!I727,"AAAAAHdb3z8=")</f>
        <v>#VALUE!</v>
      </c>
      <c r="BM49" t="e">
        <f>AND('Planilla_General_29-11-2012_10_'!J727,"AAAAAHdb30A=")</f>
        <v>#VALUE!</v>
      </c>
      <c r="BN49" t="e">
        <f>AND('Planilla_General_29-11-2012_10_'!K727,"AAAAAHdb30E=")</f>
        <v>#VALUE!</v>
      </c>
      <c r="BO49" t="e">
        <f>AND('Planilla_General_29-11-2012_10_'!L727,"AAAAAHdb30I=")</f>
        <v>#VALUE!</v>
      </c>
      <c r="BP49" t="e">
        <f>AND('Planilla_General_29-11-2012_10_'!M727,"AAAAAHdb30M=")</f>
        <v>#VALUE!</v>
      </c>
      <c r="BQ49" t="e">
        <f>AND('Planilla_General_29-11-2012_10_'!N727,"AAAAAHdb30Q=")</f>
        <v>#VALUE!</v>
      </c>
      <c r="BR49" t="e">
        <f>AND('Planilla_General_29-11-2012_10_'!O727,"AAAAAHdb30U=")</f>
        <v>#VALUE!</v>
      </c>
      <c r="BS49" t="e">
        <f>AND('Planilla_General_29-11-2012_10_'!P727,"AAAAAHdb30Y=")</f>
        <v>#VALUE!</v>
      </c>
      <c r="BT49">
        <f>IF('Planilla_General_29-11-2012_10_'!728:728,"AAAAAHdb30c=",0)</f>
        <v>0</v>
      </c>
      <c r="BU49" t="e">
        <f>AND('Planilla_General_29-11-2012_10_'!A728,"AAAAAHdb30g=")</f>
        <v>#VALUE!</v>
      </c>
      <c r="BV49" t="e">
        <f>AND('Planilla_General_29-11-2012_10_'!B728,"AAAAAHdb30k=")</f>
        <v>#VALUE!</v>
      </c>
      <c r="BW49" t="e">
        <f>AND('Planilla_General_29-11-2012_10_'!C728,"AAAAAHdb30o=")</f>
        <v>#VALUE!</v>
      </c>
      <c r="BX49" t="e">
        <f>AND('Planilla_General_29-11-2012_10_'!D728,"AAAAAHdb30s=")</f>
        <v>#VALUE!</v>
      </c>
      <c r="BY49" t="e">
        <f>AND('Planilla_General_29-11-2012_10_'!E728,"AAAAAHdb30w=")</f>
        <v>#VALUE!</v>
      </c>
      <c r="BZ49" t="e">
        <f>AND('Planilla_General_29-11-2012_10_'!F728,"AAAAAHdb300=")</f>
        <v>#VALUE!</v>
      </c>
      <c r="CA49" t="e">
        <f>AND('Planilla_General_29-11-2012_10_'!G728,"AAAAAHdb304=")</f>
        <v>#VALUE!</v>
      </c>
      <c r="CB49" t="e">
        <f>AND('Planilla_General_29-11-2012_10_'!H728,"AAAAAHdb308=")</f>
        <v>#VALUE!</v>
      </c>
      <c r="CC49" t="e">
        <f>AND('Planilla_General_29-11-2012_10_'!I728,"AAAAAHdb31A=")</f>
        <v>#VALUE!</v>
      </c>
      <c r="CD49" t="e">
        <f>AND('Planilla_General_29-11-2012_10_'!J728,"AAAAAHdb31E=")</f>
        <v>#VALUE!</v>
      </c>
      <c r="CE49" t="e">
        <f>AND('Planilla_General_29-11-2012_10_'!K728,"AAAAAHdb31I=")</f>
        <v>#VALUE!</v>
      </c>
      <c r="CF49" t="e">
        <f>AND('Planilla_General_29-11-2012_10_'!L728,"AAAAAHdb31M=")</f>
        <v>#VALUE!</v>
      </c>
      <c r="CG49" t="e">
        <f>AND('Planilla_General_29-11-2012_10_'!M728,"AAAAAHdb31Q=")</f>
        <v>#VALUE!</v>
      </c>
      <c r="CH49" t="e">
        <f>AND('Planilla_General_29-11-2012_10_'!N728,"AAAAAHdb31U=")</f>
        <v>#VALUE!</v>
      </c>
      <c r="CI49" t="e">
        <f>AND('Planilla_General_29-11-2012_10_'!O728,"AAAAAHdb31Y=")</f>
        <v>#VALUE!</v>
      </c>
      <c r="CJ49" t="e">
        <f>AND('Planilla_General_29-11-2012_10_'!P728,"AAAAAHdb31c=")</f>
        <v>#VALUE!</v>
      </c>
      <c r="CK49">
        <f>IF('Planilla_General_29-11-2012_10_'!729:729,"AAAAAHdb31g=",0)</f>
        <v>0</v>
      </c>
      <c r="CL49" t="e">
        <f>AND('Planilla_General_29-11-2012_10_'!A729,"AAAAAHdb31k=")</f>
        <v>#VALUE!</v>
      </c>
      <c r="CM49" t="e">
        <f>AND('Planilla_General_29-11-2012_10_'!B729,"AAAAAHdb31o=")</f>
        <v>#VALUE!</v>
      </c>
      <c r="CN49" t="e">
        <f>AND('Planilla_General_29-11-2012_10_'!C729,"AAAAAHdb31s=")</f>
        <v>#VALUE!</v>
      </c>
      <c r="CO49" t="e">
        <f>AND('Planilla_General_29-11-2012_10_'!D729,"AAAAAHdb31w=")</f>
        <v>#VALUE!</v>
      </c>
      <c r="CP49" t="e">
        <f>AND('Planilla_General_29-11-2012_10_'!E729,"AAAAAHdb310=")</f>
        <v>#VALUE!</v>
      </c>
      <c r="CQ49" t="e">
        <f>AND('Planilla_General_29-11-2012_10_'!F729,"AAAAAHdb314=")</f>
        <v>#VALUE!</v>
      </c>
      <c r="CR49" t="e">
        <f>AND('Planilla_General_29-11-2012_10_'!G729,"AAAAAHdb318=")</f>
        <v>#VALUE!</v>
      </c>
      <c r="CS49" t="e">
        <f>AND('Planilla_General_29-11-2012_10_'!H729,"AAAAAHdb32A=")</f>
        <v>#VALUE!</v>
      </c>
      <c r="CT49" t="e">
        <f>AND('Planilla_General_29-11-2012_10_'!I729,"AAAAAHdb32E=")</f>
        <v>#VALUE!</v>
      </c>
      <c r="CU49" t="e">
        <f>AND('Planilla_General_29-11-2012_10_'!J729,"AAAAAHdb32I=")</f>
        <v>#VALUE!</v>
      </c>
      <c r="CV49" t="e">
        <f>AND('Planilla_General_29-11-2012_10_'!K729,"AAAAAHdb32M=")</f>
        <v>#VALUE!</v>
      </c>
      <c r="CW49" t="e">
        <f>AND('Planilla_General_29-11-2012_10_'!L729,"AAAAAHdb32Q=")</f>
        <v>#VALUE!</v>
      </c>
      <c r="CX49" t="e">
        <f>AND('Planilla_General_29-11-2012_10_'!M729,"AAAAAHdb32U=")</f>
        <v>#VALUE!</v>
      </c>
      <c r="CY49" t="e">
        <f>AND('Planilla_General_29-11-2012_10_'!N729,"AAAAAHdb32Y=")</f>
        <v>#VALUE!</v>
      </c>
      <c r="CZ49" t="e">
        <f>AND('Planilla_General_29-11-2012_10_'!O729,"AAAAAHdb32c=")</f>
        <v>#VALUE!</v>
      </c>
      <c r="DA49" t="e">
        <f>AND('Planilla_General_29-11-2012_10_'!P729,"AAAAAHdb32g=")</f>
        <v>#VALUE!</v>
      </c>
      <c r="DB49">
        <f>IF('Planilla_General_29-11-2012_10_'!730:730,"AAAAAHdb32k=",0)</f>
        <v>0</v>
      </c>
      <c r="DC49" t="e">
        <f>AND('Planilla_General_29-11-2012_10_'!A730,"AAAAAHdb32o=")</f>
        <v>#VALUE!</v>
      </c>
      <c r="DD49" t="e">
        <f>AND('Planilla_General_29-11-2012_10_'!B730,"AAAAAHdb32s=")</f>
        <v>#VALUE!</v>
      </c>
      <c r="DE49" t="e">
        <f>AND('Planilla_General_29-11-2012_10_'!C730,"AAAAAHdb32w=")</f>
        <v>#VALUE!</v>
      </c>
      <c r="DF49" t="e">
        <f>AND('Planilla_General_29-11-2012_10_'!D730,"AAAAAHdb320=")</f>
        <v>#VALUE!</v>
      </c>
      <c r="DG49" t="e">
        <f>AND('Planilla_General_29-11-2012_10_'!E730,"AAAAAHdb324=")</f>
        <v>#VALUE!</v>
      </c>
      <c r="DH49" t="e">
        <f>AND('Planilla_General_29-11-2012_10_'!F730,"AAAAAHdb328=")</f>
        <v>#VALUE!</v>
      </c>
      <c r="DI49" t="e">
        <f>AND('Planilla_General_29-11-2012_10_'!G730,"AAAAAHdb33A=")</f>
        <v>#VALUE!</v>
      </c>
      <c r="DJ49" t="e">
        <f>AND('Planilla_General_29-11-2012_10_'!H730,"AAAAAHdb33E=")</f>
        <v>#VALUE!</v>
      </c>
      <c r="DK49" t="e">
        <f>AND('Planilla_General_29-11-2012_10_'!I730,"AAAAAHdb33I=")</f>
        <v>#VALUE!</v>
      </c>
      <c r="DL49" t="e">
        <f>AND('Planilla_General_29-11-2012_10_'!J730,"AAAAAHdb33M=")</f>
        <v>#VALUE!</v>
      </c>
      <c r="DM49" t="e">
        <f>AND('Planilla_General_29-11-2012_10_'!K730,"AAAAAHdb33Q=")</f>
        <v>#VALUE!</v>
      </c>
      <c r="DN49" t="e">
        <f>AND('Planilla_General_29-11-2012_10_'!L730,"AAAAAHdb33U=")</f>
        <v>#VALUE!</v>
      </c>
      <c r="DO49" t="e">
        <f>AND('Planilla_General_29-11-2012_10_'!M730,"AAAAAHdb33Y=")</f>
        <v>#VALUE!</v>
      </c>
      <c r="DP49" t="e">
        <f>AND('Planilla_General_29-11-2012_10_'!N730,"AAAAAHdb33c=")</f>
        <v>#VALUE!</v>
      </c>
      <c r="DQ49" t="e">
        <f>AND('Planilla_General_29-11-2012_10_'!O730,"AAAAAHdb33g=")</f>
        <v>#VALUE!</v>
      </c>
      <c r="DR49" t="e">
        <f>AND('Planilla_General_29-11-2012_10_'!P730,"AAAAAHdb33k=")</f>
        <v>#VALUE!</v>
      </c>
      <c r="DS49">
        <f>IF('Planilla_General_29-11-2012_10_'!731:731,"AAAAAHdb33o=",0)</f>
        <v>0</v>
      </c>
      <c r="DT49" t="e">
        <f>AND('Planilla_General_29-11-2012_10_'!A731,"AAAAAHdb33s=")</f>
        <v>#VALUE!</v>
      </c>
      <c r="DU49" t="e">
        <f>AND('Planilla_General_29-11-2012_10_'!B731,"AAAAAHdb33w=")</f>
        <v>#VALUE!</v>
      </c>
      <c r="DV49" t="e">
        <f>AND('Planilla_General_29-11-2012_10_'!C731,"AAAAAHdb330=")</f>
        <v>#VALUE!</v>
      </c>
      <c r="DW49" t="e">
        <f>AND('Planilla_General_29-11-2012_10_'!D731,"AAAAAHdb334=")</f>
        <v>#VALUE!</v>
      </c>
      <c r="DX49" t="e">
        <f>AND('Planilla_General_29-11-2012_10_'!E731,"AAAAAHdb338=")</f>
        <v>#VALUE!</v>
      </c>
      <c r="DY49" t="e">
        <f>AND('Planilla_General_29-11-2012_10_'!F731,"AAAAAHdb34A=")</f>
        <v>#VALUE!</v>
      </c>
      <c r="DZ49" t="e">
        <f>AND('Planilla_General_29-11-2012_10_'!G731,"AAAAAHdb34E=")</f>
        <v>#VALUE!</v>
      </c>
      <c r="EA49" t="e">
        <f>AND('Planilla_General_29-11-2012_10_'!H731,"AAAAAHdb34I=")</f>
        <v>#VALUE!</v>
      </c>
      <c r="EB49" t="e">
        <f>AND('Planilla_General_29-11-2012_10_'!I731,"AAAAAHdb34M=")</f>
        <v>#VALUE!</v>
      </c>
      <c r="EC49" t="e">
        <f>AND('Planilla_General_29-11-2012_10_'!J731,"AAAAAHdb34Q=")</f>
        <v>#VALUE!</v>
      </c>
      <c r="ED49" t="e">
        <f>AND('Planilla_General_29-11-2012_10_'!K731,"AAAAAHdb34U=")</f>
        <v>#VALUE!</v>
      </c>
      <c r="EE49" t="e">
        <f>AND('Planilla_General_29-11-2012_10_'!L731,"AAAAAHdb34Y=")</f>
        <v>#VALUE!</v>
      </c>
      <c r="EF49" t="e">
        <f>AND('Planilla_General_29-11-2012_10_'!M731,"AAAAAHdb34c=")</f>
        <v>#VALUE!</v>
      </c>
      <c r="EG49" t="e">
        <f>AND('Planilla_General_29-11-2012_10_'!N731,"AAAAAHdb34g=")</f>
        <v>#VALUE!</v>
      </c>
      <c r="EH49" t="e">
        <f>AND('Planilla_General_29-11-2012_10_'!O731,"AAAAAHdb34k=")</f>
        <v>#VALUE!</v>
      </c>
      <c r="EI49" t="e">
        <f>AND('Planilla_General_29-11-2012_10_'!P731,"AAAAAHdb34o=")</f>
        <v>#VALUE!</v>
      </c>
      <c r="EJ49">
        <f>IF('Planilla_General_29-11-2012_10_'!732:732,"AAAAAHdb34s=",0)</f>
        <v>0</v>
      </c>
      <c r="EK49" t="e">
        <f>AND('Planilla_General_29-11-2012_10_'!A732,"AAAAAHdb34w=")</f>
        <v>#VALUE!</v>
      </c>
      <c r="EL49" t="e">
        <f>AND('Planilla_General_29-11-2012_10_'!B732,"AAAAAHdb340=")</f>
        <v>#VALUE!</v>
      </c>
      <c r="EM49" t="e">
        <f>AND('Planilla_General_29-11-2012_10_'!C732,"AAAAAHdb344=")</f>
        <v>#VALUE!</v>
      </c>
      <c r="EN49" t="e">
        <f>AND('Planilla_General_29-11-2012_10_'!D732,"AAAAAHdb348=")</f>
        <v>#VALUE!</v>
      </c>
      <c r="EO49" t="e">
        <f>AND('Planilla_General_29-11-2012_10_'!E732,"AAAAAHdb35A=")</f>
        <v>#VALUE!</v>
      </c>
      <c r="EP49" t="e">
        <f>AND('Planilla_General_29-11-2012_10_'!F732,"AAAAAHdb35E=")</f>
        <v>#VALUE!</v>
      </c>
      <c r="EQ49" t="e">
        <f>AND('Planilla_General_29-11-2012_10_'!G732,"AAAAAHdb35I=")</f>
        <v>#VALUE!</v>
      </c>
      <c r="ER49" t="e">
        <f>AND('Planilla_General_29-11-2012_10_'!H732,"AAAAAHdb35M=")</f>
        <v>#VALUE!</v>
      </c>
      <c r="ES49" t="e">
        <f>AND('Planilla_General_29-11-2012_10_'!I732,"AAAAAHdb35Q=")</f>
        <v>#VALUE!</v>
      </c>
      <c r="ET49" t="e">
        <f>AND('Planilla_General_29-11-2012_10_'!J732,"AAAAAHdb35U=")</f>
        <v>#VALUE!</v>
      </c>
      <c r="EU49" t="e">
        <f>AND('Planilla_General_29-11-2012_10_'!K732,"AAAAAHdb35Y=")</f>
        <v>#VALUE!</v>
      </c>
      <c r="EV49" t="e">
        <f>AND('Planilla_General_29-11-2012_10_'!L732,"AAAAAHdb35c=")</f>
        <v>#VALUE!</v>
      </c>
      <c r="EW49" t="e">
        <f>AND('Planilla_General_29-11-2012_10_'!M732,"AAAAAHdb35g=")</f>
        <v>#VALUE!</v>
      </c>
      <c r="EX49" t="e">
        <f>AND('Planilla_General_29-11-2012_10_'!N732,"AAAAAHdb35k=")</f>
        <v>#VALUE!</v>
      </c>
      <c r="EY49" t="e">
        <f>AND('Planilla_General_29-11-2012_10_'!O732,"AAAAAHdb35o=")</f>
        <v>#VALUE!</v>
      </c>
      <c r="EZ49" t="e">
        <f>AND('Planilla_General_29-11-2012_10_'!P732,"AAAAAHdb35s=")</f>
        <v>#VALUE!</v>
      </c>
      <c r="FA49">
        <f>IF('Planilla_General_29-11-2012_10_'!733:733,"AAAAAHdb35w=",0)</f>
        <v>0</v>
      </c>
      <c r="FB49" t="e">
        <f>AND('Planilla_General_29-11-2012_10_'!A733,"AAAAAHdb350=")</f>
        <v>#VALUE!</v>
      </c>
      <c r="FC49" t="e">
        <f>AND('Planilla_General_29-11-2012_10_'!B733,"AAAAAHdb354=")</f>
        <v>#VALUE!</v>
      </c>
      <c r="FD49" t="e">
        <f>AND('Planilla_General_29-11-2012_10_'!C733,"AAAAAHdb358=")</f>
        <v>#VALUE!</v>
      </c>
      <c r="FE49" t="e">
        <f>AND('Planilla_General_29-11-2012_10_'!D733,"AAAAAHdb36A=")</f>
        <v>#VALUE!</v>
      </c>
      <c r="FF49" t="e">
        <f>AND('Planilla_General_29-11-2012_10_'!E733,"AAAAAHdb36E=")</f>
        <v>#VALUE!</v>
      </c>
      <c r="FG49" t="e">
        <f>AND('Planilla_General_29-11-2012_10_'!F733,"AAAAAHdb36I=")</f>
        <v>#VALUE!</v>
      </c>
      <c r="FH49" t="e">
        <f>AND('Planilla_General_29-11-2012_10_'!G733,"AAAAAHdb36M=")</f>
        <v>#VALUE!</v>
      </c>
      <c r="FI49" t="e">
        <f>AND('Planilla_General_29-11-2012_10_'!H733,"AAAAAHdb36Q=")</f>
        <v>#VALUE!</v>
      </c>
      <c r="FJ49" t="e">
        <f>AND('Planilla_General_29-11-2012_10_'!I733,"AAAAAHdb36U=")</f>
        <v>#VALUE!</v>
      </c>
      <c r="FK49" t="e">
        <f>AND('Planilla_General_29-11-2012_10_'!J733,"AAAAAHdb36Y=")</f>
        <v>#VALUE!</v>
      </c>
      <c r="FL49" t="e">
        <f>AND('Planilla_General_29-11-2012_10_'!K733,"AAAAAHdb36c=")</f>
        <v>#VALUE!</v>
      </c>
      <c r="FM49" t="e">
        <f>AND('Planilla_General_29-11-2012_10_'!L733,"AAAAAHdb36g=")</f>
        <v>#VALUE!</v>
      </c>
      <c r="FN49" t="e">
        <f>AND('Planilla_General_29-11-2012_10_'!M733,"AAAAAHdb36k=")</f>
        <v>#VALUE!</v>
      </c>
      <c r="FO49" t="e">
        <f>AND('Planilla_General_29-11-2012_10_'!N733,"AAAAAHdb36o=")</f>
        <v>#VALUE!</v>
      </c>
      <c r="FP49" t="e">
        <f>AND('Planilla_General_29-11-2012_10_'!O733,"AAAAAHdb36s=")</f>
        <v>#VALUE!</v>
      </c>
      <c r="FQ49" t="e">
        <f>AND('Planilla_General_29-11-2012_10_'!P733,"AAAAAHdb36w=")</f>
        <v>#VALUE!</v>
      </c>
      <c r="FR49">
        <f>IF('Planilla_General_29-11-2012_10_'!734:734,"AAAAAHdb360=",0)</f>
        <v>0</v>
      </c>
      <c r="FS49" t="e">
        <f>AND('Planilla_General_29-11-2012_10_'!A734,"AAAAAHdb364=")</f>
        <v>#VALUE!</v>
      </c>
      <c r="FT49" t="e">
        <f>AND('Planilla_General_29-11-2012_10_'!B734,"AAAAAHdb368=")</f>
        <v>#VALUE!</v>
      </c>
      <c r="FU49" t="e">
        <f>AND('Planilla_General_29-11-2012_10_'!C734,"AAAAAHdb37A=")</f>
        <v>#VALUE!</v>
      </c>
      <c r="FV49" t="e">
        <f>AND('Planilla_General_29-11-2012_10_'!D734,"AAAAAHdb37E=")</f>
        <v>#VALUE!</v>
      </c>
      <c r="FW49" t="e">
        <f>AND('Planilla_General_29-11-2012_10_'!E734,"AAAAAHdb37I=")</f>
        <v>#VALUE!</v>
      </c>
      <c r="FX49" t="e">
        <f>AND('Planilla_General_29-11-2012_10_'!F734,"AAAAAHdb37M=")</f>
        <v>#VALUE!</v>
      </c>
      <c r="FY49" t="e">
        <f>AND('Planilla_General_29-11-2012_10_'!G734,"AAAAAHdb37Q=")</f>
        <v>#VALUE!</v>
      </c>
      <c r="FZ49" t="e">
        <f>AND('Planilla_General_29-11-2012_10_'!H734,"AAAAAHdb37U=")</f>
        <v>#VALUE!</v>
      </c>
      <c r="GA49" t="e">
        <f>AND('Planilla_General_29-11-2012_10_'!I734,"AAAAAHdb37Y=")</f>
        <v>#VALUE!</v>
      </c>
      <c r="GB49" t="e">
        <f>AND('Planilla_General_29-11-2012_10_'!J734,"AAAAAHdb37c=")</f>
        <v>#VALUE!</v>
      </c>
      <c r="GC49" t="e">
        <f>AND('Planilla_General_29-11-2012_10_'!K734,"AAAAAHdb37g=")</f>
        <v>#VALUE!</v>
      </c>
      <c r="GD49" t="e">
        <f>AND('Planilla_General_29-11-2012_10_'!L734,"AAAAAHdb37k=")</f>
        <v>#VALUE!</v>
      </c>
      <c r="GE49" t="e">
        <f>AND('Planilla_General_29-11-2012_10_'!M734,"AAAAAHdb37o=")</f>
        <v>#VALUE!</v>
      </c>
      <c r="GF49" t="e">
        <f>AND('Planilla_General_29-11-2012_10_'!N734,"AAAAAHdb37s=")</f>
        <v>#VALUE!</v>
      </c>
      <c r="GG49" t="e">
        <f>AND('Planilla_General_29-11-2012_10_'!O734,"AAAAAHdb37w=")</f>
        <v>#VALUE!</v>
      </c>
      <c r="GH49" t="e">
        <f>AND('Planilla_General_29-11-2012_10_'!P734,"AAAAAHdb370=")</f>
        <v>#VALUE!</v>
      </c>
      <c r="GI49">
        <f>IF('Planilla_General_29-11-2012_10_'!735:735,"AAAAAHdb374=",0)</f>
        <v>0</v>
      </c>
      <c r="GJ49" t="e">
        <f>AND('Planilla_General_29-11-2012_10_'!A735,"AAAAAHdb378=")</f>
        <v>#VALUE!</v>
      </c>
      <c r="GK49" t="e">
        <f>AND('Planilla_General_29-11-2012_10_'!B735,"AAAAAHdb38A=")</f>
        <v>#VALUE!</v>
      </c>
      <c r="GL49" t="e">
        <f>AND('Planilla_General_29-11-2012_10_'!C735,"AAAAAHdb38E=")</f>
        <v>#VALUE!</v>
      </c>
      <c r="GM49" t="e">
        <f>AND('Planilla_General_29-11-2012_10_'!D735,"AAAAAHdb38I=")</f>
        <v>#VALUE!</v>
      </c>
      <c r="GN49" t="e">
        <f>AND('Planilla_General_29-11-2012_10_'!E735,"AAAAAHdb38M=")</f>
        <v>#VALUE!</v>
      </c>
      <c r="GO49" t="e">
        <f>AND('Planilla_General_29-11-2012_10_'!F735,"AAAAAHdb38Q=")</f>
        <v>#VALUE!</v>
      </c>
      <c r="GP49" t="e">
        <f>AND('Planilla_General_29-11-2012_10_'!G735,"AAAAAHdb38U=")</f>
        <v>#VALUE!</v>
      </c>
      <c r="GQ49" t="e">
        <f>AND('Planilla_General_29-11-2012_10_'!H735,"AAAAAHdb38Y=")</f>
        <v>#VALUE!</v>
      </c>
      <c r="GR49" t="e">
        <f>AND('Planilla_General_29-11-2012_10_'!I735,"AAAAAHdb38c=")</f>
        <v>#VALUE!</v>
      </c>
      <c r="GS49" t="e">
        <f>AND('Planilla_General_29-11-2012_10_'!J735,"AAAAAHdb38g=")</f>
        <v>#VALUE!</v>
      </c>
      <c r="GT49" t="e">
        <f>AND('Planilla_General_29-11-2012_10_'!K735,"AAAAAHdb38k=")</f>
        <v>#VALUE!</v>
      </c>
      <c r="GU49" t="e">
        <f>AND('Planilla_General_29-11-2012_10_'!L735,"AAAAAHdb38o=")</f>
        <v>#VALUE!</v>
      </c>
      <c r="GV49" t="e">
        <f>AND('Planilla_General_29-11-2012_10_'!M735,"AAAAAHdb38s=")</f>
        <v>#VALUE!</v>
      </c>
      <c r="GW49" t="e">
        <f>AND('Planilla_General_29-11-2012_10_'!N735,"AAAAAHdb38w=")</f>
        <v>#VALUE!</v>
      </c>
      <c r="GX49" t="e">
        <f>AND('Planilla_General_29-11-2012_10_'!O735,"AAAAAHdb380=")</f>
        <v>#VALUE!</v>
      </c>
      <c r="GY49" t="e">
        <f>AND('Planilla_General_29-11-2012_10_'!P735,"AAAAAHdb384=")</f>
        <v>#VALUE!</v>
      </c>
      <c r="GZ49">
        <f>IF('Planilla_General_29-11-2012_10_'!736:736,"AAAAAHdb388=",0)</f>
        <v>0</v>
      </c>
      <c r="HA49" t="e">
        <f>AND('Planilla_General_29-11-2012_10_'!A736,"AAAAAHdb39A=")</f>
        <v>#VALUE!</v>
      </c>
      <c r="HB49" t="e">
        <f>AND('Planilla_General_29-11-2012_10_'!B736,"AAAAAHdb39E=")</f>
        <v>#VALUE!</v>
      </c>
      <c r="HC49" t="e">
        <f>AND('Planilla_General_29-11-2012_10_'!C736,"AAAAAHdb39I=")</f>
        <v>#VALUE!</v>
      </c>
      <c r="HD49" t="e">
        <f>AND('Planilla_General_29-11-2012_10_'!D736,"AAAAAHdb39M=")</f>
        <v>#VALUE!</v>
      </c>
      <c r="HE49" t="e">
        <f>AND('Planilla_General_29-11-2012_10_'!E736,"AAAAAHdb39Q=")</f>
        <v>#VALUE!</v>
      </c>
      <c r="HF49" t="e">
        <f>AND('Planilla_General_29-11-2012_10_'!F736,"AAAAAHdb39U=")</f>
        <v>#VALUE!</v>
      </c>
      <c r="HG49" t="e">
        <f>AND('Planilla_General_29-11-2012_10_'!G736,"AAAAAHdb39Y=")</f>
        <v>#VALUE!</v>
      </c>
      <c r="HH49" t="e">
        <f>AND('Planilla_General_29-11-2012_10_'!H736,"AAAAAHdb39c=")</f>
        <v>#VALUE!</v>
      </c>
      <c r="HI49" t="e">
        <f>AND('Planilla_General_29-11-2012_10_'!I736,"AAAAAHdb39g=")</f>
        <v>#VALUE!</v>
      </c>
      <c r="HJ49" t="e">
        <f>AND('Planilla_General_29-11-2012_10_'!J736,"AAAAAHdb39k=")</f>
        <v>#VALUE!</v>
      </c>
      <c r="HK49" t="e">
        <f>AND('Planilla_General_29-11-2012_10_'!K736,"AAAAAHdb39o=")</f>
        <v>#VALUE!</v>
      </c>
      <c r="HL49" t="e">
        <f>AND('Planilla_General_29-11-2012_10_'!L736,"AAAAAHdb39s=")</f>
        <v>#VALUE!</v>
      </c>
      <c r="HM49" t="e">
        <f>AND('Planilla_General_29-11-2012_10_'!M736,"AAAAAHdb39w=")</f>
        <v>#VALUE!</v>
      </c>
      <c r="HN49" t="e">
        <f>AND('Planilla_General_29-11-2012_10_'!N736,"AAAAAHdb390=")</f>
        <v>#VALUE!</v>
      </c>
      <c r="HO49" t="e">
        <f>AND('Planilla_General_29-11-2012_10_'!O736,"AAAAAHdb394=")</f>
        <v>#VALUE!</v>
      </c>
      <c r="HP49" t="e">
        <f>AND('Planilla_General_29-11-2012_10_'!P736,"AAAAAHdb398=")</f>
        <v>#VALUE!</v>
      </c>
      <c r="HQ49">
        <f>IF('Planilla_General_29-11-2012_10_'!737:737,"AAAAAHdb3+A=",0)</f>
        <v>0</v>
      </c>
      <c r="HR49" t="e">
        <f>AND('Planilla_General_29-11-2012_10_'!A737,"AAAAAHdb3+E=")</f>
        <v>#VALUE!</v>
      </c>
      <c r="HS49" t="e">
        <f>AND('Planilla_General_29-11-2012_10_'!B737,"AAAAAHdb3+I=")</f>
        <v>#VALUE!</v>
      </c>
      <c r="HT49" t="e">
        <f>AND('Planilla_General_29-11-2012_10_'!C737,"AAAAAHdb3+M=")</f>
        <v>#VALUE!</v>
      </c>
      <c r="HU49" t="e">
        <f>AND('Planilla_General_29-11-2012_10_'!D737,"AAAAAHdb3+Q=")</f>
        <v>#VALUE!</v>
      </c>
      <c r="HV49" t="e">
        <f>AND('Planilla_General_29-11-2012_10_'!E737,"AAAAAHdb3+U=")</f>
        <v>#VALUE!</v>
      </c>
      <c r="HW49" t="e">
        <f>AND('Planilla_General_29-11-2012_10_'!F737,"AAAAAHdb3+Y=")</f>
        <v>#VALUE!</v>
      </c>
      <c r="HX49" t="e">
        <f>AND('Planilla_General_29-11-2012_10_'!G737,"AAAAAHdb3+c=")</f>
        <v>#VALUE!</v>
      </c>
      <c r="HY49" t="e">
        <f>AND('Planilla_General_29-11-2012_10_'!H737,"AAAAAHdb3+g=")</f>
        <v>#VALUE!</v>
      </c>
      <c r="HZ49" t="e">
        <f>AND('Planilla_General_29-11-2012_10_'!I737,"AAAAAHdb3+k=")</f>
        <v>#VALUE!</v>
      </c>
      <c r="IA49" t="e">
        <f>AND('Planilla_General_29-11-2012_10_'!J737,"AAAAAHdb3+o=")</f>
        <v>#VALUE!</v>
      </c>
      <c r="IB49" t="e">
        <f>AND('Planilla_General_29-11-2012_10_'!K737,"AAAAAHdb3+s=")</f>
        <v>#VALUE!</v>
      </c>
      <c r="IC49" t="e">
        <f>AND('Planilla_General_29-11-2012_10_'!L737,"AAAAAHdb3+w=")</f>
        <v>#VALUE!</v>
      </c>
      <c r="ID49" t="e">
        <f>AND('Planilla_General_29-11-2012_10_'!M737,"AAAAAHdb3+0=")</f>
        <v>#VALUE!</v>
      </c>
      <c r="IE49" t="e">
        <f>AND('Planilla_General_29-11-2012_10_'!N737,"AAAAAHdb3+4=")</f>
        <v>#VALUE!</v>
      </c>
      <c r="IF49" t="e">
        <f>AND('Planilla_General_29-11-2012_10_'!O737,"AAAAAHdb3+8=")</f>
        <v>#VALUE!</v>
      </c>
      <c r="IG49" t="e">
        <f>AND('Planilla_General_29-11-2012_10_'!P737,"AAAAAHdb3/A=")</f>
        <v>#VALUE!</v>
      </c>
      <c r="IH49">
        <f>IF('Planilla_General_29-11-2012_10_'!738:738,"AAAAAHdb3/E=",0)</f>
        <v>0</v>
      </c>
      <c r="II49" t="e">
        <f>AND('Planilla_General_29-11-2012_10_'!A738,"AAAAAHdb3/I=")</f>
        <v>#VALUE!</v>
      </c>
      <c r="IJ49" t="e">
        <f>AND('Planilla_General_29-11-2012_10_'!B738,"AAAAAHdb3/M=")</f>
        <v>#VALUE!</v>
      </c>
      <c r="IK49" t="e">
        <f>AND('Planilla_General_29-11-2012_10_'!C738,"AAAAAHdb3/Q=")</f>
        <v>#VALUE!</v>
      </c>
      <c r="IL49" t="e">
        <f>AND('Planilla_General_29-11-2012_10_'!D738,"AAAAAHdb3/U=")</f>
        <v>#VALUE!</v>
      </c>
      <c r="IM49" t="e">
        <f>AND('Planilla_General_29-11-2012_10_'!E738,"AAAAAHdb3/Y=")</f>
        <v>#VALUE!</v>
      </c>
      <c r="IN49" t="e">
        <f>AND('Planilla_General_29-11-2012_10_'!F738,"AAAAAHdb3/c=")</f>
        <v>#VALUE!</v>
      </c>
      <c r="IO49" t="e">
        <f>AND('Planilla_General_29-11-2012_10_'!G738,"AAAAAHdb3/g=")</f>
        <v>#VALUE!</v>
      </c>
      <c r="IP49" t="e">
        <f>AND('Planilla_General_29-11-2012_10_'!H738,"AAAAAHdb3/k=")</f>
        <v>#VALUE!</v>
      </c>
      <c r="IQ49" t="e">
        <f>AND('Planilla_General_29-11-2012_10_'!I738,"AAAAAHdb3/o=")</f>
        <v>#VALUE!</v>
      </c>
      <c r="IR49" t="e">
        <f>AND('Planilla_General_29-11-2012_10_'!J738,"AAAAAHdb3/s=")</f>
        <v>#VALUE!</v>
      </c>
      <c r="IS49" t="e">
        <f>AND('Planilla_General_29-11-2012_10_'!K738,"AAAAAHdb3/w=")</f>
        <v>#VALUE!</v>
      </c>
      <c r="IT49" t="e">
        <f>AND('Planilla_General_29-11-2012_10_'!L738,"AAAAAHdb3/0=")</f>
        <v>#VALUE!</v>
      </c>
      <c r="IU49" t="e">
        <f>AND('Planilla_General_29-11-2012_10_'!M738,"AAAAAHdb3/4=")</f>
        <v>#VALUE!</v>
      </c>
      <c r="IV49" t="e">
        <f>AND('Planilla_General_29-11-2012_10_'!N738,"AAAAAHdb3/8=")</f>
        <v>#VALUE!</v>
      </c>
    </row>
    <row r="50" spans="1:256" x14ac:dyDescent="0.25">
      <c r="A50" t="e">
        <f>AND('Planilla_General_29-11-2012_10_'!O738,"AAAAAH/fHgA=")</f>
        <v>#VALUE!</v>
      </c>
      <c r="B50" t="e">
        <f>AND('Planilla_General_29-11-2012_10_'!P738,"AAAAAH/fHgE=")</f>
        <v>#VALUE!</v>
      </c>
      <c r="C50" t="str">
        <f>IF('Planilla_General_29-11-2012_10_'!739:739,"AAAAAH/fHgI=",0)</f>
        <v>AAAAAH/fHgI=</v>
      </c>
      <c r="D50" t="e">
        <f>AND('Planilla_General_29-11-2012_10_'!A739,"AAAAAH/fHgM=")</f>
        <v>#VALUE!</v>
      </c>
      <c r="E50" t="e">
        <f>AND('Planilla_General_29-11-2012_10_'!B739,"AAAAAH/fHgQ=")</f>
        <v>#VALUE!</v>
      </c>
      <c r="F50" t="e">
        <f>AND('Planilla_General_29-11-2012_10_'!C739,"AAAAAH/fHgU=")</f>
        <v>#VALUE!</v>
      </c>
      <c r="G50" t="e">
        <f>AND('Planilla_General_29-11-2012_10_'!D739,"AAAAAH/fHgY=")</f>
        <v>#VALUE!</v>
      </c>
      <c r="H50" t="e">
        <f>AND('Planilla_General_29-11-2012_10_'!E739,"AAAAAH/fHgc=")</f>
        <v>#VALUE!</v>
      </c>
      <c r="I50" t="e">
        <f>AND('Planilla_General_29-11-2012_10_'!F739,"AAAAAH/fHgg=")</f>
        <v>#VALUE!</v>
      </c>
      <c r="J50" t="e">
        <f>AND('Planilla_General_29-11-2012_10_'!G739,"AAAAAH/fHgk=")</f>
        <v>#VALUE!</v>
      </c>
      <c r="K50" t="e">
        <f>AND('Planilla_General_29-11-2012_10_'!H739,"AAAAAH/fHgo=")</f>
        <v>#VALUE!</v>
      </c>
      <c r="L50" t="e">
        <f>AND('Planilla_General_29-11-2012_10_'!I739,"AAAAAH/fHgs=")</f>
        <v>#VALUE!</v>
      </c>
      <c r="M50" t="e">
        <f>AND('Planilla_General_29-11-2012_10_'!J739,"AAAAAH/fHgw=")</f>
        <v>#VALUE!</v>
      </c>
      <c r="N50" t="e">
        <f>AND('Planilla_General_29-11-2012_10_'!K739,"AAAAAH/fHg0=")</f>
        <v>#VALUE!</v>
      </c>
      <c r="O50" t="e">
        <f>AND('Planilla_General_29-11-2012_10_'!L739,"AAAAAH/fHg4=")</f>
        <v>#VALUE!</v>
      </c>
      <c r="P50" t="e">
        <f>AND('Planilla_General_29-11-2012_10_'!M739,"AAAAAH/fHg8=")</f>
        <v>#VALUE!</v>
      </c>
      <c r="Q50" t="e">
        <f>AND('Planilla_General_29-11-2012_10_'!N739,"AAAAAH/fHhA=")</f>
        <v>#VALUE!</v>
      </c>
      <c r="R50" t="e">
        <f>AND('Planilla_General_29-11-2012_10_'!O739,"AAAAAH/fHhE=")</f>
        <v>#VALUE!</v>
      </c>
      <c r="S50" t="e">
        <f>AND('Planilla_General_29-11-2012_10_'!P739,"AAAAAH/fHhI=")</f>
        <v>#VALUE!</v>
      </c>
      <c r="T50">
        <f>IF('Planilla_General_29-11-2012_10_'!740:740,"AAAAAH/fHhM=",0)</f>
        <v>0</v>
      </c>
      <c r="U50" t="e">
        <f>AND('Planilla_General_29-11-2012_10_'!A740,"AAAAAH/fHhQ=")</f>
        <v>#VALUE!</v>
      </c>
      <c r="V50" t="e">
        <f>AND('Planilla_General_29-11-2012_10_'!B740,"AAAAAH/fHhU=")</f>
        <v>#VALUE!</v>
      </c>
      <c r="W50" t="e">
        <f>AND('Planilla_General_29-11-2012_10_'!C740,"AAAAAH/fHhY=")</f>
        <v>#VALUE!</v>
      </c>
      <c r="X50" t="e">
        <f>AND('Planilla_General_29-11-2012_10_'!D740,"AAAAAH/fHhc=")</f>
        <v>#VALUE!</v>
      </c>
      <c r="Y50" t="e">
        <f>AND('Planilla_General_29-11-2012_10_'!E740,"AAAAAH/fHhg=")</f>
        <v>#VALUE!</v>
      </c>
      <c r="Z50" t="e">
        <f>AND('Planilla_General_29-11-2012_10_'!F740,"AAAAAH/fHhk=")</f>
        <v>#VALUE!</v>
      </c>
      <c r="AA50" t="e">
        <f>AND('Planilla_General_29-11-2012_10_'!G740,"AAAAAH/fHho=")</f>
        <v>#VALUE!</v>
      </c>
      <c r="AB50" t="e">
        <f>AND('Planilla_General_29-11-2012_10_'!H740,"AAAAAH/fHhs=")</f>
        <v>#VALUE!</v>
      </c>
      <c r="AC50" t="e">
        <f>AND('Planilla_General_29-11-2012_10_'!I740,"AAAAAH/fHhw=")</f>
        <v>#VALUE!</v>
      </c>
      <c r="AD50" t="e">
        <f>AND('Planilla_General_29-11-2012_10_'!J740,"AAAAAH/fHh0=")</f>
        <v>#VALUE!</v>
      </c>
      <c r="AE50" t="e">
        <f>AND('Planilla_General_29-11-2012_10_'!K740,"AAAAAH/fHh4=")</f>
        <v>#VALUE!</v>
      </c>
      <c r="AF50" t="e">
        <f>AND('Planilla_General_29-11-2012_10_'!L740,"AAAAAH/fHh8=")</f>
        <v>#VALUE!</v>
      </c>
      <c r="AG50" t="e">
        <f>AND('Planilla_General_29-11-2012_10_'!M740,"AAAAAH/fHiA=")</f>
        <v>#VALUE!</v>
      </c>
      <c r="AH50" t="e">
        <f>AND('Planilla_General_29-11-2012_10_'!N740,"AAAAAH/fHiE=")</f>
        <v>#VALUE!</v>
      </c>
      <c r="AI50" t="e">
        <f>AND('Planilla_General_29-11-2012_10_'!O740,"AAAAAH/fHiI=")</f>
        <v>#VALUE!</v>
      </c>
      <c r="AJ50" t="e">
        <f>AND('Planilla_General_29-11-2012_10_'!P740,"AAAAAH/fHiM=")</f>
        <v>#VALUE!</v>
      </c>
      <c r="AK50">
        <f>IF('Planilla_General_29-11-2012_10_'!741:741,"AAAAAH/fHiQ=",0)</f>
        <v>0</v>
      </c>
      <c r="AL50" t="e">
        <f>AND('Planilla_General_29-11-2012_10_'!A741,"AAAAAH/fHiU=")</f>
        <v>#VALUE!</v>
      </c>
      <c r="AM50" t="e">
        <f>AND('Planilla_General_29-11-2012_10_'!B741,"AAAAAH/fHiY=")</f>
        <v>#VALUE!</v>
      </c>
      <c r="AN50" t="e">
        <f>AND('Planilla_General_29-11-2012_10_'!C741,"AAAAAH/fHic=")</f>
        <v>#VALUE!</v>
      </c>
      <c r="AO50" t="e">
        <f>AND('Planilla_General_29-11-2012_10_'!D741,"AAAAAH/fHig=")</f>
        <v>#VALUE!</v>
      </c>
      <c r="AP50" t="e">
        <f>AND('Planilla_General_29-11-2012_10_'!E741,"AAAAAH/fHik=")</f>
        <v>#VALUE!</v>
      </c>
      <c r="AQ50" t="e">
        <f>AND('Planilla_General_29-11-2012_10_'!F741,"AAAAAH/fHio=")</f>
        <v>#VALUE!</v>
      </c>
      <c r="AR50" t="e">
        <f>AND('Planilla_General_29-11-2012_10_'!G741,"AAAAAH/fHis=")</f>
        <v>#VALUE!</v>
      </c>
      <c r="AS50" t="e">
        <f>AND('Planilla_General_29-11-2012_10_'!H741,"AAAAAH/fHiw=")</f>
        <v>#VALUE!</v>
      </c>
      <c r="AT50" t="e">
        <f>AND('Planilla_General_29-11-2012_10_'!I741,"AAAAAH/fHi0=")</f>
        <v>#VALUE!</v>
      </c>
      <c r="AU50" t="e">
        <f>AND('Planilla_General_29-11-2012_10_'!J741,"AAAAAH/fHi4=")</f>
        <v>#VALUE!</v>
      </c>
      <c r="AV50" t="e">
        <f>AND('Planilla_General_29-11-2012_10_'!K741,"AAAAAH/fHi8=")</f>
        <v>#VALUE!</v>
      </c>
      <c r="AW50" t="e">
        <f>AND('Planilla_General_29-11-2012_10_'!L741,"AAAAAH/fHjA=")</f>
        <v>#VALUE!</v>
      </c>
      <c r="AX50" t="e">
        <f>AND('Planilla_General_29-11-2012_10_'!M741,"AAAAAH/fHjE=")</f>
        <v>#VALUE!</v>
      </c>
      <c r="AY50" t="e">
        <f>AND('Planilla_General_29-11-2012_10_'!N741,"AAAAAH/fHjI=")</f>
        <v>#VALUE!</v>
      </c>
      <c r="AZ50" t="e">
        <f>AND('Planilla_General_29-11-2012_10_'!O741,"AAAAAH/fHjM=")</f>
        <v>#VALUE!</v>
      </c>
      <c r="BA50" t="e">
        <f>AND('Planilla_General_29-11-2012_10_'!P741,"AAAAAH/fHjQ=")</f>
        <v>#VALUE!</v>
      </c>
      <c r="BB50">
        <f>IF('Planilla_General_29-11-2012_10_'!742:742,"AAAAAH/fHjU=",0)</f>
        <v>0</v>
      </c>
      <c r="BC50" t="e">
        <f>AND('Planilla_General_29-11-2012_10_'!A742,"AAAAAH/fHjY=")</f>
        <v>#VALUE!</v>
      </c>
      <c r="BD50" t="e">
        <f>AND('Planilla_General_29-11-2012_10_'!B742,"AAAAAH/fHjc=")</f>
        <v>#VALUE!</v>
      </c>
      <c r="BE50" t="e">
        <f>AND('Planilla_General_29-11-2012_10_'!C742,"AAAAAH/fHjg=")</f>
        <v>#VALUE!</v>
      </c>
      <c r="BF50" t="e">
        <f>AND('Planilla_General_29-11-2012_10_'!D742,"AAAAAH/fHjk=")</f>
        <v>#VALUE!</v>
      </c>
      <c r="BG50" t="e">
        <f>AND('Planilla_General_29-11-2012_10_'!E742,"AAAAAH/fHjo=")</f>
        <v>#VALUE!</v>
      </c>
      <c r="BH50" t="e">
        <f>AND('Planilla_General_29-11-2012_10_'!F742,"AAAAAH/fHjs=")</f>
        <v>#VALUE!</v>
      </c>
      <c r="BI50" t="e">
        <f>AND('Planilla_General_29-11-2012_10_'!G742,"AAAAAH/fHjw=")</f>
        <v>#VALUE!</v>
      </c>
      <c r="BJ50" t="e">
        <f>AND('Planilla_General_29-11-2012_10_'!H742,"AAAAAH/fHj0=")</f>
        <v>#VALUE!</v>
      </c>
      <c r="BK50" t="e">
        <f>AND('Planilla_General_29-11-2012_10_'!I742,"AAAAAH/fHj4=")</f>
        <v>#VALUE!</v>
      </c>
      <c r="BL50" t="e">
        <f>AND('Planilla_General_29-11-2012_10_'!J742,"AAAAAH/fHj8=")</f>
        <v>#VALUE!</v>
      </c>
      <c r="BM50" t="e">
        <f>AND('Planilla_General_29-11-2012_10_'!K742,"AAAAAH/fHkA=")</f>
        <v>#VALUE!</v>
      </c>
      <c r="BN50" t="e">
        <f>AND('Planilla_General_29-11-2012_10_'!L742,"AAAAAH/fHkE=")</f>
        <v>#VALUE!</v>
      </c>
      <c r="BO50" t="e">
        <f>AND('Planilla_General_29-11-2012_10_'!M742,"AAAAAH/fHkI=")</f>
        <v>#VALUE!</v>
      </c>
      <c r="BP50" t="e">
        <f>AND('Planilla_General_29-11-2012_10_'!N742,"AAAAAH/fHkM=")</f>
        <v>#VALUE!</v>
      </c>
      <c r="BQ50" t="e">
        <f>AND('Planilla_General_29-11-2012_10_'!O742,"AAAAAH/fHkQ=")</f>
        <v>#VALUE!</v>
      </c>
      <c r="BR50" t="e">
        <f>AND('Planilla_General_29-11-2012_10_'!P742,"AAAAAH/fHkU=")</f>
        <v>#VALUE!</v>
      </c>
      <c r="BS50">
        <f>IF('Planilla_General_29-11-2012_10_'!743:743,"AAAAAH/fHkY=",0)</f>
        <v>0</v>
      </c>
      <c r="BT50" t="e">
        <f>AND('Planilla_General_29-11-2012_10_'!A743,"AAAAAH/fHkc=")</f>
        <v>#VALUE!</v>
      </c>
      <c r="BU50" t="e">
        <f>AND('Planilla_General_29-11-2012_10_'!B743,"AAAAAH/fHkg=")</f>
        <v>#VALUE!</v>
      </c>
      <c r="BV50" t="e">
        <f>AND('Planilla_General_29-11-2012_10_'!C743,"AAAAAH/fHkk=")</f>
        <v>#VALUE!</v>
      </c>
      <c r="BW50" t="e">
        <f>AND('Planilla_General_29-11-2012_10_'!D743,"AAAAAH/fHko=")</f>
        <v>#VALUE!</v>
      </c>
      <c r="BX50" t="e">
        <f>AND('Planilla_General_29-11-2012_10_'!E743,"AAAAAH/fHks=")</f>
        <v>#VALUE!</v>
      </c>
      <c r="BY50" t="e">
        <f>AND('Planilla_General_29-11-2012_10_'!F743,"AAAAAH/fHkw=")</f>
        <v>#VALUE!</v>
      </c>
      <c r="BZ50" t="e">
        <f>AND('Planilla_General_29-11-2012_10_'!G743,"AAAAAH/fHk0=")</f>
        <v>#VALUE!</v>
      </c>
      <c r="CA50" t="e">
        <f>AND('Planilla_General_29-11-2012_10_'!H743,"AAAAAH/fHk4=")</f>
        <v>#VALUE!</v>
      </c>
      <c r="CB50" t="e">
        <f>AND('Planilla_General_29-11-2012_10_'!I743,"AAAAAH/fHk8=")</f>
        <v>#VALUE!</v>
      </c>
      <c r="CC50" t="e">
        <f>AND('Planilla_General_29-11-2012_10_'!J743,"AAAAAH/fHlA=")</f>
        <v>#VALUE!</v>
      </c>
      <c r="CD50" t="e">
        <f>AND('Planilla_General_29-11-2012_10_'!K743,"AAAAAH/fHlE=")</f>
        <v>#VALUE!</v>
      </c>
      <c r="CE50" t="e">
        <f>AND('Planilla_General_29-11-2012_10_'!L743,"AAAAAH/fHlI=")</f>
        <v>#VALUE!</v>
      </c>
      <c r="CF50" t="e">
        <f>AND('Planilla_General_29-11-2012_10_'!M743,"AAAAAH/fHlM=")</f>
        <v>#VALUE!</v>
      </c>
      <c r="CG50" t="e">
        <f>AND('Planilla_General_29-11-2012_10_'!N743,"AAAAAH/fHlQ=")</f>
        <v>#VALUE!</v>
      </c>
      <c r="CH50" t="e">
        <f>AND('Planilla_General_29-11-2012_10_'!O743,"AAAAAH/fHlU=")</f>
        <v>#VALUE!</v>
      </c>
      <c r="CI50" t="e">
        <f>AND('Planilla_General_29-11-2012_10_'!P743,"AAAAAH/fHlY=")</f>
        <v>#VALUE!</v>
      </c>
      <c r="CJ50">
        <f>IF('Planilla_General_29-11-2012_10_'!744:744,"AAAAAH/fHlc=",0)</f>
        <v>0</v>
      </c>
      <c r="CK50" t="e">
        <f>AND('Planilla_General_29-11-2012_10_'!A744,"AAAAAH/fHlg=")</f>
        <v>#VALUE!</v>
      </c>
      <c r="CL50" t="e">
        <f>AND('Planilla_General_29-11-2012_10_'!B744,"AAAAAH/fHlk=")</f>
        <v>#VALUE!</v>
      </c>
      <c r="CM50" t="e">
        <f>AND('Planilla_General_29-11-2012_10_'!C744,"AAAAAH/fHlo=")</f>
        <v>#VALUE!</v>
      </c>
      <c r="CN50" t="e">
        <f>AND('Planilla_General_29-11-2012_10_'!D744,"AAAAAH/fHls=")</f>
        <v>#VALUE!</v>
      </c>
      <c r="CO50" t="e">
        <f>AND('Planilla_General_29-11-2012_10_'!E744,"AAAAAH/fHlw=")</f>
        <v>#VALUE!</v>
      </c>
      <c r="CP50" t="e">
        <f>AND('Planilla_General_29-11-2012_10_'!F744,"AAAAAH/fHl0=")</f>
        <v>#VALUE!</v>
      </c>
      <c r="CQ50" t="e">
        <f>AND('Planilla_General_29-11-2012_10_'!G744,"AAAAAH/fHl4=")</f>
        <v>#VALUE!</v>
      </c>
      <c r="CR50" t="e">
        <f>AND('Planilla_General_29-11-2012_10_'!H744,"AAAAAH/fHl8=")</f>
        <v>#VALUE!</v>
      </c>
      <c r="CS50" t="e">
        <f>AND('Planilla_General_29-11-2012_10_'!I744,"AAAAAH/fHmA=")</f>
        <v>#VALUE!</v>
      </c>
      <c r="CT50" t="e">
        <f>AND('Planilla_General_29-11-2012_10_'!J744,"AAAAAH/fHmE=")</f>
        <v>#VALUE!</v>
      </c>
      <c r="CU50" t="e">
        <f>AND('Planilla_General_29-11-2012_10_'!K744,"AAAAAH/fHmI=")</f>
        <v>#VALUE!</v>
      </c>
      <c r="CV50" t="e">
        <f>AND('Planilla_General_29-11-2012_10_'!L744,"AAAAAH/fHmM=")</f>
        <v>#VALUE!</v>
      </c>
      <c r="CW50" t="e">
        <f>AND('Planilla_General_29-11-2012_10_'!M744,"AAAAAH/fHmQ=")</f>
        <v>#VALUE!</v>
      </c>
      <c r="CX50" t="e">
        <f>AND('Planilla_General_29-11-2012_10_'!N744,"AAAAAH/fHmU=")</f>
        <v>#VALUE!</v>
      </c>
      <c r="CY50" t="e">
        <f>AND('Planilla_General_29-11-2012_10_'!O744,"AAAAAH/fHmY=")</f>
        <v>#VALUE!</v>
      </c>
      <c r="CZ50" t="e">
        <f>AND('Planilla_General_29-11-2012_10_'!P744,"AAAAAH/fHmc=")</f>
        <v>#VALUE!</v>
      </c>
      <c r="DA50">
        <f>IF('Planilla_General_29-11-2012_10_'!745:745,"AAAAAH/fHmg=",0)</f>
        <v>0</v>
      </c>
      <c r="DB50" t="e">
        <f>AND('Planilla_General_29-11-2012_10_'!A745,"AAAAAH/fHmk=")</f>
        <v>#VALUE!</v>
      </c>
      <c r="DC50" t="e">
        <f>AND('Planilla_General_29-11-2012_10_'!B745,"AAAAAH/fHmo=")</f>
        <v>#VALUE!</v>
      </c>
      <c r="DD50" t="e">
        <f>AND('Planilla_General_29-11-2012_10_'!C745,"AAAAAH/fHms=")</f>
        <v>#VALUE!</v>
      </c>
      <c r="DE50" t="e">
        <f>AND('Planilla_General_29-11-2012_10_'!D745,"AAAAAH/fHmw=")</f>
        <v>#VALUE!</v>
      </c>
      <c r="DF50" t="e">
        <f>AND('Planilla_General_29-11-2012_10_'!E745,"AAAAAH/fHm0=")</f>
        <v>#VALUE!</v>
      </c>
      <c r="DG50" t="e">
        <f>AND('Planilla_General_29-11-2012_10_'!F745,"AAAAAH/fHm4=")</f>
        <v>#VALUE!</v>
      </c>
      <c r="DH50" t="e">
        <f>AND('Planilla_General_29-11-2012_10_'!G745,"AAAAAH/fHm8=")</f>
        <v>#VALUE!</v>
      </c>
      <c r="DI50" t="e">
        <f>AND('Planilla_General_29-11-2012_10_'!H745,"AAAAAH/fHnA=")</f>
        <v>#VALUE!</v>
      </c>
      <c r="DJ50" t="e">
        <f>AND('Planilla_General_29-11-2012_10_'!I745,"AAAAAH/fHnE=")</f>
        <v>#VALUE!</v>
      </c>
      <c r="DK50" t="e">
        <f>AND('Planilla_General_29-11-2012_10_'!J745,"AAAAAH/fHnI=")</f>
        <v>#VALUE!</v>
      </c>
      <c r="DL50" t="e">
        <f>AND('Planilla_General_29-11-2012_10_'!K745,"AAAAAH/fHnM=")</f>
        <v>#VALUE!</v>
      </c>
      <c r="DM50" t="e">
        <f>AND('Planilla_General_29-11-2012_10_'!L745,"AAAAAH/fHnQ=")</f>
        <v>#VALUE!</v>
      </c>
      <c r="DN50" t="e">
        <f>AND('Planilla_General_29-11-2012_10_'!M745,"AAAAAH/fHnU=")</f>
        <v>#VALUE!</v>
      </c>
      <c r="DO50" t="e">
        <f>AND('Planilla_General_29-11-2012_10_'!N745,"AAAAAH/fHnY=")</f>
        <v>#VALUE!</v>
      </c>
      <c r="DP50" t="e">
        <f>AND('Planilla_General_29-11-2012_10_'!O745,"AAAAAH/fHnc=")</f>
        <v>#VALUE!</v>
      </c>
      <c r="DQ50" t="e">
        <f>AND('Planilla_General_29-11-2012_10_'!P745,"AAAAAH/fHng=")</f>
        <v>#VALUE!</v>
      </c>
      <c r="DR50">
        <f>IF('Planilla_General_29-11-2012_10_'!746:746,"AAAAAH/fHnk=",0)</f>
        <v>0</v>
      </c>
      <c r="DS50" t="e">
        <f>AND('Planilla_General_29-11-2012_10_'!A746,"AAAAAH/fHno=")</f>
        <v>#VALUE!</v>
      </c>
      <c r="DT50" t="e">
        <f>AND('Planilla_General_29-11-2012_10_'!B746,"AAAAAH/fHns=")</f>
        <v>#VALUE!</v>
      </c>
      <c r="DU50" t="e">
        <f>AND('Planilla_General_29-11-2012_10_'!C746,"AAAAAH/fHnw=")</f>
        <v>#VALUE!</v>
      </c>
      <c r="DV50" t="e">
        <f>AND('Planilla_General_29-11-2012_10_'!D746,"AAAAAH/fHn0=")</f>
        <v>#VALUE!</v>
      </c>
      <c r="DW50" t="e">
        <f>AND('Planilla_General_29-11-2012_10_'!E746,"AAAAAH/fHn4=")</f>
        <v>#VALUE!</v>
      </c>
      <c r="DX50" t="e">
        <f>AND('Planilla_General_29-11-2012_10_'!F746,"AAAAAH/fHn8=")</f>
        <v>#VALUE!</v>
      </c>
      <c r="DY50" t="e">
        <f>AND('Planilla_General_29-11-2012_10_'!G746,"AAAAAH/fHoA=")</f>
        <v>#VALUE!</v>
      </c>
      <c r="DZ50" t="e">
        <f>AND('Planilla_General_29-11-2012_10_'!H746,"AAAAAH/fHoE=")</f>
        <v>#VALUE!</v>
      </c>
      <c r="EA50" t="e">
        <f>AND('Planilla_General_29-11-2012_10_'!I746,"AAAAAH/fHoI=")</f>
        <v>#VALUE!</v>
      </c>
      <c r="EB50" t="e">
        <f>AND('Planilla_General_29-11-2012_10_'!J746,"AAAAAH/fHoM=")</f>
        <v>#VALUE!</v>
      </c>
      <c r="EC50" t="e">
        <f>AND('Planilla_General_29-11-2012_10_'!K746,"AAAAAH/fHoQ=")</f>
        <v>#VALUE!</v>
      </c>
      <c r="ED50" t="e">
        <f>AND('Planilla_General_29-11-2012_10_'!L746,"AAAAAH/fHoU=")</f>
        <v>#VALUE!</v>
      </c>
      <c r="EE50" t="e">
        <f>AND('Planilla_General_29-11-2012_10_'!M746,"AAAAAH/fHoY=")</f>
        <v>#VALUE!</v>
      </c>
      <c r="EF50" t="e">
        <f>AND('Planilla_General_29-11-2012_10_'!N746,"AAAAAH/fHoc=")</f>
        <v>#VALUE!</v>
      </c>
      <c r="EG50" t="e">
        <f>AND('Planilla_General_29-11-2012_10_'!O746,"AAAAAH/fHog=")</f>
        <v>#VALUE!</v>
      </c>
      <c r="EH50" t="e">
        <f>AND('Planilla_General_29-11-2012_10_'!P746,"AAAAAH/fHok=")</f>
        <v>#VALUE!</v>
      </c>
      <c r="EI50">
        <f>IF('Planilla_General_29-11-2012_10_'!747:747,"AAAAAH/fHoo=",0)</f>
        <v>0</v>
      </c>
      <c r="EJ50" t="e">
        <f>AND('Planilla_General_29-11-2012_10_'!A747,"AAAAAH/fHos=")</f>
        <v>#VALUE!</v>
      </c>
      <c r="EK50" t="e">
        <f>AND('Planilla_General_29-11-2012_10_'!B747,"AAAAAH/fHow=")</f>
        <v>#VALUE!</v>
      </c>
      <c r="EL50" t="e">
        <f>AND('Planilla_General_29-11-2012_10_'!C747,"AAAAAH/fHo0=")</f>
        <v>#VALUE!</v>
      </c>
      <c r="EM50" t="e">
        <f>AND('Planilla_General_29-11-2012_10_'!D747,"AAAAAH/fHo4=")</f>
        <v>#VALUE!</v>
      </c>
      <c r="EN50" t="e">
        <f>AND('Planilla_General_29-11-2012_10_'!E747,"AAAAAH/fHo8=")</f>
        <v>#VALUE!</v>
      </c>
      <c r="EO50" t="e">
        <f>AND('Planilla_General_29-11-2012_10_'!F747,"AAAAAH/fHpA=")</f>
        <v>#VALUE!</v>
      </c>
      <c r="EP50" t="e">
        <f>AND('Planilla_General_29-11-2012_10_'!G747,"AAAAAH/fHpE=")</f>
        <v>#VALUE!</v>
      </c>
      <c r="EQ50" t="e">
        <f>AND('Planilla_General_29-11-2012_10_'!H747,"AAAAAH/fHpI=")</f>
        <v>#VALUE!</v>
      </c>
      <c r="ER50" t="e">
        <f>AND('Planilla_General_29-11-2012_10_'!I747,"AAAAAH/fHpM=")</f>
        <v>#VALUE!</v>
      </c>
      <c r="ES50" t="e">
        <f>AND('Planilla_General_29-11-2012_10_'!J747,"AAAAAH/fHpQ=")</f>
        <v>#VALUE!</v>
      </c>
      <c r="ET50" t="e">
        <f>AND('Planilla_General_29-11-2012_10_'!K747,"AAAAAH/fHpU=")</f>
        <v>#VALUE!</v>
      </c>
      <c r="EU50" t="e">
        <f>AND('Planilla_General_29-11-2012_10_'!L747,"AAAAAH/fHpY=")</f>
        <v>#VALUE!</v>
      </c>
      <c r="EV50" t="e">
        <f>AND('Planilla_General_29-11-2012_10_'!M747,"AAAAAH/fHpc=")</f>
        <v>#VALUE!</v>
      </c>
      <c r="EW50" t="e">
        <f>AND('Planilla_General_29-11-2012_10_'!N747,"AAAAAH/fHpg=")</f>
        <v>#VALUE!</v>
      </c>
      <c r="EX50" t="e">
        <f>AND('Planilla_General_29-11-2012_10_'!O747,"AAAAAH/fHpk=")</f>
        <v>#VALUE!</v>
      </c>
      <c r="EY50" t="e">
        <f>AND('Planilla_General_29-11-2012_10_'!P747,"AAAAAH/fHpo=")</f>
        <v>#VALUE!</v>
      </c>
      <c r="EZ50">
        <f>IF('Planilla_General_29-11-2012_10_'!748:748,"AAAAAH/fHps=",0)</f>
        <v>0</v>
      </c>
      <c r="FA50" t="e">
        <f>AND('Planilla_General_29-11-2012_10_'!A748,"AAAAAH/fHpw=")</f>
        <v>#VALUE!</v>
      </c>
      <c r="FB50" t="e">
        <f>AND('Planilla_General_29-11-2012_10_'!B748,"AAAAAH/fHp0=")</f>
        <v>#VALUE!</v>
      </c>
      <c r="FC50" t="e">
        <f>AND('Planilla_General_29-11-2012_10_'!C748,"AAAAAH/fHp4=")</f>
        <v>#VALUE!</v>
      </c>
      <c r="FD50" t="e">
        <f>AND('Planilla_General_29-11-2012_10_'!D748,"AAAAAH/fHp8=")</f>
        <v>#VALUE!</v>
      </c>
      <c r="FE50" t="e">
        <f>AND('Planilla_General_29-11-2012_10_'!E748,"AAAAAH/fHqA=")</f>
        <v>#VALUE!</v>
      </c>
      <c r="FF50" t="e">
        <f>AND('Planilla_General_29-11-2012_10_'!F748,"AAAAAH/fHqE=")</f>
        <v>#VALUE!</v>
      </c>
      <c r="FG50" t="e">
        <f>AND('Planilla_General_29-11-2012_10_'!G748,"AAAAAH/fHqI=")</f>
        <v>#VALUE!</v>
      </c>
      <c r="FH50" t="e">
        <f>AND('Planilla_General_29-11-2012_10_'!H748,"AAAAAH/fHqM=")</f>
        <v>#VALUE!</v>
      </c>
      <c r="FI50" t="e">
        <f>AND('Planilla_General_29-11-2012_10_'!I748,"AAAAAH/fHqQ=")</f>
        <v>#VALUE!</v>
      </c>
      <c r="FJ50" t="e">
        <f>AND('Planilla_General_29-11-2012_10_'!J748,"AAAAAH/fHqU=")</f>
        <v>#VALUE!</v>
      </c>
      <c r="FK50" t="e">
        <f>AND('Planilla_General_29-11-2012_10_'!K748,"AAAAAH/fHqY=")</f>
        <v>#VALUE!</v>
      </c>
      <c r="FL50" t="e">
        <f>AND('Planilla_General_29-11-2012_10_'!L748,"AAAAAH/fHqc=")</f>
        <v>#VALUE!</v>
      </c>
      <c r="FM50" t="e">
        <f>AND('Planilla_General_29-11-2012_10_'!M748,"AAAAAH/fHqg=")</f>
        <v>#VALUE!</v>
      </c>
      <c r="FN50" t="e">
        <f>AND('Planilla_General_29-11-2012_10_'!N748,"AAAAAH/fHqk=")</f>
        <v>#VALUE!</v>
      </c>
      <c r="FO50" t="e">
        <f>AND('Planilla_General_29-11-2012_10_'!O748,"AAAAAH/fHqo=")</f>
        <v>#VALUE!</v>
      </c>
      <c r="FP50" t="e">
        <f>AND('Planilla_General_29-11-2012_10_'!P748,"AAAAAH/fHqs=")</f>
        <v>#VALUE!</v>
      </c>
      <c r="FQ50">
        <f>IF('Planilla_General_29-11-2012_10_'!749:749,"AAAAAH/fHqw=",0)</f>
        <v>0</v>
      </c>
      <c r="FR50" t="e">
        <f>AND('Planilla_General_29-11-2012_10_'!A749,"AAAAAH/fHq0=")</f>
        <v>#VALUE!</v>
      </c>
      <c r="FS50" t="e">
        <f>AND('Planilla_General_29-11-2012_10_'!B749,"AAAAAH/fHq4=")</f>
        <v>#VALUE!</v>
      </c>
      <c r="FT50" t="e">
        <f>AND('Planilla_General_29-11-2012_10_'!C749,"AAAAAH/fHq8=")</f>
        <v>#VALUE!</v>
      </c>
      <c r="FU50" t="e">
        <f>AND('Planilla_General_29-11-2012_10_'!D749,"AAAAAH/fHrA=")</f>
        <v>#VALUE!</v>
      </c>
      <c r="FV50" t="e">
        <f>AND('Planilla_General_29-11-2012_10_'!E749,"AAAAAH/fHrE=")</f>
        <v>#VALUE!</v>
      </c>
      <c r="FW50" t="e">
        <f>AND('Planilla_General_29-11-2012_10_'!F749,"AAAAAH/fHrI=")</f>
        <v>#VALUE!</v>
      </c>
      <c r="FX50" t="e">
        <f>AND('Planilla_General_29-11-2012_10_'!G749,"AAAAAH/fHrM=")</f>
        <v>#VALUE!</v>
      </c>
      <c r="FY50" t="e">
        <f>AND('Planilla_General_29-11-2012_10_'!H749,"AAAAAH/fHrQ=")</f>
        <v>#VALUE!</v>
      </c>
      <c r="FZ50" t="e">
        <f>AND('Planilla_General_29-11-2012_10_'!I749,"AAAAAH/fHrU=")</f>
        <v>#VALUE!</v>
      </c>
      <c r="GA50" t="e">
        <f>AND('Planilla_General_29-11-2012_10_'!J749,"AAAAAH/fHrY=")</f>
        <v>#VALUE!</v>
      </c>
      <c r="GB50" t="e">
        <f>AND('Planilla_General_29-11-2012_10_'!K749,"AAAAAH/fHrc=")</f>
        <v>#VALUE!</v>
      </c>
      <c r="GC50" t="e">
        <f>AND('Planilla_General_29-11-2012_10_'!L749,"AAAAAH/fHrg=")</f>
        <v>#VALUE!</v>
      </c>
      <c r="GD50" t="e">
        <f>AND('Planilla_General_29-11-2012_10_'!M749,"AAAAAH/fHrk=")</f>
        <v>#VALUE!</v>
      </c>
      <c r="GE50" t="e">
        <f>AND('Planilla_General_29-11-2012_10_'!N749,"AAAAAH/fHro=")</f>
        <v>#VALUE!</v>
      </c>
      <c r="GF50" t="e">
        <f>AND('Planilla_General_29-11-2012_10_'!O749,"AAAAAH/fHrs=")</f>
        <v>#VALUE!</v>
      </c>
      <c r="GG50" t="e">
        <f>AND('Planilla_General_29-11-2012_10_'!P749,"AAAAAH/fHrw=")</f>
        <v>#VALUE!</v>
      </c>
      <c r="GH50">
        <f>IF('Planilla_General_29-11-2012_10_'!750:750,"AAAAAH/fHr0=",0)</f>
        <v>0</v>
      </c>
      <c r="GI50" t="e">
        <f>AND('Planilla_General_29-11-2012_10_'!A750,"AAAAAH/fHr4=")</f>
        <v>#VALUE!</v>
      </c>
      <c r="GJ50" t="e">
        <f>AND('Planilla_General_29-11-2012_10_'!B750,"AAAAAH/fHr8=")</f>
        <v>#VALUE!</v>
      </c>
      <c r="GK50" t="e">
        <f>AND('Planilla_General_29-11-2012_10_'!C750,"AAAAAH/fHsA=")</f>
        <v>#VALUE!</v>
      </c>
      <c r="GL50" t="e">
        <f>AND('Planilla_General_29-11-2012_10_'!D750,"AAAAAH/fHsE=")</f>
        <v>#VALUE!</v>
      </c>
      <c r="GM50" t="e">
        <f>AND('Planilla_General_29-11-2012_10_'!E750,"AAAAAH/fHsI=")</f>
        <v>#VALUE!</v>
      </c>
      <c r="GN50" t="e">
        <f>AND('Planilla_General_29-11-2012_10_'!F750,"AAAAAH/fHsM=")</f>
        <v>#VALUE!</v>
      </c>
      <c r="GO50" t="e">
        <f>AND('Planilla_General_29-11-2012_10_'!G750,"AAAAAH/fHsQ=")</f>
        <v>#VALUE!</v>
      </c>
      <c r="GP50" t="e">
        <f>AND('Planilla_General_29-11-2012_10_'!H750,"AAAAAH/fHsU=")</f>
        <v>#VALUE!</v>
      </c>
      <c r="GQ50" t="e">
        <f>AND('Planilla_General_29-11-2012_10_'!I750,"AAAAAH/fHsY=")</f>
        <v>#VALUE!</v>
      </c>
      <c r="GR50" t="e">
        <f>AND('Planilla_General_29-11-2012_10_'!J750,"AAAAAH/fHsc=")</f>
        <v>#VALUE!</v>
      </c>
      <c r="GS50" t="e">
        <f>AND('Planilla_General_29-11-2012_10_'!K750,"AAAAAH/fHsg=")</f>
        <v>#VALUE!</v>
      </c>
      <c r="GT50" t="e">
        <f>AND('Planilla_General_29-11-2012_10_'!L750,"AAAAAH/fHsk=")</f>
        <v>#VALUE!</v>
      </c>
      <c r="GU50" t="e">
        <f>AND('Planilla_General_29-11-2012_10_'!M750,"AAAAAH/fHso=")</f>
        <v>#VALUE!</v>
      </c>
      <c r="GV50" t="e">
        <f>AND('Planilla_General_29-11-2012_10_'!N750,"AAAAAH/fHss=")</f>
        <v>#VALUE!</v>
      </c>
      <c r="GW50" t="e">
        <f>AND('Planilla_General_29-11-2012_10_'!O750,"AAAAAH/fHsw=")</f>
        <v>#VALUE!</v>
      </c>
      <c r="GX50" t="e">
        <f>AND('Planilla_General_29-11-2012_10_'!P750,"AAAAAH/fHs0=")</f>
        <v>#VALUE!</v>
      </c>
      <c r="GY50">
        <f>IF('Planilla_General_29-11-2012_10_'!751:751,"AAAAAH/fHs4=",0)</f>
        <v>0</v>
      </c>
      <c r="GZ50" t="e">
        <f>AND('Planilla_General_29-11-2012_10_'!A751,"AAAAAH/fHs8=")</f>
        <v>#VALUE!</v>
      </c>
      <c r="HA50" t="e">
        <f>AND('Planilla_General_29-11-2012_10_'!B751,"AAAAAH/fHtA=")</f>
        <v>#VALUE!</v>
      </c>
      <c r="HB50" t="e">
        <f>AND('Planilla_General_29-11-2012_10_'!C751,"AAAAAH/fHtE=")</f>
        <v>#VALUE!</v>
      </c>
      <c r="HC50" t="e">
        <f>AND('Planilla_General_29-11-2012_10_'!D751,"AAAAAH/fHtI=")</f>
        <v>#VALUE!</v>
      </c>
      <c r="HD50" t="e">
        <f>AND('Planilla_General_29-11-2012_10_'!E751,"AAAAAH/fHtM=")</f>
        <v>#VALUE!</v>
      </c>
      <c r="HE50" t="e">
        <f>AND('Planilla_General_29-11-2012_10_'!F751,"AAAAAH/fHtQ=")</f>
        <v>#VALUE!</v>
      </c>
      <c r="HF50" t="e">
        <f>AND('Planilla_General_29-11-2012_10_'!G751,"AAAAAH/fHtU=")</f>
        <v>#VALUE!</v>
      </c>
      <c r="HG50" t="e">
        <f>AND('Planilla_General_29-11-2012_10_'!H751,"AAAAAH/fHtY=")</f>
        <v>#VALUE!</v>
      </c>
      <c r="HH50" t="e">
        <f>AND('Planilla_General_29-11-2012_10_'!I751,"AAAAAH/fHtc=")</f>
        <v>#VALUE!</v>
      </c>
      <c r="HI50" t="e">
        <f>AND('Planilla_General_29-11-2012_10_'!J751,"AAAAAH/fHtg=")</f>
        <v>#VALUE!</v>
      </c>
      <c r="HJ50" t="e">
        <f>AND('Planilla_General_29-11-2012_10_'!K751,"AAAAAH/fHtk=")</f>
        <v>#VALUE!</v>
      </c>
      <c r="HK50" t="e">
        <f>AND('Planilla_General_29-11-2012_10_'!L751,"AAAAAH/fHto=")</f>
        <v>#VALUE!</v>
      </c>
      <c r="HL50" t="e">
        <f>AND('Planilla_General_29-11-2012_10_'!M751,"AAAAAH/fHts=")</f>
        <v>#VALUE!</v>
      </c>
      <c r="HM50" t="e">
        <f>AND('Planilla_General_29-11-2012_10_'!N751,"AAAAAH/fHtw=")</f>
        <v>#VALUE!</v>
      </c>
      <c r="HN50" t="e">
        <f>AND('Planilla_General_29-11-2012_10_'!O751,"AAAAAH/fHt0=")</f>
        <v>#VALUE!</v>
      </c>
      <c r="HO50" t="e">
        <f>AND('Planilla_General_29-11-2012_10_'!P751,"AAAAAH/fHt4=")</f>
        <v>#VALUE!</v>
      </c>
      <c r="HP50">
        <f>IF('Planilla_General_29-11-2012_10_'!752:752,"AAAAAH/fHt8=",0)</f>
        <v>0</v>
      </c>
      <c r="HQ50" t="e">
        <f>AND('Planilla_General_29-11-2012_10_'!A752,"AAAAAH/fHuA=")</f>
        <v>#VALUE!</v>
      </c>
      <c r="HR50" t="e">
        <f>AND('Planilla_General_29-11-2012_10_'!B752,"AAAAAH/fHuE=")</f>
        <v>#VALUE!</v>
      </c>
      <c r="HS50" t="e">
        <f>AND('Planilla_General_29-11-2012_10_'!C752,"AAAAAH/fHuI=")</f>
        <v>#VALUE!</v>
      </c>
      <c r="HT50" t="e">
        <f>AND('Planilla_General_29-11-2012_10_'!D752,"AAAAAH/fHuM=")</f>
        <v>#VALUE!</v>
      </c>
      <c r="HU50" t="e">
        <f>AND('Planilla_General_29-11-2012_10_'!E752,"AAAAAH/fHuQ=")</f>
        <v>#VALUE!</v>
      </c>
      <c r="HV50" t="e">
        <f>AND('Planilla_General_29-11-2012_10_'!F752,"AAAAAH/fHuU=")</f>
        <v>#VALUE!</v>
      </c>
      <c r="HW50" t="e">
        <f>AND('Planilla_General_29-11-2012_10_'!G752,"AAAAAH/fHuY=")</f>
        <v>#VALUE!</v>
      </c>
      <c r="HX50" t="e">
        <f>AND('Planilla_General_29-11-2012_10_'!H752,"AAAAAH/fHuc=")</f>
        <v>#VALUE!</v>
      </c>
      <c r="HY50" t="e">
        <f>AND('Planilla_General_29-11-2012_10_'!I752,"AAAAAH/fHug=")</f>
        <v>#VALUE!</v>
      </c>
      <c r="HZ50" t="e">
        <f>AND('Planilla_General_29-11-2012_10_'!J752,"AAAAAH/fHuk=")</f>
        <v>#VALUE!</v>
      </c>
      <c r="IA50" t="e">
        <f>AND('Planilla_General_29-11-2012_10_'!K752,"AAAAAH/fHuo=")</f>
        <v>#VALUE!</v>
      </c>
      <c r="IB50" t="e">
        <f>AND('Planilla_General_29-11-2012_10_'!L752,"AAAAAH/fHus=")</f>
        <v>#VALUE!</v>
      </c>
      <c r="IC50" t="e">
        <f>AND('Planilla_General_29-11-2012_10_'!M752,"AAAAAH/fHuw=")</f>
        <v>#VALUE!</v>
      </c>
      <c r="ID50" t="e">
        <f>AND('Planilla_General_29-11-2012_10_'!N752,"AAAAAH/fHu0=")</f>
        <v>#VALUE!</v>
      </c>
      <c r="IE50" t="e">
        <f>AND('Planilla_General_29-11-2012_10_'!O752,"AAAAAH/fHu4=")</f>
        <v>#VALUE!</v>
      </c>
      <c r="IF50" t="e">
        <f>AND('Planilla_General_29-11-2012_10_'!P752,"AAAAAH/fHu8=")</f>
        <v>#VALUE!</v>
      </c>
      <c r="IG50">
        <f>IF('Planilla_General_29-11-2012_10_'!753:753,"AAAAAH/fHvA=",0)</f>
        <v>0</v>
      </c>
      <c r="IH50" t="e">
        <f>AND('Planilla_General_29-11-2012_10_'!A753,"AAAAAH/fHvE=")</f>
        <v>#VALUE!</v>
      </c>
      <c r="II50" t="e">
        <f>AND('Planilla_General_29-11-2012_10_'!B753,"AAAAAH/fHvI=")</f>
        <v>#VALUE!</v>
      </c>
      <c r="IJ50" t="e">
        <f>AND('Planilla_General_29-11-2012_10_'!C753,"AAAAAH/fHvM=")</f>
        <v>#VALUE!</v>
      </c>
      <c r="IK50" t="e">
        <f>AND('Planilla_General_29-11-2012_10_'!D753,"AAAAAH/fHvQ=")</f>
        <v>#VALUE!</v>
      </c>
      <c r="IL50" t="e">
        <f>AND('Planilla_General_29-11-2012_10_'!E753,"AAAAAH/fHvU=")</f>
        <v>#VALUE!</v>
      </c>
      <c r="IM50" t="e">
        <f>AND('Planilla_General_29-11-2012_10_'!F753,"AAAAAH/fHvY=")</f>
        <v>#VALUE!</v>
      </c>
      <c r="IN50" t="e">
        <f>AND('Planilla_General_29-11-2012_10_'!G753,"AAAAAH/fHvc=")</f>
        <v>#VALUE!</v>
      </c>
      <c r="IO50" t="e">
        <f>AND('Planilla_General_29-11-2012_10_'!H753,"AAAAAH/fHvg=")</f>
        <v>#VALUE!</v>
      </c>
      <c r="IP50" t="e">
        <f>AND('Planilla_General_29-11-2012_10_'!I753,"AAAAAH/fHvk=")</f>
        <v>#VALUE!</v>
      </c>
      <c r="IQ50" t="e">
        <f>AND('Planilla_General_29-11-2012_10_'!J753,"AAAAAH/fHvo=")</f>
        <v>#VALUE!</v>
      </c>
      <c r="IR50" t="e">
        <f>AND('Planilla_General_29-11-2012_10_'!K753,"AAAAAH/fHvs=")</f>
        <v>#VALUE!</v>
      </c>
      <c r="IS50" t="e">
        <f>AND('Planilla_General_29-11-2012_10_'!L753,"AAAAAH/fHvw=")</f>
        <v>#VALUE!</v>
      </c>
      <c r="IT50" t="e">
        <f>AND('Planilla_General_29-11-2012_10_'!M753,"AAAAAH/fHv0=")</f>
        <v>#VALUE!</v>
      </c>
      <c r="IU50" t="e">
        <f>AND('Planilla_General_29-11-2012_10_'!N753,"AAAAAH/fHv4=")</f>
        <v>#VALUE!</v>
      </c>
      <c r="IV50" t="e">
        <f>AND('Planilla_General_29-11-2012_10_'!O753,"AAAAAH/fHv8=")</f>
        <v>#VALUE!</v>
      </c>
    </row>
    <row r="51" spans="1:256" x14ac:dyDescent="0.25">
      <c r="A51" t="e">
        <f>AND('Planilla_General_29-11-2012_10_'!P753,"AAAAAEtV7wA=")</f>
        <v>#VALUE!</v>
      </c>
      <c r="B51" t="e">
        <f>IF('Planilla_General_29-11-2012_10_'!754:754,"AAAAAEtV7wE=",0)</f>
        <v>#VALUE!</v>
      </c>
      <c r="C51" t="e">
        <f>AND('Planilla_General_29-11-2012_10_'!A754,"AAAAAEtV7wI=")</f>
        <v>#VALUE!</v>
      </c>
      <c r="D51" t="e">
        <f>AND('Planilla_General_29-11-2012_10_'!B754,"AAAAAEtV7wM=")</f>
        <v>#VALUE!</v>
      </c>
      <c r="E51" t="e">
        <f>AND('Planilla_General_29-11-2012_10_'!C754,"AAAAAEtV7wQ=")</f>
        <v>#VALUE!</v>
      </c>
      <c r="F51" t="e">
        <f>AND('Planilla_General_29-11-2012_10_'!D754,"AAAAAEtV7wU=")</f>
        <v>#VALUE!</v>
      </c>
      <c r="G51" t="e">
        <f>AND('Planilla_General_29-11-2012_10_'!E754,"AAAAAEtV7wY=")</f>
        <v>#VALUE!</v>
      </c>
      <c r="H51" t="e">
        <f>AND('Planilla_General_29-11-2012_10_'!F754,"AAAAAEtV7wc=")</f>
        <v>#VALUE!</v>
      </c>
      <c r="I51" t="e">
        <f>AND('Planilla_General_29-11-2012_10_'!G754,"AAAAAEtV7wg=")</f>
        <v>#VALUE!</v>
      </c>
      <c r="J51" t="e">
        <f>AND('Planilla_General_29-11-2012_10_'!H754,"AAAAAEtV7wk=")</f>
        <v>#VALUE!</v>
      </c>
      <c r="K51" t="e">
        <f>AND('Planilla_General_29-11-2012_10_'!I754,"AAAAAEtV7wo=")</f>
        <v>#VALUE!</v>
      </c>
      <c r="L51" t="e">
        <f>AND('Planilla_General_29-11-2012_10_'!J754,"AAAAAEtV7ws=")</f>
        <v>#VALUE!</v>
      </c>
      <c r="M51" t="e">
        <f>AND('Planilla_General_29-11-2012_10_'!K754,"AAAAAEtV7ww=")</f>
        <v>#VALUE!</v>
      </c>
      <c r="N51" t="e">
        <f>AND('Planilla_General_29-11-2012_10_'!L754,"AAAAAEtV7w0=")</f>
        <v>#VALUE!</v>
      </c>
      <c r="O51" t="e">
        <f>AND('Planilla_General_29-11-2012_10_'!M754,"AAAAAEtV7w4=")</f>
        <v>#VALUE!</v>
      </c>
      <c r="P51" t="e">
        <f>AND('Planilla_General_29-11-2012_10_'!N754,"AAAAAEtV7w8=")</f>
        <v>#VALUE!</v>
      </c>
      <c r="Q51" t="e">
        <f>AND('Planilla_General_29-11-2012_10_'!O754,"AAAAAEtV7xA=")</f>
        <v>#VALUE!</v>
      </c>
      <c r="R51" t="e">
        <f>AND('Planilla_General_29-11-2012_10_'!P754,"AAAAAEtV7xE=")</f>
        <v>#VALUE!</v>
      </c>
      <c r="S51">
        <f>IF('Planilla_General_29-11-2012_10_'!755:755,"AAAAAEtV7xI=",0)</f>
        <v>0</v>
      </c>
      <c r="T51" t="e">
        <f>AND('Planilla_General_29-11-2012_10_'!A755,"AAAAAEtV7xM=")</f>
        <v>#VALUE!</v>
      </c>
      <c r="U51" t="e">
        <f>AND('Planilla_General_29-11-2012_10_'!B755,"AAAAAEtV7xQ=")</f>
        <v>#VALUE!</v>
      </c>
      <c r="V51" t="e">
        <f>AND('Planilla_General_29-11-2012_10_'!C755,"AAAAAEtV7xU=")</f>
        <v>#VALUE!</v>
      </c>
      <c r="W51" t="e">
        <f>AND('Planilla_General_29-11-2012_10_'!D755,"AAAAAEtV7xY=")</f>
        <v>#VALUE!</v>
      </c>
      <c r="X51" t="e">
        <f>AND('Planilla_General_29-11-2012_10_'!E755,"AAAAAEtV7xc=")</f>
        <v>#VALUE!</v>
      </c>
      <c r="Y51" t="e">
        <f>AND('Planilla_General_29-11-2012_10_'!F755,"AAAAAEtV7xg=")</f>
        <v>#VALUE!</v>
      </c>
      <c r="Z51" t="e">
        <f>AND('Planilla_General_29-11-2012_10_'!G755,"AAAAAEtV7xk=")</f>
        <v>#VALUE!</v>
      </c>
      <c r="AA51" t="e">
        <f>AND('Planilla_General_29-11-2012_10_'!H755,"AAAAAEtV7xo=")</f>
        <v>#VALUE!</v>
      </c>
      <c r="AB51" t="e">
        <f>AND('Planilla_General_29-11-2012_10_'!I755,"AAAAAEtV7xs=")</f>
        <v>#VALUE!</v>
      </c>
      <c r="AC51" t="e">
        <f>AND('Planilla_General_29-11-2012_10_'!J755,"AAAAAEtV7xw=")</f>
        <v>#VALUE!</v>
      </c>
      <c r="AD51" t="e">
        <f>AND('Planilla_General_29-11-2012_10_'!K755,"AAAAAEtV7x0=")</f>
        <v>#VALUE!</v>
      </c>
      <c r="AE51" t="e">
        <f>AND('Planilla_General_29-11-2012_10_'!L755,"AAAAAEtV7x4=")</f>
        <v>#VALUE!</v>
      </c>
      <c r="AF51" t="e">
        <f>AND('Planilla_General_29-11-2012_10_'!M755,"AAAAAEtV7x8=")</f>
        <v>#VALUE!</v>
      </c>
      <c r="AG51" t="e">
        <f>AND('Planilla_General_29-11-2012_10_'!N755,"AAAAAEtV7yA=")</f>
        <v>#VALUE!</v>
      </c>
      <c r="AH51" t="e">
        <f>AND('Planilla_General_29-11-2012_10_'!O755,"AAAAAEtV7yE=")</f>
        <v>#VALUE!</v>
      </c>
      <c r="AI51" t="e">
        <f>AND('Planilla_General_29-11-2012_10_'!P755,"AAAAAEtV7yI=")</f>
        <v>#VALUE!</v>
      </c>
      <c r="AJ51">
        <f>IF('Planilla_General_29-11-2012_10_'!756:756,"AAAAAEtV7yM=",0)</f>
        <v>0</v>
      </c>
      <c r="AK51" t="e">
        <f>AND('Planilla_General_29-11-2012_10_'!A756,"AAAAAEtV7yQ=")</f>
        <v>#VALUE!</v>
      </c>
      <c r="AL51" t="e">
        <f>AND('Planilla_General_29-11-2012_10_'!B756,"AAAAAEtV7yU=")</f>
        <v>#VALUE!</v>
      </c>
      <c r="AM51" t="e">
        <f>AND('Planilla_General_29-11-2012_10_'!C756,"AAAAAEtV7yY=")</f>
        <v>#VALUE!</v>
      </c>
      <c r="AN51" t="e">
        <f>AND('Planilla_General_29-11-2012_10_'!D756,"AAAAAEtV7yc=")</f>
        <v>#VALUE!</v>
      </c>
      <c r="AO51" t="e">
        <f>AND('Planilla_General_29-11-2012_10_'!E756,"AAAAAEtV7yg=")</f>
        <v>#VALUE!</v>
      </c>
      <c r="AP51" t="e">
        <f>AND('Planilla_General_29-11-2012_10_'!F756,"AAAAAEtV7yk=")</f>
        <v>#VALUE!</v>
      </c>
      <c r="AQ51" t="e">
        <f>AND('Planilla_General_29-11-2012_10_'!G756,"AAAAAEtV7yo=")</f>
        <v>#VALUE!</v>
      </c>
      <c r="AR51" t="e">
        <f>AND('Planilla_General_29-11-2012_10_'!H756,"AAAAAEtV7ys=")</f>
        <v>#VALUE!</v>
      </c>
      <c r="AS51" t="e">
        <f>AND('Planilla_General_29-11-2012_10_'!I756,"AAAAAEtV7yw=")</f>
        <v>#VALUE!</v>
      </c>
      <c r="AT51" t="e">
        <f>AND('Planilla_General_29-11-2012_10_'!J756,"AAAAAEtV7y0=")</f>
        <v>#VALUE!</v>
      </c>
      <c r="AU51" t="e">
        <f>AND('Planilla_General_29-11-2012_10_'!K756,"AAAAAEtV7y4=")</f>
        <v>#VALUE!</v>
      </c>
      <c r="AV51" t="e">
        <f>AND('Planilla_General_29-11-2012_10_'!L756,"AAAAAEtV7y8=")</f>
        <v>#VALUE!</v>
      </c>
      <c r="AW51" t="e">
        <f>AND('Planilla_General_29-11-2012_10_'!M756,"AAAAAEtV7zA=")</f>
        <v>#VALUE!</v>
      </c>
      <c r="AX51" t="e">
        <f>AND('Planilla_General_29-11-2012_10_'!N756,"AAAAAEtV7zE=")</f>
        <v>#VALUE!</v>
      </c>
      <c r="AY51" t="e">
        <f>AND('Planilla_General_29-11-2012_10_'!O756,"AAAAAEtV7zI=")</f>
        <v>#VALUE!</v>
      </c>
      <c r="AZ51" t="e">
        <f>AND('Planilla_General_29-11-2012_10_'!P756,"AAAAAEtV7zM=")</f>
        <v>#VALUE!</v>
      </c>
      <c r="BA51">
        <f>IF('Planilla_General_29-11-2012_10_'!757:757,"AAAAAEtV7zQ=",0)</f>
        <v>0</v>
      </c>
      <c r="BB51" t="e">
        <f>AND('Planilla_General_29-11-2012_10_'!A757,"AAAAAEtV7zU=")</f>
        <v>#VALUE!</v>
      </c>
      <c r="BC51" t="e">
        <f>AND('Planilla_General_29-11-2012_10_'!B757,"AAAAAEtV7zY=")</f>
        <v>#VALUE!</v>
      </c>
      <c r="BD51" t="e">
        <f>AND('Planilla_General_29-11-2012_10_'!C757,"AAAAAEtV7zc=")</f>
        <v>#VALUE!</v>
      </c>
      <c r="BE51" t="e">
        <f>AND('Planilla_General_29-11-2012_10_'!D757,"AAAAAEtV7zg=")</f>
        <v>#VALUE!</v>
      </c>
      <c r="BF51" t="e">
        <f>AND('Planilla_General_29-11-2012_10_'!E757,"AAAAAEtV7zk=")</f>
        <v>#VALUE!</v>
      </c>
      <c r="BG51" t="e">
        <f>AND('Planilla_General_29-11-2012_10_'!F757,"AAAAAEtV7zo=")</f>
        <v>#VALUE!</v>
      </c>
      <c r="BH51" t="e">
        <f>AND('Planilla_General_29-11-2012_10_'!G757,"AAAAAEtV7zs=")</f>
        <v>#VALUE!</v>
      </c>
      <c r="BI51" t="e">
        <f>AND('Planilla_General_29-11-2012_10_'!H757,"AAAAAEtV7zw=")</f>
        <v>#VALUE!</v>
      </c>
      <c r="BJ51" t="e">
        <f>AND('Planilla_General_29-11-2012_10_'!I757,"AAAAAEtV7z0=")</f>
        <v>#VALUE!</v>
      </c>
      <c r="BK51" t="e">
        <f>AND('Planilla_General_29-11-2012_10_'!J757,"AAAAAEtV7z4=")</f>
        <v>#VALUE!</v>
      </c>
      <c r="BL51" t="e">
        <f>AND('Planilla_General_29-11-2012_10_'!K757,"AAAAAEtV7z8=")</f>
        <v>#VALUE!</v>
      </c>
      <c r="BM51" t="e">
        <f>AND('Planilla_General_29-11-2012_10_'!L757,"AAAAAEtV70A=")</f>
        <v>#VALUE!</v>
      </c>
      <c r="BN51" t="e">
        <f>AND('Planilla_General_29-11-2012_10_'!M757,"AAAAAEtV70E=")</f>
        <v>#VALUE!</v>
      </c>
      <c r="BO51" t="e">
        <f>AND('Planilla_General_29-11-2012_10_'!N757,"AAAAAEtV70I=")</f>
        <v>#VALUE!</v>
      </c>
      <c r="BP51" t="e">
        <f>AND('Planilla_General_29-11-2012_10_'!O757,"AAAAAEtV70M=")</f>
        <v>#VALUE!</v>
      </c>
      <c r="BQ51" t="e">
        <f>AND('Planilla_General_29-11-2012_10_'!P757,"AAAAAEtV70Q=")</f>
        <v>#VALUE!</v>
      </c>
      <c r="BR51">
        <f>IF('Planilla_General_29-11-2012_10_'!758:758,"AAAAAEtV70U=",0)</f>
        <v>0</v>
      </c>
      <c r="BS51" t="e">
        <f>AND('Planilla_General_29-11-2012_10_'!A758,"AAAAAEtV70Y=")</f>
        <v>#VALUE!</v>
      </c>
      <c r="BT51" t="e">
        <f>AND('Planilla_General_29-11-2012_10_'!B758,"AAAAAEtV70c=")</f>
        <v>#VALUE!</v>
      </c>
      <c r="BU51" t="e">
        <f>AND('Planilla_General_29-11-2012_10_'!C758,"AAAAAEtV70g=")</f>
        <v>#VALUE!</v>
      </c>
      <c r="BV51" t="e">
        <f>AND('Planilla_General_29-11-2012_10_'!D758,"AAAAAEtV70k=")</f>
        <v>#VALUE!</v>
      </c>
      <c r="BW51" t="e">
        <f>AND('Planilla_General_29-11-2012_10_'!E758,"AAAAAEtV70o=")</f>
        <v>#VALUE!</v>
      </c>
      <c r="BX51" t="e">
        <f>AND('Planilla_General_29-11-2012_10_'!F758,"AAAAAEtV70s=")</f>
        <v>#VALUE!</v>
      </c>
      <c r="BY51" t="e">
        <f>AND('Planilla_General_29-11-2012_10_'!G758,"AAAAAEtV70w=")</f>
        <v>#VALUE!</v>
      </c>
      <c r="BZ51" t="e">
        <f>AND('Planilla_General_29-11-2012_10_'!H758,"AAAAAEtV700=")</f>
        <v>#VALUE!</v>
      </c>
      <c r="CA51" t="e">
        <f>AND('Planilla_General_29-11-2012_10_'!I758,"AAAAAEtV704=")</f>
        <v>#VALUE!</v>
      </c>
      <c r="CB51" t="e">
        <f>AND('Planilla_General_29-11-2012_10_'!J758,"AAAAAEtV708=")</f>
        <v>#VALUE!</v>
      </c>
      <c r="CC51" t="e">
        <f>AND('Planilla_General_29-11-2012_10_'!K758,"AAAAAEtV71A=")</f>
        <v>#VALUE!</v>
      </c>
      <c r="CD51" t="e">
        <f>AND('Planilla_General_29-11-2012_10_'!L758,"AAAAAEtV71E=")</f>
        <v>#VALUE!</v>
      </c>
      <c r="CE51" t="e">
        <f>AND('Planilla_General_29-11-2012_10_'!M758,"AAAAAEtV71I=")</f>
        <v>#VALUE!</v>
      </c>
      <c r="CF51" t="e">
        <f>AND('Planilla_General_29-11-2012_10_'!N758,"AAAAAEtV71M=")</f>
        <v>#VALUE!</v>
      </c>
      <c r="CG51" t="e">
        <f>AND('Planilla_General_29-11-2012_10_'!O758,"AAAAAEtV71Q=")</f>
        <v>#VALUE!</v>
      </c>
      <c r="CH51" t="e">
        <f>AND('Planilla_General_29-11-2012_10_'!P758,"AAAAAEtV71U=")</f>
        <v>#VALUE!</v>
      </c>
      <c r="CI51">
        <f>IF('Planilla_General_29-11-2012_10_'!759:759,"AAAAAEtV71Y=",0)</f>
        <v>0</v>
      </c>
      <c r="CJ51" t="e">
        <f>AND('Planilla_General_29-11-2012_10_'!A759,"AAAAAEtV71c=")</f>
        <v>#VALUE!</v>
      </c>
      <c r="CK51" t="e">
        <f>AND('Planilla_General_29-11-2012_10_'!B759,"AAAAAEtV71g=")</f>
        <v>#VALUE!</v>
      </c>
      <c r="CL51" t="e">
        <f>AND('Planilla_General_29-11-2012_10_'!C759,"AAAAAEtV71k=")</f>
        <v>#VALUE!</v>
      </c>
      <c r="CM51" t="e">
        <f>AND('Planilla_General_29-11-2012_10_'!D759,"AAAAAEtV71o=")</f>
        <v>#VALUE!</v>
      </c>
      <c r="CN51" t="e">
        <f>AND('Planilla_General_29-11-2012_10_'!E759,"AAAAAEtV71s=")</f>
        <v>#VALUE!</v>
      </c>
      <c r="CO51" t="e">
        <f>AND('Planilla_General_29-11-2012_10_'!F759,"AAAAAEtV71w=")</f>
        <v>#VALUE!</v>
      </c>
      <c r="CP51" t="e">
        <f>AND('Planilla_General_29-11-2012_10_'!G759,"AAAAAEtV710=")</f>
        <v>#VALUE!</v>
      </c>
      <c r="CQ51" t="e">
        <f>AND('Planilla_General_29-11-2012_10_'!H759,"AAAAAEtV714=")</f>
        <v>#VALUE!</v>
      </c>
      <c r="CR51" t="e">
        <f>AND('Planilla_General_29-11-2012_10_'!I759,"AAAAAEtV718=")</f>
        <v>#VALUE!</v>
      </c>
      <c r="CS51" t="e">
        <f>AND('Planilla_General_29-11-2012_10_'!J759,"AAAAAEtV72A=")</f>
        <v>#VALUE!</v>
      </c>
      <c r="CT51" t="e">
        <f>AND('Planilla_General_29-11-2012_10_'!K759,"AAAAAEtV72E=")</f>
        <v>#VALUE!</v>
      </c>
      <c r="CU51" t="e">
        <f>AND('Planilla_General_29-11-2012_10_'!L759,"AAAAAEtV72I=")</f>
        <v>#VALUE!</v>
      </c>
      <c r="CV51" t="e">
        <f>AND('Planilla_General_29-11-2012_10_'!M759,"AAAAAEtV72M=")</f>
        <v>#VALUE!</v>
      </c>
      <c r="CW51" t="e">
        <f>AND('Planilla_General_29-11-2012_10_'!N759,"AAAAAEtV72Q=")</f>
        <v>#VALUE!</v>
      </c>
      <c r="CX51" t="e">
        <f>AND('Planilla_General_29-11-2012_10_'!O759,"AAAAAEtV72U=")</f>
        <v>#VALUE!</v>
      </c>
      <c r="CY51" t="e">
        <f>AND('Planilla_General_29-11-2012_10_'!P759,"AAAAAEtV72Y=")</f>
        <v>#VALUE!</v>
      </c>
      <c r="CZ51">
        <f>IF('Planilla_General_29-11-2012_10_'!760:760,"AAAAAEtV72c=",0)</f>
        <v>0</v>
      </c>
      <c r="DA51" t="e">
        <f>AND('Planilla_General_29-11-2012_10_'!A760,"AAAAAEtV72g=")</f>
        <v>#VALUE!</v>
      </c>
      <c r="DB51" t="e">
        <f>AND('Planilla_General_29-11-2012_10_'!B760,"AAAAAEtV72k=")</f>
        <v>#VALUE!</v>
      </c>
      <c r="DC51" t="e">
        <f>AND('Planilla_General_29-11-2012_10_'!C760,"AAAAAEtV72o=")</f>
        <v>#VALUE!</v>
      </c>
      <c r="DD51" t="e">
        <f>AND('Planilla_General_29-11-2012_10_'!D760,"AAAAAEtV72s=")</f>
        <v>#VALUE!</v>
      </c>
      <c r="DE51" t="e">
        <f>AND('Planilla_General_29-11-2012_10_'!E760,"AAAAAEtV72w=")</f>
        <v>#VALUE!</v>
      </c>
      <c r="DF51" t="e">
        <f>AND('Planilla_General_29-11-2012_10_'!F760,"AAAAAEtV720=")</f>
        <v>#VALUE!</v>
      </c>
      <c r="DG51" t="e">
        <f>AND('Planilla_General_29-11-2012_10_'!G760,"AAAAAEtV724=")</f>
        <v>#VALUE!</v>
      </c>
      <c r="DH51" t="e">
        <f>AND('Planilla_General_29-11-2012_10_'!H760,"AAAAAEtV728=")</f>
        <v>#VALUE!</v>
      </c>
      <c r="DI51" t="e">
        <f>AND('Planilla_General_29-11-2012_10_'!I760,"AAAAAEtV73A=")</f>
        <v>#VALUE!</v>
      </c>
      <c r="DJ51" t="e">
        <f>AND('Planilla_General_29-11-2012_10_'!J760,"AAAAAEtV73E=")</f>
        <v>#VALUE!</v>
      </c>
      <c r="DK51" t="e">
        <f>AND('Planilla_General_29-11-2012_10_'!K760,"AAAAAEtV73I=")</f>
        <v>#VALUE!</v>
      </c>
      <c r="DL51" t="e">
        <f>AND('Planilla_General_29-11-2012_10_'!L760,"AAAAAEtV73M=")</f>
        <v>#VALUE!</v>
      </c>
      <c r="DM51" t="e">
        <f>AND('Planilla_General_29-11-2012_10_'!M760,"AAAAAEtV73Q=")</f>
        <v>#VALUE!</v>
      </c>
      <c r="DN51" t="e">
        <f>AND('Planilla_General_29-11-2012_10_'!N760,"AAAAAEtV73U=")</f>
        <v>#VALUE!</v>
      </c>
      <c r="DO51" t="e">
        <f>AND('Planilla_General_29-11-2012_10_'!O760,"AAAAAEtV73Y=")</f>
        <v>#VALUE!</v>
      </c>
      <c r="DP51" t="e">
        <f>AND('Planilla_General_29-11-2012_10_'!P760,"AAAAAEtV73c=")</f>
        <v>#VALUE!</v>
      </c>
      <c r="DQ51">
        <f>IF('Planilla_General_29-11-2012_10_'!761:761,"AAAAAEtV73g=",0)</f>
        <v>0</v>
      </c>
      <c r="DR51" t="e">
        <f>AND('Planilla_General_29-11-2012_10_'!A761,"AAAAAEtV73k=")</f>
        <v>#VALUE!</v>
      </c>
      <c r="DS51" t="e">
        <f>AND('Planilla_General_29-11-2012_10_'!B761,"AAAAAEtV73o=")</f>
        <v>#VALUE!</v>
      </c>
      <c r="DT51" t="e">
        <f>AND('Planilla_General_29-11-2012_10_'!C761,"AAAAAEtV73s=")</f>
        <v>#VALUE!</v>
      </c>
      <c r="DU51" t="e">
        <f>AND('Planilla_General_29-11-2012_10_'!D761,"AAAAAEtV73w=")</f>
        <v>#VALUE!</v>
      </c>
      <c r="DV51" t="e">
        <f>AND('Planilla_General_29-11-2012_10_'!E761,"AAAAAEtV730=")</f>
        <v>#VALUE!</v>
      </c>
      <c r="DW51" t="e">
        <f>AND('Planilla_General_29-11-2012_10_'!F761,"AAAAAEtV734=")</f>
        <v>#VALUE!</v>
      </c>
      <c r="DX51" t="e">
        <f>AND('Planilla_General_29-11-2012_10_'!G761,"AAAAAEtV738=")</f>
        <v>#VALUE!</v>
      </c>
      <c r="DY51" t="e">
        <f>AND('Planilla_General_29-11-2012_10_'!H761,"AAAAAEtV74A=")</f>
        <v>#VALUE!</v>
      </c>
      <c r="DZ51" t="e">
        <f>AND('Planilla_General_29-11-2012_10_'!I761,"AAAAAEtV74E=")</f>
        <v>#VALUE!</v>
      </c>
      <c r="EA51" t="e">
        <f>AND('Planilla_General_29-11-2012_10_'!J761,"AAAAAEtV74I=")</f>
        <v>#VALUE!</v>
      </c>
      <c r="EB51" t="e">
        <f>AND('Planilla_General_29-11-2012_10_'!K761,"AAAAAEtV74M=")</f>
        <v>#VALUE!</v>
      </c>
      <c r="EC51" t="e">
        <f>AND('Planilla_General_29-11-2012_10_'!L761,"AAAAAEtV74Q=")</f>
        <v>#VALUE!</v>
      </c>
      <c r="ED51" t="e">
        <f>AND('Planilla_General_29-11-2012_10_'!M761,"AAAAAEtV74U=")</f>
        <v>#VALUE!</v>
      </c>
      <c r="EE51" t="e">
        <f>AND('Planilla_General_29-11-2012_10_'!N761,"AAAAAEtV74Y=")</f>
        <v>#VALUE!</v>
      </c>
      <c r="EF51" t="e">
        <f>AND('Planilla_General_29-11-2012_10_'!O761,"AAAAAEtV74c=")</f>
        <v>#VALUE!</v>
      </c>
      <c r="EG51" t="e">
        <f>AND('Planilla_General_29-11-2012_10_'!P761,"AAAAAEtV74g=")</f>
        <v>#VALUE!</v>
      </c>
      <c r="EH51">
        <f>IF('Planilla_General_29-11-2012_10_'!762:762,"AAAAAEtV74k=",0)</f>
        <v>0</v>
      </c>
      <c r="EI51" t="e">
        <f>AND('Planilla_General_29-11-2012_10_'!A762,"AAAAAEtV74o=")</f>
        <v>#VALUE!</v>
      </c>
      <c r="EJ51" t="e">
        <f>AND('Planilla_General_29-11-2012_10_'!B762,"AAAAAEtV74s=")</f>
        <v>#VALUE!</v>
      </c>
      <c r="EK51" t="e">
        <f>AND('Planilla_General_29-11-2012_10_'!C762,"AAAAAEtV74w=")</f>
        <v>#VALUE!</v>
      </c>
      <c r="EL51" t="e">
        <f>AND('Planilla_General_29-11-2012_10_'!D762,"AAAAAEtV740=")</f>
        <v>#VALUE!</v>
      </c>
      <c r="EM51" t="e">
        <f>AND('Planilla_General_29-11-2012_10_'!E762,"AAAAAEtV744=")</f>
        <v>#VALUE!</v>
      </c>
      <c r="EN51" t="e">
        <f>AND('Planilla_General_29-11-2012_10_'!F762,"AAAAAEtV748=")</f>
        <v>#VALUE!</v>
      </c>
      <c r="EO51" t="e">
        <f>AND('Planilla_General_29-11-2012_10_'!G762,"AAAAAEtV75A=")</f>
        <v>#VALUE!</v>
      </c>
      <c r="EP51" t="e">
        <f>AND('Planilla_General_29-11-2012_10_'!H762,"AAAAAEtV75E=")</f>
        <v>#VALUE!</v>
      </c>
      <c r="EQ51" t="e">
        <f>AND('Planilla_General_29-11-2012_10_'!I762,"AAAAAEtV75I=")</f>
        <v>#VALUE!</v>
      </c>
      <c r="ER51" t="e">
        <f>AND('Planilla_General_29-11-2012_10_'!J762,"AAAAAEtV75M=")</f>
        <v>#VALUE!</v>
      </c>
      <c r="ES51" t="e">
        <f>AND('Planilla_General_29-11-2012_10_'!K762,"AAAAAEtV75Q=")</f>
        <v>#VALUE!</v>
      </c>
      <c r="ET51" t="e">
        <f>AND('Planilla_General_29-11-2012_10_'!L762,"AAAAAEtV75U=")</f>
        <v>#VALUE!</v>
      </c>
      <c r="EU51" t="e">
        <f>AND('Planilla_General_29-11-2012_10_'!M762,"AAAAAEtV75Y=")</f>
        <v>#VALUE!</v>
      </c>
      <c r="EV51" t="e">
        <f>AND('Planilla_General_29-11-2012_10_'!N762,"AAAAAEtV75c=")</f>
        <v>#VALUE!</v>
      </c>
      <c r="EW51" t="e">
        <f>AND('Planilla_General_29-11-2012_10_'!O762,"AAAAAEtV75g=")</f>
        <v>#VALUE!</v>
      </c>
      <c r="EX51" t="e">
        <f>AND('Planilla_General_29-11-2012_10_'!P762,"AAAAAEtV75k=")</f>
        <v>#VALUE!</v>
      </c>
      <c r="EY51">
        <f>IF('Planilla_General_29-11-2012_10_'!763:763,"AAAAAEtV75o=",0)</f>
        <v>0</v>
      </c>
      <c r="EZ51" t="e">
        <f>AND('Planilla_General_29-11-2012_10_'!A763,"AAAAAEtV75s=")</f>
        <v>#VALUE!</v>
      </c>
      <c r="FA51" t="e">
        <f>AND('Planilla_General_29-11-2012_10_'!B763,"AAAAAEtV75w=")</f>
        <v>#VALUE!</v>
      </c>
      <c r="FB51" t="e">
        <f>AND('Planilla_General_29-11-2012_10_'!C763,"AAAAAEtV750=")</f>
        <v>#VALUE!</v>
      </c>
      <c r="FC51" t="e">
        <f>AND('Planilla_General_29-11-2012_10_'!D763,"AAAAAEtV754=")</f>
        <v>#VALUE!</v>
      </c>
      <c r="FD51" t="e">
        <f>AND('Planilla_General_29-11-2012_10_'!E763,"AAAAAEtV758=")</f>
        <v>#VALUE!</v>
      </c>
      <c r="FE51" t="e">
        <f>AND('Planilla_General_29-11-2012_10_'!F763,"AAAAAEtV76A=")</f>
        <v>#VALUE!</v>
      </c>
      <c r="FF51" t="e">
        <f>AND('Planilla_General_29-11-2012_10_'!G763,"AAAAAEtV76E=")</f>
        <v>#VALUE!</v>
      </c>
      <c r="FG51" t="e">
        <f>AND('Planilla_General_29-11-2012_10_'!H763,"AAAAAEtV76I=")</f>
        <v>#VALUE!</v>
      </c>
      <c r="FH51" t="e">
        <f>AND('Planilla_General_29-11-2012_10_'!I763,"AAAAAEtV76M=")</f>
        <v>#VALUE!</v>
      </c>
      <c r="FI51" t="e">
        <f>AND('Planilla_General_29-11-2012_10_'!J763,"AAAAAEtV76Q=")</f>
        <v>#VALUE!</v>
      </c>
      <c r="FJ51" t="e">
        <f>AND('Planilla_General_29-11-2012_10_'!K763,"AAAAAEtV76U=")</f>
        <v>#VALUE!</v>
      </c>
      <c r="FK51" t="e">
        <f>AND('Planilla_General_29-11-2012_10_'!L763,"AAAAAEtV76Y=")</f>
        <v>#VALUE!</v>
      </c>
      <c r="FL51" t="e">
        <f>AND('Planilla_General_29-11-2012_10_'!M763,"AAAAAEtV76c=")</f>
        <v>#VALUE!</v>
      </c>
      <c r="FM51" t="e">
        <f>AND('Planilla_General_29-11-2012_10_'!N763,"AAAAAEtV76g=")</f>
        <v>#VALUE!</v>
      </c>
      <c r="FN51" t="e">
        <f>AND('Planilla_General_29-11-2012_10_'!O763,"AAAAAEtV76k=")</f>
        <v>#VALUE!</v>
      </c>
      <c r="FO51" t="e">
        <f>AND('Planilla_General_29-11-2012_10_'!P763,"AAAAAEtV76o=")</f>
        <v>#VALUE!</v>
      </c>
      <c r="FP51">
        <f>IF('Planilla_General_29-11-2012_10_'!764:764,"AAAAAEtV76s=",0)</f>
        <v>0</v>
      </c>
      <c r="FQ51" t="e">
        <f>AND('Planilla_General_29-11-2012_10_'!A764,"AAAAAEtV76w=")</f>
        <v>#VALUE!</v>
      </c>
      <c r="FR51" t="e">
        <f>AND('Planilla_General_29-11-2012_10_'!B764,"AAAAAEtV760=")</f>
        <v>#VALUE!</v>
      </c>
      <c r="FS51" t="e">
        <f>AND('Planilla_General_29-11-2012_10_'!C764,"AAAAAEtV764=")</f>
        <v>#VALUE!</v>
      </c>
      <c r="FT51" t="e">
        <f>AND('Planilla_General_29-11-2012_10_'!D764,"AAAAAEtV768=")</f>
        <v>#VALUE!</v>
      </c>
      <c r="FU51" t="e">
        <f>AND('Planilla_General_29-11-2012_10_'!E764,"AAAAAEtV77A=")</f>
        <v>#VALUE!</v>
      </c>
      <c r="FV51" t="e">
        <f>AND('Planilla_General_29-11-2012_10_'!F764,"AAAAAEtV77E=")</f>
        <v>#VALUE!</v>
      </c>
      <c r="FW51" t="e">
        <f>AND('Planilla_General_29-11-2012_10_'!G764,"AAAAAEtV77I=")</f>
        <v>#VALUE!</v>
      </c>
      <c r="FX51" t="e">
        <f>AND('Planilla_General_29-11-2012_10_'!H764,"AAAAAEtV77M=")</f>
        <v>#VALUE!</v>
      </c>
      <c r="FY51" t="e">
        <f>AND('Planilla_General_29-11-2012_10_'!I764,"AAAAAEtV77Q=")</f>
        <v>#VALUE!</v>
      </c>
      <c r="FZ51" t="e">
        <f>AND('Planilla_General_29-11-2012_10_'!J764,"AAAAAEtV77U=")</f>
        <v>#VALUE!</v>
      </c>
      <c r="GA51" t="e">
        <f>AND('Planilla_General_29-11-2012_10_'!K764,"AAAAAEtV77Y=")</f>
        <v>#VALUE!</v>
      </c>
      <c r="GB51" t="e">
        <f>AND('Planilla_General_29-11-2012_10_'!L764,"AAAAAEtV77c=")</f>
        <v>#VALUE!</v>
      </c>
      <c r="GC51" t="e">
        <f>AND('Planilla_General_29-11-2012_10_'!M764,"AAAAAEtV77g=")</f>
        <v>#VALUE!</v>
      </c>
      <c r="GD51" t="e">
        <f>AND('Planilla_General_29-11-2012_10_'!N764,"AAAAAEtV77k=")</f>
        <v>#VALUE!</v>
      </c>
      <c r="GE51" t="e">
        <f>AND('Planilla_General_29-11-2012_10_'!O764,"AAAAAEtV77o=")</f>
        <v>#VALUE!</v>
      </c>
      <c r="GF51" t="e">
        <f>AND('Planilla_General_29-11-2012_10_'!P764,"AAAAAEtV77s=")</f>
        <v>#VALUE!</v>
      </c>
      <c r="GG51">
        <f>IF('Planilla_General_29-11-2012_10_'!765:765,"AAAAAEtV77w=",0)</f>
        <v>0</v>
      </c>
      <c r="GH51" t="e">
        <f>AND('Planilla_General_29-11-2012_10_'!A765,"AAAAAEtV770=")</f>
        <v>#VALUE!</v>
      </c>
      <c r="GI51" t="e">
        <f>AND('Planilla_General_29-11-2012_10_'!B765,"AAAAAEtV774=")</f>
        <v>#VALUE!</v>
      </c>
      <c r="GJ51" t="e">
        <f>AND('Planilla_General_29-11-2012_10_'!C765,"AAAAAEtV778=")</f>
        <v>#VALUE!</v>
      </c>
      <c r="GK51" t="e">
        <f>AND('Planilla_General_29-11-2012_10_'!D765,"AAAAAEtV78A=")</f>
        <v>#VALUE!</v>
      </c>
      <c r="GL51" t="e">
        <f>AND('Planilla_General_29-11-2012_10_'!E765,"AAAAAEtV78E=")</f>
        <v>#VALUE!</v>
      </c>
      <c r="GM51" t="e">
        <f>AND('Planilla_General_29-11-2012_10_'!F765,"AAAAAEtV78I=")</f>
        <v>#VALUE!</v>
      </c>
      <c r="GN51" t="e">
        <f>AND('Planilla_General_29-11-2012_10_'!G765,"AAAAAEtV78M=")</f>
        <v>#VALUE!</v>
      </c>
      <c r="GO51" t="e">
        <f>AND('Planilla_General_29-11-2012_10_'!H765,"AAAAAEtV78Q=")</f>
        <v>#VALUE!</v>
      </c>
      <c r="GP51" t="e">
        <f>AND('Planilla_General_29-11-2012_10_'!I765,"AAAAAEtV78U=")</f>
        <v>#VALUE!</v>
      </c>
      <c r="GQ51" t="e">
        <f>AND('Planilla_General_29-11-2012_10_'!J765,"AAAAAEtV78Y=")</f>
        <v>#VALUE!</v>
      </c>
      <c r="GR51" t="e">
        <f>AND('Planilla_General_29-11-2012_10_'!K765,"AAAAAEtV78c=")</f>
        <v>#VALUE!</v>
      </c>
      <c r="GS51" t="e">
        <f>AND('Planilla_General_29-11-2012_10_'!L765,"AAAAAEtV78g=")</f>
        <v>#VALUE!</v>
      </c>
      <c r="GT51" t="e">
        <f>AND('Planilla_General_29-11-2012_10_'!M765,"AAAAAEtV78k=")</f>
        <v>#VALUE!</v>
      </c>
      <c r="GU51" t="e">
        <f>AND('Planilla_General_29-11-2012_10_'!N765,"AAAAAEtV78o=")</f>
        <v>#VALUE!</v>
      </c>
      <c r="GV51" t="e">
        <f>AND('Planilla_General_29-11-2012_10_'!O765,"AAAAAEtV78s=")</f>
        <v>#VALUE!</v>
      </c>
      <c r="GW51" t="e">
        <f>AND('Planilla_General_29-11-2012_10_'!P765,"AAAAAEtV78w=")</f>
        <v>#VALUE!</v>
      </c>
      <c r="GX51">
        <f>IF('Planilla_General_29-11-2012_10_'!766:766,"AAAAAEtV780=",0)</f>
        <v>0</v>
      </c>
      <c r="GY51" t="e">
        <f>AND('Planilla_General_29-11-2012_10_'!A766,"AAAAAEtV784=")</f>
        <v>#VALUE!</v>
      </c>
      <c r="GZ51" t="e">
        <f>AND('Planilla_General_29-11-2012_10_'!B766,"AAAAAEtV788=")</f>
        <v>#VALUE!</v>
      </c>
      <c r="HA51" t="e">
        <f>AND('Planilla_General_29-11-2012_10_'!C766,"AAAAAEtV79A=")</f>
        <v>#VALUE!</v>
      </c>
      <c r="HB51" t="e">
        <f>AND('Planilla_General_29-11-2012_10_'!D766,"AAAAAEtV79E=")</f>
        <v>#VALUE!</v>
      </c>
      <c r="HC51" t="e">
        <f>AND('Planilla_General_29-11-2012_10_'!E766,"AAAAAEtV79I=")</f>
        <v>#VALUE!</v>
      </c>
      <c r="HD51" t="e">
        <f>AND('Planilla_General_29-11-2012_10_'!F766,"AAAAAEtV79M=")</f>
        <v>#VALUE!</v>
      </c>
      <c r="HE51" t="e">
        <f>AND('Planilla_General_29-11-2012_10_'!G766,"AAAAAEtV79Q=")</f>
        <v>#VALUE!</v>
      </c>
      <c r="HF51" t="e">
        <f>AND('Planilla_General_29-11-2012_10_'!H766,"AAAAAEtV79U=")</f>
        <v>#VALUE!</v>
      </c>
      <c r="HG51" t="e">
        <f>AND('Planilla_General_29-11-2012_10_'!I766,"AAAAAEtV79Y=")</f>
        <v>#VALUE!</v>
      </c>
      <c r="HH51" t="e">
        <f>AND('Planilla_General_29-11-2012_10_'!J766,"AAAAAEtV79c=")</f>
        <v>#VALUE!</v>
      </c>
      <c r="HI51" t="e">
        <f>AND('Planilla_General_29-11-2012_10_'!K766,"AAAAAEtV79g=")</f>
        <v>#VALUE!</v>
      </c>
      <c r="HJ51" t="e">
        <f>AND('Planilla_General_29-11-2012_10_'!L766,"AAAAAEtV79k=")</f>
        <v>#VALUE!</v>
      </c>
      <c r="HK51" t="e">
        <f>AND('Planilla_General_29-11-2012_10_'!M766,"AAAAAEtV79o=")</f>
        <v>#VALUE!</v>
      </c>
      <c r="HL51" t="e">
        <f>AND('Planilla_General_29-11-2012_10_'!N766,"AAAAAEtV79s=")</f>
        <v>#VALUE!</v>
      </c>
      <c r="HM51" t="e">
        <f>AND('Planilla_General_29-11-2012_10_'!O766,"AAAAAEtV79w=")</f>
        <v>#VALUE!</v>
      </c>
      <c r="HN51" t="e">
        <f>AND('Planilla_General_29-11-2012_10_'!P766,"AAAAAEtV790=")</f>
        <v>#VALUE!</v>
      </c>
      <c r="HO51">
        <f>IF('Planilla_General_29-11-2012_10_'!767:767,"AAAAAEtV794=",0)</f>
        <v>0</v>
      </c>
      <c r="HP51" t="e">
        <f>AND('Planilla_General_29-11-2012_10_'!A767,"AAAAAEtV798=")</f>
        <v>#VALUE!</v>
      </c>
      <c r="HQ51" t="e">
        <f>AND('Planilla_General_29-11-2012_10_'!B767,"AAAAAEtV7+A=")</f>
        <v>#VALUE!</v>
      </c>
      <c r="HR51" t="e">
        <f>AND('Planilla_General_29-11-2012_10_'!C767,"AAAAAEtV7+E=")</f>
        <v>#VALUE!</v>
      </c>
      <c r="HS51" t="e">
        <f>AND('Planilla_General_29-11-2012_10_'!D767,"AAAAAEtV7+I=")</f>
        <v>#VALUE!</v>
      </c>
      <c r="HT51" t="e">
        <f>AND('Planilla_General_29-11-2012_10_'!E767,"AAAAAEtV7+M=")</f>
        <v>#VALUE!</v>
      </c>
      <c r="HU51" t="e">
        <f>AND('Planilla_General_29-11-2012_10_'!F767,"AAAAAEtV7+Q=")</f>
        <v>#VALUE!</v>
      </c>
      <c r="HV51" t="e">
        <f>AND('Planilla_General_29-11-2012_10_'!G767,"AAAAAEtV7+U=")</f>
        <v>#VALUE!</v>
      </c>
      <c r="HW51" t="e">
        <f>AND('Planilla_General_29-11-2012_10_'!H767,"AAAAAEtV7+Y=")</f>
        <v>#VALUE!</v>
      </c>
      <c r="HX51" t="e">
        <f>AND('Planilla_General_29-11-2012_10_'!I767,"AAAAAEtV7+c=")</f>
        <v>#VALUE!</v>
      </c>
      <c r="HY51" t="e">
        <f>AND('Planilla_General_29-11-2012_10_'!J767,"AAAAAEtV7+g=")</f>
        <v>#VALUE!</v>
      </c>
      <c r="HZ51" t="e">
        <f>AND('Planilla_General_29-11-2012_10_'!K767,"AAAAAEtV7+k=")</f>
        <v>#VALUE!</v>
      </c>
      <c r="IA51" t="e">
        <f>AND('Planilla_General_29-11-2012_10_'!L767,"AAAAAEtV7+o=")</f>
        <v>#VALUE!</v>
      </c>
      <c r="IB51" t="e">
        <f>AND('Planilla_General_29-11-2012_10_'!M767,"AAAAAEtV7+s=")</f>
        <v>#VALUE!</v>
      </c>
      <c r="IC51" t="e">
        <f>AND('Planilla_General_29-11-2012_10_'!N767,"AAAAAEtV7+w=")</f>
        <v>#VALUE!</v>
      </c>
      <c r="ID51" t="e">
        <f>AND('Planilla_General_29-11-2012_10_'!O767,"AAAAAEtV7+0=")</f>
        <v>#VALUE!</v>
      </c>
      <c r="IE51" t="e">
        <f>AND('Planilla_General_29-11-2012_10_'!P767,"AAAAAEtV7+4=")</f>
        <v>#VALUE!</v>
      </c>
      <c r="IF51">
        <f>IF('Planilla_General_29-11-2012_10_'!768:768,"AAAAAEtV7+8=",0)</f>
        <v>0</v>
      </c>
      <c r="IG51" t="e">
        <f>AND('Planilla_General_29-11-2012_10_'!A768,"AAAAAEtV7/A=")</f>
        <v>#VALUE!</v>
      </c>
      <c r="IH51" t="e">
        <f>AND('Planilla_General_29-11-2012_10_'!B768,"AAAAAEtV7/E=")</f>
        <v>#VALUE!</v>
      </c>
      <c r="II51" t="e">
        <f>AND('Planilla_General_29-11-2012_10_'!C768,"AAAAAEtV7/I=")</f>
        <v>#VALUE!</v>
      </c>
      <c r="IJ51" t="e">
        <f>AND('Planilla_General_29-11-2012_10_'!D768,"AAAAAEtV7/M=")</f>
        <v>#VALUE!</v>
      </c>
      <c r="IK51" t="e">
        <f>AND('Planilla_General_29-11-2012_10_'!E768,"AAAAAEtV7/Q=")</f>
        <v>#VALUE!</v>
      </c>
      <c r="IL51" t="e">
        <f>AND('Planilla_General_29-11-2012_10_'!F768,"AAAAAEtV7/U=")</f>
        <v>#VALUE!</v>
      </c>
      <c r="IM51" t="e">
        <f>AND('Planilla_General_29-11-2012_10_'!G768,"AAAAAEtV7/Y=")</f>
        <v>#VALUE!</v>
      </c>
      <c r="IN51" t="e">
        <f>AND('Planilla_General_29-11-2012_10_'!H768,"AAAAAEtV7/c=")</f>
        <v>#VALUE!</v>
      </c>
      <c r="IO51" t="e">
        <f>AND('Planilla_General_29-11-2012_10_'!I768,"AAAAAEtV7/g=")</f>
        <v>#VALUE!</v>
      </c>
      <c r="IP51" t="e">
        <f>AND('Planilla_General_29-11-2012_10_'!J768,"AAAAAEtV7/k=")</f>
        <v>#VALUE!</v>
      </c>
      <c r="IQ51" t="e">
        <f>AND('Planilla_General_29-11-2012_10_'!K768,"AAAAAEtV7/o=")</f>
        <v>#VALUE!</v>
      </c>
      <c r="IR51" t="e">
        <f>AND('Planilla_General_29-11-2012_10_'!L768,"AAAAAEtV7/s=")</f>
        <v>#VALUE!</v>
      </c>
      <c r="IS51" t="e">
        <f>AND('Planilla_General_29-11-2012_10_'!M768,"AAAAAEtV7/w=")</f>
        <v>#VALUE!</v>
      </c>
      <c r="IT51" t="e">
        <f>AND('Planilla_General_29-11-2012_10_'!N768,"AAAAAEtV7/0=")</f>
        <v>#VALUE!</v>
      </c>
      <c r="IU51" t="e">
        <f>AND('Planilla_General_29-11-2012_10_'!O768,"AAAAAEtV7/4=")</f>
        <v>#VALUE!</v>
      </c>
      <c r="IV51" t="e">
        <f>AND('Planilla_General_29-11-2012_10_'!P768,"AAAAAEtV7/8=")</f>
        <v>#VALUE!</v>
      </c>
    </row>
    <row r="52" spans="1:256" x14ac:dyDescent="0.25">
      <c r="A52" t="e">
        <f>IF('Planilla_General_29-11-2012_10_'!769:769,"AAAAAH+/+gA=",0)</f>
        <v>#VALUE!</v>
      </c>
      <c r="B52" t="e">
        <f>AND('Planilla_General_29-11-2012_10_'!A769,"AAAAAH+/+gE=")</f>
        <v>#VALUE!</v>
      </c>
      <c r="C52" t="e">
        <f>AND('Planilla_General_29-11-2012_10_'!B769,"AAAAAH+/+gI=")</f>
        <v>#VALUE!</v>
      </c>
      <c r="D52" t="e">
        <f>AND('Planilla_General_29-11-2012_10_'!C769,"AAAAAH+/+gM=")</f>
        <v>#VALUE!</v>
      </c>
      <c r="E52" t="e">
        <f>AND('Planilla_General_29-11-2012_10_'!D769,"AAAAAH+/+gQ=")</f>
        <v>#VALUE!</v>
      </c>
      <c r="F52" t="e">
        <f>AND('Planilla_General_29-11-2012_10_'!E769,"AAAAAH+/+gU=")</f>
        <v>#VALUE!</v>
      </c>
      <c r="G52" t="e">
        <f>AND('Planilla_General_29-11-2012_10_'!F769,"AAAAAH+/+gY=")</f>
        <v>#VALUE!</v>
      </c>
      <c r="H52" t="e">
        <f>AND('Planilla_General_29-11-2012_10_'!G769,"AAAAAH+/+gc=")</f>
        <v>#VALUE!</v>
      </c>
      <c r="I52" t="e">
        <f>AND('Planilla_General_29-11-2012_10_'!H769,"AAAAAH+/+gg=")</f>
        <v>#VALUE!</v>
      </c>
      <c r="J52" t="e">
        <f>AND('Planilla_General_29-11-2012_10_'!I769,"AAAAAH+/+gk=")</f>
        <v>#VALUE!</v>
      </c>
      <c r="K52" t="e">
        <f>AND('Planilla_General_29-11-2012_10_'!J769,"AAAAAH+/+go=")</f>
        <v>#VALUE!</v>
      </c>
      <c r="L52" t="e">
        <f>AND('Planilla_General_29-11-2012_10_'!K769,"AAAAAH+/+gs=")</f>
        <v>#VALUE!</v>
      </c>
      <c r="M52" t="e">
        <f>AND('Planilla_General_29-11-2012_10_'!L769,"AAAAAH+/+gw=")</f>
        <v>#VALUE!</v>
      </c>
      <c r="N52" t="e">
        <f>AND('Planilla_General_29-11-2012_10_'!M769,"AAAAAH+/+g0=")</f>
        <v>#VALUE!</v>
      </c>
      <c r="O52" t="e">
        <f>AND('Planilla_General_29-11-2012_10_'!N769,"AAAAAH+/+g4=")</f>
        <v>#VALUE!</v>
      </c>
      <c r="P52" t="e">
        <f>AND('Planilla_General_29-11-2012_10_'!O769,"AAAAAH+/+g8=")</f>
        <v>#VALUE!</v>
      </c>
      <c r="Q52" t="e">
        <f>AND('Planilla_General_29-11-2012_10_'!P769,"AAAAAH+/+hA=")</f>
        <v>#VALUE!</v>
      </c>
      <c r="R52">
        <f>IF('Planilla_General_29-11-2012_10_'!770:770,"AAAAAH+/+hE=",0)</f>
        <v>0</v>
      </c>
      <c r="S52" t="e">
        <f>AND('Planilla_General_29-11-2012_10_'!A770,"AAAAAH+/+hI=")</f>
        <v>#VALUE!</v>
      </c>
      <c r="T52" t="e">
        <f>AND('Planilla_General_29-11-2012_10_'!B770,"AAAAAH+/+hM=")</f>
        <v>#VALUE!</v>
      </c>
      <c r="U52" t="e">
        <f>AND('Planilla_General_29-11-2012_10_'!C770,"AAAAAH+/+hQ=")</f>
        <v>#VALUE!</v>
      </c>
      <c r="V52" t="e">
        <f>AND('Planilla_General_29-11-2012_10_'!D770,"AAAAAH+/+hU=")</f>
        <v>#VALUE!</v>
      </c>
      <c r="W52" t="e">
        <f>AND('Planilla_General_29-11-2012_10_'!E770,"AAAAAH+/+hY=")</f>
        <v>#VALUE!</v>
      </c>
      <c r="X52" t="e">
        <f>AND('Planilla_General_29-11-2012_10_'!F770,"AAAAAH+/+hc=")</f>
        <v>#VALUE!</v>
      </c>
      <c r="Y52" t="e">
        <f>AND('Planilla_General_29-11-2012_10_'!G770,"AAAAAH+/+hg=")</f>
        <v>#VALUE!</v>
      </c>
      <c r="Z52" t="e">
        <f>AND('Planilla_General_29-11-2012_10_'!H770,"AAAAAH+/+hk=")</f>
        <v>#VALUE!</v>
      </c>
      <c r="AA52" t="e">
        <f>AND('Planilla_General_29-11-2012_10_'!I770,"AAAAAH+/+ho=")</f>
        <v>#VALUE!</v>
      </c>
      <c r="AB52" t="e">
        <f>AND('Planilla_General_29-11-2012_10_'!J770,"AAAAAH+/+hs=")</f>
        <v>#VALUE!</v>
      </c>
      <c r="AC52" t="e">
        <f>AND('Planilla_General_29-11-2012_10_'!K770,"AAAAAH+/+hw=")</f>
        <v>#VALUE!</v>
      </c>
      <c r="AD52" t="e">
        <f>AND('Planilla_General_29-11-2012_10_'!L770,"AAAAAH+/+h0=")</f>
        <v>#VALUE!</v>
      </c>
      <c r="AE52" t="e">
        <f>AND('Planilla_General_29-11-2012_10_'!M770,"AAAAAH+/+h4=")</f>
        <v>#VALUE!</v>
      </c>
      <c r="AF52" t="e">
        <f>AND('Planilla_General_29-11-2012_10_'!N770,"AAAAAH+/+h8=")</f>
        <v>#VALUE!</v>
      </c>
      <c r="AG52" t="e">
        <f>AND('Planilla_General_29-11-2012_10_'!O770,"AAAAAH+/+iA=")</f>
        <v>#VALUE!</v>
      </c>
      <c r="AH52" t="e">
        <f>AND('Planilla_General_29-11-2012_10_'!P770,"AAAAAH+/+iE=")</f>
        <v>#VALUE!</v>
      </c>
      <c r="AI52">
        <f>IF('Planilla_General_29-11-2012_10_'!771:771,"AAAAAH+/+iI=",0)</f>
        <v>0</v>
      </c>
      <c r="AJ52" t="e">
        <f>AND('Planilla_General_29-11-2012_10_'!A771,"AAAAAH+/+iM=")</f>
        <v>#VALUE!</v>
      </c>
      <c r="AK52" t="e">
        <f>AND('Planilla_General_29-11-2012_10_'!B771,"AAAAAH+/+iQ=")</f>
        <v>#VALUE!</v>
      </c>
      <c r="AL52" t="e">
        <f>AND('Planilla_General_29-11-2012_10_'!C771,"AAAAAH+/+iU=")</f>
        <v>#VALUE!</v>
      </c>
      <c r="AM52" t="e">
        <f>AND('Planilla_General_29-11-2012_10_'!D771,"AAAAAH+/+iY=")</f>
        <v>#VALUE!</v>
      </c>
      <c r="AN52" t="e">
        <f>AND('Planilla_General_29-11-2012_10_'!E771,"AAAAAH+/+ic=")</f>
        <v>#VALUE!</v>
      </c>
      <c r="AO52" t="e">
        <f>AND('Planilla_General_29-11-2012_10_'!F771,"AAAAAH+/+ig=")</f>
        <v>#VALUE!</v>
      </c>
      <c r="AP52" t="e">
        <f>AND('Planilla_General_29-11-2012_10_'!G771,"AAAAAH+/+ik=")</f>
        <v>#VALUE!</v>
      </c>
      <c r="AQ52" t="e">
        <f>AND('Planilla_General_29-11-2012_10_'!H771,"AAAAAH+/+io=")</f>
        <v>#VALUE!</v>
      </c>
      <c r="AR52" t="e">
        <f>AND('Planilla_General_29-11-2012_10_'!I771,"AAAAAH+/+is=")</f>
        <v>#VALUE!</v>
      </c>
      <c r="AS52" t="e">
        <f>AND('Planilla_General_29-11-2012_10_'!J771,"AAAAAH+/+iw=")</f>
        <v>#VALUE!</v>
      </c>
      <c r="AT52" t="e">
        <f>AND('Planilla_General_29-11-2012_10_'!K771,"AAAAAH+/+i0=")</f>
        <v>#VALUE!</v>
      </c>
      <c r="AU52" t="e">
        <f>AND('Planilla_General_29-11-2012_10_'!L771,"AAAAAH+/+i4=")</f>
        <v>#VALUE!</v>
      </c>
      <c r="AV52" t="e">
        <f>AND('Planilla_General_29-11-2012_10_'!M771,"AAAAAH+/+i8=")</f>
        <v>#VALUE!</v>
      </c>
      <c r="AW52" t="e">
        <f>AND('Planilla_General_29-11-2012_10_'!N771,"AAAAAH+/+jA=")</f>
        <v>#VALUE!</v>
      </c>
      <c r="AX52" t="e">
        <f>AND('Planilla_General_29-11-2012_10_'!O771,"AAAAAH+/+jE=")</f>
        <v>#VALUE!</v>
      </c>
      <c r="AY52" t="e">
        <f>AND('Planilla_General_29-11-2012_10_'!P771,"AAAAAH+/+jI=")</f>
        <v>#VALUE!</v>
      </c>
      <c r="AZ52">
        <f>IF('Planilla_General_29-11-2012_10_'!772:772,"AAAAAH+/+jM=",0)</f>
        <v>0</v>
      </c>
      <c r="BA52" t="e">
        <f>AND('Planilla_General_29-11-2012_10_'!A772,"AAAAAH+/+jQ=")</f>
        <v>#VALUE!</v>
      </c>
      <c r="BB52" t="e">
        <f>AND('Planilla_General_29-11-2012_10_'!B772,"AAAAAH+/+jU=")</f>
        <v>#VALUE!</v>
      </c>
      <c r="BC52" t="e">
        <f>AND('Planilla_General_29-11-2012_10_'!C772,"AAAAAH+/+jY=")</f>
        <v>#VALUE!</v>
      </c>
      <c r="BD52" t="e">
        <f>AND('Planilla_General_29-11-2012_10_'!D772,"AAAAAH+/+jc=")</f>
        <v>#VALUE!</v>
      </c>
      <c r="BE52" t="e">
        <f>AND('Planilla_General_29-11-2012_10_'!E772,"AAAAAH+/+jg=")</f>
        <v>#VALUE!</v>
      </c>
      <c r="BF52" t="e">
        <f>AND('Planilla_General_29-11-2012_10_'!F772,"AAAAAH+/+jk=")</f>
        <v>#VALUE!</v>
      </c>
      <c r="BG52" t="e">
        <f>AND('Planilla_General_29-11-2012_10_'!G772,"AAAAAH+/+jo=")</f>
        <v>#VALUE!</v>
      </c>
      <c r="BH52" t="e">
        <f>AND('Planilla_General_29-11-2012_10_'!H772,"AAAAAH+/+js=")</f>
        <v>#VALUE!</v>
      </c>
      <c r="BI52" t="e">
        <f>AND('Planilla_General_29-11-2012_10_'!I772,"AAAAAH+/+jw=")</f>
        <v>#VALUE!</v>
      </c>
      <c r="BJ52" t="e">
        <f>AND('Planilla_General_29-11-2012_10_'!J772,"AAAAAH+/+j0=")</f>
        <v>#VALUE!</v>
      </c>
      <c r="BK52" t="e">
        <f>AND('Planilla_General_29-11-2012_10_'!K772,"AAAAAH+/+j4=")</f>
        <v>#VALUE!</v>
      </c>
      <c r="BL52" t="e">
        <f>AND('Planilla_General_29-11-2012_10_'!L772,"AAAAAH+/+j8=")</f>
        <v>#VALUE!</v>
      </c>
      <c r="BM52" t="e">
        <f>AND('Planilla_General_29-11-2012_10_'!M772,"AAAAAH+/+kA=")</f>
        <v>#VALUE!</v>
      </c>
      <c r="BN52" t="e">
        <f>AND('Planilla_General_29-11-2012_10_'!N772,"AAAAAH+/+kE=")</f>
        <v>#VALUE!</v>
      </c>
      <c r="BO52" t="e">
        <f>AND('Planilla_General_29-11-2012_10_'!O772,"AAAAAH+/+kI=")</f>
        <v>#VALUE!</v>
      </c>
      <c r="BP52" t="e">
        <f>AND('Planilla_General_29-11-2012_10_'!P772,"AAAAAH+/+kM=")</f>
        <v>#VALUE!</v>
      </c>
      <c r="BQ52">
        <f>IF('Planilla_General_29-11-2012_10_'!773:773,"AAAAAH+/+kQ=",0)</f>
        <v>0</v>
      </c>
      <c r="BR52" t="e">
        <f>AND('Planilla_General_29-11-2012_10_'!A773,"AAAAAH+/+kU=")</f>
        <v>#VALUE!</v>
      </c>
      <c r="BS52" t="e">
        <f>AND('Planilla_General_29-11-2012_10_'!B773,"AAAAAH+/+kY=")</f>
        <v>#VALUE!</v>
      </c>
      <c r="BT52" t="e">
        <f>AND('Planilla_General_29-11-2012_10_'!C773,"AAAAAH+/+kc=")</f>
        <v>#VALUE!</v>
      </c>
      <c r="BU52" t="e">
        <f>AND('Planilla_General_29-11-2012_10_'!D773,"AAAAAH+/+kg=")</f>
        <v>#VALUE!</v>
      </c>
      <c r="BV52" t="e">
        <f>AND('Planilla_General_29-11-2012_10_'!E773,"AAAAAH+/+kk=")</f>
        <v>#VALUE!</v>
      </c>
      <c r="BW52" t="e">
        <f>AND('Planilla_General_29-11-2012_10_'!F773,"AAAAAH+/+ko=")</f>
        <v>#VALUE!</v>
      </c>
      <c r="BX52" t="e">
        <f>AND('Planilla_General_29-11-2012_10_'!G773,"AAAAAH+/+ks=")</f>
        <v>#VALUE!</v>
      </c>
      <c r="BY52" t="e">
        <f>AND('Planilla_General_29-11-2012_10_'!H773,"AAAAAH+/+kw=")</f>
        <v>#VALUE!</v>
      </c>
      <c r="BZ52" t="e">
        <f>AND('Planilla_General_29-11-2012_10_'!I773,"AAAAAH+/+k0=")</f>
        <v>#VALUE!</v>
      </c>
      <c r="CA52" t="e">
        <f>AND('Planilla_General_29-11-2012_10_'!J773,"AAAAAH+/+k4=")</f>
        <v>#VALUE!</v>
      </c>
      <c r="CB52" t="e">
        <f>AND('Planilla_General_29-11-2012_10_'!K773,"AAAAAH+/+k8=")</f>
        <v>#VALUE!</v>
      </c>
      <c r="CC52" t="e">
        <f>AND('Planilla_General_29-11-2012_10_'!L773,"AAAAAH+/+lA=")</f>
        <v>#VALUE!</v>
      </c>
      <c r="CD52" t="e">
        <f>AND('Planilla_General_29-11-2012_10_'!M773,"AAAAAH+/+lE=")</f>
        <v>#VALUE!</v>
      </c>
      <c r="CE52" t="e">
        <f>AND('Planilla_General_29-11-2012_10_'!N773,"AAAAAH+/+lI=")</f>
        <v>#VALUE!</v>
      </c>
      <c r="CF52" t="e">
        <f>AND('Planilla_General_29-11-2012_10_'!O773,"AAAAAH+/+lM=")</f>
        <v>#VALUE!</v>
      </c>
      <c r="CG52" t="e">
        <f>AND('Planilla_General_29-11-2012_10_'!P773,"AAAAAH+/+lQ=")</f>
        <v>#VALUE!</v>
      </c>
      <c r="CH52">
        <f>IF('Planilla_General_29-11-2012_10_'!774:774,"AAAAAH+/+lU=",0)</f>
        <v>0</v>
      </c>
      <c r="CI52" t="e">
        <f>AND('Planilla_General_29-11-2012_10_'!A774,"AAAAAH+/+lY=")</f>
        <v>#VALUE!</v>
      </c>
      <c r="CJ52" t="e">
        <f>AND('Planilla_General_29-11-2012_10_'!B774,"AAAAAH+/+lc=")</f>
        <v>#VALUE!</v>
      </c>
      <c r="CK52" t="e">
        <f>AND('Planilla_General_29-11-2012_10_'!C774,"AAAAAH+/+lg=")</f>
        <v>#VALUE!</v>
      </c>
      <c r="CL52" t="e">
        <f>AND('Planilla_General_29-11-2012_10_'!D774,"AAAAAH+/+lk=")</f>
        <v>#VALUE!</v>
      </c>
      <c r="CM52" t="e">
        <f>AND('Planilla_General_29-11-2012_10_'!E774,"AAAAAH+/+lo=")</f>
        <v>#VALUE!</v>
      </c>
      <c r="CN52" t="e">
        <f>AND('Planilla_General_29-11-2012_10_'!F774,"AAAAAH+/+ls=")</f>
        <v>#VALUE!</v>
      </c>
      <c r="CO52" t="e">
        <f>AND('Planilla_General_29-11-2012_10_'!G774,"AAAAAH+/+lw=")</f>
        <v>#VALUE!</v>
      </c>
      <c r="CP52" t="e">
        <f>AND('Planilla_General_29-11-2012_10_'!H774,"AAAAAH+/+l0=")</f>
        <v>#VALUE!</v>
      </c>
      <c r="CQ52" t="e">
        <f>AND('Planilla_General_29-11-2012_10_'!I774,"AAAAAH+/+l4=")</f>
        <v>#VALUE!</v>
      </c>
      <c r="CR52" t="e">
        <f>AND('Planilla_General_29-11-2012_10_'!J774,"AAAAAH+/+l8=")</f>
        <v>#VALUE!</v>
      </c>
      <c r="CS52" t="e">
        <f>AND('Planilla_General_29-11-2012_10_'!K774,"AAAAAH+/+mA=")</f>
        <v>#VALUE!</v>
      </c>
      <c r="CT52" t="e">
        <f>AND('Planilla_General_29-11-2012_10_'!L774,"AAAAAH+/+mE=")</f>
        <v>#VALUE!</v>
      </c>
      <c r="CU52" t="e">
        <f>AND('Planilla_General_29-11-2012_10_'!M774,"AAAAAH+/+mI=")</f>
        <v>#VALUE!</v>
      </c>
      <c r="CV52" t="e">
        <f>AND('Planilla_General_29-11-2012_10_'!N774,"AAAAAH+/+mM=")</f>
        <v>#VALUE!</v>
      </c>
      <c r="CW52" t="e">
        <f>AND('Planilla_General_29-11-2012_10_'!O774,"AAAAAH+/+mQ=")</f>
        <v>#VALUE!</v>
      </c>
      <c r="CX52" t="e">
        <f>AND('Planilla_General_29-11-2012_10_'!P774,"AAAAAH+/+mU=")</f>
        <v>#VALUE!</v>
      </c>
      <c r="CY52">
        <f>IF('Planilla_General_29-11-2012_10_'!775:775,"AAAAAH+/+mY=",0)</f>
        <v>0</v>
      </c>
      <c r="CZ52" t="e">
        <f>AND('Planilla_General_29-11-2012_10_'!A775,"AAAAAH+/+mc=")</f>
        <v>#VALUE!</v>
      </c>
      <c r="DA52" t="e">
        <f>AND('Planilla_General_29-11-2012_10_'!B775,"AAAAAH+/+mg=")</f>
        <v>#VALUE!</v>
      </c>
      <c r="DB52" t="e">
        <f>AND('Planilla_General_29-11-2012_10_'!C775,"AAAAAH+/+mk=")</f>
        <v>#VALUE!</v>
      </c>
      <c r="DC52" t="e">
        <f>AND('Planilla_General_29-11-2012_10_'!D775,"AAAAAH+/+mo=")</f>
        <v>#VALUE!</v>
      </c>
      <c r="DD52" t="e">
        <f>AND('Planilla_General_29-11-2012_10_'!E775,"AAAAAH+/+ms=")</f>
        <v>#VALUE!</v>
      </c>
      <c r="DE52" t="e">
        <f>AND('Planilla_General_29-11-2012_10_'!F775,"AAAAAH+/+mw=")</f>
        <v>#VALUE!</v>
      </c>
      <c r="DF52" t="e">
        <f>AND('Planilla_General_29-11-2012_10_'!G775,"AAAAAH+/+m0=")</f>
        <v>#VALUE!</v>
      </c>
      <c r="DG52" t="e">
        <f>AND('Planilla_General_29-11-2012_10_'!H775,"AAAAAH+/+m4=")</f>
        <v>#VALUE!</v>
      </c>
      <c r="DH52" t="e">
        <f>AND('Planilla_General_29-11-2012_10_'!I775,"AAAAAH+/+m8=")</f>
        <v>#VALUE!</v>
      </c>
      <c r="DI52" t="e">
        <f>AND('Planilla_General_29-11-2012_10_'!J775,"AAAAAH+/+nA=")</f>
        <v>#VALUE!</v>
      </c>
      <c r="DJ52" t="e">
        <f>AND('Planilla_General_29-11-2012_10_'!K775,"AAAAAH+/+nE=")</f>
        <v>#VALUE!</v>
      </c>
      <c r="DK52" t="e">
        <f>AND('Planilla_General_29-11-2012_10_'!L775,"AAAAAH+/+nI=")</f>
        <v>#VALUE!</v>
      </c>
      <c r="DL52" t="e">
        <f>AND('Planilla_General_29-11-2012_10_'!M775,"AAAAAH+/+nM=")</f>
        <v>#VALUE!</v>
      </c>
      <c r="DM52" t="e">
        <f>AND('Planilla_General_29-11-2012_10_'!N775,"AAAAAH+/+nQ=")</f>
        <v>#VALUE!</v>
      </c>
      <c r="DN52" t="e">
        <f>AND('Planilla_General_29-11-2012_10_'!O775,"AAAAAH+/+nU=")</f>
        <v>#VALUE!</v>
      </c>
      <c r="DO52" t="e">
        <f>AND('Planilla_General_29-11-2012_10_'!P775,"AAAAAH+/+nY=")</f>
        <v>#VALUE!</v>
      </c>
      <c r="DP52">
        <f>IF('Planilla_General_29-11-2012_10_'!776:776,"AAAAAH+/+nc=",0)</f>
        <v>0</v>
      </c>
      <c r="DQ52" t="e">
        <f>AND('Planilla_General_29-11-2012_10_'!A776,"AAAAAH+/+ng=")</f>
        <v>#VALUE!</v>
      </c>
      <c r="DR52" t="e">
        <f>AND('Planilla_General_29-11-2012_10_'!B776,"AAAAAH+/+nk=")</f>
        <v>#VALUE!</v>
      </c>
      <c r="DS52" t="e">
        <f>AND('Planilla_General_29-11-2012_10_'!C776,"AAAAAH+/+no=")</f>
        <v>#VALUE!</v>
      </c>
      <c r="DT52" t="e">
        <f>AND('Planilla_General_29-11-2012_10_'!D776,"AAAAAH+/+ns=")</f>
        <v>#VALUE!</v>
      </c>
      <c r="DU52" t="e">
        <f>AND('Planilla_General_29-11-2012_10_'!E776,"AAAAAH+/+nw=")</f>
        <v>#VALUE!</v>
      </c>
      <c r="DV52" t="e">
        <f>AND('Planilla_General_29-11-2012_10_'!F776,"AAAAAH+/+n0=")</f>
        <v>#VALUE!</v>
      </c>
      <c r="DW52" t="e">
        <f>AND('Planilla_General_29-11-2012_10_'!G776,"AAAAAH+/+n4=")</f>
        <v>#VALUE!</v>
      </c>
      <c r="DX52" t="e">
        <f>AND('Planilla_General_29-11-2012_10_'!H776,"AAAAAH+/+n8=")</f>
        <v>#VALUE!</v>
      </c>
      <c r="DY52" t="e">
        <f>AND('Planilla_General_29-11-2012_10_'!I776,"AAAAAH+/+oA=")</f>
        <v>#VALUE!</v>
      </c>
      <c r="DZ52" t="e">
        <f>AND('Planilla_General_29-11-2012_10_'!J776,"AAAAAH+/+oE=")</f>
        <v>#VALUE!</v>
      </c>
      <c r="EA52" t="e">
        <f>AND('Planilla_General_29-11-2012_10_'!K776,"AAAAAH+/+oI=")</f>
        <v>#VALUE!</v>
      </c>
      <c r="EB52" t="e">
        <f>AND('Planilla_General_29-11-2012_10_'!L776,"AAAAAH+/+oM=")</f>
        <v>#VALUE!</v>
      </c>
      <c r="EC52" t="e">
        <f>AND('Planilla_General_29-11-2012_10_'!M776,"AAAAAH+/+oQ=")</f>
        <v>#VALUE!</v>
      </c>
      <c r="ED52" t="e">
        <f>AND('Planilla_General_29-11-2012_10_'!N776,"AAAAAH+/+oU=")</f>
        <v>#VALUE!</v>
      </c>
      <c r="EE52" t="e">
        <f>AND('Planilla_General_29-11-2012_10_'!O776,"AAAAAH+/+oY=")</f>
        <v>#VALUE!</v>
      </c>
      <c r="EF52" t="e">
        <f>AND('Planilla_General_29-11-2012_10_'!P776,"AAAAAH+/+oc=")</f>
        <v>#VALUE!</v>
      </c>
      <c r="EG52">
        <f>IF('Planilla_General_29-11-2012_10_'!777:777,"AAAAAH+/+og=",0)</f>
        <v>0</v>
      </c>
      <c r="EH52" t="e">
        <f>AND('Planilla_General_29-11-2012_10_'!A777,"AAAAAH+/+ok=")</f>
        <v>#VALUE!</v>
      </c>
      <c r="EI52" t="e">
        <f>AND('Planilla_General_29-11-2012_10_'!B777,"AAAAAH+/+oo=")</f>
        <v>#VALUE!</v>
      </c>
      <c r="EJ52" t="e">
        <f>AND('Planilla_General_29-11-2012_10_'!C777,"AAAAAH+/+os=")</f>
        <v>#VALUE!</v>
      </c>
      <c r="EK52" t="e">
        <f>AND('Planilla_General_29-11-2012_10_'!D777,"AAAAAH+/+ow=")</f>
        <v>#VALUE!</v>
      </c>
      <c r="EL52" t="e">
        <f>AND('Planilla_General_29-11-2012_10_'!E777,"AAAAAH+/+o0=")</f>
        <v>#VALUE!</v>
      </c>
      <c r="EM52" t="e">
        <f>AND('Planilla_General_29-11-2012_10_'!F777,"AAAAAH+/+o4=")</f>
        <v>#VALUE!</v>
      </c>
      <c r="EN52" t="e">
        <f>AND('Planilla_General_29-11-2012_10_'!G777,"AAAAAH+/+o8=")</f>
        <v>#VALUE!</v>
      </c>
      <c r="EO52" t="e">
        <f>AND('Planilla_General_29-11-2012_10_'!H777,"AAAAAH+/+pA=")</f>
        <v>#VALUE!</v>
      </c>
      <c r="EP52" t="e">
        <f>AND('Planilla_General_29-11-2012_10_'!I777,"AAAAAH+/+pE=")</f>
        <v>#VALUE!</v>
      </c>
      <c r="EQ52" t="e">
        <f>AND('Planilla_General_29-11-2012_10_'!J777,"AAAAAH+/+pI=")</f>
        <v>#VALUE!</v>
      </c>
      <c r="ER52" t="e">
        <f>AND('Planilla_General_29-11-2012_10_'!K777,"AAAAAH+/+pM=")</f>
        <v>#VALUE!</v>
      </c>
      <c r="ES52" t="e">
        <f>AND('Planilla_General_29-11-2012_10_'!L777,"AAAAAH+/+pQ=")</f>
        <v>#VALUE!</v>
      </c>
      <c r="ET52" t="e">
        <f>AND('Planilla_General_29-11-2012_10_'!M777,"AAAAAH+/+pU=")</f>
        <v>#VALUE!</v>
      </c>
      <c r="EU52" t="e">
        <f>AND('Planilla_General_29-11-2012_10_'!N777,"AAAAAH+/+pY=")</f>
        <v>#VALUE!</v>
      </c>
      <c r="EV52" t="e">
        <f>AND('Planilla_General_29-11-2012_10_'!O777,"AAAAAH+/+pc=")</f>
        <v>#VALUE!</v>
      </c>
      <c r="EW52" t="e">
        <f>AND('Planilla_General_29-11-2012_10_'!P777,"AAAAAH+/+pg=")</f>
        <v>#VALUE!</v>
      </c>
      <c r="EX52">
        <f>IF('Planilla_General_29-11-2012_10_'!778:778,"AAAAAH+/+pk=",0)</f>
        <v>0</v>
      </c>
      <c r="EY52" t="e">
        <f>AND('Planilla_General_29-11-2012_10_'!A778,"AAAAAH+/+po=")</f>
        <v>#VALUE!</v>
      </c>
      <c r="EZ52" t="e">
        <f>AND('Planilla_General_29-11-2012_10_'!B778,"AAAAAH+/+ps=")</f>
        <v>#VALUE!</v>
      </c>
      <c r="FA52" t="e">
        <f>AND('Planilla_General_29-11-2012_10_'!C778,"AAAAAH+/+pw=")</f>
        <v>#VALUE!</v>
      </c>
      <c r="FB52" t="e">
        <f>AND('Planilla_General_29-11-2012_10_'!D778,"AAAAAH+/+p0=")</f>
        <v>#VALUE!</v>
      </c>
      <c r="FC52" t="e">
        <f>AND('Planilla_General_29-11-2012_10_'!E778,"AAAAAH+/+p4=")</f>
        <v>#VALUE!</v>
      </c>
      <c r="FD52" t="e">
        <f>AND('Planilla_General_29-11-2012_10_'!F778,"AAAAAH+/+p8=")</f>
        <v>#VALUE!</v>
      </c>
      <c r="FE52" t="e">
        <f>AND('Planilla_General_29-11-2012_10_'!G778,"AAAAAH+/+qA=")</f>
        <v>#VALUE!</v>
      </c>
      <c r="FF52" t="e">
        <f>AND('Planilla_General_29-11-2012_10_'!H778,"AAAAAH+/+qE=")</f>
        <v>#VALUE!</v>
      </c>
      <c r="FG52" t="e">
        <f>AND('Planilla_General_29-11-2012_10_'!I778,"AAAAAH+/+qI=")</f>
        <v>#VALUE!</v>
      </c>
      <c r="FH52" t="e">
        <f>AND('Planilla_General_29-11-2012_10_'!J778,"AAAAAH+/+qM=")</f>
        <v>#VALUE!</v>
      </c>
      <c r="FI52" t="e">
        <f>AND('Planilla_General_29-11-2012_10_'!K778,"AAAAAH+/+qQ=")</f>
        <v>#VALUE!</v>
      </c>
      <c r="FJ52" t="e">
        <f>AND('Planilla_General_29-11-2012_10_'!L778,"AAAAAH+/+qU=")</f>
        <v>#VALUE!</v>
      </c>
      <c r="FK52" t="e">
        <f>AND('Planilla_General_29-11-2012_10_'!M778,"AAAAAH+/+qY=")</f>
        <v>#VALUE!</v>
      </c>
      <c r="FL52" t="e">
        <f>AND('Planilla_General_29-11-2012_10_'!N778,"AAAAAH+/+qc=")</f>
        <v>#VALUE!</v>
      </c>
      <c r="FM52" t="e">
        <f>AND('Planilla_General_29-11-2012_10_'!O778,"AAAAAH+/+qg=")</f>
        <v>#VALUE!</v>
      </c>
      <c r="FN52" t="e">
        <f>AND('Planilla_General_29-11-2012_10_'!P778,"AAAAAH+/+qk=")</f>
        <v>#VALUE!</v>
      </c>
      <c r="FO52">
        <f>IF('Planilla_General_29-11-2012_10_'!779:779,"AAAAAH+/+qo=",0)</f>
        <v>0</v>
      </c>
      <c r="FP52" t="e">
        <f>AND('Planilla_General_29-11-2012_10_'!A779,"AAAAAH+/+qs=")</f>
        <v>#VALUE!</v>
      </c>
      <c r="FQ52" t="e">
        <f>AND('Planilla_General_29-11-2012_10_'!B779,"AAAAAH+/+qw=")</f>
        <v>#VALUE!</v>
      </c>
      <c r="FR52" t="e">
        <f>AND('Planilla_General_29-11-2012_10_'!C779,"AAAAAH+/+q0=")</f>
        <v>#VALUE!</v>
      </c>
      <c r="FS52" t="e">
        <f>AND('Planilla_General_29-11-2012_10_'!D779,"AAAAAH+/+q4=")</f>
        <v>#VALUE!</v>
      </c>
      <c r="FT52" t="e">
        <f>AND('Planilla_General_29-11-2012_10_'!E779,"AAAAAH+/+q8=")</f>
        <v>#VALUE!</v>
      </c>
      <c r="FU52" t="e">
        <f>AND('Planilla_General_29-11-2012_10_'!F779,"AAAAAH+/+rA=")</f>
        <v>#VALUE!</v>
      </c>
      <c r="FV52" t="e">
        <f>AND('Planilla_General_29-11-2012_10_'!G779,"AAAAAH+/+rE=")</f>
        <v>#VALUE!</v>
      </c>
      <c r="FW52" t="e">
        <f>AND('Planilla_General_29-11-2012_10_'!H779,"AAAAAH+/+rI=")</f>
        <v>#VALUE!</v>
      </c>
      <c r="FX52" t="e">
        <f>AND('Planilla_General_29-11-2012_10_'!I779,"AAAAAH+/+rM=")</f>
        <v>#VALUE!</v>
      </c>
      <c r="FY52" t="e">
        <f>AND('Planilla_General_29-11-2012_10_'!J779,"AAAAAH+/+rQ=")</f>
        <v>#VALUE!</v>
      </c>
      <c r="FZ52" t="e">
        <f>AND('Planilla_General_29-11-2012_10_'!K779,"AAAAAH+/+rU=")</f>
        <v>#VALUE!</v>
      </c>
      <c r="GA52" t="e">
        <f>AND('Planilla_General_29-11-2012_10_'!L779,"AAAAAH+/+rY=")</f>
        <v>#VALUE!</v>
      </c>
      <c r="GB52" t="e">
        <f>AND('Planilla_General_29-11-2012_10_'!M779,"AAAAAH+/+rc=")</f>
        <v>#VALUE!</v>
      </c>
      <c r="GC52" t="e">
        <f>AND('Planilla_General_29-11-2012_10_'!N779,"AAAAAH+/+rg=")</f>
        <v>#VALUE!</v>
      </c>
      <c r="GD52" t="e">
        <f>AND('Planilla_General_29-11-2012_10_'!O779,"AAAAAH+/+rk=")</f>
        <v>#VALUE!</v>
      </c>
      <c r="GE52" t="e">
        <f>AND('Planilla_General_29-11-2012_10_'!P779,"AAAAAH+/+ro=")</f>
        <v>#VALUE!</v>
      </c>
      <c r="GF52">
        <f>IF('Planilla_General_29-11-2012_10_'!780:780,"AAAAAH+/+rs=",0)</f>
        <v>0</v>
      </c>
      <c r="GG52" t="e">
        <f>AND('Planilla_General_29-11-2012_10_'!A780,"AAAAAH+/+rw=")</f>
        <v>#VALUE!</v>
      </c>
      <c r="GH52" t="e">
        <f>AND('Planilla_General_29-11-2012_10_'!B780,"AAAAAH+/+r0=")</f>
        <v>#VALUE!</v>
      </c>
      <c r="GI52" t="e">
        <f>AND('Planilla_General_29-11-2012_10_'!C780,"AAAAAH+/+r4=")</f>
        <v>#VALUE!</v>
      </c>
      <c r="GJ52" t="e">
        <f>AND('Planilla_General_29-11-2012_10_'!D780,"AAAAAH+/+r8=")</f>
        <v>#VALUE!</v>
      </c>
      <c r="GK52" t="e">
        <f>AND('Planilla_General_29-11-2012_10_'!E780,"AAAAAH+/+sA=")</f>
        <v>#VALUE!</v>
      </c>
      <c r="GL52" t="e">
        <f>AND('Planilla_General_29-11-2012_10_'!F780,"AAAAAH+/+sE=")</f>
        <v>#VALUE!</v>
      </c>
      <c r="GM52" t="e">
        <f>AND('Planilla_General_29-11-2012_10_'!G780,"AAAAAH+/+sI=")</f>
        <v>#VALUE!</v>
      </c>
      <c r="GN52" t="e">
        <f>AND('Planilla_General_29-11-2012_10_'!H780,"AAAAAH+/+sM=")</f>
        <v>#VALUE!</v>
      </c>
      <c r="GO52" t="e">
        <f>AND('Planilla_General_29-11-2012_10_'!I780,"AAAAAH+/+sQ=")</f>
        <v>#VALUE!</v>
      </c>
      <c r="GP52" t="e">
        <f>AND('Planilla_General_29-11-2012_10_'!J780,"AAAAAH+/+sU=")</f>
        <v>#VALUE!</v>
      </c>
      <c r="GQ52" t="e">
        <f>AND('Planilla_General_29-11-2012_10_'!K780,"AAAAAH+/+sY=")</f>
        <v>#VALUE!</v>
      </c>
      <c r="GR52" t="e">
        <f>AND('Planilla_General_29-11-2012_10_'!L780,"AAAAAH+/+sc=")</f>
        <v>#VALUE!</v>
      </c>
      <c r="GS52" t="e">
        <f>AND('Planilla_General_29-11-2012_10_'!M780,"AAAAAH+/+sg=")</f>
        <v>#VALUE!</v>
      </c>
      <c r="GT52" t="e">
        <f>AND('Planilla_General_29-11-2012_10_'!N780,"AAAAAH+/+sk=")</f>
        <v>#VALUE!</v>
      </c>
      <c r="GU52" t="e">
        <f>AND('Planilla_General_29-11-2012_10_'!O780,"AAAAAH+/+so=")</f>
        <v>#VALUE!</v>
      </c>
      <c r="GV52" t="e">
        <f>AND('Planilla_General_29-11-2012_10_'!P780,"AAAAAH+/+ss=")</f>
        <v>#VALUE!</v>
      </c>
      <c r="GW52">
        <f>IF('Planilla_General_29-11-2012_10_'!781:781,"AAAAAH+/+sw=",0)</f>
        <v>0</v>
      </c>
      <c r="GX52" t="e">
        <f>AND('Planilla_General_29-11-2012_10_'!A781,"AAAAAH+/+s0=")</f>
        <v>#VALUE!</v>
      </c>
      <c r="GY52" t="e">
        <f>AND('Planilla_General_29-11-2012_10_'!B781,"AAAAAH+/+s4=")</f>
        <v>#VALUE!</v>
      </c>
      <c r="GZ52" t="e">
        <f>AND('Planilla_General_29-11-2012_10_'!C781,"AAAAAH+/+s8=")</f>
        <v>#VALUE!</v>
      </c>
      <c r="HA52" t="e">
        <f>AND('Planilla_General_29-11-2012_10_'!D781,"AAAAAH+/+tA=")</f>
        <v>#VALUE!</v>
      </c>
      <c r="HB52" t="e">
        <f>AND('Planilla_General_29-11-2012_10_'!E781,"AAAAAH+/+tE=")</f>
        <v>#VALUE!</v>
      </c>
      <c r="HC52" t="e">
        <f>AND('Planilla_General_29-11-2012_10_'!F781,"AAAAAH+/+tI=")</f>
        <v>#VALUE!</v>
      </c>
      <c r="HD52" t="e">
        <f>AND('Planilla_General_29-11-2012_10_'!G781,"AAAAAH+/+tM=")</f>
        <v>#VALUE!</v>
      </c>
      <c r="HE52" t="e">
        <f>AND('Planilla_General_29-11-2012_10_'!H781,"AAAAAH+/+tQ=")</f>
        <v>#VALUE!</v>
      </c>
      <c r="HF52" t="e">
        <f>AND('Planilla_General_29-11-2012_10_'!I781,"AAAAAH+/+tU=")</f>
        <v>#VALUE!</v>
      </c>
      <c r="HG52" t="e">
        <f>AND('Planilla_General_29-11-2012_10_'!J781,"AAAAAH+/+tY=")</f>
        <v>#VALUE!</v>
      </c>
      <c r="HH52" t="e">
        <f>AND('Planilla_General_29-11-2012_10_'!K781,"AAAAAH+/+tc=")</f>
        <v>#VALUE!</v>
      </c>
      <c r="HI52" t="e">
        <f>AND('Planilla_General_29-11-2012_10_'!L781,"AAAAAH+/+tg=")</f>
        <v>#VALUE!</v>
      </c>
      <c r="HJ52" t="e">
        <f>AND('Planilla_General_29-11-2012_10_'!M781,"AAAAAH+/+tk=")</f>
        <v>#VALUE!</v>
      </c>
      <c r="HK52" t="e">
        <f>AND('Planilla_General_29-11-2012_10_'!N781,"AAAAAH+/+to=")</f>
        <v>#VALUE!</v>
      </c>
      <c r="HL52" t="e">
        <f>AND('Planilla_General_29-11-2012_10_'!O781,"AAAAAH+/+ts=")</f>
        <v>#VALUE!</v>
      </c>
      <c r="HM52" t="e">
        <f>AND('Planilla_General_29-11-2012_10_'!P781,"AAAAAH+/+tw=")</f>
        <v>#VALUE!</v>
      </c>
      <c r="HN52">
        <f>IF('Planilla_General_29-11-2012_10_'!782:782,"AAAAAH+/+t0=",0)</f>
        <v>0</v>
      </c>
      <c r="HO52" t="e">
        <f>AND('Planilla_General_29-11-2012_10_'!A782,"AAAAAH+/+t4=")</f>
        <v>#VALUE!</v>
      </c>
      <c r="HP52" t="e">
        <f>AND('Planilla_General_29-11-2012_10_'!B782,"AAAAAH+/+t8=")</f>
        <v>#VALUE!</v>
      </c>
      <c r="HQ52" t="e">
        <f>AND('Planilla_General_29-11-2012_10_'!C782,"AAAAAH+/+uA=")</f>
        <v>#VALUE!</v>
      </c>
      <c r="HR52" t="e">
        <f>AND('Planilla_General_29-11-2012_10_'!D782,"AAAAAH+/+uE=")</f>
        <v>#VALUE!</v>
      </c>
      <c r="HS52" t="e">
        <f>AND('Planilla_General_29-11-2012_10_'!E782,"AAAAAH+/+uI=")</f>
        <v>#VALUE!</v>
      </c>
      <c r="HT52" t="e">
        <f>AND('Planilla_General_29-11-2012_10_'!F782,"AAAAAH+/+uM=")</f>
        <v>#VALUE!</v>
      </c>
      <c r="HU52" t="e">
        <f>AND('Planilla_General_29-11-2012_10_'!G782,"AAAAAH+/+uQ=")</f>
        <v>#VALUE!</v>
      </c>
      <c r="HV52" t="e">
        <f>AND('Planilla_General_29-11-2012_10_'!H782,"AAAAAH+/+uU=")</f>
        <v>#VALUE!</v>
      </c>
      <c r="HW52" t="e">
        <f>AND('Planilla_General_29-11-2012_10_'!I782,"AAAAAH+/+uY=")</f>
        <v>#VALUE!</v>
      </c>
      <c r="HX52" t="e">
        <f>AND('Planilla_General_29-11-2012_10_'!J782,"AAAAAH+/+uc=")</f>
        <v>#VALUE!</v>
      </c>
      <c r="HY52" t="e">
        <f>AND('Planilla_General_29-11-2012_10_'!K782,"AAAAAH+/+ug=")</f>
        <v>#VALUE!</v>
      </c>
      <c r="HZ52" t="e">
        <f>AND('Planilla_General_29-11-2012_10_'!L782,"AAAAAH+/+uk=")</f>
        <v>#VALUE!</v>
      </c>
      <c r="IA52" t="e">
        <f>AND('Planilla_General_29-11-2012_10_'!M782,"AAAAAH+/+uo=")</f>
        <v>#VALUE!</v>
      </c>
      <c r="IB52" t="e">
        <f>AND('Planilla_General_29-11-2012_10_'!N782,"AAAAAH+/+us=")</f>
        <v>#VALUE!</v>
      </c>
      <c r="IC52" t="e">
        <f>AND('Planilla_General_29-11-2012_10_'!O782,"AAAAAH+/+uw=")</f>
        <v>#VALUE!</v>
      </c>
      <c r="ID52" t="e">
        <f>AND('Planilla_General_29-11-2012_10_'!P782,"AAAAAH+/+u0=")</f>
        <v>#VALUE!</v>
      </c>
      <c r="IE52">
        <f>IF('Planilla_General_29-11-2012_10_'!783:783,"AAAAAH+/+u4=",0)</f>
        <v>0</v>
      </c>
      <c r="IF52" t="e">
        <f>AND('Planilla_General_29-11-2012_10_'!A783,"AAAAAH+/+u8=")</f>
        <v>#VALUE!</v>
      </c>
      <c r="IG52" t="e">
        <f>AND('Planilla_General_29-11-2012_10_'!B783,"AAAAAH+/+vA=")</f>
        <v>#VALUE!</v>
      </c>
      <c r="IH52" t="e">
        <f>AND('Planilla_General_29-11-2012_10_'!C783,"AAAAAH+/+vE=")</f>
        <v>#VALUE!</v>
      </c>
      <c r="II52" t="e">
        <f>AND('Planilla_General_29-11-2012_10_'!D783,"AAAAAH+/+vI=")</f>
        <v>#VALUE!</v>
      </c>
      <c r="IJ52" t="e">
        <f>AND('Planilla_General_29-11-2012_10_'!E783,"AAAAAH+/+vM=")</f>
        <v>#VALUE!</v>
      </c>
      <c r="IK52" t="e">
        <f>AND('Planilla_General_29-11-2012_10_'!F783,"AAAAAH+/+vQ=")</f>
        <v>#VALUE!</v>
      </c>
      <c r="IL52" t="e">
        <f>AND('Planilla_General_29-11-2012_10_'!G783,"AAAAAH+/+vU=")</f>
        <v>#VALUE!</v>
      </c>
      <c r="IM52" t="e">
        <f>AND('Planilla_General_29-11-2012_10_'!H783,"AAAAAH+/+vY=")</f>
        <v>#VALUE!</v>
      </c>
      <c r="IN52" t="e">
        <f>AND('Planilla_General_29-11-2012_10_'!I783,"AAAAAH+/+vc=")</f>
        <v>#VALUE!</v>
      </c>
      <c r="IO52" t="e">
        <f>AND('Planilla_General_29-11-2012_10_'!J783,"AAAAAH+/+vg=")</f>
        <v>#VALUE!</v>
      </c>
      <c r="IP52" t="e">
        <f>AND('Planilla_General_29-11-2012_10_'!K783,"AAAAAH+/+vk=")</f>
        <v>#VALUE!</v>
      </c>
      <c r="IQ52" t="e">
        <f>AND('Planilla_General_29-11-2012_10_'!L783,"AAAAAH+/+vo=")</f>
        <v>#VALUE!</v>
      </c>
      <c r="IR52" t="e">
        <f>AND('Planilla_General_29-11-2012_10_'!M783,"AAAAAH+/+vs=")</f>
        <v>#VALUE!</v>
      </c>
      <c r="IS52" t="e">
        <f>AND('Planilla_General_29-11-2012_10_'!N783,"AAAAAH+/+vw=")</f>
        <v>#VALUE!</v>
      </c>
      <c r="IT52" t="e">
        <f>AND('Planilla_General_29-11-2012_10_'!O783,"AAAAAH+/+v0=")</f>
        <v>#VALUE!</v>
      </c>
      <c r="IU52" t="e">
        <f>AND('Planilla_General_29-11-2012_10_'!P783,"AAAAAH+/+v4=")</f>
        <v>#VALUE!</v>
      </c>
      <c r="IV52">
        <f>IF('Planilla_General_29-11-2012_10_'!784:784,"AAAAAH+/+v8=",0)</f>
        <v>0</v>
      </c>
    </row>
    <row r="53" spans="1:256" x14ac:dyDescent="0.25">
      <c r="A53" t="e">
        <f>AND('Planilla_General_29-11-2012_10_'!A784,"AAAAACZ91gA=")</f>
        <v>#VALUE!</v>
      </c>
      <c r="B53" t="e">
        <f>AND('Planilla_General_29-11-2012_10_'!B784,"AAAAACZ91gE=")</f>
        <v>#VALUE!</v>
      </c>
      <c r="C53" t="e">
        <f>AND('Planilla_General_29-11-2012_10_'!C784,"AAAAACZ91gI=")</f>
        <v>#VALUE!</v>
      </c>
      <c r="D53" t="e">
        <f>AND('Planilla_General_29-11-2012_10_'!D784,"AAAAACZ91gM=")</f>
        <v>#VALUE!</v>
      </c>
      <c r="E53" t="e">
        <f>AND('Planilla_General_29-11-2012_10_'!E784,"AAAAACZ91gQ=")</f>
        <v>#VALUE!</v>
      </c>
      <c r="F53" t="e">
        <f>AND('Planilla_General_29-11-2012_10_'!F784,"AAAAACZ91gU=")</f>
        <v>#VALUE!</v>
      </c>
      <c r="G53" t="e">
        <f>AND('Planilla_General_29-11-2012_10_'!G784,"AAAAACZ91gY=")</f>
        <v>#VALUE!</v>
      </c>
      <c r="H53" t="e">
        <f>AND('Planilla_General_29-11-2012_10_'!H784,"AAAAACZ91gc=")</f>
        <v>#VALUE!</v>
      </c>
      <c r="I53" t="e">
        <f>AND('Planilla_General_29-11-2012_10_'!I784,"AAAAACZ91gg=")</f>
        <v>#VALUE!</v>
      </c>
      <c r="J53" t="e">
        <f>AND('Planilla_General_29-11-2012_10_'!J784,"AAAAACZ91gk=")</f>
        <v>#VALUE!</v>
      </c>
      <c r="K53" t="e">
        <f>AND('Planilla_General_29-11-2012_10_'!K784,"AAAAACZ91go=")</f>
        <v>#VALUE!</v>
      </c>
      <c r="L53" t="e">
        <f>AND('Planilla_General_29-11-2012_10_'!L784,"AAAAACZ91gs=")</f>
        <v>#VALUE!</v>
      </c>
      <c r="M53" t="e">
        <f>AND('Planilla_General_29-11-2012_10_'!M784,"AAAAACZ91gw=")</f>
        <v>#VALUE!</v>
      </c>
      <c r="N53" t="e">
        <f>AND('Planilla_General_29-11-2012_10_'!N784,"AAAAACZ91g0=")</f>
        <v>#VALUE!</v>
      </c>
      <c r="O53" t="e">
        <f>AND('Planilla_General_29-11-2012_10_'!O784,"AAAAACZ91g4=")</f>
        <v>#VALUE!</v>
      </c>
      <c r="P53" t="e">
        <f>AND('Planilla_General_29-11-2012_10_'!P784,"AAAAACZ91g8=")</f>
        <v>#VALUE!</v>
      </c>
      <c r="Q53">
        <f>IF('Planilla_General_29-11-2012_10_'!785:785,"AAAAACZ91hA=",0)</f>
        <v>0</v>
      </c>
      <c r="R53" t="e">
        <f>AND('Planilla_General_29-11-2012_10_'!A785,"AAAAACZ91hE=")</f>
        <v>#VALUE!</v>
      </c>
      <c r="S53" t="e">
        <f>AND('Planilla_General_29-11-2012_10_'!B785,"AAAAACZ91hI=")</f>
        <v>#VALUE!</v>
      </c>
      <c r="T53" t="e">
        <f>AND('Planilla_General_29-11-2012_10_'!C785,"AAAAACZ91hM=")</f>
        <v>#VALUE!</v>
      </c>
      <c r="U53" t="e">
        <f>AND('Planilla_General_29-11-2012_10_'!D785,"AAAAACZ91hQ=")</f>
        <v>#VALUE!</v>
      </c>
      <c r="V53" t="e">
        <f>AND('Planilla_General_29-11-2012_10_'!E785,"AAAAACZ91hU=")</f>
        <v>#VALUE!</v>
      </c>
      <c r="W53" t="e">
        <f>AND('Planilla_General_29-11-2012_10_'!F785,"AAAAACZ91hY=")</f>
        <v>#VALUE!</v>
      </c>
      <c r="X53" t="e">
        <f>AND('Planilla_General_29-11-2012_10_'!G785,"AAAAACZ91hc=")</f>
        <v>#VALUE!</v>
      </c>
      <c r="Y53" t="e">
        <f>AND('Planilla_General_29-11-2012_10_'!H785,"AAAAACZ91hg=")</f>
        <v>#VALUE!</v>
      </c>
      <c r="Z53" t="e">
        <f>AND('Planilla_General_29-11-2012_10_'!I785,"AAAAACZ91hk=")</f>
        <v>#VALUE!</v>
      </c>
      <c r="AA53" t="e">
        <f>AND('Planilla_General_29-11-2012_10_'!J785,"AAAAACZ91ho=")</f>
        <v>#VALUE!</v>
      </c>
      <c r="AB53" t="e">
        <f>AND('Planilla_General_29-11-2012_10_'!K785,"AAAAACZ91hs=")</f>
        <v>#VALUE!</v>
      </c>
      <c r="AC53" t="e">
        <f>AND('Planilla_General_29-11-2012_10_'!L785,"AAAAACZ91hw=")</f>
        <v>#VALUE!</v>
      </c>
      <c r="AD53" t="e">
        <f>AND('Planilla_General_29-11-2012_10_'!M785,"AAAAACZ91h0=")</f>
        <v>#VALUE!</v>
      </c>
      <c r="AE53" t="e">
        <f>AND('Planilla_General_29-11-2012_10_'!N785,"AAAAACZ91h4=")</f>
        <v>#VALUE!</v>
      </c>
      <c r="AF53" t="e">
        <f>AND('Planilla_General_29-11-2012_10_'!O785,"AAAAACZ91h8=")</f>
        <v>#VALUE!</v>
      </c>
      <c r="AG53" t="e">
        <f>AND('Planilla_General_29-11-2012_10_'!P785,"AAAAACZ91iA=")</f>
        <v>#VALUE!</v>
      </c>
      <c r="AH53">
        <f>IF('Planilla_General_29-11-2012_10_'!786:786,"AAAAACZ91iE=",0)</f>
        <v>0</v>
      </c>
      <c r="AI53" t="e">
        <f>AND('Planilla_General_29-11-2012_10_'!A786,"AAAAACZ91iI=")</f>
        <v>#VALUE!</v>
      </c>
      <c r="AJ53" t="e">
        <f>AND('Planilla_General_29-11-2012_10_'!B786,"AAAAACZ91iM=")</f>
        <v>#VALUE!</v>
      </c>
      <c r="AK53" t="e">
        <f>AND('Planilla_General_29-11-2012_10_'!C786,"AAAAACZ91iQ=")</f>
        <v>#VALUE!</v>
      </c>
      <c r="AL53" t="e">
        <f>AND('Planilla_General_29-11-2012_10_'!D786,"AAAAACZ91iU=")</f>
        <v>#VALUE!</v>
      </c>
      <c r="AM53" t="e">
        <f>AND('Planilla_General_29-11-2012_10_'!E786,"AAAAACZ91iY=")</f>
        <v>#VALUE!</v>
      </c>
      <c r="AN53" t="e">
        <f>AND('Planilla_General_29-11-2012_10_'!F786,"AAAAACZ91ic=")</f>
        <v>#VALUE!</v>
      </c>
      <c r="AO53" t="e">
        <f>AND('Planilla_General_29-11-2012_10_'!G786,"AAAAACZ91ig=")</f>
        <v>#VALUE!</v>
      </c>
      <c r="AP53" t="e">
        <f>AND('Planilla_General_29-11-2012_10_'!H786,"AAAAACZ91ik=")</f>
        <v>#VALUE!</v>
      </c>
      <c r="AQ53" t="e">
        <f>AND('Planilla_General_29-11-2012_10_'!I786,"AAAAACZ91io=")</f>
        <v>#VALUE!</v>
      </c>
      <c r="AR53" t="e">
        <f>AND('Planilla_General_29-11-2012_10_'!J786,"AAAAACZ91is=")</f>
        <v>#VALUE!</v>
      </c>
      <c r="AS53" t="e">
        <f>AND('Planilla_General_29-11-2012_10_'!K786,"AAAAACZ91iw=")</f>
        <v>#VALUE!</v>
      </c>
      <c r="AT53" t="e">
        <f>AND('Planilla_General_29-11-2012_10_'!L786,"AAAAACZ91i0=")</f>
        <v>#VALUE!</v>
      </c>
      <c r="AU53" t="e">
        <f>AND('Planilla_General_29-11-2012_10_'!M786,"AAAAACZ91i4=")</f>
        <v>#VALUE!</v>
      </c>
      <c r="AV53" t="e">
        <f>AND('Planilla_General_29-11-2012_10_'!N786,"AAAAACZ91i8=")</f>
        <v>#VALUE!</v>
      </c>
      <c r="AW53" t="e">
        <f>AND('Planilla_General_29-11-2012_10_'!O786,"AAAAACZ91jA=")</f>
        <v>#VALUE!</v>
      </c>
      <c r="AX53" t="e">
        <f>AND('Planilla_General_29-11-2012_10_'!P786,"AAAAACZ91jE=")</f>
        <v>#VALUE!</v>
      </c>
      <c r="AY53">
        <f>IF('Planilla_General_29-11-2012_10_'!787:787,"AAAAACZ91jI=",0)</f>
        <v>0</v>
      </c>
      <c r="AZ53" t="e">
        <f>AND('Planilla_General_29-11-2012_10_'!A787,"AAAAACZ91jM=")</f>
        <v>#VALUE!</v>
      </c>
      <c r="BA53" t="e">
        <f>AND('Planilla_General_29-11-2012_10_'!B787,"AAAAACZ91jQ=")</f>
        <v>#VALUE!</v>
      </c>
      <c r="BB53" t="e">
        <f>AND('Planilla_General_29-11-2012_10_'!C787,"AAAAACZ91jU=")</f>
        <v>#VALUE!</v>
      </c>
      <c r="BC53" t="e">
        <f>AND('Planilla_General_29-11-2012_10_'!D787,"AAAAACZ91jY=")</f>
        <v>#VALUE!</v>
      </c>
      <c r="BD53" t="e">
        <f>AND('Planilla_General_29-11-2012_10_'!E787,"AAAAACZ91jc=")</f>
        <v>#VALUE!</v>
      </c>
      <c r="BE53" t="e">
        <f>AND('Planilla_General_29-11-2012_10_'!F787,"AAAAACZ91jg=")</f>
        <v>#VALUE!</v>
      </c>
      <c r="BF53" t="e">
        <f>AND('Planilla_General_29-11-2012_10_'!G787,"AAAAACZ91jk=")</f>
        <v>#VALUE!</v>
      </c>
      <c r="BG53" t="e">
        <f>AND('Planilla_General_29-11-2012_10_'!H787,"AAAAACZ91jo=")</f>
        <v>#VALUE!</v>
      </c>
      <c r="BH53" t="e">
        <f>AND('Planilla_General_29-11-2012_10_'!I787,"AAAAACZ91js=")</f>
        <v>#VALUE!</v>
      </c>
      <c r="BI53" t="e">
        <f>AND('Planilla_General_29-11-2012_10_'!J787,"AAAAACZ91jw=")</f>
        <v>#VALUE!</v>
      </c>
      <c r="BJ53" t="e">
        <f>AND('Planilla_General_29-11-2012_10_'!K787,"AAAAACZ91j0=")</f>
        <v>#VALUE!</v>
      </c>
      <c r="BK53" t="e">
        <f>AND('Planilla_General_29-11-2012_10_'!L787,"AAAAACZ91j4=")</f>
        <v>#VALUE!</v>
      </c>
      <c r="BL53" t="e">
        <f>AND('Planilla_General_29-11-2012_10_'!M787,"AAAAACZ91j8=")</f>
        <v>#VALUE!</v>
      </c>
      <c r="BM53" t="e">
        <f>AND('Planilla_General_29-11-2012_10_'!N787,"AAAAACZ91kA=")</f>
        <v>#VALUE!</v>
      </c>
      <c r="BN53" t="e">
        <f>AND('Planilla_General_29-11-2012_10_'!O787,"AAAAACZ91kE=")</f>
        <v>#VALUE!</v>
      </c>
      <c r="BO53" t="e">
        <f>AND('Planilla_General_29-11-2012_10_'!P787,"AAAAACZ91kI=")</f>
        <v>#VALUE!</v>
      </c>
      <c r="BP53">
        <f>IF('Planilla_General_29-11-2012_10_'!788:788,"AAAAACZ91kM=",0)</f>
        <v>0</v>
      </c>
      <c r="BQ53" t="e">
        <f>AND('Planilla_General_29-11-2012_10_'!A788,"AAAAACZ91kQ=")</f>
        <v>#VALUE!</v>
      </c>
      <c r="BR53" t="e">
        <f>AND('Planilla_General_29-11-2012_10_'!B788,"AAAAACZ91kU=")</f>
        <v>#VALUE!</v>
      </c>
      <c r="BS53" t="e">
        <f>AND('Planilla_General_29-11-2012_10_'!C788,"AAAAACZ91kY=")</f>
        <v>#VALUE!</v>
      </c>
      <c r="BT53" t="e">
        <f>AND('Planilla_General_29-11-2012_10_'!D788,"AAAAACZ91kc=")</f>
        <v>#VALUE!</v>
      </c>
      <c r="BU53" t="e">
        <f>AND('Planilla_General_29-11-2012_10_'!E788,"AAAAACZ91kg=")</f>
        <v>#VALUE!</v>
      </c>
      <c r="BV53" t="e">
        <f>AND('Planilla_General_29-11-2012_10_'!F788,"AAAAACZ91kk=")</f>
        <v>#VALUE!</v>
      </c>
      <c r="BW53" t="e">
        <f>AND('Planilla_General_29-11-2012_10_'!G788,"AAAAACZ91ko=")</f>
        <v>#VALUE!</v>
      </c>
      <c r="BX53" t="e">
        <f>AND('Planilla_General_29-11-2012_10_'!H788,"AAAAACZ91ks=")</f>
        <v>#VALUE!</v>
      </c>
      <c r="BY53" t="e">
        <f>AND('Planilla_General_29-11-2012_10_'!I788,"AAAAACZ91kw=")</f>
        <v>#VALUE!</v>
      </c>
      <c r="BZ53" t="e">
        <f>AND('Planilla_General_29-11-2012_10_'!J788,"AAAAACZ91k0=")</f>
        <v>#VALUE!</v>
      </c>
      <c r="CA53" t="e">
        <f>AND('Planilla_General_29-11-2012_10_'!K788,"AAAAACZ91k4=")</f>
        <v>#VALUE!</v>
      </c>
      <c r="CB53" t="e">
        <f>AND('Planilla_General_29-11-2012_10_'!L788,"AAAAACZ91k8=")</f>
        <v>#VALUE!</v>
      </c>
      <c r="CC53" t="e">
        <f>AND('Planilla_General_29-11-2012_10_'!M788,"AAAAACZ91lA=")</f>
        <v>#VALUE!</v>
      </c>
      <c r="CD53" t="e">
        <f>AND('Planilla_General_29-11-2012_10_'!N788,"AAAAACZ91lE=")</f>
        <v>#VALUE!</v>
      </c>
      <c r="CE53" t="e">
        <f>AND('Planilla_General_29-11-2012_10_'!O788,"AAAAACZ91lI=")</f>
        <v>#VALUE!</v>
      </c>
      <c r="CF53" t="e">
        <f>AND('Planilla_General_29-11-2012_10_'!P788,"AAAAACZ91lM=")</f>
        <v>#VALUE!</v>
      </c>
      <c r="CG53">
        <f>IF('Planilla_General_29-11-2012_10_'!789:789,"AAAAACZ91lQ=",0)</f>
        <v>0</v>
      </c>
      <c r="CH53" t="e">
        <f>AND('Planilla_General_29-11-2012_10_'!A789,"AAAAACZ91lU=")</f>
        <v>#VALUE!</v>
      </c>
      <c r="CI53" t="e">
        <f>AND('Planilla_General_29-11-2012_10_'!B789,"AAAAACZ91lY=")</f>
        <v>#VALUE!</v>
      </c>
      <c r="CJ53" t="e">
        <f>AND('Planilla_General_29-11-2012_10_'!C789,"AAAAACZ91lc=")</f>
        <v>#VALUE!</v>
      </c>
      <c r="CK53" t="e">
        <f>AND('Planilla_General_29-11-2012_10_'!D789,"AAAAACZ91lg=")</f>
        <v>#VALUE!</v>
      </c>
      <c r="CL53" t="e">
        <f>AND('Planilla_General_29-11-2012_10_'!E789,"AAAAACZ91lk=")</f>
        <v>#VALUE!</v>
      </c>
      <c r="CM53" t="e">
        <f>AND('Planilla_General_29-11-2012_10_'!F789,"AAAAACZ91lo=")</f>
        <v>#VALUE!</v>
      </c>
      <c r="CN53" t="e">
        <f>AND('Planilla_General_29-11-2012_10_'!G789,"AAAAACZ91ls=")</f>
        <v>#VALUE!</v>
      </c>
      <c r="CO53" t="e">
        <f>AND('Planilla_General_29-11-2012_10_'!H789,"AAAAACZ91lw=")</f>
        <v>#VALUE!</v>
      </c>
      <c r="CP53" t="e">
        <f>AND('Planilla_General_29-11-2012_10_'!I789,"AAAAACZ91l0=")</f>
        <v>#VALUE!</v>
      </c>
      <c r="CQ53" t="e">
        <f>AND('Planilla_General_29-11-2012_10_'!J789,"AAAAACZ91l4=")</f>
        <v>#VALUE!</v>
      </c>
      <c r="CR53" t="e">
        <f>AND('Planilla_General_29-11-2012_10_'!K789,"AAAAACZ91l8=")</f>
        <v>#VALUE!</v>
      </c>
      <c r="CS53" t="e">
        <f>AND('Planilla_General_29-11-2012_10_'!L789,"AAAAACZ91mA=")</f>
        <v>#VALUE!</v>
      </c>
      <c r="CT53" t="e">
        <f>AND('Planilla_General_29-11-2012_10_'!M789,"AAAAACZ91mE=")</f>
        <v>#VALUE!</v>
      </c>
      <c r="CU53" t="e">
        <f>AND('Planilla_General_29-11-2012_10_'!N789,"AAAAACZ91mI=")</f>
        <v>#VALUE!</v>
      </c>
      <c r="CV53" t="e">
        <f>AND('Planilla_General_29-11-2012_10_'!O789,"AAAAACZ91mM=")</f>
        <v>#VALUE!</v>
      </c>
      <c r="CW53" t="e">
        <f>AND('Planilla_General_29-11-2012_10_'!P789,"AAAAACZ91mQ=")</f>
        <v>#VALUE!</v>
      </c>
      <c r="CX53">
        <f>IF('Planilla_General_29-11-2012_10_'!790:790,"AAAAACZ91mU=",0)</f>
        <v>0</v>
      </c>
      <c r="CY53" t="e">
        <f>AND('Planilla_General_29-11-2012_10_'!A790,"AAAAACZ91mY=")</f>
        <v>#VALUE!</v>
      </c>
      <c r="CZ53" t="e">
        <f>AND('Planilla_General_29-11-2012_10_'!B790,"AAAAACZ91mc=")</f>
        <v>#VALUE!</v>
      </c>
      <c r="DA53" t="e">
        <f>AND('Planilla_General_29-11-2012_10_'!C790,"AAAAACZ91mg=")</f>
        <v>#VALUE!</v>
      </c>
      <c r="DB53" t="e">
        <f>AND('Planilla_General_29-11-2012_10_'!D790,"AAAAACZ91mk=")</f>
        <v>#VALUE!</v>
      </c>
      <c r="DC53" t="e">
        <f>AND('Planilla_General_29-11-2012_10_'!E790,"AAAAACZ91mo=")</f>
        <v>#VALUE!</v>
      </c>
      <c r="DD53" t="e">
        <f>AND('Planilla_General_29-11-2012_10_'!F790,"AAAAACZ91ms=")</f>
        <v>#VALUE!</v>
      </c>
      <c r="DE53" t="e">
        <f>AND('Planilla_General_29-11-2012_10_'!G790,"AAAAACZ91mw=")</f>
        <v>#VALUE!</v>
      </c>
      <c r="DF53" t="e">
        <f>AND('Planilla_General_29-11-2012_10_'!H790,"AAAAACZ91m0=")</f>
        <v>#VALUE!</v>
      </c>
      <c r="DG53" t="e">
        <f>AND('Planilla_General_29-11-2012_10_'!I790,"AAAAACZ91m4=")</f>
        <v>#VALUE!</v>
      </c>
      <c r="DH53" t="e">
        <f>AND('Planilla_General_29-11-2012_10_'!J790,"AAAAACZ91m8=")</f>
        <v>#VALUE!</v>
      </c>
      <c r="DI53" t="e">
        <f>AND('Planilla_General_29-11-2012_10_'!K790,"AAAAACZ91nA=")</f>
        <v>#VALUE!</v>
      </c>
      <c r="DJ53" t="e">
        <f>AND('Planilla_General_29-11-2012_10_'!L790,"AAAAACZ91nE=")</f>
        <v>#VALUE!</v>
      </c>
      <c r="DK53" t="e">
        <f>AND('Planilla_General_29-11-2012_10_'!M790,"AAAAACZ91nI=")</f>
        <v>#VALUE!</v>
      </c>
      <c r="DL53" t="e">
        <f>AND('Planilla_General_29-11-2012_10_'!N790,"AAAAACZ91nM=")</f>
        <v>#VALUE!</v>
      </c>
      <c r="DM53" t="e">
        <f>AND('Planilla_General_29-11-2012_10_'!O790,"AAAAACZ91nQ=")</f>
        <v>#VALUE!</v>
      </c>
      <c r="DN53" t="e">
        <f>AND('Planilla_General_29-11-2012_10_'!P790,"AAAAACZ91nU=")</f>
        <v>#VALUE!</v>
      </c>
      <c r="DO53">
        <f>IF('Planilla_General_29-11-2012_10_'!791:791,"AAAAACZ91nY=",0)</f>
        <v>0</v>
      </c>
      <c r="DP53" t="e">
        <f>AND('Planilla_General_29-11-2012_10_'!A791,"AAAAACZ91nc=")</f>
        <v>#VALUE!</v>
      </c>
      <c r="DQ53" t="e">
        <f>AND('Planilla_General_29-11-2012_10_'!B791,"AAAAACZ91ng=")</f>
        <v>#VALUE!</v>
      </c>
      <c r="DR53" t="e">
        <f>AND('Planilla_General_29-11-2012_10_'!C791,"AAAAACZ91nk=")</f>
        <v>#VALUE!</v>
      </c>
      <c r="DS53" t="e">
        <f>AND('Planilla_General_29-11-2012_10_'!D791,"AAAAACZ91no=")</f>
        <v>#VALUE!</v>
      </c>
      <c r="DT53" t="e">
        <f>AND('Planilla_General_29-11-2012_10_'!E791,"AAAAACZ91ns=")</f>
        <v>#VALUE!</v>
      </c>
      <c r="DU53" t="e">
        <f>AND('Planilla_General_29-11-2012_10_'!F791,"AAAAACZ91nw=")</f>
        <v>#VALUE!</v>
      </c>
      <c r="DV53" t="e">
        <f>AND('Planilla_General_29-11-2012_10_'!G791,"AAAAACZ91n0=")</f>
        <v>#VALUE!</v>
      </c>
      <c r="DW53" t="e">
        <f>AND('Planilla_General_29-11-2012_10_'!H791,"AAAAACZ91n4=")</f>
        <v>#VALUE!</v>
      </c>
      <c r="DX53" t="e">
        <f>AND('Planilla_General_29-11-2012_10_'!I791,"AAAAACZ91n8=")</f>
        <v>#VALUE!</v>
      </c>
      <c r="DY53" t="e">
        <f>AND('Planilla_General_29-11-2012_10_'!J791,"AAAAACZ91oA=")</f>
        <v>#VALUE!</v>
      </c>
      <c r="DZ53" t="e">
        <f>AND('Planilla_General_29-11-2012_10_'!K791,"AAAAACZ91oE=")</f>
        <v>#VALUE!</v>
      </c>
      <c r="EA53" t="e">
        <f>AND('Planilla_General_29-11-2012_10_'!L791,"AAAAACZ91oI=")</f>
        <v>#VALUE!</v>
      </c>
      <c r="EB53" t="e">
        <f>AND('Planilla_General_29-11-2012_10_'!M791,"AAAAACZ91oM=")</f>
        <v>#VALUE!</v>
      </c>
      <c r="EC53" t="e">
        <f>AND('Planilla_General_29-11-2012_10_'!N791,"AAAAACZ91oQ=")</f>
        <v>#VALUE!</v>
      </c>
      <c r="ED53" t="e">
        <f>AND('Planilla_General_29-11-2012_10_'!O791,"AAAAACZ91oU=")</f>
        <v>#VALUE!</v>
      </c>
      <c r="EE53" t="e">
        <f>AND('Planilla_General_29-11-2012_10_'!P791,"AAAAACZ91oY=")</f>
        <v>#VALUE!</v>
      </c>
      <c r="EF53">
        <f>IF('Planilla_General_29-11-2012_10_'!792:792,"AAAAACZ91oc=",0)</f>
        <v>0</v>
      </c>
      <c r="EG53" t="e">
        <f>AND('Planilla_General_29-11-2012_10_'!A792,"AAAAACZ91og=")</f>
        <v>#VALUE!</v>
      </c>
      <c r="EH53" t="e">
        <f>AND('Planilla_General_29-11-2012_10_'!B792,"AAAAACZ91ok=")</f>
        <v>#VALUE!</v>
      </c>
      <c r="EI53" t="e">
        <f>AND('Planilla_General_29-11-2012_10_'!C792,"AAAAACZ91oo=")</f>
        <v>#VALUE!</v>
      </c>
      <c r="EJ53" t="e">
        <f>AND('Planilla_General_29-11-2012_10_'!D792,"AAAAACZ91os=")</f>
        <v>#VALUE!</v>
      </c>
      <c r="EK53" t="e">
        <f>AND('Planilla_General_29-11-2012_10_'!E792,"AAAAACZ91ow=")</f>
        <v>#VALUE!</v>
      </c>
      <c r="EL53" t="e">
        <f>AND('Planilla_General_29-11-2012_10_'!F792,"AAAAACZ91o0=")</f>
        <v>#VALUE!</v>
      </c>
      <c r="EM53" t="e">
        <f>AND('Planilla_General_29-11-2012_10_'!G792,"AAAAACZ91o4=")</f>
        <v>#VALUE!</v>
      </c>
      <c r="EN53" t="e">
        <f>AND('Planilla_General_29-11-2012_10_'!H792,"AAAAACZ91o8=")</f>
        <v>#VALUE!</v>
      </c>
      <c r="EO53" t="e">
        <f>AND('Planilla_General_29-11-2012_10_'!I792,"AAAAACZ91pA=")</f>
        <v>#VALUE!</v>
      </c>
      <c r="EP53" t="e">
        <f>AND('Planilla_General_29-11-2012_10_'!J792,"AAAAACZ91pE=")</f>
        <v>#VALUE!</v>
      </c>
      <c r="EQ53" t="e">
        <f>AND('Planilla_General_29-11-2012_10_'!K792,"AAAAACZ91pI=")</f>
        <v>#VALUE!</v>
      </c>
      <c r="ER53" t="e">
        <f>AND('Planilla_General_29-11-2012_10_'!L792,"AAAAACZ91pM=")</f>
        <v>#VALUE!</v>
      </c>
      <c r="ES53" t="e">
        <f>AND('Planilla_General_29-11-2012_10_'!M792,"AAAAACZ91pQ=")</f>
        <v>#VALUE!</v>
      </c>
      <c r="ET53" t="e">
        <f>AND('Planilla_General_29-11-2012_10_'!N792,"AAAAACZ91pU=")</f>
        <v>#VALUE!</v>
      </c>
      <c r="EU53" t="e">
        <f>AND('Planilla_General_29-11-2012_10_'!O792,"AAAAACZ91pY=")</f>
        <v>#VALUE!</v>
      </c>
      <c r="EV53" t="e">
        <f>AND('Planilla_General_29-11-2012_10_'!P792,"AAAAACZ91pc=")</f>
        <v>#VALUE!</v>
      </c>
      <c r="EW53">
        <f>IF('Planilla_General_29-11-2012_10_'!793:793,"AAAAACZ91pg=",0)</f>
        <v>0</v>
      </c>
      <c r="EX53" t="e">
        <f>AND('Planilla_General_29-11-2012_10_'!A793,"AAAAACZ91pk=")</f>
        <v>#VALUE!</v>
      </c>
      <c r="EY53" t="e">
        <f>AND('Planilla_General_29-11-2012_10_'!B793,"AAAAACZ91po=")</f>
        <v>#VALUE!</v>
      </c>
      <c r="EZ53" t="e">
        <f>AND('Planilla_General_29-11-2012_10_'!C793,"AAAAACZ91ps=")</f>
        <v>#VALUE!</v>
      </c>
      <c r="FA53" t="e">
        <f>AND('Planilla_General_29-11-2012_10_'!D793,"AAAAACZ91pw=")</f>
        <v>#VALUE!</v>
      </c>
      <c r="FB53" t="e">
        <f>AND('Planilla_General_29-11-2012_10_'!E793,"AAAAACZ91p0=")</f>
        <v>#VALUE!</v>
      </c>
      <c r="FC53" t="e">
        <f>AND('Planilla_General_29-11-2012_10_'!F793,"AAAAACZ91p4=")</f>
        <v>#VALUE!</v>
      </c>
      <c r="FD53" t="e">
        <f>AND('Planilla_General_29-11-2012_10_'!G793,"AAAAACZ91p8=")</f>
        <v>#VALUE!</v>
      </c>
      <c r="FE53" t="e">
        <f>AND('Planilla_General_29-11-2012_10_'!H793,"AAAAACZ91qA=")</f>
        <v>#VALUE!</v>
      </c>
      <c r="FF53" t="e">
        <f>AND('Planilla_General_29-11-2012_10_'!I793,"AAAAACZ91qE=")</f>
        <v>#VALUE!</v>
      </c>
      <c r="FG53" t="e">
        <f>AND('Planilla_General_29-11-2012_10_'!J793,"AAAAACZ91qI=")</f>
        <v>#VALUE!</v>
      </c>
      <c r="FH53" t="e">
        <f>AND('Planilla_General_29-11-2012_10_'!K793,"AAAAACZ91qM=")</f>
        <v>#VALUE!</v>
      </c>
      <c r="FI53" t="e">
        <f>AND('Planilla_General_29-11-2012_10_'!L793,"AAAAACZ91qQ=")</f>
        <v>#VALUE!</v>
      </c>
      <c r="FJ53" t="e">
        <f>AND('Planilla_General_29-11-2012_10_'!M793,"AAAAACZ91qU=")</f>
        <v>#VALUE!</v>
      </c>
      <c r="FK53" t="e">
        <f>AND('Planilla_General_29-11-2012_10_'!N793,"AAAAACZ91qY=")</f>
        <v>#VALUE!</v>
      </c>
      <c r="FL53" t="e">
        <f>AND('Planilla_General_29-11-2012_10_'!O793,"AAAAACZ91qc=")</f>
        <v>#VALUE!</v>
      </c>
      <c r="FM53" t="e">
        <f>AND('Planilla_General_29-11-2012_10_'!P793,"AAAAACZ91qg=")</f>
        <v>#VALUE!</v>
      </c>
      <c r="FN53">
        <f>IF('Planilla_General_29-11-2012_10_'!794:794,"AAAAACZ91qk=",0)</f>
        <v>0</v>
      </c>
      <c r="FO53" t="e">
        <f>AND('Planilla_General_29-11-2012_10_'!A794,"AAAAACZ91qo=")</f>
        <v>#VALUE!</v>
      </c>
      <c r="FP53" t="e">
        <f>AND('Planilla_General_29-11-2012_10_'!B794,"AAAAACZ91qs=")</f>
        <v>#VALUE!</v>
      </c>
      <c r="FQ53" t="e">
        <f>AND('Planilla_General_29-11-2012_10_'!C794,"AAAAACZ91qw=")</f>
        <v>#VALUE!</v>
      </c>
      <c r="FR53" t="e">
        <f>AND('Planilla_General_29-11-2012_10_'!D794,"AAAAACZ91q0=")</f>
        <v>#VALUE!</v>
      </c>
      <c r="FS53" t="e">
        <f>AND('Planilla_General_29-11-2012_10_'!E794,"AAAAACZ91q4=")</f>
        <v>#VALUE!</v>
      </c>
      <c r="FT53" t="e">
        <f>AND('Planilla_General_29-11-2012_10_'!F794,"AAAAACZ91q8=")</f>
        <v>#VALUE!</v>
      </c>
      <c r="FU53" t="e">
        <f>AND('Planilla_General_29-11-2012_10_'!G794,"AAAAACZ91rA=")</f>
        <v>#VALUE!</v>
      </c>
      <c r="FV53" t="e">
        <f>AND('Planilla_General_29-11-2012_10_'!H794,"AAAAACZ91rE=")</f>
        <v>#VALUE!</v>
      </c>
      <c r="FW53" t="e">
        <f>AND('Planilla_General_29-11-2012_10_'!I794,"AAAAACZ91rI=")</f>
        <v>#VALUE!</v>
      </c>
      <c r="FX53" t="e">
        <f>AND('Planilla_General_29-11-2012_10_'!J794,"AAAAACZ91rM=")</f>
        <v>#VALUE!</v>
      </c>
      <c r="FY53" t="e">
        <f>AND('Planilla_General_29-11-2012_10_'!K794,"AAAAACZ91rQ=")</f>
        <v>#VALUE!</v>
      </c>
      <c r="FZ53" t="e">
        <f>AND('Planilla_General_29-11-2012_10_'!L794,"AAAAACZ91rU=")</f>
        <v>#VALUE!</v>
      </c>
      <c r="GA53" t="e">
        <f>AND('Planilla_General_29-11-2012_10_'!M794,"AAAAACZ91rY=")</f>
        <v>#VALUE!</v>
      </c>
      <c r="GB53" t="e">
        <f>AND('Planilla_General_29-11-2012_10_'!N794,"AAAAACZ91rc=")</f>
        <v>#VALUE!</v>
      </c>
      <c r="GC53" t="e">
        <f>AND('Planilla_General_29-11-2012_10_'!O794,"AAAAACZ91rg=")</f>
        <v>#VALUE!</v>
      </c>
      <c r="GD53" t="e">
        <f>AND('Planilla_General_29-11-2012_10_'!P794,"AAAAACZ91rk=")</f>
        <v>#VALUE!</v>
      </c>
      <c r="GE53">
        <f>IF('Planilla_General_29-11-2012_10_'!795:795,"AAAAACZ91ro=",0)</f>
        <v>0</v>
      </c>
      <c r="GF53" t="e">
        <f>AND('Planilla_General_29-11-2012_10_'!A795,"AAAAACZ91rs=")</f>
        <v>#VALUE!</v>
      </c>
      <c r="GG53" t="e">
        <f>AND('Planilla_General_29-11-2012_10_'!B795,"AAAAACZ91rw=")</f>
        <v>#VALUE!</v>
      </c>
      <c r="GH53" t="e">
        <f>AND('Planilla_General_29-11-2012_10_'!C795,"AAAAACZ91r0=")</f>
        <v>#VALUE!</v>
      </c>
      <c r="GI53" t="e">
        <f>AND('Planilla_General_29-11-2012_10_'!D795,"AAAAACZ91r4=")</f>
        <v>#VALUE!</v>
      </c>
      <c r="GJ53" t="e">
        <f>AND('Planilla_General_29-11-2012_10_'!E795,"AAAAACZ91r8=")</f>
        <v>#VALUE!</v>
      </c>
      <c r="GK53" t="e">
        <f>AND('Planilla_General_29-11-2012_10_'!F795,"AAAAACZ91sA=")</f>
        <v>#VALUE!</v>
      </c>
      <c r="GL53" t="e">
        <f>AND('Planilla_General_29-11-2012_10_'!G795,"AAAAACZ91sE=")</f>
        <v>#VALUE!</v>
      </c>
      <c r="GM53" t="e">
        <f>AND('Planilla_General_29-11-2012_10_'!H795,"AAAAACZ91sI=")</f>
        <v>#VALUE!</v>
      </c>
      <c r="GN53" t="e">
        <f>AND('Planilla_General_29-11-2012_10_'!I795,"AAAAACZ91sM=")</f>
        <v>#VALUE!</v>
      </c>
      <c r="GO53" t="e">
        <f>AND('Planilla_General_29-11-2012_10_'!J795,"AAAAACZ91sQ=")</f>
        <v>#VALUE!</v>
      </c>
      <c r="GP53" t="e">
        <f>AND('Planilla_General_29-11-2012_10_'!K795,"AAAAACZ91sU=")</f>
        <v>#VALUE!</v>
      </c>
      <c r="GQ53" t="e">
        <f>AND('Planilla_General_29-11-2012_10_'!L795,"AAAAACZ91sY=")</f>
        <v>#VALUE!</v>
      </c>
      <c r="GR53" t="e">
        <f>AND('Planilla_General_29-11-2012_10_'!M795,"AAAAACZ91sc=")</f>
        <v>#VALUE!</v>
      </c>
      <c r="GS53" t="e">
        <f>AND('Planilla_General_29-11-2012_10_'!N795,"AAAAACZ91sg=")</f>
        <v>#VALUE!</v>
      </c>
      <c r="GT53" t="e">
        <f>AND('Planilla_General_29-11-2012_10_'!O795,"AAAAACZ91sk=")</f>
        <v>#VALUE!</v>
      </c>
      <c r="GU53" t="e">
        <f>AND('Planilla_General_29-11-2012_10_'!P795,"AAAAACZ91so=")</f>
        <v>#VALUE!</v>
      </c>
      <c r="GV53">
        <f>IF('Planilla_General_29-11-2012_10_'!796:796,"AAAAACZ91ss=",0)</f>
        <v>0</v>
      </c>
      <c r="GW53" t="e">
        <f>AND('Planilla_General_29-11-2012_10_'!A796,"AAAAACZ91sw=")</f>
        <v>#VALUE!</v>
      </c>
      <c r="GX53" t="e">
        <f>AND('Planilla_General_29-11-2012_10_'!B796,"AAAAACZ91s0=")</f>
        <v>#VALUE!</v>
      </c>
      <c r="GY53" t="e">
        <f>AND('Planilla_General_29-11-2012_10_'!C796,"AAAAACZ91s4=")</f>
        <v>#VALUE!</v>
      </c>
      <c r="GZ53" t="e">
        <f>AND('Planilla_General_29-11-2012_10_'!D796,"AAAAACZ91s8=")</f>
        <v>#VALUE!</v>
      </c>
      <c r="HA53" t="e">
        <f>AND('Planilla_General_29-11-2012_10_'!E796,"AAAAACZ91tA=")</f>
        <v>#VALUE!</v>
      </c>
      <c r="HB53" t="e">
        <f>AND('Planilla_General_29-11-2012_10_'!F796,"AAAAACZ91tE=")</f>
        <v>#VALUE!</v>
      </c>
      <c r="HC53" t="e">
        <f>AND('Planilla_General_29-11-2012_10_'!G796,"AAAAACZ91tI=")</f>
        <v>#VALUE!</v>
      </c>
      <c r="HD53" t="e">
        <f>AND('Planilla_General_29-11-2012_10_'!H796,"AAAAACZ91tM=")</f>
        <v>#VALUE!</v>
      </c>
      <c r="HE53" t="e">
        <f>AND('Planilla_General_29-11-2012_10_'!I796,"AAAAACZ91tQ=")</f>
        <v>#VALUE!</v>
      </c>
      <c r="HF53" t="e">
        <f>AND('Planilla_General_29-11-2012_10_'!J796,"AAAAACZ91tU=")</f>
        <v>#VALUE!</v>
      </c>
      <c r="HG53" t="e">
        <f>AND('Planilla_General_29-11-2012_10_'!K796,"AAAAACZ91tY=")</f>
        <v>#VALUE!</v>
      </c>
      <c r="HH53" t="e">
        <f>AND('Planilla_General_29-11-2012_10_'!L796,"AAAAACZ91tc=")</f>
        <v>#VALUE!</v>
      </c>
      <c r="HI53" t="e">
        <f>AND('Planilla_General_29-11-2012_10_'!M796,"AAAAACZ91tg=")</f>
        <v>#VALUE!</v>
      </c>
      <c r="HJ53" t="e">
        <f>AND('Planilla_General_29-11-2012_10_'!N796,"AAAAACZ91tk=")</f>
        <v>#VALUE!</v>
      </c>
      <c r="HK53" t="e">
        <f>AND('Planilla_General_29-11-2012_10_'!O796,"AAAAACZ91to=")</f>
        <v>#VALUE!</v>
      </c>
      <c r="HL53" t="e">
        <f>AND('Planilla_General_29-11-2012_10_'!P796,"AAAAACZ91ts=")</f>
        <v>#VALUE!</v>
      </c>
      <c r="HM53">
        <f>IF('Planilla_General_29-11-2012_10_'!797:797,"AAAAACZ91tw=",0)</f>
        <v>0</v>
      </c>
      <c r="HN53" t="e">
        <f>AND('Planilla_General_29-11-2012_10_'!A797,"AAAAACZ91t0=")</f>
        <v>#VALUE!</v>
      </c>
      <c r="HO53" t="e">
        <f>AND('Planilla_General_29-11-2012_10_'!B797,"AAAAACZ91t4=")</f>
        <v>#VALUE!</v>
      </c>
      <c r="HP53" t="e">
        <f>AND('Planilla_General_29-11-2012_10_'!C797,"AAAAACZ91t8=")</f>
        <v>#VALUE!</v>
      </c>
      <c r="HQ53" t="e">
        <f>AND('Planilla_General_29-11-2012_10_'!D797,"AAAAACZ91uA=")</f>
        <v>#VALUE!</v>
      </c>
      <c r="HR53" t="e">
        <f>AND('Planilla_General_29-11-2012_10_'!E797,"AAAAACZ91uE=")</f>
        <v>#VALUE!</v>
      </c>
      <c r="HS53" t="e">
        <f>AND('Planilla_General_29-11-2012_10_'!F797,"AAAAACZ91uI=")</f>
        <v>#VALUE!</v>
      </c>
      <c r="HT53" t="e">
        <f>AND('Planilla_General_29-11-2012_10_'!G797,"AAAAACZ91uM=")</f>
        <v>#VALUE!</v>
      </c>
      <c r="HU53" t="e">
        <f>AND('Planilla_General_29-11-2012_10_'!H797,"AAAAACZ91uQ=")</f>
        <v>#VALUE!</v>
      </c>
      <c r="HV53" t="e">
        <f>AND('Planilla_General_29-11-2012_10_'!I797,"AAAAACZ91uU=")</f>
        <v>#VALUE!</v>
      </c>
      <c r="HW53" t="e">
        <f>AND('Planilla_General_29-11-2012_10_'!J797,"AAAAACZ91uY=")</f>
        <v>#VALUE!</v>
      </c>
      <c r="HX53" t="e">
        <f>AND('Planilla_General_29-11-2012_10_'!K797,"AAAAACZ91uc=")</f>
        <v>#VALUE!</v>
      </c>
      <c r="HY53" t="e">
        <f>AND('Planilla_General_29-11-2012_10_'!L797,"AAAAACZ91ug=")</f>
        <v>#VALUE!</v>
      </c>
      <c r="HZ53" t="e">
        <f>AND('Planilla_General_29-11-2012_10_'!M797,"AAAAACZ91uk=")</f>
        <v>#VALUE!</v>
      </c>
      <c r="IA53" t="e">
        <f>AND('Planilla_General_29-11-2012_10_'!N797,"AAAAACZ91uo=")</f>
        <v>#VALUE!</v>
      </c>
      <c r="IB53" t="e">
        <f>AND('Planilla_General_29-11-2012_10_'!O797,"AAAAACZ91us=")</f>
        <v>#VALUE!</v>
      </c>
      <c r="IC53" t="e">
        <f>AND('Planilla_General_29-11-2012_10_'!P797,"AAAAACZ91uw=")</f>
        <v>#VALUE!</v>
      </c>
      <c r="ID53">
        <f>IF('Planilla_General_29-11-2012_10_'!798:798,"AAAAACZ91u0=",0)</f>
        <v>0</v>
      </c>
      <c r="IE53" t="e">
        <f>AND('Planilla_General_29-11-2012_10_'!A798,"AAAAACZ91u4=")</f>
        <v>#VALUE!</v>
      </c>
      <c r="IF53" t="e">
        <f>AND('Planilla_General_29-11-2012_10_'!B798,"AAAAACZ91u8=")</f>
        <v>#VALUE!</v>
      </c>
      <c r="IG53" t="e">
        <f>AND('Planilla_General_29-11-2012_10_'!C798,"AAAAACZ91vA=")</f>
        <v>#VALUE!</v>
      </c>
      <c r="IH53" t="e">
        <f>AND('Planilla_General_29-11-2012_10_'!D798,"AAAAACZ91vE=")</f>
        <v>#VALUE!</v>
      </c>
      <c r="II53" t="e">
        <f>AND('Planilla_General_29-11-2012_10_'!E798,"AAAAACZ91vI=")</f>
        <v>#VALUE!</v>
      </c>
      <c r="IJ53" t="e">
        <f>AND('Planilla_General_29-11-2012_10_'!F798,"AAAAACZ91vM=")</f>
        <v>#VALUE!</v>
      </c>
      <c r="IK53" t="e">
        <f>AND('Planilla_General_29-11-2012_10_'!G798,"AAAAACZ91vQ=")</f>
        <v>#VALUE!</v>
      </c>
      <c r="IL53" t="e">
        <f>AND('Planilla_General_29-11-2012_10_'!H798,"AAAAACZ91vU=")</f>
        <v>#VALUE!</v>
      </c>
      <c r="IM53" t="e">
        <f>AND('Planilla_General_29-11-2012_10_'!I798,"AAAAACZ91vY=")</f>
        <v>#VALUE!</v>
      </c>
      <c r="IN53" t="e">
        <f>AND('Planilla_General_29-11-2012_10_'!J798,"AAAAACZ91vc=")</f>
        <v>#VALUE!</v>
      </c>
      <c r="IO53" t="e">
        <f>AND('Planilla_General_29-11-2012_10_'!K798,"AAAAACZ91vg=")</f>
        <v>#VALUE!</v>
      </c>
      <c r="IP53" t="e">
        <f>AND('Planilla_General_29-11-2012_10_'!L798,"AAAAACZ91vk=")</f>
        <v>#VALUE!</v>
      </c>
      <c r="IQ53" t="e">
        <f>AND('Planilla_General_29-11-2012_10_'!M798,"AAAAACZ91vo=")</f>
        <v>#VALUE!</v>
      </c>
      <c r="IR53" t="e">
        <f>AND('Planilla_General_29-11-2012_10_'!N798,"AAAAACZ91vs=")</f>
        <v>#VALUE!</v>
      </c>
      <c r="IS53" t="e">
        <f>AND('Planilla_General_29-11-2012_10_'!O798,"AAAAACZ91vw=")</f>
        <v>#VALUE!</v>
      </c>
      <c r="IT53" t="e">
        <f>AND('Planilla_General_29-11-2012_10_'!P798,"AAAAACZ91v0=")</f>
        <v>#VALUE!</v>
      </c>
      <c r="IU53">
        <f>IF('Planilla_General_29-11-2012_10_'!799:799,"AAAAACZ91v4=",0)</f>
        <v>0</v>
      </c>
      <c r="IV53" t="e">
        <f>AND('Planilla_General_29-11-2012_10_'!A799,"AAAAACZ91v8=")</f>
        <v>#VALUE!</v>
      </c>
    </row>
    <row r="54" spans="1:256" x14ac:dyDescent="0.25">
      <c r="A54" t="e">
        <f>AND('Planilla_General_29-11-2012_10_'!B799,"AAAAAGf9fwA=")</f>
        <v>#VALUE!</v>
      </c>
      <c r="B54" t="e">
        <f>AND('Planilla_General_29-11-2012_10_'!C799,"AAAAAGf9fwE=")</f>
        <v>#VALUE!</v>
      </c>
      <c r="C54" t="e">
        <f>AND('Planilla_General_29-11-2012_10_'!D799,"AAAAAGf9fwI=")</f>
        <v>#VALUE!</v>
      </c>
      <c r="D54" t="e">
        <f>AND('Planilla_General_29-11-2012_10_'!E799,"AAAAAGf9fwM=")</f>
        <v>#VALUE!</v>
      </c>
      <c r="E54" t="e">
        <f>AND('Planilla_General_29-11-2012_10_'!F799,"AAAAAGf9fwQ=")</f>
        <v>#VALUE!</v>
      </c>
      <c r="F54" t="e">
        <f>AND('Planilla_General_29-11-2012_10_'!G799,"AAAAAGf9fwU=")</f>
        <v>#VALUE!</v>
      </c>
      <c r="G54" t="e">
        <f>AND('Planilla_General_29-11-2012_10_'!H799,"AAAAAGf9fwY=")</f>
        <v>#VALUE!</v>
      </c>
      <c r="H54" t="e">
        <f>AND('Planilla_General_29-11-2012_10_'!I799,"AAAAAGf9fwc=")</f>
        <v>#VALUE!</v>
      </c>
      <c r="I54" t="e">
        <f>AND('Planilla_General_29-11-2012_10_'!J799,"AAAAAGf9fwg=")</f>
        <v>#VALUE!</v>
      </c>
      <c r="J54" t="e">
        <f>AND('Planilla_General_29-11-2012_10_'!K799,"AAAAAGf9fwk=")</f>
        <v>#VALUE!</v>
      </c>
      <c r="K54" t="e">
        <f>AND('Planilla_General_29-11-2012_10_'!L799,"AAAAAGf9fwo=")</f>
        <v>#VALUE!</v>
      </c>
      <c r="L54" t="e">
        <f>AND('Planilla_General_29-11-2012_10_'!M799,"AAAAAGf9fws=")</f>
        <v>#VALUE!</v>
      </c>
      <c r="M54" t="e">
        <f>AND('Planilla_General_29-11-2012_10_'!N799,"AAAAAGf9fww=")</f>
        <v>#VALUE!</v>
      </c>
      <c r="N54" t="e">
        <f>AND('Planilla_General_29-11-2012_10_'!O799,"AAAAAGf9fw0=")</f>
        <v>#VALUE!</v>
      </c>
      <c r="O54" t="e">
        <f>AND('Planilla_General_29-11-2012_10_'!P799,"AAAAAGf9fw4=")</f>
        <v>#VALUE!</v>
      </c>
      <c r="P54">
        <f>IF('Planilla_General_29-11-2012_10_'!800:800,"AAAAAGf9fw8=",0)</f>
        <v>0</v>
      </c>
      <c r="Q54" t="e">
        <f>AND('Planilla_General_29-11-2012_10_'!A800,"AAAAAGf9fxA=")</f>
        <v>#VALUE!</v>
      </c>
      <c r="R54" t="e">
        <f>AND('Planilla_General_29-11-2012_10_'!B800,"AAAAAGf9fxE=")</f>
        <v>#VALUE!</v>
      </c>
      <c r="S54" t="e">
        <f>AND('Planilla_General_29-11-2012_10_'!C800,"AAAAAGf9fxI=")</f>
        <v>#VALUE!</v>
      </c>
      <c r="T54" t="e">
        <f>AND('Planilla_General_29-11-2012_10_'!D800,"AAAAAGf9fxM=")</f>
        <v>#VALUE!</v>
      </c>
      <c r="U54" t="e">
        <f>AND('Planilla_General_29-11-2012_10_'!E800,"AAAAAGf9fxQ=")</f>
        <v>#VALUE!</v>
      </c>
      <c r="V54" t="e">
        <f>AND('Planilla_General_29-11-2012_10_'!F800,"AAAAAGf9fxU=")</f>
        <v>#VALUE!</v>
      </c>
      <c r="W54" t="e">
        <f>AND('Planilla_General_29-11-2012_10_'!G800,"AAAAAGf9fxY=")</f>
        <v>#VALUE!</v>
      </c>
      <c r="X54" t="e">
        <f>AND('Planilla_General_29-11-2012_10_'!H800,"AAAAAGf9fxc=")</f>
        <v>#VALUE!</v>
      </c>
      <c r="Y54" t="e">
        <f>AND('Planilla_General_29-11-2012_10_'!I800,"AAAAAGf9fxg=")</f>
        <v>#VALUE!</v>
      </c>
      <c r="Z54" t="e">
        <f>AND('Planilla_General_29-11-2012_10_'!J800,"AAAAAGf9fxk=")</f>
        <v>#VALUE!</v>
      </c>
      <c r="AA54" t="e">
        <f>AND('Planilla_General_29-11-2012_10_'!K800,"AAAAAGf9fxo=")</f>
        <v>#VALUE!</v>
      </c>
      <c r="AB54" t="e">
        <f>AND('Planilla_General_29-11-2012_10_'!L800,"AAAAAGf9fxs=")</f>
        <v>#VALUE!</v>
      </c>
      <c r="AC54" t="e">
        <f>AND('Planilla_General_29-11-2012_10_'!M800,"AAAAAGf9fxw=")</f>
        <v>#VALUE!</v>
      </c>
      <c r="AD54" t="e">
        <f>AND('Planilla_General_29-11-2012_10_'!N800,"AAAAAGf9fx0=")</f>
        <v>#VALUE!</v>
      </c>
      <c r="AE54" t="e">
        <f>AND('Planilla_General_29-11-2012_10_'!O800,"AAAAAGf9fx4=")</f>
        <v>#VALUE!</v>
      </c>
      <c r="AF54" t="e">
        <f>AND('Planilla_General_29-11-2012_10_'!P800,"AAAAAGf9fx8=")</f>
        <v>#VALUE!</v>
      </c>
      <c r="AG54">
        <f>IF('Planilla_General_29-11-2012_10_'!801:801,"AAAAAGf9fyA=",0)</f>
        <v>0</v>
      </c>
      <c r="AH54" t="e">
        <f>AND('Planilla_General_29-11-2012_10_'!A801,"AAAAAGf9fyE=")</f>
        <v>#VALUE!</v>
      </c>
      <c r="AI54" t="e">
        <f>AND('Planilla_General_29-11-2012_10_'!B801,"AAAAAGf9fyI=")</f>
        <v>#VALUE!</v>
      </c>
      <c r="AJ54" t="e">
        <f>AND('Planilla_General_29-11-2012_10_'!C801,"AAAAAGf9fyM=")</f>
        <v>#VALUE!</v>
      </c>
      <c r="AK54" t="e">
        <f>AND('Planilla_General_29-11-2012_10_'!D801,"AAAAAGf9fyQ=")</f>
        <v>#VALUE!</v>
      </c>
      <c r="AL54" t="e">
        <f>AND('Planilla_General_29-11-2012_10_'!E801,"AAAAAGf9fyU=")</f>
        <v>#VALUE!</v>
      </c>
      <c r="AM54" t="e">
        <f>AND('Planilla_General_29-11-2012_10_'!F801,"AAAAAGf9fyY=")</f>
        <v>#VALUE!</v>
      </c>
      <c r="AN54" t="e">
        <f>AND('Planilla_General_29-11-2012_10_'!G801,"AAAAAGf9fyc=")</f>
        <v>#VALUE!</v>
      </c>
      <c r="AO54" t="e">
        <f>AND('Planilla_General_29-11-2012_10_'!H801,"AAAAAGf9fyg=")</f>
        <v>#VALUE!</v>
      </c>
      <c r="AP54" t="e">
        <f>AND('Planilla_General_29-11-2012_10_'!I801,"AAAAAGf9fyk=")</f>
        <v>#VALUE!</v>
      </c>
      <c r="AQ54" t="e">
        <f>AND('Planilla_General_29-11-2012_10_'!J801,"AAAAAGf9fyo=")</f>
        <v>#VALUE!</v>
      </c>
      <c r="AR54" t="e">
        <f>AND('Planilla_General_29-11-2012_10_'!K801,"AAAAAGf9fys=")</f>
        <v>#VALUE!</v>
      </c>
      <c r="AS54" t="e">
        <f>AND('Planilla_General_29-11-2012_10_'!L801,"AAAAAGf9fyw=")</f>
        <v>#VALUE!</v>
      </c>
      <c r="AT54" t="e">
        <f>AND('Planilla_General_29-11-2012_10_'!M801,"AAAAAGf9fy0=")</f>
        <v>#VALUE!</v>
      </c>
      <c r="AU54" t="e">
        <f>AND('Planilla_General_29-11-2012_10_'!N801,"AAAAAGf9fy4=")</f>
        <v>#VALUE!</v>
      </c>
      <c r="AV54" t="e">
        <f>AND('Planilla_General_29-11-2012_10_'!O801,"AAAAAGf9fy8=")</f>
        <v>#VALUE!</v>
      </c>
      <c r="AW54" t="e">
        <f>AND('Planilla_General_29-11-2012_10_'!P801,"AAAAAGf9fzA=")</f>
        <v>#VALUE!</v>
      </c>
      <c r="AX54">
        <f>IF('Planilla_General_29-11-2012_10_'!802:802,"AAAAAGf9fzE=",0)</f>
        <v>0</v>
      </c>
      <c r="AY54" t="e">
        <f>AND('Planilla_General_29-11-2012_10_'!A802,"AAAAAGf9fzI=")</f>
        <v>#VALUE!</v>
      </c>
      <c r="AZ54" t="e">
        <f>AND('Planilla_General_29-11-2012_10_'!B802,"AAAAAGf9fzM=")</f>
        <v>#VALUE!</v>
      </c>
      <c r="BA54" t="e">
        <f>AND('Planilla_General_29-11-2012_10_'!C802,"AAAAAGf9fzQ=")</f>
        <v>#VALUE!</v>
      </c>
      <c r="BB54" t="e">
        <f>AND('Planilla_General_29-11-2012_10_'!D802,"AAAAAGf9fzU=")</f>
        <v>#VALUE!</v>
      </c>
      <c r="BC54" t="e">
        <f>AND('Planilla_General_29-11-2012_10_'!E802,"AAAAAGf9fzY=")</f>
        <v>#VALUE!</v>
      </c>
      <c r="BD54" t="e">
        <f>AND('Planilla_General_29-11-2012_10_'!F802,"AAAAAGf9fzc=")</f>
        <v>#VALUE!</v>
      </c>
      <c r="BE54" t="e">
        <f>AND('Planilla_General_29-11-2012_10_'!G802,"AAAAAGf9fzg=")</f>
        <v>#VALUE!</v>
      </c>
      <c r="BF54" t="e">
        <f>AND('Planilla_General_29-11-2012_10_'!H802,"AAAAAGf9fzk=")</f>
        <v>#VALUE!</v>
      </c>
      <c r="BG54" t="e">
        <f>AND('Planilla_General_29-11-2012_10_'!I802,"AAAAAGf9fzo=")</f>
        <v>#VALUE!</v>
      </c>
      <c r="BH54" t="e">
        <f>AND('Planilla_General_29-11-2012_10_'!J802,"AAAAAGf9fzs=")</f>
        <v>#VALUE!</v>
      </c>
      <c r="BI54" t="e">
        <f>AND('Planilla_General_29-11-2012_10_'!K802,"AAAAAGf9fzw=")</f>
        <v>#VALUE!</v>
      </c>
      <c r="BJ54" t="e">
        <f>AND('Planilla_General_29-11-2012_10_'!L802,"AAAAAGf9fz0=")</f>
        <v>#VALUE!</v>
      </c>
      <c r="BK54" t="e">
        <f>AND('Planilla_General_29-11-2012_10_'!M802,"AAAAAGf9fz4=")</f>
        <v>#VALUE!</v>
      </c>
      <c r="BL54" t="e">
        <f>AND('Planilla_General_29-11-2012_10_'!N802,"AAAAAGf9fz8=")</f>
        <v>#VALUE!</v>
      </c>
      <c r="BM54" t="e">
        <f>AND('Planilla_General_29-11-2012_10_'!O802,"AAAAAGf9f0A=")</f>
        <v>#VALUE!</v>
      </c>
      <c r="BN54" t="e">
        <f>AND('Planilla_General_29-11-2012_10_'!P802,"AAAAAGf9f0E=")</f>
        <v>#VALUE!</v>
      </c>
      <c r="BO54">
        <f>IF('Planilla_General_29-11-2012_10_'!803:803,"AAAAAGf9f0I=",0)</f>
        <v>0</v>
      </c>
      <c r="BP54" t="e">
        <f>AND('Planilla_General_29-11-2012_10_'!A803,"AAAAAGf9f0M=")</f>
        <v>#VALUE!</v>
      </c>
      <c r="BQ54" t="e">
        <f>AND('Planilla_General_29-11-2012_10_'!B803,"AAAAAGf9f0Q=")</f>
        <v>#VALUE!</v>
      </c>
      <c r="BR54" t="e">
        <f>AND('Planilla_General_29-11-2012_10_'!C803,"AAAAAGf9f0U=")</f>
        <v>#VALUE!</v>
      </c>
      <c r="BS54" t="e">
        <f>AND('Planilla_General_29-11-2012_10_'!D803,"AAAAAGf9f0Y=")</f>
        <v>#VALUE!</v>
      </c>
      <c r="BT54" t="e">
        <f>AND('Planilla_General_29-11-2012_10_'!E803,"AAAAAGf9f0c=")</f>
        <v>#VALUE!</v>
      </c>
      <c r="BU54" t="e">
        <f>AND('Planilla_General_29-11-2012_10_'!F803,"AAAAAGf9f0g=")</f>
        <v>#VALUE!</v>
      </c>
      <c r="BV54" t="e">
        <f>AND('Planilla_General_29-11-2012_10_'!G803,"AAAAAGf9f0k=")</f>
        <v>#VALUE!</v>
      </c>
      <c r="BW54" t="e">
        <f>AND('Planilla_General_29-11-2012_10_'!H803,"AAAAAGf9f0o=")</f>
        <v>#VALUE!</v>
      </c>
      <c r="BX54" t="e">
        <f>AND('Planilla_General_29-11-2012_10_'!I803,"AAAAAGf9f0s=")</f>
        <v>#VALUE!</v>
      </c>
      <c r="BY54" t="e">
        <f>AND('Planilla_General_29-11-2012_10_'!J803,"AAAAAGf9f0w=")</f>
        <v>#VALUE!</v>
      </c>
      <c r="BZ54" t="e">
        <f>AND('Planilla_General_29-11-2012_10_'!K803,"AAAAAGf9f00=")</f>
        <v>#VALUE!</v>
      </c>
      <c r="CA54" t="e">
        <f>AND('Planilla_General_29-11-2012_10_'!L803,"AAAAAGf9f04=")</f>
        <v>#VALUE!</v>
      </c>
      <c r="CB54" t="e">
        <f>AND('Planilla_General_29-11-2012_10_'!M803,"AAAAAGf9f08=")</f>
        <v>#VALUE!</v>
      </c>
      <c r="CC54" t="e">
        <f>AND('Planilla_General_29-11-2012_10_'!N803,"AAAAAGf9f1A=")</f>
        <v>#VALUE!</v>
      </c>
      <c r="CD54" t="e">
        <f>AND('Planilla_General_29-11-2012_10_'!O803,"AAAAAGf9f1E=")</f>
        <v>#VALUE!</v>
      </c>
      <c r="CE54" t="e">
        <f>AND('Planilla_General_29-11-2012_10_'!P803,"AAAAAGf9f1I=")</f>
        <v>#VALUE!</v>
      </c>
      <c r="CF54">
        <f>IF('Planilla_General_29-11-2012_10_'!804:804,"AAAAAGf9f1M=",0)</f>
        <v>0</v>
      </c>
      <c r="CG54" t="e">
        <f>AND('Planilla_General_29-11-2012_10_'!A804,"AAAAAGf9f1Q=")</f>
        <v>#VALUE!</v>
      </c>
      <c r="CH54" t="e">
        <f>AND('Planilla_General_29-11-2012_10_'!B804,"AAAAAGf9f1U=")</f>
        <v>#VALUE!</v>
      </c>
      <c r="CI54" t="e">
        <f>AND('Planilla_General_29-11-2012_10_'!C804,"AAAAAGf9f1Y=")</f>
        <v>#VALUE!</v>
      </c>
      <c r="CJ54" t="e">
        <f>AND('Planilla_General_29-11-2012_10_'!D804,"AAAAAGf9f1c=")</f>
        <v>#VALUE!</v>
      </c>
      <c r="CK54" t="e">
        <f>AND('Planilla_General_29-11-2012_10_'!E804,"AAAAAGf9f1g=")</f>
        <v>#VALUE!</v>
      </c>
      <c r="CL54" t="e">
        <f>AND('Planilla_General_29-11-2012_10_'!F804,"AAAAAGf9f1k=")</f>
        <v>#VALUE!</v>
      </c>
      <c r="CM54" t="e">
        <f>AND('Planilla_General_29-11-2012_10_'!G804,"AAAAAGf9f1o=")</f>
        <v>#VALUE!</v>
      </c>
      <c r="CN54" t="e">
        <f>AND('Planilla_General_29-11-2012_10_'!H804,"AAAAAGf9f1s=")</f>
        <v>#VALUE!</v>
      </c>
      <c r="CO54" t="e">
        <f>AND('Planilla_General_29-11-2012_10_'!I804,"AAAAAGf9f1w=")</f>
        <v>#VALUE!</v>
      </c>
      <c r="CP54" t="e">
        <f>AND('Planilla_General_29-11-2012_10_'!J804,"AAAAAGf9f10=")</f>
        <v>#VALUE!</v>
      </c>
      <c r="CQ54" t="e">
        <f>AND('Planilla_General_29-11-2012_10_'!K804,"AAAAAGf9f14=")</f>
        <v>#VALUE!</v>
      </c>
      <c r="CR54" t="e">
        <f>AND('Planilla_General_29-11-2012_10_'!L804,"AAAAAGf9f18=")</f>
        <v>#VALUE!</v>
      </c>
      <c r="CS54" t="e">
        <f>AND('Planilla_General_29-11-2012_10_'!M804,"AAAAAGf9f2A=")</f>
        <v>#VALUE!</v>
      </c>
      <c r="CT54" t="e">
        <f>AND('Planilla_General_29-11-2012_10_'!N804,"AAAAAGf9f2E=")</f>
        <v>#VALUE!</v>
      </c>
      <c r="CU54" t="e">
        <f>AND('Planilla_General_29-11-2012_10_'!O804,"AAAAAGf9f2I=")</f>
        <v>#VALUE!</v>
      </c>
      <c r="CV54" t="e">
        <f>AND('Planilla_General_29-11-2012_10_'!P804,"AAAAAGf9f2M=")</f>
        <v>#VALUE!</v>
      </c>
      <c r="CW54">
        <f>IF('Planilla_General_29-11-2012_10_'!805:805,"AAAAAGf9f2Q=",0)</f>
        <v>0</v>
      </c>
      <c r="CX54" t="e">
        <f>AND('Planilla_General_29-11-2012_10_'!A805,"AAAAAGf9f2U=")</f>
        <v>#VALUE!</v>
      </c>
      <c r="CY54" t="e">
        <f>AND('Planilla_General_29-11-2012_10_'!B805,"AAAAAGf9f2Y=")</f>
        <v>#VALUE!</v>
      </c>
      <c r="CZ54" t="e">
        <f>AND('Planilla_General_29-11-2012_10_'!C805,"AAAAAGf9f2c=")</f>
        <v>#VALUE!</v>
      </c>
      <c r="DA54" t="e">
        <f>AND('Planilla_General_29-11-2012_10_'!D805,"AAAAAGf9f2g=")</f>
        <v>#VALUE!</v>
      </c>
      <c r="DB54" t="e">
        <f>AND('Planilla_General_29-11-2012_10_'!E805,"AAAAAGf9f2k=")</f>
        <v>#VALUE!</v>
      </c>
      <c r="DC54" t="e">
        <f>AND('Planilla_General_29-11-2012_10_'!F805,"AAAAAGf9f2o=")</f>
        <v>#VALUE!</v>
      </c>
      <c r="DD54" t="e">
        <f>AND('Planilla_General_29-11-2012_10_'!G805,"AAAAAGf9f2s=")</f>
        <v>#VALUE!</v>
      </c>
      <c r="DE54" t="e">
        <f>AND('Planilla_General_29-11-2012_10_'!H805,"AAAAAGf9f2w=")</f>
        <v>#VALUE!</v>
      </c>
      <c r="DF54" t="e">
        <f>AND('Planilla_General_29-11-2012_10_'!I805,"AAAAAGf9f20=")</f>
        <v>#VALUE!</v>
      </c>
      <c r="DG54" t="e">
        <f>AND('Planilla_General_29-11-2012_10_'!J805,"AAAAAGf9f24=")</f>
        <v>#VALUE!</v>
      </c>
      <c r="DH54" t="e">
        <f>AND('Planilla_General_29-11-2012_10_'!K805,"AAAAAGf9f28=")</f>
        <v>#VALUE!</v>
      </c>
      <c r="DI54" t="e">
        <f>AND('Planilla_General_29-11-2012_10_'!L805,"AAAAAGf9f3A=")</f>
        <v>#VALUE!</v>
      </c>
      <c r="DJ54" t="e">
        <f>AND('Planilla_General_29-11-2012_10_'!M805,"AAAAAGf9f3E=")</f>
        <v>#VALUE!</v>
      </c>
      <c r="DK54" t="e">
        <f>AND('Planilla_General_29-11-2012_10_'!N805,"AAAAAGf9f3I=")</f>
        <v>#VALUE!</v>
      </c>
      <c r="DL54" t="e">
        <f>AND('Planilla_General_29-11-2012_10_'!O805,"AAAAAGf9f3M=")</f>
        <v>#VALUE!</v>
      </c>
      <c r="DM54" t="e">
        <f>AND('Planilla_General_29-11-2012_10_'!P805,"AAAAAGf9f3Q=")</f>
        <v>#VALUE!</v>
      </c>
      <c r="DN54">
        <f>IF('Planilla_General_29-11-2012_10_'!806:806,"AAAAAGf9f3U=",0)</f>
        <v>0</v>
      </c>
      <c r="DO54" t="e">
        <f>AND('Planilla_General_29-11-2012_10_'!A806,"AAAAAGf9f3Y=")</f>
        <v>#VALUE!</v>
      </c>
      <c r="DP54" t="e">
        <f>AND('Planilla_General_29-11-2012_10_'!B806,"AAAAAGf9f3c=")</f>
        <v>#VALUE!</v>
      </c>
      <c r="DQ54" t="e">
        <f>AND('Planilla_General_29-11-2012_10_'!C806,"AAAAAGf9f3g=")</f>
        <v>#VALUE!</v>
      </c>
      <c r="DR54" t="e">
        <f>AND('Planilla_General_29-11-2012_10_'!D806,"AAAAAGf9f3k=")</f>
        <v>#VALUE!</v>
      </c>
      <c r="DS54" t="e">
        <f>AND('Planilla_General_29-11-2012_10_'!E806,"AAAAAGf9f3o=")</f>
        <v>#VALUE!</v>
      </c>
      <c r="DT54" t="e">
        <f>AND('Planilla_General_29-11-2012_10_'!F806,"AAAAAGf9f3s=")</f>
        <v>#VALUE!</v>
      </c>
      <c r="DU54" t="e">
        <f>AND('Planilla_General_29-11-2012_10_'!G806,"AAAAAGf9f3w=")</f>
        <v>#VALUE!</v>
      </c>
      <c r="DV54" t="e">
        <f>AND('Planilla_General_29-11-2012_10_'!H806,"AAAAAGf9f30=")</f>
        <v>#VALUE!</v>
      </c>
      <c r="DW54" t="e">
        <f>AND('Planilla_General_29-11-2012_10_'!I806,"AAAAAGf9f34=")</f>
        <v>#VALUE!</v>
      </c>
      <c r="DX54" t="e">
        <f>AND('Planilla_General_29-11-2012_10_'!J806,"AAAAAGf9f38=")</f>
        <v>#VALUE!</v>
      </c>
      <c r="DY54" t="e">
        <f>AND('Planilla_General_29-11-2012_10_'!K806,"AAAAAGf9f4A=")</f>
        <v>#VALUE!</v>
      </c>
      <c r="DZ54" t="e">
        <f>AND('Planilla_General_29-11-2012_10_'!L806,"AAAAAGf9f4E=")</f>
        <v>#VALUE!</v>
      </c>
      <c r="EA54" t="e">
        <f>AND('Planilla_General_29-11-2012_10_'!M806,"AAAAAGf9f4I=")</f>
        <v>#VALUE!</v>
      </c>
      <c r="EB54" t="e">
        <f>AND('Planilla_General_29-11-2012_10_'!N806,"AAAAAGf9f4M=")</f>
        <v>#VALUE!</v>
      </c>
      <c r="EC54" t="e">
        <f>AND('Planilla_General_29-11-2012_10_'!O806,"AAAAAGf9f4Q=")</f>
        <v>#VALUE!</v>
      </c>
      <c r="ED54" t="e">
        <f>AND('Planilla_General_29-11-2012_10_'!P806,"AAAAAGf9f4U=")</f>
        <v>#VALUE!</v>
      </c>
      <c r="EE54">
        <f>IF('Planilla_General_29-11-2012_10_'!807:807,"AAAAAGf9f4Y=",0)</f>
        <v>0</v>
      </c>
      <c r="EF54" t="e">
        <f>AND('Planilla_General_29-11-2012_10_'!A807,"AAAAAGf9f4c=")</f>
        <v>#VALUE!</v>
      </c>
      <c r="EG54" t="e">
        <f>AND('Planilla_General_29-11-2012_10_'!B807,"AAAAAGf9f4g=")</f>
        <v>#VALUE!</v>
      </c>
      <c r="EH54" t="e">
        <f>AND('Planilla_General_29-11-2012_10_'!C807,"AAAAAGf9f4k=")</f>
        <v>#VALUE!</v>
      </c>
      <c r="EI54" t="e">
        <f>AND('Planilla_General_29-11-2012_10_'!D807,"AAAAAGf9f4o=")</f>
        <v>#VALUE!</v>
      </c>
      <c r="EJ54" t="e">
        <f>AND('Planilla_General_29-11-2012_10_'!E807,"AAAAAGf9f4s=")</f>
        <v>#VALUE!</v>
      </c>
      <c r="EK54" t="e">
        <f>AND('Planilla_General_29-11-2012_10_'!F807,"AAAAAGf9f4w=")</f>
        <v>#VALUE!</v>
      </c>
      <c r="EL54" t="e">
        <f>AND('Planilla_General_29-11-2012_10_'!G807,"AAAAAGf9f40=")</f>
        <v>#VALUE!</v>
      </c>
      <c r="EM54" t="e">
        <f>AND('Planilla_General_29-11-2012_10_'!H807,"AAAAAGf9f44=")</f>
        <v>#VALUE!</v>
      </c>
      <c r="EN54" t="e">
        <f>AND('Planilla_General_29-11-2012_10_'!I807,"AAAAAGf9f48=")</f>
        <v>#VALUE!</v>
      </c>
      <c r="EO54" t="e">
        <f>AND('Planilla_General_29-11-2012_10_'!J807,"AAAAAGf9f5A=")</f>
        <v>#VALUE!</v>
      </c>
      <c r="EP54" t="e">
        <f>AND('Planilla_General_29-11-2012_10_'!K807,"AAAAAGf9f5E=")</f>
        <v>#VALUE!</v>
      </c>
      <c r="EQ54" t="e">
        <f>AND('Planilla_General_29-11-2012_10_'!L807,"AAAAAGf9f5I=")</f>
        <v>#VALUE!</v>
      </c>
      <c r="ER54" t="e">
        <f>AND('Planilla_General_29-11-2012_10_'!M807,"AAAAAGf9f5M=")</f>
        <v>#VALUE!</v>
      </c>
      <c r="ES54" t="e">
        <f>AND('Planilla_General_29-11-2012_10_'!N807,"AAAAAGf9f5Q=")</f>
        <v>#VALUE!</v>
      </c>
      <c r="ET54" t="e">
        <f>AND('Planilla_General_29-11-2012_10_'!O807,"AAAAAGf9f5U=")</f>
        <v>#VALUE!</v>
      </c>
      <c r="EU54" t="e">
        <f>AND('Planilla_General_29-11-2012_10_'!P807,"AAAAAGf9f5Y=")</f>
        <v>#VALUE!</v>
      </c>
      <c r="EV54">
        <f>IF('Planilla_General_29-11-2012_10_'!808:808,"AAAAAGf9f5c=",0)</f>
        <v>0</v>
      </c>
      <c r="EW54" t="e">
        <f>AND('Planilla_General_29-11-2012_10_'!A808,"AAAAAGf9f5g=")</f>
        <v>#VALUE!</v>
      </c>
      <c r="EX54" t="e">
        <f>AND('Planilla_General_29-11-2012_10_'!B808,"AAAAAGf9f5k=")</f>
        <v>#VALUE!</v>
      </c>
      <c r="EY54" t="e">
        <f>AND('Planilla_General_29-11-2012_10_'!C808,"AAAAAGf9f5o=")</f>
        <v>#VALUE!</v>
      </c>
      <c r="EZ54" t="e">
        <f>AND('Planilla_General_29-11-2012_10_'!D808,"AAAAAGf9f5s=")</f>
        <v>#VALUE!</v>
      </c>
      <c r="FA54" t="e">
        <f>AND('Planilla_General_29-11-2012_10_'!E808,"AAAAAGf9f5w=")</f>
        <v>#VALUE!</v>
      </c>
      <c r="FB54" t="e">
        <f>AND('Planilla_General_29-11-2012_10_'!F808,"AAAAAGf9f50=")</f>
        <v>#VALUE!</v>
      </c>
      <c r="FC54" t="e">
        <f>AND('Planilla_General_29-11-2012_10_'!G808,"AAAAAGf9f54=")</f>
        <v>#VALUE!</v>
      </c>
      <c r="FD54" t="e">
        <f>AND('Planilla_General_29-11-2012_10_'!H808,"AAAAAGf9f58=")</f>
        <v>#VALUE!</v>
      </c>
      <c r="FE54" t="e">
        <f>AND('Planilla_General_29-11-2012_10_'!I808,"AAAAAGf9f6A=")</f>
        <v>#VALUE!</v>
      </c>
      <c r="FF54" t="e">
        <f>AND('Planilla_General_29-11-2012_10_'!J808,"AAAAAGf9f6E=")</f>
        <v>#VALUE!</v>
      </c>
      <c r="FG54" t="e">
        <f>AND('Planilla_General_29-11-2012_10_'!K808,"AAAAAGf9f6I=")</f>
        <v>#VALUE!</v>
      </c>
      <c r="FH54" t="e">
        <f>AND('Planilla_General_29-11-2012_10_'!L808,"AAAAAGf9f6M=")</f>
        <v>#VALUE!</v>
      </c>
      <c r="FI54" t="e">
        <f>AND('Planilla_General_29-11-2012_10_'!M808,"AAAAAGf9f6Q=")</f>
        <v>#VALUE!</v>
      </c>
      <c r="FJ54" t="e">
        <f>AND('Planilla_General_29-11-2012_10_'!N808,"AAAAAGf9f6U=")</f>
        <v>#VALUE!</v>
      </c>
      <c r="FK54" t="e">
        <f>AND('Planilla_General_29-11-2012_10_'!O808,"AAAAAGf9f6Y=")</f>
        <v>#VALUE!</v>
      </c>
      <c r="FL54" t="e">
        <f>AND('Planilla_General_29-11-2012_10_'!P808,"AAAAAGf9f6c=")</f>
        <v>#VALUE!</v>
      </c>
      <c r="FM54">
        <f>IF('Planilla_General_29-11-2012_10_'!809:809,"AAAAAGf9f6g=",0)</f>
        <v>0</v>
      </c>
      <c r="FN54" t="e">
        <f>AND('Planilla_General_29-11-2012_10_'!A809,"AAAAAGf9f6k=")</f>
        <v>#VALUE!</v>
      </c>
      <c r="FO54" t="e">
        <f>AND('Planilla_General_29-11-2012_10_'!B809,"AAAAAGf9f6o=")</f>
        <v>#VALUE!</v>
      </c>
      <c r="FP54" t="e">
        <f>AND('Planilla_General_29-11-2012_10_'!C809,"AAAAAGf9f6s=")</f>
        <v>#VALUE!</v>
      </c>
      <c r="FQ54" t="e">
        <f>AND('Planilla_General_29-11-2012_10_'!D809,"AAAAAGf9f6w=")</f>
        <v>#VALUE!</v>
      </c>
      <c r="FR54" t="e">
        <f>AND('Planilla_General_29-11-2012_10_'!E809,"AAAAAGf9f60=")</f>
        <v>#VALUE!</v>
      </c>
      <c r="FS54" t="e">
        <f>AND('Planilla_General_29-11-2012_10_'!F809,"AAAAAGf9f64=")</f>
        <v>#VALUE!</v>
      </c>
      <c r="FT54" t="e">
        <f>AND('Planilla_General_29-11-2012_10_'!G809,"AAAAAGf9f68=")</f>
        <v>#VALUE!</v>
      </c>
      <c r="FU54" t="e">
        <f>AND('Planilla_General_29-11-2012_10_'!H809,"AAAAAGf9f7A=")</f>
        <v>#VALUE!</v>
      </c>
      <c r="FV54" t="e">
        <f>AND('Planilla_General_29-11-2012_10_'!I809,"AAAAAGf9f7E=")</f>
        <v>#VALUE!</v>
      </c>
      <c r="FW54" t="e">
        <f>AND('Planilla_General_29-11-2012_10_'!J809,"AAAAAGf9f7I=")</f>
        <v>#VALUE!</v>
      </c>
      <c r="FX54" t="e">
        <f>AND('Planilla_General_29-11-2012_10_'!K809,"AAAAAGf9f7M=")</f>
        <v>#VALUE!</v>
      </c>
      <c r="FY54" t="e">
        <f>AND('Planilla_General_29-11-2012_10_'!L809,"AAAAAGf9f7Q=")</f>
        <v>#VALUE!</v>
      </c>
      <c r="FZ54" t="e">
        <f>AND('Planilla_General_29-11-2012_10_'!M809,"AAAAAGf9f7U=")</f>
        <v>#VALUE!</v>
      </c>
      <c r="GA54" t="e">
        <f>AND('Planilla_General_29-11-2012_10_'!N809,"AAAAAGf9f7Y=")</f>
        <v>#VALUE!</v>
      </c>
      <c r="GB54" t="e">
        <f>AND('Planilla_General_29-11-2012_10_'!O809,"AAAAAGf9f7c=")</f>
        <v>#VALUE!</v>
      </c>
      <c r="GC54" t="e">
        <f>AND('Planilla_General_29-11-2012_10_'!P809,"AAAAAGf9f7g=")</f>
        <v>#VALUE!</v>
      </c>
      <c r="GD54">
        <f>IF('Planilla_General_29-11-2012_10_'!810:810,"AAAAAGf9f7k=",0)</f>
        <v>0</v>
      </c>
      <c r="GE54" t="e">
        <f>AND('Planilla_General_29-11-2012_10_'!A810,"AAAAAGf9f7o=")</f>
        <v>#VALUE!</v>
      </c>
      <c r="GF54" t="e">
        <f>AND('Planilla_General_29-11-2012_10_'!B810,"AAAAAGf9f7s=")</f>
        <v>#VALUE!</v>
      </c>
      <c r="GG54" t="e">
        <f>AND('Planilla_General_29-11-2012_10_'!C810,"AAAAAGf9f7w=")</f>
        <v>#VALUE!</v>
      </c>
      <c r="GH54" t="e">
        <f>AND('Planilla_General_29-11-2012_10_'!D810,"AAAAAGf9f70=")</f>
        <v>#VALUE!</v>
      </c>
      <c r="GI54" t="e">
        <f>AND('Planilla_General_29-11-2012_10_'!E810,"AAAAAGf9f74=")</f>
        <v>#VALUE!</v>
      </c>
      <c r="GJ54" t="e">
        <f>AND('Planilla_General_29-11-2012_10_'!F810,"AAAAAGf9f78=")</f>
        <v>#VALUE!</v>
      </c>
      <c r="GK54" t="e">
        <f>AND('Planilla_General_29-11-2012_10_'!G810,"AAAAAGf9f8A=")</f>
        <v>#VALUE!</v>
      </c>
      <c r="GL54" t="e">
        <f>AND('Planilla_General_29-11-2012_10_'!H810,"AAAAAGf9f8E=")</f>
        <v>#VALUE!</v>
      </c>
      <c r="GM54" t="e">
        <f>AND('Planilla_General_29-11-2012_10_'!I810,"AAAAAGf9f8I=")</f>
        <v>#VALUE!</v>
      </c>
      <c r="GN54" t="e">
        <f>AND('Planilla_General_29-11-2012_10_'!J810,"AAAAAGf9f8M=")</f>
        <v>#VALUE!</v>
      </c>
      <c r="GO54" t="e">
        <f>AND('Planilla_General_29-11-2012_10_'!K810,"AAAAAGf9f8Q=")</f>
        <v>#VALUE!</v>
      </c>
      <c r="GP54" t="e">
        <f>AND('Planilla_General_29-11-2012_10_'!L810,"AAAAAGf9f8U=")</f>
        <v>#VALUE!</v>
      </c>
      <c r="GQ54" t="e">
        <f>AND('Planilla_General_29-11-2012_10_'!M810,"AAAAAGf9f8Y=")</f>
        <v>#VALUE!</v>
      </c>
      <c r="GR54" t="e">
        <f>AND('Planilla_General_29-11-2012_10_'!N810,"AAAAAGf9f8c=")</f>
        <v>#VALUE!</v>
      </c>
      <c r="GS54" t="e">
        <f>AND('Planilla_General_29-11-2012_10_'!O810,"AAAAAGf9f8g=")</f>
        <v>#VALUE!</v>
      </c>
      <c r="GT54" t="e">
        <f>AND('Planilla_General_29-11-2012_10_'!P810,"AAAAAGf9f8k=")</f>
        <v>#VALUE!</v>
      </c>
      <c r="GU54">
        <f>IF('Planilla_General_29-11-2012_10_'!811:811,"AAAAAGf9f8o=",0)</f>
        <v>0</v>
      </c>
      <c r="GV54" t="e">
        <f>AND('Planilla_General_29-11-2012_10_'!A811,"AAAAAGf9f8s=")</f>
        <v>#VALUE!</v>
      </c>
      <c r="GW54" t="e">
        <f>AND('Planilla_General_29-11-2012_10_'!B811,"AAAAAGf9f8w=")</f>
        <v>#VALUE!</v>
      </c>
      <c r="GX54" t="e">
        <f>AND('Planilla_General_29-11-2012_10_'!C811,"AAAAAGf9f80=")</f>
        <v>#VALUE!</v>
      </c>
      <c r="GY54" t="e">
        <f>AND('Planilla_General_29-11-2012_10_'!D811,"AAAAAGf9f84=")</f>
        <v>#VALUE!</v>
      </c>
      <c r="GZ54" t="e">
        <f>AND('Planilla_General_29-11-2012_10_'!E811,"AAAAAGf9f88=")</f>
        <v>#VALUE!</v>
      </c>
      <c r="HA54" t="e">
        <f>AND('Planilla_General_29-11-2012_10_'!F811,"AAAAAGf9f9A=")</f>
        <v>#VALUE!</v>
      </c>
      <c r="HB54" t="e">
        <f>AND('Planilla_General_29-11-2012_10_'!G811,"AAAAAGf9f9E=")</f>
        <v>#VALUE!</v>
      </c>
      <c r="HC54" t="e">
        <f>AND('Planilla_General_29-11-2012_10_'!H811,"AAAAAGf9f9I=")</f>
        <v>#VALUE!</v>
      </c>
      <c r="HD54" t="e">
        <f>AND('Planilla_General_29-11-2012_10_'!I811,"AAAAAGf9f9M=")</f>
        <v>#VALUE!</v>
      </c>
      <c r="HE54" t="e">
        <f>AND('Planilla_General_29-11-2012_10_'!J811,"AAAAAGf9f9Q=")</f>
        <v>#VALUE!</v>
      </c>
      <c r="HF54" t="e">
        <f>AND('Planilla_General_29-11-2012_10_'!K811,"AAAAAGf9f9U=")</f>
        <v>#VALUE!</v>
      </c>
      <c r="HG54" t="e">
        <f>AND('Planilla_General_29-11-2012_10_'!L811,"AAAAAGf9f9Y=")</f>
        <v>#VALUE!</v>
      </c>
      <c r="HH54" t="e">
        <f>AND('Planilla_General_29-11-2012_10_'!M811,"AAAAAGf9f9c=")</f>
        <v>#VALUE!</v>
      </c>
      <c r="HI54" t="e">
        <f>AND('Planilla_General_29-11-2012_10_'!N811,"AAAAAGf9f9g=")</f>
        <v>#VALUE!</v>
      </c>
      <c r="HJ54" t="e">
        <f>AND('Planilla_General_29-11-2012_10_'!O811,"AAAAAGf9f9k=")</f>
        <v>#VALUE!</v>
      </c>
      <c r="HK54" t="e">
        <f>AND('Planilla_General_29-11-2012_10_'!P811,"AAAAAGf9f9o=")</f>
        <v>#VALUE!</v>
      </c>
      <c r="HL54">
        <f>IF('Planilla_General_29-11-2012_10_'!812:812,"AAAAAGf9f9s=",0)</f>
        <v>0</v>
      </c>
      <c r="HM54" t="e">
        <f>AND('Planilla_General_29-11-2012_10_'!A812,"AAAAAGf9f9w=")</f>
        <v>#VALUE!</v>
      </c>
      <c r="HN54" t="e">
        <f>AND('Planilla_General_29-11-2012_10_'!B812,"AAAAAGf9f90=")</f>
        <v>#VALUE!</v>
      </c>
      <c r="HO54" t="e">
        <f>AND('Planilla_General_29-11-2012_10_'!C812,"AAAAAGf9f94=")</f>
        <v>#VALUE!</v>
      </c>
      <c r="HP54" t="e">
        <f>AND('Planilla_General_29-11-2012_10_'!D812,"AAAAAGf9f98=")</f>
        <v>#VALUE!</v>
      </c>
      <c r="HQ54" t="e">
        <f>AND('Planilla_General_29-11-2012_10_'!E812,"AAAAAGf9f+A=")</f>
        <v>#VALUE!</v>
      </c>
      <c r="HR54" t="e">
        <f>AND('Planilla_General_29-11-2012_10_'!F812,"AAAAAGf9f+E=")</f>
        <v>#VALUE!</v>
      </c>
      <c r="HS54" t="e">
        <f>AND('Planilla_General_29-11-2012_10_'!G812,"AAAAAGf9f+I=")</f>
        <v>#VALUE!</v>
      </c>
      <c r="HT54" t="e">
        <f>AND('Planilla_General_29-11-2012_10_'!H812,"AAAAAGf9f+M=")</f>
        <v>#VALUE!</v>
      </c>
      <c r="HU54" t="e">
        <f>AND('Planilla_General_29-11-2012_10_'!I812,"AAAAAGf9f+Q=")</f>
        <v>#VALUE!</v>
      </c>
      <c r="HV54" t="e">
        <f>AND('Planilla_General_29-11-2012_10_'!J812,"AAAAAGf9f+U=")</f>
        <v>#VALUE!</v>
      </c>
      <c r="HW54" t="e">
        <f>AND('Planilla_General_29-11-2012_10_'!K812,"AAAAAGf9f+Y=")</f>
        <v>#VALUE!</v>
      </c>
      <c r="HX54" t="e">
        <f>AND('Planilla_General_29-11-2012_10_'!L812,"AAAAAGf9f+c=")</f>
        <v>#VALUE!</v>
      </c>
      <c r="HY54" t="e">
        <f>AND('Planilla_General_29-11-2012_10_'!M812,"AAAAAGf9f+g=")</f>
        <v>#VALUE!</v>
      </c>
      <c r="HZ54" t="e">
        <f>AND('Planilla_General_29-11-2012_10_'!N812,"AAAAAGf9f+k=")</f>
        <v>#VALUE!</v>
      </c>
      <c r="IA54" t="e">
        <f>AND('Planilla_General_29-11-2012_10_'!O812,"AAAAAGf9f+o=")</f>
        <v>#VALUE!</v>
      </c>
      <c r="IB54" t="e">
        <f>AND('Planilla_General_29-11-2012_10_'!P812,"AAAAAGf9f+s=")</f>
        <v>#VALUE!</v>
      </c>
      <c r="IC54">
        <f>IF('Planilla_General_29-11-2012_10_'!813:813,"AAAAAGf9f+w=",0)</f>
        <v>0</v>
      </c>
      <c r="ID54" t="e">
        <f>AND('Planilla_General_29-11-2012_10_'!A813,"AAAAAGf9f+0=")</f>
        <v>#VALUE!</v>
      </c>
      <c r="IE54" t="e">
        <f>AND('Planilla_General_29-11-2012_10_'!B813,"AAAAAGf9f+4=")</f>
        <v>#VALUE!</v>
      </c>
      <c r="IF54" t="e">
        <f>AND('Planilla_General_29-11-2012_10_'!C813,"AAAAAGf9f+8=")</f>
        <v>#VALUE!</v>
      </c>
      <c r="IG54" t="e">
        <f>AND('Planilla_General_29-11-2012_10_'!D813,"AAAAAGf9f/A=")</f>
        <v>#VALUE!</v>
      </c>
      <c r="IH54" t="e">
        <f>AND('Planilla_General_29-11-2012_10_'!E813,"AAAAAGf9f/E=")</f>
        <v>#VALUE!</v>
      </c>
      <c r="II54" t="e">
        <f>AND('Planilla_General_29-11-2012_10_'!F813,"AAAAAGf9f/I=")</f>
        <v>#VALUE!</v>
      </c>
      <c r="IJ54" t="e">
        <f>AND('Planilla_General_29-11-2012_10_'!G813,"AAAAAGf9f/M=")</f>
        <v>#VALUE!</v>
      </c>
      <c r="IK54" t="e">
        <f>AND('Planilla_General_29-11-2012_10_'!H813,"AAAAAGf9f/Q=")</f>
        <v>#VALUE!</v>
      </c>
      <c r="IL54" t="e">
        <f>AND('Planilla_General_29-11-2012_10_'!I813,"AAAAAGf9f/U=")</f>
        <v>#VALUE!</v>
      </c>
      <c r="IM54" t="e">
        <f>AND('Planilla_General_29-11-2012_10_'!J813,"AAAAAGf9f/Y=")</f>
        <v>#VALUE!</v>
      </c>
      <c r="IN54" t="e">
        <f>AND('Planilla_General_29-11-2012_10_'!K813,"AAAAAGf9f/c=")</f>
        <v>#VALUE!</v>
      </c>
      <c r="IO54" t="e">
        <f>AND('Planilla_General_29-11-2012_10_'!L813,"AAAAAGf9f/g=")</f>
        <v>#VALUE!</v>
      </c>
      <c r="IP54" t="e">
        <f>AND('Planilla_General_29-11-2012_10_'!M813,"AAAAAGf9f/k=")</f>
        <v>#VALUE!</v>
      </c>
      <c r="IQ54" t="e">
        <f>AND('Planilla_General_29-11-2012_10_'!N813,"AAAAAGf9f/o=")</f>
        <v>#VALUE!</v>
      </c>
      <c r="IR54" t="e">
        <f>AND('Planilla_General_29-11-2012_10_'!O813,"AAAAAGf9f/s=")</f>
        <v>#VALUE!</v>
      </c>
      <c r="IS54" t="e">
        <f>AND('Planilla_General_29-11-2012_10_'!P813,"AAAAAGf9f/w=")</f>
        <v>#VALUE!</v>
      </c>
      <c r="IT54">
        <f>IF('Planilla_General_29-11-2012_10_'!814:814,"AAAAAGf9f/0=",0)</f>
        <v>0</v>
      </c>
      <c r="IU54" t="e">
        <f>AND('Planilla_General_29-11-2012_10_'!A814,"AAAAAGf9f/4=")</f>
        <v>#VALUE!</v>
      </c>
      <c r="IV54" t="e">
        <f>AND('Planilla_General_29-11-2012_10_'!B814,"AAAAAGf9f/8=")</f>
        <v>#VALUE!</v>
      </c>
    </row>
    <row r="55" spans="1:256" x14ac:dyDescent="0.25">
      <c r="A55" t="e">
        <f>AND('Planilla_General_29-11-2012_10_'!C814,"AAAAAG/BZwA=")</f>
        <v>#VALUE!</v>
      </c>
      <c r="B55" t="e">
        <f>AND('Planilla_General_29-11-2012_10_'!D814,"AAAAAG/BZwE=")</f>
        <v>#VALUE!</v>
      </c>
      <c r="C55" t="e">
        <f>AND('Planilla_General_29-11-2012_10_'!E814,"AAAAAG/BZwI=")</f>
        <v>#VALUE!</v>
      </c>
      <c r="D55" t="e">
        <f>AND('Planilla_General_29-11-2012_10_'!F814,"AAAAAG/BZwM=")</f>
        <v>#VALUE!</v>
      </c>
      <c r="E55" t="e">
        <f>AND('Planilla_General_29-11-2012_10_'!G814,"AAAAAG/BZwQ=")</f>
        <v>#VALUE!</v>
      </c>
      <c r="F55" t="e">
        <f>AND('Planilla_General_29-11-2012_10_'!H814,"AAAAAG/BZwU=")</f>
        <v>#VALUE!</v>
      </c>
      <c r="G55" t="e">
        <f>AND('Planilla_General_29-11-2012_10_'!I814,"AAAAAG/BZwY=")</f>
        <v>#VALUE!</v>
      </c>
      <c r="H55" t="e">
        <f>AND('Planilla_General_29-11-2012_10_'!J814,"AAAAAG/BZwc=")</f>
        <v>#VALUE!</v>
      </c>
      <c r="I55" t="e">
        <f>AND('Planilla_General_29-11-2012_10_'!K814,"AAAAAG/BZwg=")</f>
        <v>#VALUE!</v>
      </c>
      <c r="J55" t="e">
        <f>AND('Planilla_General_29-11-2012_10_'!L814,"AAAAAG/BZwk=")</f>
        <v>#VALUE!</v>
      </c>
      <c r="K55" t="e">
        <f>AND('Planilla_General_29-11-2012_10_'!M814,"AAAAAG/BZwo=")</f>
        <v>#VALUE!</v>
      </c>
      <c r="L55" t="e">
        <f>AND('Planilla_General_29-11-2012_10_'!N814,"AAAAAG/BZws=")</f>
        <v>#VALUE!</v>
      </c>
      <c r="M55" t="e">
        <f>AND('Planilla_General_29-11-2012_10_'!O814,"AAAAAG/BZww=")</f>
        <v>#VALUE!</v>
      </c>
      <c r="N55" t="e">
        <f>AND('Planilla_General_29-11-2012_10_'!P814,"AAAAAG/BZw0=")</f>
        <v>#VALUE!</v>
      </c>
      <c r="O55" t="str">
        <f>IF('Planilla_General_29-11-2012_10_'!815:815,"AAAAAG/BZw4=",0)</f>
        <v>AAAAAG/BZw4=</v>
      </c>
      <c r="P55" t="e">
        <f>AND('Planilla_General_29-11-2012_10_'!A815,"AAAAAG/BZw8=")</f>
        <v>#VALUE!</v>
      </c>
      <c r="Q55" t="e">
        <f>AND('Planilla_General_29-11-2012_10_'!B815,"AAAAAG/BZxA=")</f>
        <v>#VALUE!</v>
      </c>
      <c r="R55" t="e">
        <f>AND('Planilla_General_29-11-2012_10_'!C815,"AAAAAG/BZxE=")</f>
        <v>#VALUE!</v>
      </c>
      <c r="S55" t="e">
        <f>AND('Planilla_General_29-11-2012_10_'!D815,"AAAAAG/BZxI=")</f>
        <v>#VALUE!</v>
      </c>
      <c r="T55" t="e">
        <f>AND('Planilla_General_29-11-2012_10_'!E815,"AAAAAG/BZxM=")</f>
        <v>#VALUE!</v>
      </c>
      <c r="U55" t="e">
        <f>AND('Planilla_General_29-11-2012_10_'!F815,"AAAAAG/BZxQ=")</f>
        <v>#VALUE!</v>
      </c>
      <c r="V55" t="e">
        <f>AND('Planilla_General_29-11-2012_10_'!G815,"AAAAAG/BZxU=")</f>
        <v>#VALUE!</v>
      </c>
      <c r="W55" t="e">
        <f>AND('Planilla_General_29-11-2012_10_'!H815,"AAAAAG/BZxY=")</f>
        <v>#VALUE!</v>
      </c>
      <c r="X55" t="e">
        <f>AND('Planilla_General_29-11-2012_10_'!I815,"AAAAAG/BZxc=")</f>
        <v>#VALUE!</v>
      </c>
      <c r="Y55" t="e">
        <f>AND('Planilla_General_29-11-2012_10_'!J815,"AAAAAG/BZxg=")</f>
        <v>#VALUE!</v>
      </c>
      <c r="Z55" t="e">
        <f>AND('Planilla_General_29-11-2012_10_'!K815,"AAAAAG/BZxk=")</f>
        <v>#VALUE!</v>
      </c>
      <c r="AA55" t="e">
        <f>AND('Planilla_General_29-11-2012_10_'!L815,"AAAAAG/BZxo=")</f>
        <v>#VALUE!</v>
      </c>
      <c r="AB55" t="e">
        <f>AND('Planilla_General_29-11-2012_10_'!M815,"AAAAAG/BZxs=")</f>
        <v>#VALUE!</v>
      </c>
      <c r="AC55" t="e">
        <f>AND('Planilla_General_29-11-2012_10_'!N815,"AAAAAG/BZxw=")</f>
        <v>#VALUE!</v>
      </c>
      <c r="AD55" t="e">
        <f>AND('Planilla_General_29-11-2012_10_'!O815,"AAAAAG/BZx0=")</f>
        <v>#VALUE!</v>
      </c>
      <c r="AE55" t="e">
        <f>AND('Planilla_General_29-11-2012_10_'!P815,"AAAAAG/BZx4=")</f>
        <v>#VALUE!</v>
      </c>
      <c r="AF55">
        <f>IF('Planilla_General_29-11-2012_10_'!816:816,"AAAAAG/BZx8=",0)</f>
        <v>0</v>
      </c>
      <c r="AG55" t="e">
        <f>AND('Planilla_General_29-11-2012_10_'!A816,"AAAAAG/BZyA=")</f>
        <v>#VALUE!</v>
      </c>
      <c r="AH55" t="e">
        <f>AND('Planilla_General_29-11-2012_10_'!B816,"AAAAAG/BZyE=")</f>
        <v>#VALUE!</v>
      </c>
      <c r="AI55" t="e">
        <f>AND('Planilla_General_29-11-2012_10_'!C816,"AAAAAG/BZyI=")</f>
        <v>#VALUE!</v>
      </c>
      <c r="AJ55" t="e">
        <f>AND('Planilla_General_29-11-2012_10_'!D816,"AAAAAG/BZyM=")</f>
        <v>#VALUE!</v>
      </c>
      <c r="AK55" t="e">
        <f>AND('Planilla_General_29-11-2012_10_'!E816,"AAAAAG/BZyQ=")</f>
        <v>#VALUE!</v>
      </c>
      <c r="AL55" t="e">
        <f>AND('Planilla_General_29-11-2012_10_'!F816,"AAAAAG/BZyU=")</f>
        <v>#VALUE!</v>
      </c>
      <c r="AM55" t="e">
        <f>AND('Planilla_General_29-11-2012_10_'!G816,"AAAAAG/BZyY=")</f>
        <v>#VALUE!</v>
      </c>
      <c r="AN55" t="e">
        <f>AND('Planilla_General_29-11-2012_10_'!H816,"AAAAAG/BZyc=")</f>
        <v>#VALUE!</v>
      </c>
      <c r="AO55" t="e">
        <f>AND('Planilla_General_29-11-2012_10_'!I816,"AAAAAG/BZyg=")</f>
        <v>#VALUE!</v>
      </c>
      <c r="AP55" t="e">
        <f>AND('Planilla_General_29-11-2012_10_'!J816,"AAAAAG/BZyk=")</f>
        <v>#VALUE!</v>
      </c>
      <c r="AQ55" t="e">
        <f>AND('Planilla_General_29-11-2012_10_'!K816,"AAAAAG/BZyo=")</f>
        <v>#VALUE!</v>
      </c>
      <c r="AR55" t="e">
        <f>AND('Planilla_General_29-11-2012_10_'!L816,"AAAAAG/BZys=")</f>
        <v>#VALUE!</v>
      </c>
      <c r="AS55" t="e">
        <f>AND('Planilla_General_29-11-2012_10_'!M816,"AAAAAG/BZyw=")</f>
        <v>#VALUE!</v>
      </c>
      <c r="AT55" t="e">
        <f>AND('Planilla_General_29-11-2012_10_'!N816,"AAAAAG/BZy0=")</f>
        <v>#VALUE!</v>
      </c>
      <c r="AU55" t="e">
        <f>AND('Planilla_General_29-11-2012_10_'!O816,"AAAAAG/BZy4=")</f>
        <v>#VALUE!</v>
      </c>
      <c r="AV55" t="e">
        <f>AND('Planilla_General_29-11-2012_10_'!P816,"AAAAAG/BZy8=")</f>
        <v>#VALUE!</v>
      </c>
      <c r="AW55">
        <f>IF('Planilla_General_29-11-2012_10_'!817:817,"AAAAAG/BZzA=",0)</f>
        <v>0</v>
      </c>
      <c r="AX55" t="e">
        <f>AND('Planilla_General_29-11-2012_10_'!A817,"AAAAAG/BZzE=")</f>
        <v>#VALUE!</v>
      </c>
      <c r="AY55" t="e">
        <f>AND('Planilla_General_29-11-2012_10_'!B817,"AAAAAG/BZzI=")</f>
        <v>#VALUE!</v>
      </c>
      <c r="AZ55" t="e">
        <f>AND('Planilla_General_29-11-2012_10_'!C817,"AAAAAG/BZzM=")</f>
        <v>#VALUE!</v>
      </c>
      <c r="BA55" t="e">
        <f>AND('Planilla_General_29-11-2012_10_'!D817,"AAAAAG/BZzQ=")</f>
        <v>#VALUE!</v>
      </c>
      <c r="BB55" t="e">
        <f>AND('Planilla_General_29-11-2012_10_'!E817,"AAAAAG/BZzU=")</f>
        <v>#VALUE!</v>
      </c>
      <c r="BC55" t="e">
        <f>AND('Planilla_General_29-11-2012_10_'!F817,"AAAAAG/BZzY=")</f>
        <v>#VALUE!</v>
      </c>
      <c r="BD55" t="e">
        <f>AND('Planilla_General_29-11-2012_10_'!G817,"AAAAAG/BZzc=")</f>
        <v>#VALUE!</v>
      </c>
      <c r="BE55" t="e">
        <f>AND('Planilla_General_29-11-2012_10_'!H817,"AAAAAG/BZzg=")</f>
        <v>#VALUE!</v>
      </c>
      <c r="BF55" t="e">
        <f>AND('Planilla_General_29-11-2012_10_'!I817,"AAAAAG/BZzk=")</f>
        <v>#VALUE!</v>
      </c>
      <c r="BG55" t="e">
        <f>AND('Planilla_General_29-11-2012_10_'!J817,"AAAAAG/BZzo=")</f>
        <v>#VALUE!</v>
      </c>
      <c r="BH55" t="e">
        <f>AND('Planilla_General_29-11-2012_10_'!K817,"AAAAAG/BZzs=")</f>
        <v>#VALUE!</v>
      </c>
      <c r="BI55" t="e">
        <f>AND('Planilla_General_29-11-2012_10_'!L817,"AAAAAG/BZzw=")</f>
        <v>#VALUE!</v>
      </c>
      <c r="BJ55" t="e">
        <f>AND('Planilla_General_29-11-2012_10_'!M817,"AAAAAG/BZz0=")</f>
        <v>#VALUE!</v>
      </c>
      <c r="BK55" t="e">
        <f>AND('Planilla_General_29-11-2012_10_'!N817,"AAAAAG/BZz4=")</f>
        <v>#VALUE!</v>
      </c>
      <c r="BL55" t="e">
        <f>AND('Planilla_General_29-11-2012_10_'!O817,"AAAAAG/BZz8=")</f>
        <v>#VALUE!</v>
      </c>
      <c r="BM55" t="e">
        <f>AND('Planilla_General_29-11-2012_10_'!P817,"AAAAAG/BZ0A=")</f>
        <v>#VALUE!</v>
      </c>
      <c r="BN55">
        <f>IF('Planilla_General_29-11-2012_10_'!818:818,"AAAAAG/BZ0E=",0)</f>
        <v>0</v>
      </c>
      <c r="BO55" t="e">
        <f>AND('Planilla_General_29-11-2012_10_'!A818,"AAAAAG/BZ0I=")</f>
        <v>#VALUE!</v>
      </c>
      <c r="BP55" t="e">
        <f>AND('Planilla_General_29-11-2012_10_'!B818,"AAAAAG/BZ0M=")</f>
        <v>#VALUE!</v>
      </c>
      <c r="BQ55" t="e">
        <f>AND('Planilla_General_29-11-2012_10_'!C818,"AAAAAG/BZ0Q=")</f>
        <v>#VALUE!</v>
      </c>
      <c r="BR55" t="e">
        <f>AND('Planilla_General_29-11-2012_10_'!D818,"AAAAAG/BZ0U=")</f>
        <v>#VALUE!</v>
      </c>
      <c r="BS55" t="e">
        <f>AND('Planilla_General_29-11-2012_10_'!E818,"AAAAAG/BZ0Y=")</f>
        <v>#VALUE!</v>
      </c>
      <c r="BT55" t="e">
        <f>AND('Planilla_General_29-11-2012_10_'!F818,"AAAAAG/BZ0c=")</f>
        <v>#VALUE!</v>
      </c>
      <c r="BU55" t="e">
        <f>AND('Planilla_General_29-11-2012_10_'!G818,"AAAAAG/BZ0g=")</f>
        <v>#VALUE!</v>
      </c>
      <c r="BV55" t="e">
        <f>AND('Planilla_General_29-11-2012_10_'!H818,"AAAAAG/BZ0k=")</f>
        <v>#VALUE!</v>
      </c>
      <c r="BW55" t="e">
        <f>AND('Planilla_General_29-11-2012_10_'!I818,"AAAAAG/BZ0o=")</f>
        <v>#VALUE!</v>
      </c>
      <c r="BX55" t="e">
        <f>AND('Planilla_General_29-11-2012_10_'!J818,"AAAAAG/BZ0s=")</f>
        <v>#VALUE!</v>
      </c>
      <c r="BY55" t="e">
        <f>AND('Planilla_General_29-11-2012_10_'!K818,"AAAAAG/BZ0w=")</f>
        <v>#VALUE!</v>
      </c>
      <c r="BZ55" t="e">
        <f>AND('Planilla_General_29-11-2012_10_'!L818,"AAAAAG/BZ00=")</f>
        <v>#VALUE!</v>
      </c>
      <c r="CA55" t="e">
        <f>AND('Planilla_General_29-11-2012_10_'!M818,"AAAAAG/BZ04=")</f>
        <v>#VALUE!</v>
      </c>
      <c r="CB55" t="e">
        <f>AND('Planilla_General_29-11-2012_10_'!N818,"AAAAAG/BZ08=")</f>
        <v>#VALUE!</v>
      </c>
      <c r="CC55" t="e">
        <f>AND('Planilla_General_29-11-2012_10_'!O818,"AAAAAG/BZ1A=")</f>
        <v>#VALUE!</v>
      </c>
      <c r="CD55" t="e">
        <f>AND('Planilla_General_29-11-2012_10_'!P818,"AAAAAG/BZ1E=")</f>
        <v>#VALUE!</v>
      </c>
      <c r="CE55">
        <f>IF('Planilla_General_29-11-2012_10_'!819:819,"AAAAAG/BZ1I=",0)</f>
        <v>0</v>
      </c>
      <c r="CF55" t="e">
        <f>AND('Planilla_General_29-11-2012_10_'!A819,"AAAAAG/BZ1M=")</f>
        <v>#VALUE!</v>
      </c>
      <c r="CG55" t="e">
        <f>AND('Planilla_General_29-11-2012_10_'!B819,"AAAAAG/BZ1Q=")</f>
        <v>#VALUE!</v>
      </c>
      <c r="CH55" t="e">
        <f>AND('Planilla_General_29-11-2012_10_'!C819,"AAAAAG/BZ1U=")</f>
        <v>#VALUE!</v>
      </c>
      <c r="CI55" t="e">
        <f>AND('Planilla_General_29-11-2012_10_'!D819,"AAAAAG/BZ1Y=")</f>
        <v>#VALUE!</v>
      </c>
      <c r="CJ55" t="e">
        <f>AND('Planilla_General_29-11-2012_10_'!E819,"AAAAAG/BZ1c=")</f>
        <v>#VALUE!</v>
      </c>
      <c r="CK55" t="e">
        <f>AND('Planilla_General_29-11-2012_10_'!F819,"AAAAAG/BZ1g=")</f>
        <v>#VALUE!</v>
      </c>
      <c r="CL55" t="e">
        <f>AND('Planilla_General_29-11-2012_10_'!G819,"AAAAAG/BZ1k=")</f>
        <v>#VALUE!</v>
      </c>
      <c r="CM55" t="e">
        <f>AND('Planilla_General_29-11-2012_10_'!H819,"AAAAAG/BZ1o=")</f>
        <v>#VALUE!</v>
      </c>
      <c r="CN55" t="e">
        <f>AND('Planilla_General_29-11-2012_10_'!I819,"AAAAAG/BZ1s=")</f>
        <v>#VALUE!</v>
      </c>
      <c r="CO55" t="e">
        <f>AND('Planilla_General_29-11-2012_10_'!J819,"AAAAAG/BZ1w=")</f>
        <v>#VALUE!</v>
      </c>
      <c r="CP55" t="e">
        <f>AND('Planilla_General_29-11-2012_10_'!K819,"AAAAAG/BZ10=")</f>
        <v>#VALUE!</v>
      </c>
      <c r="CQ55" t="e">
        <f>AND('Planilla_General_29-11-2012_10_'!L819,"AAAAAG/BZ14=")</f>
        <v>#VALUE!</v>
      </c>
      <c r="CR55" t="e">
        <f>AND('Planilla_General_29-11-2012_10_'!M819,"AAAAAG/BZ18=")</f>
        <v>#VALUE!</v>
      </c>
      <c r="CS55" t="e">
        <f>AND('Planilla_General_29-11-2012_10_'!N819,"AAAAAG/BZ2A=")</f>
        <v>#VALUE!</v>
      </c>
      <c r="CT55" t="e">
        <f>AND('Planilla_General_29-11-2012_10_'!O819,"AAAAAG/BZ2E=")</f>
        <v>#VALUE!</v>
      </c>
      <c r="CU55" t="e">
        <f>AND('Planilla_General_29-11-2012_10_'!P819,"AAAAAG/BZ2I=")</f>
        <v>#VALUE!</v>
      </c>
      <c r="CV55">
        <f>IF('Planilla_General_29-11-2012_10_'!820:820,"AAAAAG/BZ2M=",0)</f>
        <v>0</v>
      </c>
      <c r="CW55" t="e">
        <f>AND('Planilla_General_29-11-2012_10_'!A820,"AAAAAG/BZ2Q=")</f>
        <v>#VALUE!</v>
      </c>
      <c r="CX55" t="e">
        <f>AND('Planilla_General_29-11-2012_10_'!B820,"AAAAAG/BZ2U=")</f>
        <v>#VALUE!</v>
      </c>
      <c r="CY55" t="e">
        <f>AND('Planilla_General_29-11-2012_10_'!C820,"AAAAAG/BZ2Y=")</f>
        <v>#VALUE!</v>
      </c>
      <c r="CZ55" t="e">
        <f>AND('Planilla_General_29-11-2012_10_'!D820,"AAAAAG/BZ2c=")</f>
        <v>#VALUE!</v>
      </c>
      <c r="DA55" t="e">
        <f>AND('Planilla_General_29-11-2012_10_'!E820,"AAAAAG/BZ2g=")</f>
        <v>#VALUE!</v>
      </c>
      <c r="DB55" t="e">
        <f>AND('Planilla_General_29-11-2012_10_'!F820,"AAAAAG/BZ2k=")</f>
        <v>#VALUE!</v>
      </c>
      <c r="DC55" t="e">
        <f>AND('Planilla_General_29-11-2012_10_'!G820,"AAAAAG/BZ2o=")</f>
        <v>#VALUE!</v>
      </c>
      <c r="DD55" t="e">
        <f>AND('Planilla_General_29-11-2012_10_'!H820,"AAAAAG/BZ2s=")</f>
        <v>#VALUE!</v>
      </c>
      <c r="DE55" t="e">
        <f>AND('Planilla_General_29-11-2012_10_'!I820,"AAAAAG/BZ2w=")</f>
        <v>#VALUE!</v>
      </c>
      <c r="DF55" t="e">
        <f>AND('Planilla_General_29-11-2012_10_'!J820,"AAAAAG/BZ20=")</f>
        <v>#VALUE!</v>
      </c>
      <c r="DG55" t="e">
        <f>AND('Planilla_General_29-11-2012_10_'!K820,"AAAAAG/BZ24=")</f>
        <v>#VALUE!</v>
      </c>
      <c r="DH55" t="e">
        <f>AND('Planilla_General_29-11-2012_10_'!L820,"AAAAAG/BZ28=")</f>
        <v>#VALUE!</v>
      </c>
      <c r="DI55" t="e">
        <f>AND('Planilla_General_29-11-2012_10_'!M820,"AAAAAG/BZ3A=")</f>
        <v>#VALUE!</v>
      </c>
      <c r="DJ55" t="e">
        <f>AND('Planilla_General_29-11-2012_10_'!N820,"AAAAAG/BZ3E=")</f>
        <v>#VALUE!</v>
      </c>
      <c r="DK55" t="e">
        <f>AND('Planilla_General_29-11-2012_10_'!O820,"AAAAAG/BZ3I=")</f>
        <v>#VALUE!</v>
      </c>
      <c r="DL55" t="e">
        <f>AND('Planilla_General_29-11-2012_10_'!P820,"AAAAAG/BZ3M=")</f>
        <v>#VALUE!</v>
      </c>
      <c r="DM55">
        <f>IF('Planilla_General_29-11-2012_10_'!821:821,"AAAAAG/BZ3Q=",0)</f>
        <v>0</v>
      </c>
      <c r="DN55" t="e">
        <f>AND('Planilla_General_29-11-2012_10_'!A821,"AAAAAG/BZ3U=")</f>
        <v>#VALUE!</v>
      </c>
      <c r="DO55" t="e">
        <f>AND('Planilla_General_29-11-2012_10_'!B821,"AAAAAG/BZ3Y=")</f>
        <v>#VALUE!</v>
      </c>
      <c r="DP55" t="e">
        <f>AND('Planilla_General_29-11-2012_10_'!C821,"AAAAAG/BZ3c=")</f>
        <v>#VALUE!</v>
      </c>
      <c r="DQ55" t="e">
        <f>AND('Planilla_General_29-11-2012_10_'!D821,"AAAAAG/BZ3g=")</f>
        <v>#VALUE!</v>
      </c>
      <c r="DR55" t="e">
        <f>AND('Planilla_General_29-11-2012_10_'!E821,"AAAAAG/BZ3k=")</f>
        <v>#VALUE!</v>
      </c>
      <c r="DS55" t="e">
        <f>AND('Planilla_General_29-11-2012_10_'!F821,"AAAAAG/BZ3o=")</f>
        <v>#VALUE!</v>
      </c>
      <c r="DT55" t="e">
        <f>AND('Planilla_General_29-11-2012_10_'!G821,"AAAAAG/BZ3s=")</f>
        <v>#VALUE!</v>
      </c>
      <c r="DU55" t="e">
        <f>AND('Planilla_General_29-11-2012_10_'!H821,"AAAAAG/BZ3w=")</f>
        <v>#VALUE!</v>
      </c>
      <c r="DV55" t="e">
        <f>AND('Planilla_General_29-11-2012_10_'!I821,"AAAAAG/BZ30=")</f>
        <v>#VALUE!</v>
      </c>
      <c r="DW55" t="e">
        <f>AND('Planilla_General_29-11-2012_10_'!J821,"AAAAAG/BZ34=")</f>
        <v>#VALUE!</v>
      </c>
      <c r="DX55" t="e">
        <f>AND('Planilla_General_29-11-2012_10_'!K821,"AAAAAG/BZ38=")</f>
        <v>#VALUE!</v>
      </c>
      <c r="DY55" t="e">
        <f>AND('Planilla_General_29-11-2012_10_'!L821,"AAAAAG/BZ4A=")</f>
        <v>#VALUE!</v>
      </c>
      <c r="DZ55" t="e">
        <f>AND('Planilla_General_29-11-2012_10_'!M821,"AAAAAG/BZ4E=")</f>
        <v>#VALUE!</v>
      </c>
      <c r="EA55" t="e">
        <f>AND('Planilla_General_29-11-2012_10_'!N821,"AAAAAG/BZ4I=")</f>
        <v>#VALUE!</v>
      </c>
      <c r="EB55" t="e">
        <f>AND('Planilla_General_29-11-2012_10_'!O821,"AAAAAG/BZ4M=")</f>
        <v>#VALUE!</v>
      </c>
      <c r="EC55" t="e">
        <f>AND('Planilla_General_29-11-2012_10_'!P821,"AAAAAG/BZ4Q=")</f>
        <v>#VALUE!</v>
      </c>
      <c r="ED55">
        <f>IF('Planilla_General_29-11-2012_10_'!822:822,"AAAAAG/BZ4U=",0)</f>
        <v>0</v>
      </c>
      <c r="EE55" t="e">
        <f>AND('Planilla_General_29-11-2012_10_'!A822,"AAAAAG/BZ4Y=")</f>
        <v>#VALUE!</v>
      </c>
      <c r="EF55" t="e">
        <f>AND('Planilla_General_29-11-2012_10_'!B822,"AAAAAG/BZ4c=")</f>
        <v>#VALUE!</v>
      </c>
      <c r="EG55" t="e">
        <f>AND('Planilla_General_29-11-2012_10_'!C822,"AAAAAG/BZ4g=")</f>
        <v>#VALUE!</v>
      </c>
      <c r="EH55" t="e">
        <f>AND('Planilla_General_29-11-2012_10_'!D822,"AAAAAG/BZ4k=")</f>
        <v>#VALUE!</v>
      </c>
      <c r="EI55" t="e">
        <f>AND('Planilla_General_29-11-2012_10_'!E822,"AAAAAG/BZ4o=")</f>
        <v>#VALUE!</v>
      </c>
      <c r="EJ55" t="e">
        <f>AND('Planilla_General_29-11-2012_10_'!F822,"AAAAAG/BZ4s=")</f>
        <v>#VALUE!</v>
      </c>
      <c r="EK55" t="e">
        <f>AND('Planilla_General_29-11-2012_10_'!G822,"AAAAAG/BZ4w=")</f>
        <v>#VALUE!</v>
      </c>
      <c r="EL55" t="e">
        <f>AND('Planilla_General_29-11-2012_10_'!H822,"AAAAAG/BZ40=")</f>
        <v>#VALUE!</v>
      </c>
      <c r="EM55" t="e">
        <f>AND('Planilla_General_29-11-2012_10_'!I822,"AAAAAG/BZ44=")</f>
        <v>#VALUE!</v>
      </c>
      <c r="EN55" t="e">
        <f>AND('Planilla_General_29-11-2012_10_'!J822,"AAAAAG/BZ48=")</f>
        <v>#VALUE!</v>
      </c>
      <c r="EO55" t="e">
        <f>AND('Planilla_General_29-11-2012_10_'!K822,"AAAAAG/BZ5A=")</f>
        <v>#VALUE!</v>
      </c>
      <c r="EP55" t="e">
        <f>AND('Planilla_General_29-11-2012_10_'!L822,"AAAAAG/BZ5E=")</f>
        <v>#VALUE!</v>
      </c>
      <c r="EQ55" t="e">
        <f>AND('Planilla_General_29-11-2012_10_'!M822,"AAAAAG/BZ5I=")</f>
        <v>#VALUE!</v>
      </c>
      <c r="ER55" t="e">
        <f>AND('Planilla_General_29-11-2012_10_'!N822,"AAAAAG/BZ5M=")</f>
        <v>#VALUE!</v>
      </c>
      <c r="ES55" t="e">
        <f>AND('Planilla_General_29-11-2012_10_'!O822,"AAAAAG/BZ5Q=")</f>
        <v>#VALUE!</v>
      </c>
      <c r="ET55" t="e">
        <f>AND('Planilla_General_29-11-2012_10_'!P822,"AAAAAG/BZ5U=")</f>
        <v>#VALUE!</v>
      </c>
      <c r="EU55">
        <f>IF('Planilla_General_29-11-2012_10_'!823:823,"AAAAAG/BZ5Y=",0)</f>
        <v>0</v>
      </c>
      <c r="EV55" t="e">
        <f>AND('Planilla_General_29-11-2012_10_'!A823,"AAAAAG/BZ5c=")</f>
        <v>#VALUE!</v>
      </c>
      <c r="EW55" t="e">
        <f>AND('Planilla_General_29-11-2012_10_'!B823,"AAAAAG/BZ5g=")</f>
        <v>#VALUE!</v>
      </c>
      <c r="EX55" t="e">
        <f>AND('Planilla_General_29-11-2012_10_'!C823,"AAAAAG/BZ5k=")</f>
        <v>#VALUE!</v>
      </c>
      <c r="EY55" t="e">
        <f>AND('Planilla_General_29-11-2012_10_'!D823,"AAAAAG/BZ5o=")</f>
        <v>#VALUE!</v>
      </c>
      <c r="EZ55" t="e">
        <f>AND('Planilla_General_29-11-2012_10_'!E823,"AAAAAG/BZ5s=")</f>
        <v>#VALUE!</v>
      </c>
      <c r="FA55" t="e">
        <f>AND('Planilla_General_29-11-2012_10_'!F823,"AAAAAG/BZ5w=")</f>
        <v>#VALUE!</v>
      </c>
      <c r="FB55" t="e">
        <f>AND('Planilla_General_29-11-2012_10_'!G823,"AAAAAG/BZ50=")</f>
        <v>#VALUE!</v>
      </c>
      <c r="FC55" t="e">
        <f>AND('Planilla_General_29-11-2012_10_'!H823,"AAAAAG/BZ54=")</f>
        <v>#VALUE!</v>
      </c>
      <c r="FD55" t="e">
        <f>AND('Planilla_General_29-11-2012_10_'!I823,"AAAAAG/BZ58=")</f>
        <v>#VALUE!</v>
      </c>
      <c r="FE55" t="e">
        <f>AND('Planilla_General_29-11-2012_10_'!J823,"AAAAAG/BZ6A=")</f>
        <v>#VALUE!</v>
      </c>
      <c r="FF55" t="e">
        <f>AND('Planilla_General_29-11-2012_10_'!K823,"AAAAAG/BZ6E=")</f>
        <v>#VALUE!</v>
      </c>
      <c r="FG55" t="e">
        <f>AND('Planilla_General_29-11-2012_10_'!L823,"AAAAAG/BZ6I=")</f>
        <v>#VALUE!</v>
      </c>
      <c r="FH55" t="e">
        <f>AND('Planilla_General_29-11-2012_10_'!M823,"AAAAAG/BZ6M=")</f>
        <v>#VALUE!</v>
      </c>
      <c r="FI55" t="e">
        <f>AND('Planilla_General_29-11-2012_10_'!N823,"AAAAAG/BZ6Q=")</f>
        <v>#VALUE!</v>
      </c>
      <c r="FJ55" t="e">
        <f>AND('Planilla_General_29-11-2012_10_'!O823,"AAAAAG/BZ6U=")</f>
        <v>#VALUE!</v>
      </c>
      <c r="FK55" t="e">
        <f>AND('Planilla_General_29-11-2012_10_'!P823,"AAAAAG/BZ6Y=")</f>
        <v>#VALUE!</v>
      </c>
      <c r="FL55">
        <f>IF('Planilla_General_29-11-2012_10_'!824:824,"AAAAAG/BZ6c=",0)</f>
        <v>0</v>
      </c>
      <c r="FM55" t="e">
        <f>AND('Planilla_General_29-11-2012_10_'!A824,"AAAAAG/BZ6g=")</f>
        <v>#VALUE!</v>
      </c>
      <c r="FN55" t="e">
        <f>AND('Planilla_General_29-11-2012_10_'!B824,"AAAAAG/BZ6k=")</f>
        <v>#VALUE!</v>
      </c>
      <c r="FO55" t="e">
        <f>AND('Planilla_General_29-11-2012_10_'!C824,"AAAAAG/BZ6o=")</f>
        <v>#VALUE!</v>
      </c>
      <c r="FP55" t="e">
        <f>AND('Planilla_General_29-11-2012_10_'!D824,"AAAAAG/BZ6s=")</f>
        <v>#VALUE!</v>
      </c>
      <c r="FQ55" t="e">
        <f>AND('Planilla_General_29-11-2012_10_'!E824,"AAAAAG/BZ6w=")</f>
        <v>#VALUE!</v>
      </c>
      <c r="FR55" t="e">
        <f>AND('Planilla_General_29-11-2012_10_'!F824,"AAAAAG/BZ60=")</f>
        <v>#VALUE!</v>
      </c>
      <c r="FS55" t="e">
        <f>AND('Planilla_General_29-11-2012_10_'!G824,"AAAAAG/BZ64=")</f>
        <v>#VALUE!</v>
      </c>
      <c r="FT55" t="e">
        <f>AND('Planilla_General_29-11-2012_10_'!H824,"AAAAAG/BZ68=")</f>
        <v>#VALUE!</v>
      </c>
      <c r="FU55" t="e">
        <f>AND('Planilla_General_29-11-2012_10_'!I824,"AAAAAG/BZ7A=")</f>
        <v>#VALUE!</v>
      </c>
      <c r="FV55" t="e">
        <f>AND('Planilla_General_29-11-2012_10_'!J824,"AAAAAG/BZ7E=")</f>
        <v>#VALUE!</v>
      </c>
      <c r="FW55" t="e">
        <f>AND('Planilla_General_29-11-2012_10_'!K824,"AAAAAG/BZ7I=")</f>
        <v>#VALUE!</v>
      </c>
      <c r="FX55" t="e">
        <f>AND('Planilla_General_29-11-2012_10_'!L824,"AAAAAG/BZ7M=")</f>
        <v>#VALUE!</v>
      </c>
      <c r="FY55" t="e">
        <f>AND('Planilla_General_29-11-2012_10_'!M824,"AAAAAG/BZ7Q=")</f>
        <v>#VALUE!</v>
      </c>
      <c r="FZ55" t="e">
        <f>AND('Planilla_General_29-11-2012_10_'!N824,"AAAAAG/BZ7U=")</f>
        <v>#VALUE!</v>
      </c>
      <c r="GA55" t="e">
        <f>AND('Planilla_General_29-11-2012_10_'!O824,"AAAAAG/BZ7Y=")</f>
        <v>#VALUE!</v>
      </c>
      <c r="GB55" t="e">
        <f>AND('Planilla_General_29-11-2012_10_'!P824,"AAAAAG/BZ7c=")</f>
        <v>#VALUE!</v>
      </c>
      <c r="GC55">
        <f>IF('Planilla_General_29-11-2012_10_'!825:825,"AAAAAG/BZ7g=",0)</f>
        <v>0</v>
      </c>
      <c r="GD55" t="e">
        <f>AND('Planilla_General_29-11-2012_10_'!A825,"AAAAAG/BZ7k=")</f>
        <v>#VALUE!</v>
      </c>
      <c r="GE55" t="e">
        <f>AND('Planilla_General_29-11-2012_10_'!B825,"AAAAAG/BZ7o=")</f>
        <v>#VALUE!</v>
      </c>
      <c r="GF55" t="e">
        <f>AND('Planilla_General_29-11-2012_10_'!C825,"AAAAAG/BZ7s=")</f>
        <v>#VALUE!</v>
      </c>
      <c r="GG55" t="e">
        <f>AND('Planilla_General_29-11-2012_10_'!D825,"AAAAAG/BZ7w=")</f>
        <v>#VALUE!</v>
      </c>
      <c r="GH55" t="e">
        <f>AND('Planilla_General_29-11-2012_10_'!E825,"AAAAAG/BZ70=")</f>
        <v>#VALUE!</v>
      </c>
      <c r="GI55" t="e">
        <f>AND('Planilla_General_29-11-2012_10_'!F825,"AAAAAG/BZ74=")</f>
        <v>#VALUE!</v>
      </c>
      <c r="GJ55" t="e">
        <f>AND('Planilla_General_29-11-2012_10_'!G825,"AAAAAG/BZ78=")</f>
        <v>#VALUE!</v>
      </c>
      <c r="GK55" t="e">
        <f>AND('Planilla_General_29-11-2012_10_'!H825,"AAAAAG/BZ8A=")</f>
        <v>#VALUE!</v>
      </c>
      <c r="GL55" t="e">
        <f>AND('Planilla_General_29-11-2012_10_'!I825,"AAAAAG/BZ8E=")</f>
        <v>#VALUE!</v>
      </c>
      <c r="GM55" t="e">
        <f>AND('Planilla_General_29-11-2012_10_'!J825,"AAAAAG/BZ8I=")</f>
        <v>#VALUE!</v>
      </c>
      <c r="GN55" t="e">
        <f>AND('Planilla_General_29-11-2012_10_'!K825,"AAAAAG/BZ8M=")</f>
        <v>#VALUE!</v>
      </c>
      <c r="GO55" t="e">
        <f>AND('Planilla_General_29-11-2012_10_'!L825,"AAAAAG/BZ8Q=")</f>
        <v>#VALUE!</v>
      </c>
      <c r="GP55" t="e">
        <f>AND('Planilla_General_29-11-2012_10_'!M825,"AAAAAG/BZ8U=")</f>
        <v>#VALUE!</v>
      </c>
      <c r="GQ55" t="e">
        <f>AND('Planilla_General_29-11-2012_10_'!N825,"AAAAAG/BZ8Y=")</f>
        <v>#VALUE!</v>
      </c>
      <c r="GR55" t="e">
        <f>AND('Planilla_General_29-11-2012_10_'!O825,"AAAAAG/BZ8c=")</f>
        <v>#VALUE!</v>
      </c>
      <c r="GS55" t="e">
        <f>AND('Planilla_General_29-11-2012_10_'!P825,"AAAAAG/BZ8g=")</f>
        <v>#VALUE!</v>
      </c>
      <c r="GT55">
        <f>IF('Planilla_General_29-11-2012_10_'!826:826,"AAAAAG/BZ8k=",0)</f>
        <v>0</v>
      </c>
      <c r="GU55" t="e">
        <f>AND('Planilla_General_29-11-2012_10_'!A826,"AAAAAG/BZ8o=")</f>
        <v>#VALUE!</v>
      </c>
      <c r="GV55" t="e">
        <f>AND('Planilla_General_29-11-2012_10_'!B826,"AAAAAG/BZ8s=")</f>
        <v>#VALUE!</v>
      </c>
      <c r="GW55" t="e">
        <f>AND('Planilla_General_29-11-2012_10_'!C826,"AAAAAG/BZ8w=")</f>
        <v>#VALUE!</v>
      </c>
      <c r="GX55" t="e">
        <f>AND('Planilla_General_29-11-2012_10_'!D826,"AAAAAG/BZ80=")</f>
        <v>#VALUE!</v>
      </c>
      <c r="GY55" t="e">
        <f>AND('Planilla_General_29-11-2012_10_'!E826,"AAAAAG/BZ84=")</f>
        <v>#VALUE!</v>
      </c>
      <c r="GZ55" t="e">
        <f>AND('Planilla_General_29-11-2012_10_'!F826,"AAAAAG/BZ88=")</f>
        <v>#VALUE!</v>
      </c>
      <c r="HA55" t="e">
        <f>AND('Planilla_General_29-11-2012_10_'!G826,"AAAAAG/BZ9A=")</f>
        <v>#VALUE!</v>
      </c>
      <c r="HB55" t="e">
        <f>AND('Planilla_General_29-11-2012_10_'!H826,"AAAAAG/BZ9E=")</f>
        <v>#VALUE!</v>
      </c>
      <c r="HC55" t="e">
        <f>AND('Planilla_General_29-11-2012_10_'!I826,"AAAAAG/BZ9I=")</f>
        <v>#VALUE!</v>
      </c>
      <c r="HD55" t="e">
        <f>AND('Planilla_General_29-11-2012_10_'!J826,"AAAAAG/BZ9M=")</f>
        <v>#VALUE!</v>
      </c>
      <c r="HE55" t="e">
        <f>AND('Planilla_General_29-11-2012_10_'!K826,"AAAAAG/BZ9Q=")</f>
        <v>#VALUE!</v>
      </c>
      <c r="HF55" t="e">
        <f>AND('Planilla_General_29-11-2012_10_'!L826,"AAAAAG/BZ9U=")</f>
        <v>#VALUE!</v>
      </c>
      <c r="HG55" t="e">
        <f>AND('Planilla_General_29-11-2012_10_'!M826,"AAAAAG/BZ9Y=")</f>
        <v>#VALUE!</v>
      </c>
      <c r="HH55" t="e">
        <f>AND('Planilla_General_29-11-2012_10_'!N826,"AAAAAG/BZ9c=")</f>
        <v>#VALUE!</v>
      </c>
      <c r="HI55" t="e">
        <f>AND('Planilla_General_29-11-2012_10_'!O826,"AAAAAG/BZ9g=")</f>
        <v>#VALUE!</v>
      </c>
      <c r="HJ55" t="e">
        <f>AND('Planilla_General_29-11-2012_10_'!P826,"AAAAAG/BZ9k=")</f>
        <v>#VALUE!</v>
      </c>
      <c r="HK55">
        <f>IF('Planilla_General_29-11-2012_10_'!827:827,"AAAAAG/BZ9o=",0)</f>
        <v>0</v>
      </c>
      <c r="HL55" t="e">
        <f>AND('Planilla_General_29-11-2012_10_'!A827,"AAAAAG/BZ9s=")</f>
        <v>#VALUE!</v>
      </c>
      <c r="HM55" t="e">
        <f>AND('Planilla_General_29-11-2012_10_'!B827,"AAAAAG/BZ9w=")</f>
        <v>#VALUE!</v>
      </c>
      <c r="HN55" t="e">
        <f>AND('Planilla_General_29-11-2012_10_'!C827,"AAAAAG/BZ90=")</f>
        <v>#VALUE!</v>
      </c>
      <c r="HO55" t="e">
        <f>AND('Planilla_General_29-11-2012_10_'!D827,"AAAAAG/BZ94=")</f>
        <v>#VALUE!</v>
      </c>
      <c r="HP55" t="e">
        <f>AND('Planilla_General_29-11-2012_10_'!E827,"AAAAAG/BZ98=")</f>
        <v>#VALUE!</v>
      </c>
      <c r="HQ55" t="e">
        <f>AND('Planilla_General_29-11-2012_10_'!F827,"AAAAAG/BZ+A=")</f>
        <v>#VALUE!</v>
      </c>
      <c r="HR55" t="e">
        <f>AND('Planilla_General_29-11-2012_10_'!G827,"AAAAAG/BZ+E=")</f>
        <v>#VALUE!</v>
      </c>
      <c r="HS55" t="e">
        <f>AND('Planilla_General_29-11-2012_10_'!H827,"AAAAAG/BZ+I=")</f>
        <v>#VALUE!</v>
      </c>
      <c r="HT55" t="e">
        <f>AND('Planilla_General_29-11-2012_10_'!I827,"AAAAAG/BZ+M=")</f>
        <v>#VALUE!</v>
      </c>
      <c r="HU55" t="e">
        <f>AND('Planilla_General_29-11-2012_10_'!J827,"AAAAAG/BZ+Q=")</f>
        <v>#VALUE!</v>
      </c>
      <c r="HV55" t="e">
        <f>AND('Planilla_General_29-11-2012_10_'!K827,"AAAAAG/BZ+U=")</f>
        <v>#VALUE!</v>
      </c>
      <c r="HW55" t="e">
        <f>AND('Planilla_General_29-11-2012_10_'!L827,"AAAAAG/BZ+Y=")</f>
        <v>#VALUE!</v>
      </c>
      <c r="HX55" t="e">
        <f>AND('Planilla_General_29-11-2012_10_'!M827,"AAAAAG/BZ+c=")</f>
        <v>#VALUE!</v>
      </c>
      <c r="HY55" t="e">
        <f>AND('Planilla_General_29-11-2012_10_'!N827,"AAAAAG/BZ+g=")</f>
        <v>#VALUE!</v>
      </c>
      <c r="HZ55" t="e">
        <f>AND('Planilla_General_29-11-2012_10_'!O827,"AAAAAG/BZ+k=")</f>
        <v>#VALUE!</v>
      </c>
      <c r="IA55" t="e">
        <f>AND('Planilla_General_29-11-2012_10_'!P827,"AAAAAG/BZ+o=")</f>
        <v>#VALUE!</v>
      </c>
      <c r="IB55">
        <f>IF('Planilla_General_29-11-2012_10_'!828:828,"AAAAAG/BZ+s=",0)</f>
        <v>0</v>
      </c>
      <c r="IC55" t="e">
        <f>AND('Planilla_General_29-11-2012_10_'!A828,"AAAAAG/BZ+w=")</f>
        <v>#VALUE!</v>
      </c>
      <c r="ID55" t="e">
        <f>AND('Planilla_General_29-11-2012_10_'!B828,"AAAAAG/BZ+0=")</f>
        <v>#VALUE!</v>
      </c>
      <c r="IE55" t="e">
        <f>AND('Planilla_General_29-11-2012_10_'!C828,"AAAAAG/BZ+4=")</f>
        <v>#VALUE!</v>
      </c>
      <c r="IF55" t="e">
        <f>AND('Planilla_General_29-11-2012_10_'!D828,"AAAAAG/BZ+8=")</f>
        <v>#VALUE!</v>
      </c>
      <c r="IG55" t="e">
        <f>AND('Planilla_General_29-11-2012_10_'!E828,"AAAAAG/BZ/A=")</f>
        <v>#VALUE!</v>
      </c>
      <c r="IH55" t="e">
        <f>AND('Planilla_General_29-11-2012_10_'!F828,"AAAAAG/BZ/E=")</f>
        <v>#VALUE!</v>
      </c>
      <c r="II55" t="e">
        <f>AND('Planilla_General_29-11-2012_10_'!G828,"AAAAAG/BZ/I=")</f>
        <v>#VALUE!</v>
      </c>
      <c r="IJ55" t="e">
        <f>AND('Planilla_General_29-11-2012_10_'!H828,"AAAAAG/BZ/M=")</f>
        <v>#VALUE!</v>
      </c>
      <c r="IK55" t="e">
        <f>AND('Planilla_General_29-11-2012_10_'!I828,"AAAAAG/BZ/Q=")</f>
        <v>#VALUE!</v>
      </c>
      <c r="IL55" t="e">
        <f>AND('Planilla_General_29-11-2012_10_'!J828,"AAAAAG/BZ/U=")</f>
        <v>#VALUE!</v>
      </c>
      <c r="IM55" t="e">
        <f>AND('Planilla_General_29-11-2012_10_'!K828,"AAAAAG/BZ/Y=")</f>
        <v>#VALUE!</v>
      </c>
      <c r="IN55" t="e">
        <f>AND('Planilla_General_29-11-2012_10_'!L828,"AAAAAG/BZ/c=")</f>
        <v>#VALUE!</v>
      </c>
      <c r="IO55" t="e">
        <f>AND('Planilla_General_29-11-2012_10_'!M828,"AAAAAG/BZ/g=")</f>
        <v>#VALUE!</v>
      </c>
      <c r="IP55" t="e">
        <f>AND('Planilla_General_29-11-2012_10_'!N828,"AAAAAG/BZ/k=")</f>
        <v>#VALUE!</v>
      </c>
      <c r="IQ55" t="e">
        <f>AND('Planilla_General_29-11-2012_10_'!O828,"AAAAAG/BZ/o=")</f>
        <v>#VALUE!</v>
      </c>
      <c r="IR55" t="e">
        <f>AND('Planilla_General_29-11-2012_10_'!P828,"AAAAAG/BZ/s=")</f>
        <v>#VALUE!</v>
      </c>
      <c r="IS55">
        <f>IF('Planilla_General_29-11-2012_10_'!829:829,"AAAAAG/BZ/w=",0)</f>
        <v>0</v>
      </c>
      <c r="IT55" t="e">
        <f>AND('Planilla_General_29-11-2012_10_'!A829,"AAAAAG/BZ/0=")</f>
        <v>#VALUE!</v>
      </c>
      <c r="IU55" t="e">
        <f>AND('Planilla_General_29-11-2012_10_'!B829,"AAAAAG/BZ/4=")</f>
        <v>#VALUE!</v>
      </c>
      <c r="IV55" t="e">
        <f>AND('Planilla_General_29-11-2012_10_'!C829,"AAAAAG/BZ/8=")</f>
        <v>#VALUE!</v>
      </c>
    </row>
    <row r="56" spans="1:256" x14ac:dyDescent="0.25">
      <c r="A56" t="e">
        <f>AND('Planilla_General_29-11-2012_10_'!D829,"AAAAAH/d3wA=")</f>
        <v>#VALUE!</v>
      </c>
      <c r="B56" t="e">
        <f>AND('Planilla_General_29-11-2012_10_'!E829,"AAAAAH/d3wE=")</f>
        <v>#VALUE!</v>
      </c>
      <c r="C56" t="e">
        <f>AND('Planilla_General_29-11-2012_10_'!F829,"AAAAAH/d3wI=")</f>
        <v>#VALUE!</v>
      </c>
      <c r="D56" t="e">
        <f>AND('Planilla_General_29-11-2012_10_'!G829,"AAAAAH/d3wM=")</f>
        <v>#VALUE!</v>
      </c>
      <c r="E56" t="e">
        <f>AND('Planilla_General_29-11-2012_10_'!H829,"AAAAAH/d3wQ=")</f>
        <v>#VALUE!</v>
      </c>
      <c r="F56" t="e">
        <f>AND('Planilla_General_29-11-2012_10_'!I829,"AAAAAH/d3wU=")</f>
        <v>#VALUE!</v>
      </c>
      <c r="G56" t="e">
        <f>AND('Planilla_General_29-11-2012_10_'!J829,"AAAAAH/d3wY=")</f>
        <v>#VALUE!</v>
      </c>
      <c r="H56" t="e">
        <f>AND('Planilla_General_29-11-2012_10_'!K829,"AAAAAH/d3wc=")</f>
        <v>#VALUE!</v>
      </c>
      <c r="I56" t="e">
        <f>AND('Planilla_General_29-11-2012_10_'!L829,"AAAAAH/d3wg=")</f>
        <v>#VALUE!</v>
      </c>
      <c r="J56" t="e">
        <f>AND('Planilla_General_29-11-2012_10_'!M829,"AAAAAH/d3wk=")</f>
        <v>#VALUE!</v>
      </c>
      <c r="K56" t="e">
        <f>AND('Planilla_General_29-11-2012_10_'!N829,"AAAAAH/d3wo=")</f>
        <v>#VALUE!</v>
      </c>
      <c r="L56" t="e">
        <f>AND('Planilla_General_29-11-2012_10_'!O829,"AAAAAH/d3ws=")</f>
        <v>#VALUE!</v>
      </c>
      <c r="M56" t="e">
        <f>AND('Planilla_General_29-11-2012_10_'!P829,"AAAAAH/d3ww=")</f>
        <v>#VALUE!</v>
      </c>
      <c r="N56" t="str">
        <f>IF('Planilla_General_29-11-2012_10_'!830:830,"AAAAAH/d3w0=",0)</f>
        <v>AAAAAH/d3w0=</v>
      </c>
      <c r="O56" t="e">
        <f>AND('Planilla_General_29-11-2012_10_'!A830,"AAAAAH/d3w4=")</f>
        <v>#VALUE!</v>
      </c>
      <c r="P56" t="e">
        <f>AND('Planilla_General_29-11-2012_10_'!B830,"AAAAAH/d3w8=")</f>
        <v>#VALUE!</v>
      </c>
      <c r="Q56" t="e">
        <f>AND('Planilla_General_29-11-2012_10_'!C830,"AAAAAH/d3xA=")</f>
        <v>#VALUE!</v>
      </c>
      <c r="R56" t="e">
        <f>AND('Planilla_General_29-11-2012_10_'!D830,"AAAAAH/d3xE=")</f>
        <v>#VALUE!</v>
      </c>
      <c r="S56" t="e">
        <f>AND('Planilla_General_29-11-2012_10_'!E830,"AAAAAH/d3xI=")</f>
        <v>#VALUE!</v>
      </c>
      <c r="T56" t="e">
        <f>AND('Planilla_General_29-11-2012_10_'!F830,"AAAAAH/d3xM=")</f>
        <v>#VALUE!</v>
      </c>
      <c r="U56" t="e">
        <f>AND('Planilla_General_29-11-2012_10_'!G830,"AAAAAH/d3xQ=")</f>
        <v>#VALUE!</v>
      </c>
      <c r="V56" t="e">
        <f>AND('Planilla_General_29-11-2012_10_'!H830,"AAAAAH/d3xU=")</f>
        <v>#VALUE!</v>
      </c>
      <c r="W56" t="e">
        <f>AND('Planilla_General_29-11-2012_10_'!I830,"AAAAAH/d3xY=")</f>
        <v>#VALUE!</v>
      </c>
      <c r="X56" t="e">
        <f>AND('Planilla_General_29-11-2012_10_'!J830,"AAAAAH/d3xc=")</f>
        <v>#VALUE!</v>
      </c>
      <c r="Y56" t="e">
        <f>AND('Planilla_General_29-11-2012_10_'!K830,"AAAAAH/d3xg=")</f>
        <v>#VALUE!</v>
      </c>
      <c r="Z56" t="e">
        <f>AND('Planilla_General_29-11-2012_10_'!L830,"AAAAAH/d3xk=")</f>
        <v>#VALUE!</v>
      </c>
      <c r="AA56" t="e">
        <f>AND('Planilla_General_29-11-2012_10_'!M830,"AAAAAH/d3xo=")</f>
        <v>#VALUE!</v>
      </c>
      <c r="AB56" t="e">
        <f>AND('Planilla_General_29-11-2012_10_'!N830,"AAAAAH/d3xs=")</f>
        <v>#VALUE!</v>
      </c>
      <c r="AC56" t="e">
        <f>AND('Planilla_General_29-11-2012_10_'!O830,"AAAAAH/d3xw=")</f>
        <v>#VALUE!</v>
      </c>
      <c r="AD56" t="e">
        <f>AND('Planilla_General_29-11-2012_10_'!P830,"AAAAAH/d3x0=")</f>
        <v>#VALUE!</v>
      </c>
      <c r="AE56">
        <f>IF('Planilla_General_29-11-2012_10_'!831:831,"AAAAAH/d3x4=",0)</f>
        <v>0</v>
      </c>
      <c r="AF56" t="e">
        <f>AND('Planilla_General_29-11-2012_10_'!A831,"AAAAAH/d3x8=")</f>
        <v>#VALUE!</v>
      </c>
      <c r="AG56" t="e">
        <f>AND('Planilla_General_29-11-2012_10_'!B831,"AAAAAH/d3yA=")</f>
        <v>#VALUE!</v>
      </c>
      <c r="AH56" t="e">
        <f>AND('Planilla_General_29-11-2012_10_'!C831,"AAAAAH/d3yE=")</f>
        <v>#VALUE!</v>
      </c>
      <c r="AI56" t="e">
        <f>AND('Planilla_General_29-11-2012_10_'!D831,"AAAAAH/d3yI=")</f>
        <v>#VALUE!</v>
      </c>
      <c r="AJ56" t="e">
        <f>AND('Planilla_General_29-11-2012_10_'!E831,"AAAAAH/d3yM=")</f>
        <v>#VALUE!</v>
      </c>
      <c r="AK56" t="e">
        <f>AND('Planilla_General_29-11-2012_10_'!F831,"AAAAAH/d3yQ=")</f>
        <v>#VALUE!</v>
      </c>
      <c r="AL56" t="e">
        <f>AND('Planilla_General_29-11-2012_10_'!G831,"AAAAAH/d3yU=")</f>
        <v>#VALUE!</v>
      </c>
      <c r="AM56" t="e">
        <f>AND('Planilla_General_29-11-2012_10_'!H831,"AAAAAH/d3yY=")</f>
        <v>#VALUE!</v>
      </c>
      <c r="AN56" t="e">
        <f>AND('Planilla_General_29-11-2012_10_'!I831,"AAAAAH/d3yc=")</f>
        <v>#VALUE!</v>
      </c>
      <c r="AO56" t="e">
        <f>AND('Planilla_General_29-11-2012_10_'!J831,"AAAAAH/d3yg=")</f>
        <v>#VALUE!</v>
      </c>
      <c r="AP56" t="e">
        <f>AND('Planilla_General_29-11-2012_10_'!K831,"AAAAAH/d3yk=")</f>
        <v>#VALUE!</v>
      </c>
      <c r="AQ56" t="e">
        <f>AND('Planilla_General_29-11-2012_10_'!L831,"AAAAAH/d3yo=")</f>
        <v>#VALUE!</v>
      </c>
      <c r="AR56" t="e">
        <f>AND('Planilla_General_29-11-2012_10_'!M831,"AAAAAH/d3ys=")</f>
        <v>#VALUE!</v>
      </c>
      <c r="AS56" t="e">
        <f>AND('Planilla_General_29-11-2012_10_'!N831,"AAAAAH/d3yw=")</f>
        <v>#VALUE!</v>
      </c>
      <c r="AT56" t="e">
        <f>AND('Planilla_General_29-11-2012_10_'!O831,"AAAAAH/d3y0=")</f>
        <v>#VALUE!</v>
      </c>
      <c r="AU56" t="e">
        <f>AND('Planilla_General_29-11-2012_10_'!P831,"AAAAAH/d3y4=")</f>
        <v>#VALUE!</v>
      </c>
      <c r="AV56">
        <f>IF('Planilla_General_29-11-2012_10_'!832:832,"AAAAAH/d3y8=",0)</f>
        <v>0</v>
      </c>
      <c r="AW56" t="e">
        <f>AND('Planilla_General_29-11-2012_10_'!A832,"AAAAAH/d3zA=")</f>
        <v>#VALUE!</v>
      </c>
      <c r="AX56" t="e">
        <f>AND('Planilla_General_29-11-2012_10_'!B832,"AAAAAH/d3zE=")</f>
        <v>#VALUE!</v>
      </c>
      <c r="AY56" t="e">
        <f>AND('Planilla_General_29-11-2012_10_'!C832,"AAAAAH/d3zI=")</f>
        <v>#VALUE!</v>
      </c>
      <c r="AZ56" t="e">
        <f>AND('Planilla_General_29-11-2012_10_'!D832,"AAAAAH/d3zM=")</f>
        <v>#VALUE!</v>
      </c>
      <c r="BA56" t="e">
        <f>AND('Planilla_General_29-11-2012_10_'!E832,"AAAAAH/d3zQ=")</f>
        <v>#VALUE!</v>
      </c>
      <c r="BB56" t="e">
        <f>AND('Planilla_General_29-11-2012_10_'!F832,"AAAAAH/d3zU=")</f>
        <v>#VALUE!</v>
      </c>
      <c r="BC56" t="e">
        <f>AND('Planilla_General_29-11-2012_10_'!G832,"AAAAAH/d3zY=")</f>
        <v>#VALUE!</v>
      </c>
      <c r="BD56" t="e">
        <f>AND('Planilla_General_29-11-2012_10_'!H832,"AAAAAH/d3zc=")</f>
        <v>#VALUE!</v>
      </c>
      <c r="BE56" t="e">
        <f>AND('Planilla_General_29-11-2012_10_'!I832,"AAAAAH/d3zg=")</f>
        <v>#VALUE!</v>
      </c>
      <c r="BF56" t="e">
        <f>AND('Planilla_General_29-11-2012_10_'!J832,"AAAAAH/d3zk=")</f>
        <v>#VALUE!</v>
      </c>
      <c r="BG56" t="e">
        <f>AND('Planilla_General_29-11-2012_10_'!K832,"AAAAAH/d3zo=")</f>
        <v>#VALUE!</v>
      </c>
      <c r="BH56" t="e">
        <f>AND('Planilla_General_29-11-2012_10_'!L832,"AAAAAH/d3zs=")</f>
        <v>#VALUE!</v>
      </c>
      <c r="BI56" t="e">
        <f>AND('Planilla_General_29-11-2012_10_'!M832,"AAAAAH/d3zw=")</f>
        <v>#VALUE!</v>
      </c>
      <c r="BJ56" t="e">
        <f>AND('Planilla_General_29-11-2012_10_'!N832,"AAAAAH/d3z0=")</f>
        <v>#VALUE!</v>
      </c>
      <c r="BK56" t="e">
        <f>AND('Planilla_General_29-11-2012_10_'!O832,"AAAAAH/d3z4=")</f>
        <v>#VALUE!</v>
      </c>
      <c r="BL56" t="e">
        <f>AND('Planilla_General_29-11-2012_10_'!P832,"AAAAAH/d3z8=")</f>
        <v>#VALUE!</v>
      </c>
      <c r="BM56">
        <f>IF('Planilla_General_29-11-2012_10_'!833:833,"AAAAAH/d30A=",0)</f>
        <v>0</v>
      </c>
      <c r="BN56" t="e">
        <f>AND('Planilla_General_29-11-2012_10_'!A833,"AAAAAH/d30E=")</f>
        <v>#VALUE!</v>
      </c>
      <c r="BO56" t="e">
        <f>AND('Planilla_General_29-11-2012_10_'!B833,"AAAAAH/d30I=")</f>
        <v>#VALUE!</v>
      </c>
      <c r="BP56" t="e">
        <f>AND('Planilla_General_29-11-2012_10_'!C833,"AAAAAH/d30M=")</f>
        <v>#VALUE!</v>
      </c>
      <c r="BQ56" t="e">
        <f>AND('Planilla_General_29-11-2012_10_'!D833,"AAAAAH/d30Q=")</f>
        <v>#VALUE!</v>
      </c>
      <c r="BR56" t="e">
        <f>AND('Planilla_General_29-11-2012_10_'!E833,"AAAAAH/d30U=")</f>
        <v>#VALUE!</v>
      </c>
      <c r="BS56" t="e">
        <f>AND('Planilla_General_29-11-2012_10_'!F833,"AAAAAH/d30Y=")</f>
        <v>#VALUE!</v>
      </c>
      <c r="BT56" t="e">
        <f>AND('Planilla_General_29-11-2012_10_'!G833,"AAAAAH/d30c=")</f>
        <v>#VALUE!</v>
      </c>
      <c r="BU56" t="e">
        <f>AND('Planilla_General_29-11-2012_10_'!H833,"AAAAAH/d30g=")</f>
        <v>#VALUE!</v>
      </c>
      <c r="BV56" t="e">
        <f>AND('Planilla_General_29-11-2012_10_'!I833,"AAAAAH/d30k=")</f>
        <v>#VALUE!</v>
      </c>
      <c r="BW56" t="e">
        <f>AND('Planilla_General_29-11-2012_10_'!J833,"AAAAAH/d30o=")</f>
        <v>#VALUE!</v>
      </c>
      <c r="BX56" t="e">
        <f>AND('Planilla_General_29-11-2012_10_'!K833,"AAAAAH/d30s=")</f>
        <v>#VALUE!</v>
      </c>
      <c r="BY56" t="e">
        <f>AND('Planilla_General_29-11-2012_10_'!L833,"AAAAAH/d30w=")</f>
        <v>#VALUE!</v>
      </c>
      <c r="BZ56" t="e">
        <f>AND('Planilla_General_29-11-2012_10_'!M833,"AAAAAH/d300=")</f>
        <v>#VALUE!</v>
      </c>
      <c r="CA56" t="e">
        <f>AND('Planilla_General_29-11-2012_10_'!N833,"AAAAAH/d304=")</f>
        <v>#VALUE!</v>
      </c>
      <c r="CB56" t="e">
        <f>AND('Planilla_General_29-11-2012_10_'!O833,"AAAAAH/d308=")</f>
        <v>#VALUE!</v>
      </c>
      <c r="CC56" t="e">
        <f>AND('Planilla_General_29-11-2012_10_'!P833,"AAAAAH/d31A=")</f>
        <v>#VALUE!</v>
      </c>
      <c r="CD56">
        <f>IF('Planilla_General_29-11-2012_10_'!834:834,"AAAAAH/d31E=",0)</f>
        <v>0</v>
      </c>
      <c r="CE56" t="e">
        <f>AND('Planilla_General_29-11-2012_10_'!A834,"AAAAAH/d31I=")</f>
        <v>#VALUE!</v>
      </c>
      <c r="CF56" t="e">
        <f>AND('Planilla_General_29-11-2012_10_'!B834,"AAAAAH/d31M=")</f>
        <v>#VALUE!</v>
      </c>
      <c r="CG56" t="e">
        <f>AND('Planilla_General_29-11-2012_10_'!C834,"AAAAAH/d31Q=")</f>
        <v>#VALUE!</v>
      </c>
      <c r="CH56" t="e">
        <f>AND('Planilla_General_29-11-2012_10_'!D834,"AAAAAH/d31U=")</f>
        <v>#VALUE!</v>
      </c>
      <c r="CI56" t="e">
        <f>AND('Planilla_General_29-11-2012_10_'!E834,"AAAAAH/d31Y=")</f>
        <v>#VALUE!</v>
      </c>
      <c r="CJ56" t="e">
        <f>AND('Planilla_General_29-11-2012_10_'!F834,"AAAAAH/d31c=")</f>
        <v>#VALUE!</v>
      </c>
      <c r="CK56" t="e">
        <f>AND('Planilla_General_29-11-2012_10_'!G834,"AAAAAH/d31g=")</f>
        <v>#VALUE!</v>
      </c>
      <c r="CL56" t="e">
        <f>AND('Planilla_General_29-11-2012_10_'!H834,"AAAAAH/d31k=")</f>
        <v>#VALUE!</v>
      </c>
      <c r="CM56" t="e">
        <f>AND('Planilla_General_29-11-2012_10_'!I834,"AAAAAH/d31o=")</f>
        <v>#VALUE!</v>
      </c>
      <c r="CN56" t="e">
        <f>AND('Planilla_General_29-11-2012_10_'!J834,"AAAAAH/d31s=")</f>
        <v>#VALUE!</v>
      </c>
      <c r="CO56" t="e">
        <f>AND('Planilla_General_29-11-2012_10_'!K834,"AAAAAH/d31w=")</f>
        <v>#VALUE!</v>
      </c>
      <c r="CP56" t="e">
        <f>AND('Planilla_General_29-11-2012_10_'!L834,"AAAAAH/d310=")</f>
        <v>#VALUE!</v>
      </c>
      <c r="CQ56" t="e">
        <f>AND('Planilla_General_29-11-2012_10_'!M834,"AAAAAH/d314=")</f>
        <v>#VALUE!</v>
      </c>
      <c r="CR56" t="e">
        <f>AND('Planilla_General_29-11-2012_10_'!N834,"AAAAAH/d318=")</f>
        <v>#VALUE!</v>
      </c>
      <c r="CS56" t="e">
        <f>AND('Planilla_General_29-11-2012_10_'!O834,"AAAAAH/d32A=")</f>
        <v>#VALUE!</v>
      </c>
      <c r="CT56" t="e">
        <f>AND('Planilla_General_29-11-2012_10_'!P834,"AAAAAH/d32E=")</f>
        <v>#VALUE!</v>
      </c>
      <c r="CU56">
        <f>IF('Planilla_General_29-11-2012_10_'!835:835,"AAAAAH/d32I=",0)</f>
        <v>0</v>
      </c>
      <c r="CV56" t="e">
        <f>AND('Planilla_General_29-11-2012_10_'!A835,"AAAAAH/d32M=")</f>
        <v>#VALUE!</v>
      </c>
      <c r="CW56" t="e">
        <f>AND('Planilla_General_29-11-2012_10_'!B835,"AAAAAH/d32Q=")</f>
        <v>#VALUE!</v>
      </c>
      <c r="CX56" t="e">
        <f>AND('Planilla_General_29-11-2012_10_'!C835,"AAAAAH/d32U=")</f>
        <v>#VALUE!</v>
      </c>
      <c r="CY56" t="e">
        <f>AND('Planilla_General_29-11-2012_10_'!D835,"AAAAAH/d32Y=")</f>
        <v>#VALUE!</v>
      </c>
      <c r="CZ56" t="e">
        <f>AND('Planilla_General_29-11-2012_10_'!E835,"AAAAAH/d32c=")</f>
        <v>#VALUE!</v>
      </c>
      <c r="DA56" t="e">
        <f>AND('Planilla_General_29-11-2012_10_'!F835,"AAAAAH/d32g=")</f>
        <v>#VALUE!</v>
      </c>
      <c r="DB56" t="e">
        <f>AND('Planilla_General_29-11-2012_10_'!G835,"AAAAAH/d32k=")</f>
        <v>#VALUE!</v>
      </c>
      <c r="DC56" t="e">
        <f>AND('Planilla_General_29-11-2012_10_'!H835,"AAAAAH/d32o=")</f>
        <v>#VALUE!</v>
      </c>
      <c r="DD56" t="e">
        <f>AND('Planilla_General_29-11-2012_10_'!I835,"AAAAAH/d32s=")</f>
        <v>#VALUE!</v>
      </c>
      <c r="DE56" t="e">
        <f>AND('Planilla_General_29-11-2012_10_'!J835,"AAAAAH/d32w=")</f>
        <v>#VALUE!</v>
      </c>
      <c r="DF56" t="e">
        <f>AND('Planilla_General_29-11-2012_10_'!K835,"AAAAAH/d320=")</f>
        <v>#VALUE!</v>
      </c>
      <c r="DG56" t="e">
        <f>AND('Planilla_General_29-11-2012_10_'!L835,"AAAAAH/d324=")</f>
        <v>#VALUE!</v>
      </c>
      <c r="DH56" t="e">
        <f>AND('Planilla_General_29-11-2012_10_'!M835,"AAAAAH/d328=")</f>
        <v>#VALUE!</v>
      </c>
      <c r="DI56" t="e">
        <f>AND('Planilla_General_29-11-2012_10_'!N835,"AAAAAH/d33A=")</f>
        <v>#VALUE!</v>
      </c>
      <c r="DJ56" t="e">
        <f>AND('Planilla_General_29-11-2012_10_'!O835,"AAAAAH/d33E=")</f>
        <v>#VALUE!</v>
      </c>
      <c r="DK56" t="e">
        <f>AND('Planilla_General_29-11-2012_10_'!P835,"AAAAAH/d33I=")</f>
        <v>#VALUE!</v>
      </c>
      <c r="DL56">
        <f>IF('Planilla_General_29-11-2012_10_'!836:836,"AAAAAH/d33M=",0)</f>
        <v>0</v>
      </c>
      <c r="DM56" t="e">
        <f>AND('Planilla_General_29-11-2012_10_'!A836,"AAAAAH/d33Q=")</f>
        <v>#VALUE!</v>
      </c>
      <c r="DN56" t="e">
        <f>AND('Planilla_General_29-11-2012_10_'!B836,"AAAAAH/d33U=")</f>
        <v>#VALUE!</v>
      </c>
      <c r="DO56" t="e">
        <f>AND('Planilla_General_29-11-2012_10_'!C836,"AAAAAH/d33Y=")</f>
        <v>#VALUE!</v>
      </c>
      <c r="DP56" t="e">
        <f>AND('Planilla_General_29-11-2012_10_'!D836,"AAAAAH/d33c=")</f>
        <v>#VALUE!</v>
      </c>
      <c r="DQ56" t="e">
        <f>AND('Planilla_General_29-11-2012_10_'!E836,"AAAAAH/d33g=")</f>
        <v>#VALUE!</v>
      </c>
      <c r="DR56" t="e">
        <f>AND('Planilla_General_29-11-2012_10_'!F836,"AAAAAH/d33k=")</f>
        <v>#VALUE!</v>
      </c>
      <c r="DS56" t="e">
        <f>AND('Planilla_General_29-11-2012_10_'!G836,"AAAAAH/d33o=")</f>
        <v>#VALUE!</v>
      </c>
      <c r="DT56" t="e">
        <f>AND('Planilla_General_29-11-2012_10_'!H836,"AAAAAH/d33s=")</f>
        <v>#VALUE!</v>
      </c>
      <c r="DU56" t="e">
        <f>AND('Planilla_General_29-11-2012_10_'!I836,"AAAAAH/d33w=")</f>
        <v>#VALUE!</v>
      </c>
      <c r="DV56" t="e">
        <f>AND('Planilla_General_29-11-2012_10_'!J836,"AAAAAH/d330=")</f>
        <v>#VALUE!</v>
      </c>
      <c r="DW56" t="e">
        <f>AND('Planilla_General_29-11-2012_10_'!K836,"AAAAAH/d334=")</f>
        <v>#VALUE!</v>
      </c>
      <c r="DX56" t="e">
        <f>AND('Planilla_General_29-11-2012_10_'!L836,"AAAAAH/d338=")</f>
        <v>#VALUE!</v>
      </c>
      <c r="DY56" t="e">
        <f>AND('Planilla_General_29-11-2012_10_'!M836,"AAAAAH/d34A=")</f>
        <v>#VALUE!</v>
      </c>
      <c r="DZ56" t="e">
        <f>AND('Planilla_General_29-11-2012_10_'!N836,"AAAAAH/d34E=")</f>
        <v>#VALUE!</v>
      </c>
      <c r="EA56" t="e">
        <f>AND('Planilla_General_29-11-2012_10_'!O836,"AAAAAH/d34I=")</f>
        <v>#VALUE!</v>
      </c>
      <c r="EB56" t="e">
        <f>AND('Planilla_General_29-11-2012_10_'!P836,"AAAAAH/d34M=")</f>
        <v>#VALUE!</v>
      </c>
      <c r="EC56">
        <f>IF('Planilla_General_29-11-2012_10_'!837:837,"AAAAAH/d34Q=",0)</f>
        <v>0</v>
      </c>
      <c r="ED56" t="e">
        <f>AND('Planilla_General_29-11-2012_10_'!A837,"AAAAAH/d34U=")</f>
        <v>#VALUE!</v>
      </c>
      <c r="EE56" t="e">
        <f>AND('Planilla_General_29-11-2012_10_'!B837,"AAAAAH/d34Y=")</f>
        <v>#VALUE!</v>
      </c>
      <c r="EF56" t="e">
        <f>AND('Planilla_General_29-11-2012_10_'!C837,"AAAAAH/d34c=")</f>
        <v>#VALUE!</v>
      </c>
      <c r="EG56" t="e">
        <f>AND('Planilla_General_29-11-2012_10_'!D837,"AAAAAH/d34g=")</f>
        <v>#VALUE!</v>
      </c>
      <c r="EH56" t="e">
        <f>AND('Planilla_General_29-11-2012_10_'!E837,"AAAAAH/d34k=")</f>
        <v>#VALUE!</v>
      </c>
      <c r="EI56" t="e">
        <f>AND('Planilla_General_29-11-2012_10_'!F837,"AAAAAH/d34o=")</f>
        <v>#VALUE!</v>
      </c>
      <c r="EJ56" t="e">
        <f>AND('Planilla_General_29-11-2012_10_'!G837,"AAAAAH/d34s=")</f>
        <v>#VALUE!</v>
      </c>
      <c r="EK56" t="e">
        <f>AND('Planilla_General_29-11-2012_10_'!H837,"AAAAAH/d34w=")</f>
        <v>#VALUE!</v>
      </c>
      <c r="EL56" t="e">
        <f>AND('Planilla_General_29-11-2012_10_'!I837,"AAAAAH/d340=")</f>
        <v>#VALUE!</v>
      </c>
      <c r="EM56" t="e">
        <f>AND('Planilla_General_29-11-2012_10_'!J837,"AAAAAH/d344=")</f>
        <v>#VALUE!</v>
      </c>
      <c r="EN56" t="e">
        <f>AND('Planilla_General_29-11-2012_10_'!K837,"AAAAAH/d348=")</f>
        <v>#VALUE!</v>
      </c>
      <c r="EO56" t="e">
        <f>AND('Planilla_General_29-11-2012_10_'!L837,"AAAAAH/d35A=")</f>
        <v>#VALUE!</v>
      </c>
      <c r="EP56" t="e">
        <f>AND('Planilla_General_29-11-2012_10_'!M837,"AAAAAH/d35E=")</f>
        <v>#VALUE!</v>
      </c>
      <c r="EQ56" t="e">
        <f>AND('Planilla_General_29-11-2012_10_'!N837,"AAAAAH/d35I=")</f>
        <v>#VALUE!</v>
      </c>
      <c r="ER56" t="e">
        <f>AND('Planilla_General_29-11-2012_10_'!O837,"AAAAAH/d35M=")</f>
        <v>#VALUE!</v>
      </c>
      <c r="ES56" t="e">
        <f>AND('Planilla_General_29-11-2012_10_'!P837,"AAAAAH/d35Q=")</f>
        <v>#VALUE!</v>
      </c>
      <c r="ET56">
        <f>IF('Planilla_General_29-11-2012_10_'!838:838,"AAAAAH/d35U=",0)</f>
        <v>0</v>
      </c>
      <c r="EU56" t="e">
        <f>AND('Planilla_General_29-11-2012_10_'!A838,"AAAAAH/d35Y=")</f>
        <v>#VALUE!</v>
      </c>
      <c r="EV56" t="e">
        <f>AND('Planilla_General_29-11-2012_10_'!B838,"AAAAAH/d35c=")</f>
        <v>#VALUE!</v>
      </c>
      <c r="EW56" t="e">
        <f>AND('Planilla_General_29-11-2012_10_'!C838,"AAAAAH/d35g=")</f>
        <v>#VALUE!</v>
      </c>
      <c r="EX56" t="e">
        <f>AND('Planilla_General_29-11-2012_10_'!D838,"AAAAAH/d35k=")</f>
        <v>#VALUE!</v>
      </c>
      <c r="EY56" t="e">
        <f>AND('Planilla_General_29-11-2012_10_'!E838,"AAAAAH/d35o=")</f>
        <v>#VALUE!</v>
      </c>
      <c r="EZ56" t="e">
        <f>AND('Planilla_General_29-11-2012_10_'!F838,"AAAAAH/d35s=")</f>
        <v>#VALUE!</v>
      </c>
      <c r="FA56" t="e">
        <f>AND('Planilla_General_29-11-2012_10_'!G838,"AAAAAH/d35w=")</f>
        <v>#VALUE!</v>
      </c>
      <c r="FB56" t="e">
        <f>AND('Planilla_General_29-11-2012_10_'!H838,"AAAAAH/d350=")</f>
        <v>#VALUE!</v>
      </c>
      <c r="FC56" t="e">
        <f>AND('Planilla_General_29-11-2012_10_'!I838,"AAAAAH/d354=")</f>
        <v>#VALUE!</v>
      </c>
      <c r="FD56" t="e">
        <f>AND('Planilla_General_29-11-2012_10_'!J838,"AAAAAH/d358=")</f>
        <v>#VALUE!</v>
      </c>
      <c r="FE56" t="e">
        <f>AND('Planilla_General_29-11-2012_10_'!K838,"AAAAAH/d36A=")</f>
        <v>#VALUE!</v>
      </c>
      <c r="FF56" t="e">
        <f>AND('Planilla_General_29-11-2012_10_'!L838,"AAAAAH/d36E=")</f>
        <v>#VALUE!</v>
      </c>
      <c r="FG56" t="e">
        <f>AND('Planilla_General_29-11-2012_10_'!M838,"AAAAAH/d36I=")</f>
        <v>#VALUE!</v>
      </c>
      <c r="FH56" t="e">
        <f>AND('Planilla_General_29-11-2012_10_'!N838,"AAAAAH/d36M=")</f>
        <v>#VALUE!</v>
      </c>
      <c r="FI56" t="e">
        <f>AND('Planilla_General_29-11-2012_10_'!O838,"AAAAAH/d36Q=")</f>
        <v>#VALUE!</v>
      </c>
      <c r="FJ56" t="e">
        <f>AND('Planilla_General_29-11-2012_10_'!P838,"AAAAAH/d36U=")</f>
        <v>#VALUE!</v>
      </c>
      <c r="FK56">
        <f>IF('Planilla_General_29-11-2012_10_'!839:839,"AAAAAH/d36Y=",0)</f>
        <v>0</v>
      </c>
      <c r="FL56" t="e">
        <f>AND('Planilla_General_29-11-2012_10_'!A839,"AAAAAH/d36c=")</f>
        <v>#VALUE!</v>
      </c>
      <c r="FM56" t="e">
        <f>AND('Planilla_General_29-11-2012_10_'!B839,"AAAAAH/d36g=")</f>
        <v>#VALUE!</v>
      </c>
      <c r="FN56" t="e">
        <f>AND('Planilla_General_29-11-2012_10_'!C839,"AAAAAH/d36k=")</f>
        <v>#VALUE!</v>
      </c>
      <c r="FO56" t="e">
        <f>AND('Planilla_General_29-11-2012_10_'!D839,"AAAAAH/d36o=")</f>
        <v>#VALUE!</v>
      </c>
      <c r="FP56" t="e">
        <f>AND('Planilla_General_29-11-2012_10_'!E839,"AAAAAH/d36s=")</f>
        <v>#VALUE!</v>
      </c>
      <c r="FQ56" t="e">
        <f>AND('Planilla_General_29-11-2012_10_'!F839,"AAAAAH/d36w=")</f>
        <v>#VALUE!</v>
      </c>
      <c r="FR56" t="e">
        <f>AND('Planilla_General_29-11-2012_10_'!G839,"AAAAAH/d360=")</f>
        <v>#VALUE!</v>
      </c>
      <c r="FS56" t="e">
        <f>AND('Planilla_General_29-11-2012_10_'!H839,"AAAAAH/d364=")</f>
        <v>#VALUE!</v>
      </c>
      <c r="FT56" t="e">
        <f>AND('Planilla_General_29-11-2012_10_'!I839,"AAAAAH/d368=")</f>
        <v>#VALUE!</v>
      </c>
      <c r="FU56" t="e">
        <f>AND('Planilla_General_29-11-2012_10_'!J839,"AAAAAH/d37A=")</f>
        <v>#VALUE!</v>
      </c>
      <c r="FV56" t="e">
        <f>AND('Planilla_General_29-11-2012_10_'!K839,"AAAAAH/d37E=")</f>
        <v>#VALUE!</v>
      </c>
      <c r="FW56" t="e">
        <f>AND('Planilla_General_29-11-2012_10_'!L839,"AAAAAH/d37I=")</f>
        <v>#VALUE!</v>
      </c>
      <c r="FX56" t="e">
        <f>AND('Planilla_General_29-11-2012_10_'!M839,"AAAAAH/d37M=")</f>
        <v>#VALUE!</v>
      </c>
      <c r="FY56" t="e">
        <f>AND('Planilla_General_29-11-2012_10_'!N839,"AAAAAH/d37Q=")</f>
        <v>#VALUE!</v>
      </c>
      <c r="FZ56" t="e">
        <f>AND('Planilla_General_29-11-2012_10_'!O839,"AAAAAH/d37U=")</f>
        <v>#VALUE!</v>
      </c>
      <c r="GA56" t="e">
        <f>AND('Planilla_General_29-11-2012_10_'!P839,"AAAAAH/d37Y=")</f>
        <v>#VALUE!</v>
      </c>
      <c r="GB56">
        <f>IF('Planilla_General_29-11-2012_10_'!840:840,"AAAAAH/d37c=",0)</f>
        <v>0</v>
      </c>
      <c r="GC56" t="e">
        <f>AND('Planilla_General_29-11-2012_10_'!A840,"AAAAAH/d37g=")</f>
        <v>#VALUE!</v>
      </c>
      <c r="GD56" t="e">
        <f>AND('Planilla_General_29-11-2012_10_'!B840,"AAAAAH/d37k=")</f>
        <v>#VALUE!</v>
      </c>
      <c r="GE56" t="e">
        <f>AND('Planilla_General_29-11-2012_10_'!C840,"AAAAAH/d37o=")</f>
        <v>#VALUE!</v>
      </c>
      <c r="GF56" t="e">
        <f>AND('Planilla_General_29-11-2012_10_'!D840,"AAAAAH/d37s=")</f>
        <v>#VALUE!</v>
      </c>
      <c r="GG56" t="e">
        <f>AND('Planilla_General_29-11-2012_10_'!E840,"AAAAAH/d37w=")</f>
        <v>#VALUE!</v>
      </c>
      <c r="GH56" t="e">
        <f>AND('Planilla_General_29-11-2012_10_'!F840,"AAAAAH/d370=")</f>
        <v>#VALUE!</v>
      </c>
      <c r="GI56" t="e">
        <f>AND('Planilla_General_29-11-2012_10_'!G840,"AAAAAH/d374=")</f>
        <v>#VALUE!</v>
      </c>
      <c r="GJ56" t="e">
        <f>AND('Planilla_General_29-11-2012_10_'!H840,"AAAAAH/d378=")</f>
        <v>#VALUE!</v>
      </c>
      <c r="GK56" t="e">
        <f>AND('Planilla_General_29-11-2012_10_'!I840,"AAAAAH/d38A=")</f>
        <v>#VALUE!</v>
      </c>
      <c r="GL56" t="e">
        <f>AND('Planilla_General_29-11-2012_10_'!J840,"AAAAAH/d38E=")</f>
        <v>#VALUE!</v>
      </c>
      <c r="GM56" t="e">
        <f>AND('Planilla_General_29-11-2012_10_'!K840,"AAAAAH/d38I=")</f>
        <v>#VALUE!</v>
      </c>
      <c r="GN56" t="e">
        <f>AND('Planilla_General_29-11-2012_10_'!L840,"AAAAAH/d38M=")</f>
        <v>#VALUE!</v>
      </c>
      <c r="GO56" t="e">
        <f>AND('Planilla_General_29-11-2012_10_'!M840,"AAAAAH/d38Q=")</f>
        <v>#VALUE!</v>
      </c>
      <c r="GP56" t="e">
        <f>AND('Planilla_General_29-11-2012_10_'!N840,"AAAAAH/d38U=")</f>
        <v>#VALUE!</v>
      </c>
      <c r="GQ56" t="e">
        <f>AND('Planilla_General_29-11-2012_10_'!O840,"AAAAAH/d38Y=")</f>
        <v>#VALUE!</v>
      </c>
      <c r="GR56" t="e">
        <f>AND('Planilla_General_29-11-2012_10_'!P840,"AAAAAH/d38c=")</f>
        <v>#VALUE!</v>
      </c>
      <c r="GS56">
        <f>IF('Planilla_General_29-11-2012_10_'!841:841,"AAAAAH/d38g=",0)</f>
        <v>0</v>
      </c>
      <c r="GT56" t="e">
        <f>AND('Planilla_General_29-11-2012_10_'!A841,"AAAAAH/d38k=")</f>
        <v>#VALUE!</v>
      </c>
      <c r="GU56" t="e">
        <f>AND('Planilla_General_29-11-2012_10_'!B841,"AAAAAH/d38o=")</f>
        <v>#VALUE!</v>
      </c>
      <c r="GV56" t="e">
        <f>AND('Planilla_General_29-11-2012_10_'!C841,"AAAAAH/d38s=")</f>
        <v>#VALUE!</v>
      </c>
      <c r="GW56" t="e">
        <f>AND('Planilla_General_29-11-2012_10_'!D841,"AAAAAH/d38w=")</f>
        <v>#VALUE!</v>
      </c>
      <c r="GX56" t="e">
        <f>AND('Planilla_General_29-11-2012_10_'!E841,"AAAAAH/d380=")</f>
        <v>#VALUE!</v>
      </c>
      <c r="GY56" t="e">
        <f>AND('Planilla_General_29-11-2012_10_'!F841,"AAAAAH/d384=")</f>
        <v>#VALUE!</v>
      </c>
      <c r="GZ56" t="e">
        <f>AND('Planilla_General_29-11-2012_10_'!G841,"AAAAAH/d388=")</f>
        <v>#VALUE!</v>
      </c>
      <c r="HA56" t="e">
        <f>AND('Planilla_General_29-11-2012_10_'!H841,"AAAAAH/d39A=")</f>
        <v>#VALUE!</v>
      </c>
      <c r="HB56" t="e">
        <f>AND('Planilla_General_29-11-2012_10_'!I841,"AAAAAH/d39E=")</f>
        <v>#VALUE!</v>
      </c>
      <c r="HC56" t="e">
        <f>AND('Planilla_General_29-11-2012_10_'!J841,"AAAAAH/d39I=")</f>
        <v>#VALUE!</v>
      </c>
      <c r="HD56" t="e">
        <f>AND('Planilla_General_29-11-2012_10_'!K841,"AAAAAH/d39M=")</f>
        <v>#VALUE!</v>
      </c>
      <c r="HE56" t="e">
        <f>AND('Planilla_General_29-11-2012_10_'!L841,"AAAAAH/d39Q=")</f>
        <v>#VALUE!</v>
      </c>
      <c r="HF56" t="e">
        <f>AND('Planilla_General_29-11-2012_10_'!M841,"AAAAAH/d39U=")</f>
        <v>#VALUE!</v>
      </c>
      <c r="HG56" t="e">
        <f>AND('Planilla_General_29-11-2012_10_'!N841,"AAAAAH/d39Y=")</f>
        <v>#VALUE!</v>
      </c>
      <c r="HH56" t="e">
        <f>AND('Planilla_General_29-11-2012_10_'!O841,"AAAAAH/d39c=")</f>
        <v>#VALUE!</v>
      </c>
      <c r="HI56" t="e">
        <f>AND('Planilla_General_29-11-2012_10_'!P841,"AAAAAH/d39g=")</f>
        <v>#VALUE!</v>
      </c>
      <c r="HJ56">
        <f>IF('Planilla_General_29-11-2012_10_'!842:842,"AAAAAH/d39k=",0)</f>
        <v>0</v>
      </c>
      <c r="HK56" t="e">
        <f>AND('Planilla_General_29-11-2012_10_'!A842,"AAAAAH/d39o=")</f>
        <v>#VALUE!</v>
      </c>
      <c r="HL56" t="e">
        <f>AND('Planilla_General_29-11-2012_10_'!B842,"AAAAAH/d39s=")</f>
        <v>#VALUE!</v>
      </c>
      <c r="HM56" t="e">
        <f>AND('Planilla_General_29-11-2012_10_'!C842,"AAAAAH/d39w=")</f>
        <v>#VALUE!</v>
      </c>
      <c r="HN56" t="e">
        <f>AND('Planilla_General_29-11-2012_10_'!D842,"AAAAAH/d390=")</f>
        <v>#VALUE!</v>
      </c>
      <c r="HO56" t="e">
        <f>AND('Planilla_General_29-11-2012_10_'!E842,"AAAAAH/d394=")</f>
        <v>#VALUE!</v>
      </c>
      <c r="HP56" t="e">
        <f>AND('Planilla_General_29-11-2012_10_'!F842,"AAAAAH/d398=")</f>
        <v>#VALUE!</v>
      </c>
      <c r="HQ56" t="e">
        <f>AND('Planilla_General_29-11-2012_10_'!G842,"AAAAAH/d3+A=")</f>
        <v>#VALUE!</v>
      </c>
      <c r="HR56" t="e">
        <f>AND('Planilla_General_29-11-2012_10_'!H842,"AAAAAH/d3+E=")</f>
        <v>#VALUE!</v>
      </c>
      <c r="HS56" t="e">
        <f>AND('Planilla_General_29-11-2012_10_'!I842,"AAAAAH/d3+I=")</f>
        <v>#VALUE!</v>
      </c>
      <c r="HT56" t="e">
        <f>AND('Planilla_General_29-11-2012_10_'!J842,"AAAAAH/d3+M=")</f>
        <v>#VALUE!</v>
      </c>
      <c r="HU56" t="e">
        <f>AND('Planilla_General_29-11-2012_10_'!K842,"AAAAAH/d3+Q=")</f>
        <v>#VALUE!</v>
      </c>
      <c r="HV56" t="e">
        <f>AND('Planilla_General_29-11-2012_10_'!L842,"AAAAAH/d3+U=")</f>
        <v>#VALUE!</v>
      </c>
      <c r="HW56" t="e">
        <f>AND('Planilla_General_29-11-2012_10_'!M842,"AAAAAH/d3+Y=")</f>
        <v>#VALUE!</v>
      </c>
      <c r="HX56" t="e">
        <f>AND('Planilla_General_29-11-2012_10_'!N842,"AAAAAH/d3+c=")</f>
        <v>#VALUE!</v>
      </c>
      <c r="HY56" t="e">
        <f>AND('Planilla_General_29-11-2012_10_'!O842,"AAAAAH/d3+g=")</f>
        <v>#VALUE!</v>
      </c>
      <c r="HZ56" t="e">
        <f>AND('Planilla_General_29-11-2012_10_'!P842,"AAAAAH/d3+k=")</f>
        <v>#VALUE!</v>
      </c>
      <c r="IA56">
        <f>IF('Planilla_General_29-11-2012_10_'!843:843,"AAAAAH/d3+o=",0)</f>
        <v>0</v>
      </c>
      <c r="IB56" t="e">
        <f>AND('Planilla_General_29-11-2012_10_'!A843,"AAAAAH/d3+s=")</f>
        <v>#VALUE!</v>
      </c>
      <c r="IC56" t="e">
        <f>AND('Planilla_General_29-11-2012_10_'!B843,"AAAAAH/d3+w=")</f>
        <v>#VALUE!</v>
      </c>
      <c r="ID56" t="e">
        <f>AND('Planilla_General_29-11-2012_10_'!C843,"AAAAAH/d3+0=")</f>
        <v>#VALUE!</v>
      </c>
      <c r="IE56" t="e">
        <f>AND('Planilla_General_29-11-2012_10_'!D843,"AAAAAH/d3+4=")</f>
        <v>#VALUE!</v>
      </c>
      <c r="IF56" t="e">
        <f>AND('Planilla_General_29-11-2012_10_'!E843,"AAAAAH/d3+8=")</f>
        <v>#VALUE!</v>
      </c>
      <c r="IG56" t="e">
        <f>AND('Planilla_General_29-11-2012_10_'!F843,"AAAAAH/d3/A=")</f>
        <v>#VALUE!</v>
      </c>
      <c r="IH56" t="e">
        <f>AND('Planilla_General_29-11-2012_10_'!G843,"AAAAAH/d3/E=")</f>
        <v>#VALUE!</v>
      </c>
      <c r="II56" t="e">
        <f>AND('Planilla_General_29-11-2012_10_'!H843,"AAAAAH/d3/I=")</f>
        <v>#VALUE!</v>
      </c>
      <c r="IJ56" t="e">
        <f>AND('Planilla_General_29-11-2012_10_'!I843,"AAAAAH/d3/M=")</f>
        <v>#VALUE!</v>
      </c>
      <c r="IK56" t="e">
        <f>AND('Planilla_General_29-11-2012_10_'!J843,"AAAAAH/d3/Q=")</f>
        <v>#VALUE!</v>
      </c>
      <c r="IL56" t="e">
        <f>AND('Planilla_General_29-11-2012_10_'!K843,"AAAAAH/d3/U=")</f>
        <v>#VALUE!</v>
      </c>
      <c r="IM56" t="e">
        <f>AND('Planilla_General_29-11-2012_10_'!L843,"AAAAAH/d3/Y=")</f>
        <v>#VALUE!</v>
      </c>
      <c r="IN56" t="e">
        <f>AND('Planilla_General_29-11-2012_10_'!M843,"AAAAAH/d3/c=")</f>
        <v>#VALUE!</v>
      </c>
      <c r="IO56" t="e">
        <f>AND('Planilla_General_29-11-2012_10_'!N843,"AAAAAH/d3/g=")</f>
        <v>#VALUE!</v>
      </c>
      <c r="IP56" t="e">
        <f>AND('Planilla_General_29-11-2012_10_'!O843,"AAAAAH/d3/k=")</f>
        <v>#VALUE!</v>
      </c>
      <c r="IQ56" t="e">
        <f>AND('Planilla_General_29-11-2012_10_'!P843,"AAAAAH/d3/o=")</f>
        <v>#VALUE!</v>
      </c>
      <c r="IR56">
        <f>IF('Planilla_General_29-11-2012_10_'!844:844,"AAAAAH/d3/s=",0)</f>
        <v>0</v>
      </c>
      <c r="IS56" t="e">
        <f>AND('Planilla_General_29-11-2012_10_'!A844,"AAAAAH/d3/w=")</f>
        <v>#VALUE!</v>
      </c>
      <c r="IT56" t="e">
        <f>AND('Planilla_General_29-11-2012_10_'!B844,"AAAAAH/d3/0=")</f>
        <v>#VALUE!</v>
      </c>
      <c r="IU56" t="e">
        <f>AND('Planilla_General_29-11-2012_10_'!C844,"AAAAAH/d3/4=")</f>
        <v>#VALUE!</v>
      </c>
      <c r="IV56" t="e">
        <f>AND('Planilla_General_29-11-2012_10_'!D844,"AAAAAH/d3/8=")</f>
        <v>#VALUE!</v>
      </c>
    </row>
    <row r="57" spans="1:256" x14ac:dyDescent="0.25">
      <c r="A57" t="e">
        <f>AND('Planilla_General_29-11-2012_10_'!E844,"AAAAAHe/TwA=")</f>
        <v>#VALUE!</v>
      </c>
      <c r="B57" t="e">
        <f>AND('Planilla_General_29-11-2012_10_'!F844,"AAAAAHe/TwE=")</f>
        <v>#VALUE!</v>
      </c>
      <c r="C57" t="e">
        <f>AND('Planilla_General_29-11-2012_10_'!G844,"AAAAAHe/TwI=")</f>
        <v>#VALUE!</v>
      </c>
      <c r="D57" t="e">
        <f>AND('Planilla_General_29-11-2012_10_'!H844,"AAAAAHe/TwM=")</f>
        <v>#VALUE!</v>
      </c>
      <c r="E57" t="e">
        <f>AND('Planilla_General_29-11-2012_10_'!I844,"AAAAAHe/TwQ=")</f>
        <v>#VALUE!</v>
      </c>
      <c r="F57" t="e">
        <f>AND('Planilla_General_29-11-2012_10_'!J844,"AAAAAHe/TwU=")</f>
        <v>#VALUE!</v>
      </c>
      <c r="G57" t="e">
        <f>AND('Planilla_General_29-11-2012_10_'!K844,"AAAAAHe/TwY=")</f>
        <v>#VALUE!</v>
      </c>
      <c r="H57" t="e">
        <f>AND('Planilla_General_29-11-2012_10_'!L844,"AAAAAHe/Twc=")</f>
        <v>#VALUE!</v>
      </c>
      <c r="I57" t="e">
        <f>AND('Planilla_General_29-11-2012_10_'!M844,"AAAAAHe/Twg=")</f>
        <v>#VALUE!</v>
      </c>
      <c r="J57" t="e">
        <f>AND('Planilla_General_29-11-2012_10_'!N844,"AAAAAHe/Twk=")</f>
        <v>#VALUE!</v>
      </c>
      <c r="K57" t="e">
        <f>AND('Planilla_General_29-11-2012_10_'!O844,"AAAAAHe/Two=")</f>
        <v>#VALUE!</v>
      </c>
      <c r="L57" t="e">
        <f>AND('Planilla_General_29-11-2012_10_'!P844,"AAAAAHe/Tws=")</f>
        <v>#VALUE!</v>
      </c>
      <c r="M57" t="str">
        <f>IF('Planilla_General_29-11-2012_10_'!845:845,"AAAAAHe/Tww=",0)</f>
        <v>AAAAAHe/Tww=</v>
      </c>
      <c r="N57" t="e">
        <f>AND('Planilla_General_29-11-2012_10_'!A845,"AAAAAHe/Tw0=")</f>
        <v>#VALUE!</v>
      </c>
      <c r="O57" t="e">
        <f>AND('Planilla_General_29-11-2012_10_'!B845,"AAAAAHe/Tw4=")</f>
        <v>#VALUE!</v>
      </c>
      <c r="P57" t="e">
        <f>AND('Planilla_General_29-11-2012_10_'!C845,"AAAAAHe/Tw8=")</f>
        <v>#VALUE!</v>
      </c>
      <c r="Q57" t="e">
        <f>AND('Planilla_General_29-11-2012_10_'!D845,"AAAAAHe/TxA=")</f>
        <v>#VALUE!</v>
      </c>
      <c r="R57" t="e">
        <f>AND('Planilla_General_29-11-2012_10_'!E845,"AAAAAHe/TxE=")</f>
        <v>#VALUE!</v>
      </c>
      <c r="S57" t="e">
        <f>AND('Planilla_General_29-11-2012_10_'!F845,"AAAAAHe/TxI=")</f>
        <v>#VALUE!</v>
      </c>
      <c r="T57" t="e">
        <f>AND('Planilla_General_29-11-2012_10_'!G845,"AAAAAHe/TxM=")</f>
        <v>#VALUE!</v>
      </c>
      <c r="U57" t="e">
        <f>AND('Planilla_General_29-11-2012_10_'!H845,"AAAAAHe/TxQ=")</f>
        <v>#VALUE!</v>
      </c>
      <c r="V57" t="e">
        <f>AND('Planilla_General_29-11-2012_10_'!I845,"AAAAAHe/TxU=")</f>
        <v>#VALUE!</v>
      </c>
      <c r="W57" t="e">
        <f>AND('Planilla_General_29-11-2012_10_'!J845,"AAAAAHe/TxY=")</f>
        <v>#VALUE!</v>
      </c>
      <c r="X57" t="e">
        <f>AND('Planilla_General_29-11-2012_10_'!K845,"AAAAAHe/Txc=")</f>
        <v>#VALUE!</v>
      </c>
      <c r="Y57" t="e">
        <f>AND('Planilla_General_29-11-2012_10_'!L845,"AAAAAHe/Txg=")</f>
        <v>#VALUE!</v>
      </c>
      <c r="Z57" t="e">
        <f>AND('Planilla_General_29-11-2012_10_'!M845,"AAAAAHe/Txk=")</f>
        <v>#VALUE!</v>
      </c>
      <c r="AA57" t="e">
        <f>AND('Planilla_General_29-11-2012_10_'!N845,"AAAAAHe/Txo=")</f>
        <v>#VALUE!</v>
      </c>
      <c r="AB57" t="e">
        <f>AND('Planilla_General_29-11-2012_10_'!O845,"AAAAAHe/Txs=")</f>
        <v>#VALUE!</v>
      </c>
      <c r="AC57" t="e">
        <f>AND('Planilla_General_29-11-2012_10_'!P845,"AAAAAHe/Txw=")</f>
        <v>#VALUE!</v>
      </c>
      <c r="AD57">
        <f>IF('Planilla_General_29-11-2012_10_'!846:846,"AAAAAHe/Tx0=",0)</f>
        <v>0</v>
      </c>
      <c r="AE57" t="e">
        <f>AND('Planilla_General_29-11-2012_10_'!A846,"AAAAAHe/Tx4=")</f>
        <v>#VALUE!</v>
      </c>
      <c r="AF57" t="e">
        <f>AND('Planilla_General_29-11-2012_10_'!B846,"AAAAAHe/Tx8=")</f>
        <v>#VALUE!</v>
      </c>
      <c r="AG57" t="e">
        <f>AND('Planilla_General_29-11-2012_10_'!C846,"AAAAAHe/TyA=")</f>
        <v>#VALUE!</v>
      </c>
      <c r="AH57" t="e">
        <f>AND('Planilla_General_29-11-2012_10_'!D846,"AAAAAHe/TyE=")</f>
        <v>#VALUE!</v>
      </c>
      <c r="AI57" t="e">
        <f>AND('Planilla_General_29-11-2012_10_'!E846,"AAAAAHe/TyI=")</f>
        <v>#VALUE!</v>
      </c>
      <c r="AJ57" t="e">
        <f>AND('Planilla_General_29-11-2012_10_'!F846,"AAAAAHe/TyM=")</f>
        <v>#VALUE!</v>
      </c>
      <c r="AK57" t="e">
        <f>AND('Planilla_General_29-11-2012_10_'!G846,"AAAAAHe/TyQ=")</f>
        <v>#VALUE!</v>
      </c>
      <c r="AL57" t="e">
        <f>AND('Planilla_General_29-11-2012_10_'!H846,"AAAAAHe/TyU=")</f>
        <v>#VALUE!</v>
      </c>
      <c r="AM57" t="e">
        <f>AND('Planilla_General_29-11-2012_10_'!I846,"AAAAAHe/TyY=")</f>
        <v>#VALUE!</v>
      </c>
      <c r="AN57" t="e">
        <f>AND('Planilla_General_29-11-2012_10_'!J846,"AAAAAHe/Tyc=")</f>
        <v>#VALUE!</v>
      </c>
      <c r="AO57" t="e">
        <f>AND('Planilla_General_29-11-2012_10_'!K846,"AAAAAHe/Tyg=")</f>
        <v>#VALUE!</v>
      </c>
      <c r="AP57" t="e">
        <f>AND('Planilla_General_29-11-2012_10_'!L846,"AAAAAHe/Tyk=")</f>
        <v>#VALUE!</v>
      </c>
      <c r="AQ57" t="e">
        <f>AND('Planilla_General_29-11-2012_10_'!M846,"AAAAAHe/Tyo=")</f>
        <v>#VALUE!</v>
      </c>
      <c r="AR57" t="e">
        <f>AND('Planilla_General_29-11-2012_10_'!N846,"AAAAAHe/Tys=")</f>
        <v>#VALUE!</v>
      </c>
      <c r="AS57" t="e">
        <f>AND('Planilla_General_29-11-2012_10_'!O846,"AAAAAHe/Tyw=")</f>
        <v>#VALUE!</v>
      </c>
      <c r="AT57" t="e">
        <f>AND('Planilla_General_29-11-2012_10_'!P846,"AAAAAHe/Ty0=")</f>
        <v>#VALUE!</v>
      </c>
      <c r="AU57">
        <f>IF('Planilla_General_29-11-2012_10_'!847:847,"AAAAAHe/Ty4=",0)</f>
        <v>0</v>
      </c>
      <c r="AV57" t="e">
        <f>AND('Planilla_General_29-11-2012_10_'!A847,"AAAAAHe/Ty8=")</f>
        <v>#VALUE!</v>
      </c>
      <c r="AW57" t="e">
        <f>AND('Planilla_General_29-11-2012_10_'!B847,"AAAAAHe/TzA=")</f>
        <v>#VALUE!</v>
      </c>
      <c r="AX57" t="e">
        <f>AND('Planilla_General_29-11-2012_10_'!C847,"AAAAAHe/TzE=")</f>
        <v>#VALUE!</v>
      </c>
      <c r="AY57" t="e">
        <f>AND('Planilla_General_29-11-2012_10_'!D847,"AAAAAHe/TzI=")</f>
        <v>#VALUE!</v>
      </c>
      <c r="AZ57" t="e">
        <f>AND('Planilla_General_29-11-2012_10_'!E847,"AAAAAHe/TzM=")</f>
        <v>#VALUE!</v>
      </c>
      <c r="BA57" t="e">
        <f>AND('Planilla_General_29-11-2012_10_'!F847,"AAAAAHe/TzQ=")</f>
        <v>#VALUE!</v>
      </c>
      <c r="BB57" t="e">
        <f>AND('Planilla_General_29-11-2012_10_'!G847,"AAAAAHe/TzU=")</f>
        <v>#VALUE!</v>
      </c>
      <c r="BC57" t="e">
        <f>AND('Planilla_General_29-11-2012_10_'!H847,"AAAAAHe/TzY=")</f>
        <v>#VALUE!</v>
      </c>
      <c r="BD57" t="e">
        <f>AND('Planilla_General_29-11-2012_10_'!I847,"AAAAAHe/Tzc=")</f>
        <v>#VALUE!</v>
      </c>
      <c r="BE57" t="e">
        <f>AND('Planilla_General_29-11-2012_10_'!J847,"AAAAAHe/Tzg=")</f>
        <v>#VALUE!</v>
      </c>
      <c r="BF57" t="e">
        <f>AND('Planilla_General_29-11-2012_10_'!K847,"AAAAAHe/Tzk=")</f>
        <v>#VALUE!</v>
      </c>
      <c r="BG57" t="e">
        <f>AND('Planilla_General_29-11-2012_10_'!L847,"AAAAAHe/Tzo=")</f>
        <v>#VALUE!</v>
      </c>
      <c r="BH57" t="e">
        <f>AND('Planilla_General_29-11-2012_10_'!M847,"AAAAAHe/Tzs=")</f>
        <v>#VALUE!</v>
      </c>
      <c r="BI57" t="e">
        <f>AND('Planilla_General_29-11-2012_10_'!N847,"AAAAAHe/Tzw=")</f>
        <v>#VALUE!</v>
      </c>
      <c r="BJ57" t="e">
        <f>AND('Planilla_General_29-11-2012_10_'!O847,"AAAAAHe/Tz0=")</f>
        <v>#VALUE!</v>
      </c>
      <c r="BK57" t="e">
        <f>AND('Planilla_General_29-11-2012_10_'!P847,"AAAAAHe/Tz4=")</f>
        <v>#VALUE!</v>
      </c>
      <c r="BL57">
        <f>IF('Planilla_General_29-11-2012_10_'!848:848,"AAAAAHe/Tz8=",0)</f>
        <v>0</v>
      </c>
      <c r="BM57" t="e">
        <f>AND('Planilla_General_29-11-2012_10_'!A848,"AAAAAHe/T0A=")</f>
        <v>#VALUE!</v>
      </c>
      <c r="BN57" t="e">
        <f>AND('Planilla_General_29-11-2012_10_'!B848,"AAAAAHe/T0E=")</f>
        <v>#VALUE!</v>
      </c>
      <c r="BO57" t="e">
        <f>AND('Planilla_General_29-11-2012_10_'!C848,"AAAAAHe/T0I=")</f>
        <v>#VALUE!</v>
      </c>
      <c r="BP57" t="e">
        <f>AND('Planilla_General_29-11-2012_10_'!D848,"AAAAAHe/T0M=")</f>
        <v>#VALUE!</v>
      </c>
      <c r="BQ57" t="e">
        <f>AND('Planilla_General_29-11-2012_10_'!E848,"AAAAAHe/T0Q=")</f>
        <v>#VALUE!</v>
      </c>
      <c r="BR57" t="e">
        <f>AND('Planilla_General_29-11-2012_10_'!F848,"AAAAAHe/T0U=")</f>
        <v>#VALUE!</v>
      </c>
      <c r="BS57" t="e">
        <f>AND('Planilla_General_29-11-2012_10_'!G848,"AAAAAHe/T0Y=")</f>
        <v>#VALUE!</v>
      </c>
      <c r="BT57" t="e">
        <f>AND('Planilla_General_29-11-2012_10_'!H848,"AAAAAHe/T0c=")</f>
        <v>#VALUE!</v>
      </c>
      <c r="BU57" t="e">
        <f>AND('Planilla_General_29-11-2012_10_'!I848,"AAAAAHe/T0g=")</f>
        <v>#VALUE!</v>
      </c>
      <c r="BV57" t="e">
        <f>AND('Planilla_General_29-11-2012_10_'!J848,"AAAAAHe/T0k=")</f>
        <v>#VALUE!</v>
      </c>
      <c r="BW57" t="e">
        <f>AND('Planilla_General_29-11-2012_10_'!K848,"AAAAAHe/T0o=")</f>
        <v>#VALUE!</v>
      </c>
      <c r="BX57" t="e">
        <f>AND('Planilla_General_29-11-2012_10_'!L848,"AAAAAHe/T0s=")</f>
        <v>#VALUE!</v>
      </c>
      <c r="BY57" t="e">
        <f>AND('Planilla_General_29-11-2012_10_'!M848,"AAAAAHe/T0w=")</f>
        <v>#VALUE!</v>
      </c>
      <c r="BZ57" t="e">
        <f>AND('Planilla_General_29-11-2012_10_'!N848,"AAAAAHe/T00=")</f>
        <v>#VALUE!</v>
      </c>
      <c r="CA57" t="e">
        <f>AND('Planilla_General_29-11-2012_10_'!O848,"AAAAAHe/T04=")</f>
        <v>#VALUE!</v>
      </c>
      <c r="CB57" t="e">
        <f>AND('Planilla_General_29-11-2012_10_'!P848,"AAAAAHe/T08=")</f>
        <v>#VALUE!</v>
      </c>
      <c r="CC57">
        <f>IF('Planilla_General_29-11-2012_10_'!849:849,"AAAAAHe/T1A=",0)</f>
        <v>0</v>
      </c>
      <c r="CD57" t="e">
        <f>AND('Planilla_General_29-11-2012_10_'!A849,"AAAAAHe/T1E=")</f>
        <v>#VALUE!</v>
      </c>
      <c r="CE57" t="e">
        <f>AND('Planilla_General_29-11-2012_10_'!B849,"AAAAAHe/T1I=")</f>
        <v>#VALUE!</v>
      </c>
      <c r="CF57" t="e">
        <f>AND('Planilla_General_29-11-2012_10_'!C849,"AAAAAHe/T1M=")</f>
        <v>#VALUE!</v>
      </c>
      <c r="CG57" t="e">
        <f>AND('Planilla_General_29-11-2012_10_'!D849,"AAAAAHe/T1Q=")</f>
        <v>#VALUE!</v>
      </c>
      <c r="CH57" t="e">
        <f>AND('Planilla_General_29-11-2012_10_'!E849,"AAAAAHe/T1U=")</f>
        <v>#VALUE!</v>
      </c>
      <c r="CI57" t="e">
        <f>AND('Planilla_General_29-11-2012_10_'!F849,"AAAAAHe/T1Y=")</f>
        <v>#VALUE!</v>
      </c>
      <c r="CJ57" t="e">
        <f>AND('Planilla_General_29-11-2012_10_'!G849,"AAAAAHe/T1c=")</f>
        <v>#VALUE!</v>
      </c>
      <c r="CK57" t="e">
        <f>AND('Planilla_General_29-11-2012_10_'!H849,"AAAAAHe/T1g=")</f>
        <v>#VALUE!</v>
      </c>
      <c r="CL57" t="e">
        <f>AND('Planilla_General_29-11-2012_10_'!I849,"AAAAAHe/T1k=")</f>
        <v>#VALUE!</v>
      </c>
      <c r="CM57" t="e">
        <f>AND('Planilla_General_29-11-2012_10_'!J849,"AAAAAHe/T1o=")</f>
        <v>#VALUE!</v>
      </c>
      <c r="CN57" t="e">
        <f>AND('Planilla_General_29-11-2012_10_'!K849,"AAAAAHe/T1s=")</f>
        <v>#VALUE!</v>
      </c>
      <c r="CO57" t="e">
        <f>AND('Planilla_General_29-11-2012_10_'!L849,"AAAAAHe/T1w=")</f>
        <v>#VALUE!</v>
      </c>
      <c r="CP57" t="e">
        <f>AND('Planilla_General_29-11-2012_10_'!M849,"AAAAAHe/T10=")</f>
        <v>#VALUE!</v>
      </c>
      <c r="CQ57" t="e">
        <f>AND('Planilla_General_29-11-2012_10_'!N849,"AAAAAHe/T14=")</f>
        <v>#VALUE!</v>
      </c>
      <c r="CR57" t="e">
        <f>AND('Planilla_General_29-11-2012_10_'!O849,"AAAAAHe/T18=")</f>
        <v>#VALUE!</v>
      </c>
      <c r="CS57" t="e">
        <f>AND('Planilla_General_29-11-2012_10_'!P849,"AAAAAHe/T2A=")</f>
        <v>#VALUE!</v>
      </c>
      <c r="CT57">
        <f>IF('Planilla_General_29-11-2012_10_'!850:850,"AAAAAHe/T2E=",0)</f>
        <v>0</v>
      </c>
      <c r="CU57" t="e">
        <f>AND('Planilla_General_29-11-2012_10_'!A850,"AAAAAHe/T2I=")</f>
        <v>#VALUE!</v>
      </c>
      <c r="CV57" t="e">
        <f>AND('Planilla_General_29-11-2012_10_'!B850,"AAAAAHe/T2M=")</f>
        <v>#VALUE!</v>
      </c>
      <c r="CW57" t="e">
        <f>AND('Planilla_General_29-11-2012_10_'!C850,"AAAAAHe/T2Q=")</f>
        <v>#VALUE!</v>
      </c>
      <c r="CX57" t="e">
        <f>AND('Planilla_General_29-11-2012_10_'!D850,"AAAAAHe/T2U=")</f>
        <v>#VALUE!</v>
      </c>
      <c r="CY57" t="e">
        <f>AND('Planilla_General_29-11-2012_10_'!E850,"AAAAAHe/T2Y=")</f>
        <v>#VALUE!</v>
      </c>
      <c r="CZ57" t="e">
        <f>AND('Planilla_General_29-11-2012_10_'!F850,"AAAAAHe/T2c=")</f>
        <v>#VALUE!</v>
      </c>
      <c r="DA57" t="e">
        <f>AND('Planilla_General_29-11-2012_10_'!G850,"AAAAAHe/T2g=")</f>
        <v>#VALUE!</v>
      </c>
      <c r="DB57" t="e">
        <f>AND('Planilla_General_29-11-2012_10_'!H850,"AAAAAHe/T2k=")</f>
        <v>#VALUE!</v>
      </c>
      <c r="DC57" t="e">
        <f>AND('Planilla_General_29-11-2012_10_'!I850,"AAAAAHe/T2o=")</f>
        <v>#VALUE!</v>
      </c>
      <c r="DD57" t="e">
        <f>AND('Planilla_General_29-11-2012_10_'!J850,"AAAAAHe/T2s=")</f>
        <v>#VALUE!</v>
      </c>
      <c r="DE57" t="e">
        <f>AND('Planilla_General_29-11-2012_10_'!K850,"AAAAAHe/T2w=")</f>
        <v>#VALUE!</v>
      </c>
      <c r="DF57" t="e">
        <f>AND('Planilla_General_29-11-2012_10_'!L850,"AAAAAHe/T20=")</f>
        <v>#VALUE!</v>
      </c>
      <c r="DG57" t="e">
        <f>AND('Planilla_General_29-11-2012_10_'!M850,"AAAAAHe/T24=")</f>
        <v>#VALUE!</v>
      </c>
      <c r="DH57" t="e">
        <f>AND('Planilla_General_29-11-2012_10_'!N850,"AAAAAHe/T28=")</f>
        <v>#VALUE!</v>
      </c>
      <c r="DI57" t="e">
        <f>AND('Planilla_General_29-11-2012_10_'!O850,"AAAAAHe/T3A=")</f>
        <v>#VALUE!</v>
      </c>
      <c r="DJ57" t="e">
        <f>AND('Planilla_General_29-11-2012_10_'!P850,"AAAAAHe/T3E=")</f>
        <v>#VALUE!</v>
      </c>
      <c r="DK57">
        <f>IF('Planilla_General_29-11-2012_10_'!851:851,"AAAAAHe/T3I=",0)</f>
        <v>0</v>
      </c>
      <c r="DL57" t="e">
        <f>AND('Planilla_General_29-11-2012_10_'!A851,"AAAAAHe/T3M=")</f>
        <v>#VALUE!</v>
      </c>
      <c r="DM57" t="e">
        <f>AND('Planilla_General_29-11-2012_10_'!B851,"AAAAAHe/T3Q=")</f>
        <v>#VALUE!</v>
      </c>
      <c r="DN57" t="e">
        <f>AND('Planilla_General_29-11-2012_10_'!C851,"AAAAAHe/T3U=")</f>
        <v>#VALUE!</v>
      </c>
      <c r="DO57" t="e">
        <f>AND('Planilla_General_29-11-2012_10_'!D851,"AAAAAHe/T3Y=")</f>
        <v>#VALUE!</v>
      </c>
      <c r="DP57" t="e">
        <f>AND('Planilla_General_29-11-2012_10_'!E851,"AAAAAHe/T3c=")</f>
        <v>#VALUE!</v>
      </c>
      <c r="DQ57" t="e">
        <f>AND('Planilla_General_29-11-2012_10_'!F851,"AAAAAHe/T3g=")</f>
        <v>#VALUE!</v>
      </c>
      <c r="DR57" t="e">
        <f>AND('Planilla_General_29-11-2012_10_'!G851,"AAAAAHe/T3k=")</f>
        <v>#VALUE!</v>
      </c>
      <c r="DS57" t="e">
        <f>AND('Planilla_General_29-11-2012_10_'!H851,"AAAAAHe/T3o=")</f>
        <v>#VALUE!</v>
      </c>
      <c r="DT57" t="e">
        <f>AND('Planilla_General_29-11-2012_10_'!I851,"AAAAAHe/T3s=")</f>
        <v>#VALUE!</v>
      </c>
      <c r="DU57" t="e">
        <f>AND('Planilla_General_29-11-2012_10_'!J851,"AAAAAHe/T3w=")</f>
        <v>#VALUE!</v>
      </c>
      <c r="DV57" t="e">
        <f>AND('Planilla_General_29-11-2012_10_'!K851,"AAAAAHe/T30=")</f>
        <v>#VALUE!</v>
      </c>
      <c r="DW57" t="e">
        <f>AND('Planilla_General_29-11-2012_10_'!L851,"AAAAAHe/T34=")</f>
        <v>#VALUE!</v>
      </c>
      <c r="DX57" t="e">
        <f>AND('Planilla_General_29-11-2012_10_'!M851,"AAAAAHe/T38=")</f>
        <v>#VALUE!</v>
      </c>
      <c r="DY57" t="e">
        <f>AND('Planilla_General_29-11-2012_10_'!N851,"AAAAAHe/T4A=")</f>
        <v>#VALUE!</v>
      </c>
      <c r="DZ57" t="e">
        <f>AND('Planilla_General_29-11-2012_10_'!O851,"AAAAAHe/T4E=")</f>
        <v>#VALUE!</v>
      </c>
      <c r="EA57" t="e">
        <f>AND('Planilla_General_29-11-2012_10_'!P851,"AAAAAHe/T4I=")</f>
        <v>#VALUE!</v>
      </c>
      <c r="EB57">
        <f>IF('Planilla_General_29-11-2012_10_'!852:852,"AAAAAHe/T4M=",0)</f>
        <v>0</v>
      </c>
      <c r="EC57" t="e">
        <f>AND('Planilla_General_29-11-2012_10_'!A852,"AAAAAHe/T4Q=")</f>
        <v>#VALUE!</v>
      </c>
      <c r="ED57" t="e">
        <f>AND('Planilla_General_29-11-2012_10_'!B852,"AAAAAHe/T4U=")</f>
        <v>#VALUE!</v>
      </c>
      <c r="EE57" t="e">
        <f>AND('Planilla_General_29-11-2012_10_'!C852,"AAAAAHe/T4Y=")</f>
        <v>#VALUE!</v>
      </c>
      <c r="EF57" t="e">
        <f>AND('Planilla_General_29-11-2012_10_'!D852,"AAAAAHe/T4c=")</f>
        <v>#VALUE!</v>
      </c>
      <c r="EG57" t="e">
        <f>AND('Planilla_General_29-11-2012_10_'!E852,"AAAAAHe/T4g=")</f>
        <v>#VALUE!</v>
      </c>
      <c r="EH57" t="e">
        <f>AND('Planilla_General_29-11-2012_10_'!F852,"AAAAAHe/T4k=")</f>
        <v>#VALUE!</v>
      </c>
      <c r="EI57" t="e">
        <f>AND('Planilla_General_29-11-2012_10_'!G852,"AAAAAHe/T4o=")</f>
        <v>#VALUE!</v>
      </c>
      <c r="EJ57" t="e">
        <f>AND('Planilla_General_29-11-2012_10_'!H852,"AAAAAHe/T4s=")</f>
        <v>#VALUE!</v>
      </c>
      <c r="EK57" t="e">
        <f>AND('Planilla_General_29-11-2012_10_'!I852,"AAAAAHe/T4w=")</f>
        <v>#VALUE!</v>
      </c>
      <c r="EL57" t="e">
        <f>AND('Planilla_General_29-11-2012_10_'!J852,"AAAAAHe/T40=")</f>
        <v>#VALUE!</v>
      </c>
      <c r="EM57" t="e">
        <f>AND('Planilla_General_29-11-2012_10_'!K852,"AAAAAHe/T44=")</f>
        <v>#VALUE!</v>
      </c>
      <c r="EN57" t="e">
        <f>AND('Planilla_General_29-11-2012_10_'!L852,"AAAAAHe/T48=")</f>
        <v>#VALUE!</v>
      </c>
      <c r="EO57" t="e">
        <f>AND('Planilla_General_29-11-2012_10_'!M852,"AAAAAHe/T5A=")</f>
        <v>#VALUE!</v>
      </c>
      <c r="EP57" t="e">
        <f>AND('Planilla_General_29-11-2012_10_'!N852,"AAAAAHe/T5E=")</f>
        <v>#VALUE!</v>
      </c>
      <c r="EQ57" t="e">
        <f>AND('Planilla_General_29-11-2012_10_'!O852,"AAAAAHe/T5I=")</f>
        <v>#VALUE!</v>
      </c>
      <c r="ER57" t="e">
        <f>AND('Planilla_General_29-11-2012_10_'!P852,"AAAAAHe/T5M=")</f>
        <v>#VALUE!</v>
      </c>
      <c r="ES57">
        <f>IF('Planilla_General_29-11-2012_10_'!853:853,"AAAAAHe/T5Q=",0)</f>
        <v>0</v>
      </c>
      <c r="ET57" t="e">
        <f>AND('Planilla_General_29-11-2012_10_'!A853,"AAAAAHe/T5U=")</f>
        <v>#VALUE!</v>
      </c>
      <c r="EU57" t="e">
        <f>AND('Planilla_General_29-11-2012_10_'!B853,"AAAAAHe/T5Y=")</f>
        <v>#VALUE!</v>
      </c>
      <c r="EV57" t="e">
        <f>AND('Planilla_General_29-11-2012_10_'!C853,"AAAAAHe/T5c=")</f>
        <v>#VALUE!</v>
      </c>
      <c r="EW57" t="e">
        <f>AND('Planilla_General_29-11-2012_10_'!D853,"AAAAAHe/T5g=")</f>
        <v>#VALUE!</v>
      </c>
      <c r="EX57" t="e">
        <f>AND('Planilla_General_29-11-2012_10_'!E853,"AAAAAHe/T5k=")</f>
        <v>#VALUE!</v>
      </c>
      <c r="EY57" t="e">
        <f>AND('Planilla_General_29-11-2012_10_'!F853,"AAAAAHe/T5o=")</f>
        <v>#VALUE!</v>
      </c>
      <c r="EZ57" t="e">
        <f>AND('Planilla_General_29-11-2012_10_'!G853,"AAAAAHe/T5s=")</f>
        <v>#VALUE!</v>
      </c>
      <c r="FA57" t="e">
        <f>AND('Planilla_General_29-11-2012_10_'!H853,"AAAAAHe/T5w=")</f>
        <v>#VALUE!</v>
      </c>
      <c r="FB57" t="e">
        <f>AND('Planilla_General_29-11-2012_10_'!I853,"AAAAAHe/T50=")</f>
        <v>#VALUE!</v>
      </c>
      <c r="FC57" t="e">
        <f>AND('Planilla_General_29-11-2012_10_'!J853,"AAAAAHe/T54=")</f>
        <v>#VALUE!</v>
      </c>
      <c r="FD57" t="e">
        <f>AND('Planilla_General_29-11-2012_10_'!K853,"AAAAAHe/T58=")</f>
        <v>#VALUE!</v>
      </c>
      <c r="FE57" t="e">
        <f>AND('Planilla_General_29-11-2012_10_'!L853,"AAAAAHe/T6A=")</f>
        <v>#VALUE!</v>
      </c>
      <c r="FF57" t="e">
        <f>AND('Planilla_General_29-11-2012_10_'!M853,"AAAAAHe/T6E=")</f>
        <v>#VALUE!</v>
      </c>
      <c r="FG57" t="e">
        <f>AND('Planilla_General_29-11-2012_10_'!N853,"AAAAAHe/T6I=")</f>
        <v>#VALUE!</v>
      </c>
      <c r="FH57" t="e">
        <f>AND('Planilla_General_29-11-2012_10_'!O853,"AAAAAHe/T6M=")</f>
        <v>#VALUE!</v>
      </c>
      <c r="FI57" t="e">
        <f>AND('Planilla_General_29-11-2012_10_'!P853,"AAAAAHe/T6Q=")</f>
        <v>#VALUE!</v>
      </c>
      <c r="FJ57">
        <f>IF('Planilla_General_29-11-2012_10_'!854:854,"AAAAAHe/T6U=",0)</f>
        <v>0</v>
      </c>
      <c r="FK57" t="e">
        <f>AND('Planilla_General_29-11-2012_10_'!A854,"AAAAAHe/T6Y=")</f>
        <v>#VALUE!</v>
      </c>
      <c r="FL57" t="e">
        <f>AND('Planilla_General_29-11-2012_10_'!B854,"AAAAAHe/T6c=")</f>
        <v>#VALUE!</v>
      </c>
      <c r="FM57" t="e">
        <f>AND('Planilla_General_29-11-2012_10_'!C854,"AAAAAHe/T6g=")</f>
        <v>#VALUE!</v>
      </c>
      <c r="FN57" t="e">
        <f>AND('Planilla_General_29-11-2012_10_'!D854,"AAAAAHe/T6k=")</f>
        <v>#VALUE!</v>
      </c>
      <c r="FO57" t="e">
        <f>AND('Planilla_General_29-11-2012_10_'!E854,"AAAAAHe/T6o=")</f>
        <v>#VALUE!</v>
      </c>
      <c r="FP57" t="e">
        <f>AND('Planilla_General_29-11-2012_10_'!F854,"AAAAAHe/T6s=")</f>
        <v>#VALUE!</v>
      </c>
      <c r="FQ57" t="e">
        <f>AND('Planilla_General_29-11-2012_10_'!G854,"AAAAAHe/T6w=")</f>
        <v>#VALUE!</v>
      </c>
      <c r="FR57" t="e">
        <f>AND('Planilla_General_29-11-2012_10_'!H854,"AAAAAHe/T60=")</f>
        <v>#VALUE!</v>
      </c>
      <c r="FS57" t="e">
        <f>AND('Planilla_General_29-11-2012_10_'!I854,"AAAAAHe/T64=")</f>
        <v>#VALUE!</v>
      </c>
      <c r="FT57" t="e">
        <f>AND('Planilla_General_29-11-2012_10_'!J854,"AAAAAHe/T68=")</f>
        <v>#VALUE!</v>
      </c>
      <c r="FU57" t="e">
        <f>AND('Planilla_General_29-11-2012_10_'!K854,"AAAAAHe/T7A=")</f>
        <v>#VALUE!</v>
      </c>
      <c r="FV57" t="e">
        <f>AND('Planilla_General_29-11-2012_10_'!L854,"AAAAAHe/T7E=")</f>
        <v>#VALUE!</v>
      </c>
      <c r="FW57" t="e">
        <f>AND('Planilla_General_29-11-2012_10_'!M854,"AAAAAHe/T7I=")</f>
        <v>#VALUE!</v>
      </c>
      <c r="FX57" t="e">
        <f>AND('Planilla_General_29-11-2012_10_'!N854,"AAAAAHe/T7M=")</f>
        <v>#VALUE!</v>
      </c>
      <c r="FY57" t="e">
        <f>AND('Planilla_General_29-11-2012_10_'!O854,"AAAAAHe/T7Q=")</f>
        <v>#VALUE!</v>
      </c>
      <c r="FZ57" t="e">
        <f>AND('Planilla_General_29-11-2012_10_'!P854,"AAAAAHe/T7U=")</f>
        <v>#VALUE!</v>
      </c>
      <c r="GA57">
        <f>IF('Planilla_General_29-11-2012_10_'!855:855,"AAAAAHe/T7Y=",0)</f>
        <v>0</v>
      </c>
      <c r="GB57" t="e">
        <f>AND('Planilla_General_29-11-2012_10_'!A855,"AAAAAHe/T7c=")</f>
        <v>#VALUE!</v>
      </c>
      <c r="GC57" t="e">
        <f>AND('Planilla_General_29-11-2012_10_'!B855,"AAAAAHe/T7g=")</f>
        <v>#VALUE!</v>
      </c>
      <c r="GD57" t="e">
        <f>AND('Planilla_General_29-11-2012_10_'!C855,"AAAAAHe/T7k=")</f>
        <v>#VALUE!</v>
      </c>
      <c r="GE57" t="e">
        <f>AND('Planilla_General_29-11-2012_10_'!D855,"AAAAAHe/T7o=")</f>
        <v>#VALUE!</v>
      </c>
      <c r="GF57" t="e">
        <f>AND('Planilla_General_29-11-2012_10_'!E855,"AAAAAHe/T7s=")</f>
        <v>#VALUE!</v>
      </c>
      <c r="GG57" t="e">
        <f>AND('Planilla_General_29-11-2012_10_'!F855,"AAAAAHe/T7w=")</f>
        <v>#VALUE!</v>
      </c>
      <c r="GH57" t="e">
        <f>AND('Planilla_General_29-11-2012_10_'!G855,"AAAAAHe/T70=")</f>
        <v>#VALUE!</v>
      </c>
      <c r="GI57" t="e">
        <f>AND('Planilla_General_29-11-2012_10_'!H855,"AAAAAHe/T74=")</f>
        <v>#VALUE!</v>
      </c>
      <c r="GJ57" t="e">
        <f>AND('Planilla_General_29-11-2012_10_'!I855,"AAAAAHe/T78=")</f>
        <v>#VALUE!</v>
      </c>
      <c r="GK57" t="e">
        <f>AND('Planilla_General_29-11-2012_10_'!J855,"AAAAAHe/T8A=")</f>
        <v>#VALUE!</v>
      </c>
      <c r="GL57" t="e">
        <f>AND('Planilla_General_29-11-2012_10_'!K855,"AAAAAHe/T8E=")</f>
        <v>#VALUE!</v>
      </c>
      <c r="GM57" t="e">
        <f>AND('Planilla_General_29-11-2012_10_'!L855,"AAAAAHe/T8I=")</f>
        <v>#VALUE!</v>
      </c>
      <c r="GN57" t="e">
        <f>AND('Planilla_General_29-11-2012_10_'!M855,"AAAAAHe/T8M=")</f>
        <v>#VALUE!</v>
      </c>
      <c r="GO57" t="e">
        <f>AND('Planilla_General_29-11-2012_10_'!N855,"AAAAAHe/T8Q=")</f>
        <v>#VALUE!</v>
      </c>
      <c r="GP57" t="e">
        <f>AND('Planilla_General_29-11-2012_10_'!O855,"AAAAAHe/T8U=")</f>
        <v>#VALUE!</v>
      </c>
      <c r="GQ57" t="e">
        <f>AND('Planilla_General_29-11-2012_10_'!P855,"AAAAAHe/T8Y=")</f>
        <v>#VALUE!</v>
      </c>
      <c r="GR57">
        <f>IF('Planilla_General_29-11-2012_10_'!856:856,"AAAAAHe/T8c=",0)</f>
        <v>0</v>
      </c>
      <c r="GS57" t="e">
        <f>AND('Planilla_General_29-11-2012_10_'!A856,"AAAAAHe/T8g=")</f>
        <v>#VALUE!</v>
      </c>
      <c r="GT57" t="e">
        <f>AND('Planilla_General_29-11-2012_10_'!B856,"AAAAAHe/T8k=")</f>
        <v>#VALUE!</v>
      </c>
      <c r="GU57" t="e">
        <f>AND('Planilla_General_29-11-2012_10_'!C856,"AAAAAHe/T8o=")</f>
        <v>#VALUE!</v>
      </c>
      <c r="GV57" t="e">
        <f>AND('Planilla_General_29-11-2012_10_'!D856,"AAAAAHe/T8s=")</f>
        <v>#VALUE!</v>
      </c>
      <c r="GW57" t="e">
        <f>AND('Planilla_General_29-11-2012_10_'!E856,"AAAAAHe/T8w=")</f>
        <v>#VALUE!</v>
      </c>
      <c r="GX57" t="e">
        <f>AND('Planilla_General_29-11-2012_10_'!F856,"AAAAAHe/T80=")</f>
        <v>#VALUE!</v>
      </c>
      <c r="GY57" t="e">
        <f>AND('Planilla_General_29-11-2012_10_'!G856,"AAAAAHe/T84=")</f>
        <v>#VALUE!</v>
      </c>
      <c r="GZ57" t="e">
        <f>AND('Planilla_General_29-11-2012_10_'!H856,"AAAAAHe/T88=")</f>
        <v>#VALUE!</v>
      </c>
      <c r="HA57" t="e">
        <f>AND('Planilla_General_29-11-2012_10_'!I856,"AAAAAHe/T9A=")</f>
        <v>#VALUE!</v>
      </c>
      <c r="HB57" t="e">
        <f>AND('Planilla_General_29-11-2012_10_'!J856,"AAAAAHe/T9E=")</f>
        <v>#VALUE!</v>
      </c>
      <c r="HC57" t="e">
        <f>AND('Planilla_General_29-11-2012_10_'!K856,"AAAAAHe/T9I=")</f>
        <v>#VALUE!</v>
      </c>
      <c r="HD57" t="e">
        <f>AND('Planilla_General_29-11-2012_10_'!L856,"AAAAAHe/T9M=")</f>
        <v>#VALUE!</v>
      </c>
      <c r="HE57" t="e">
        <f>AND('Planilla_General_29-11-2012_10_'!M856,"AAAAAHe/T9Q=")</f>
        <v>#VALUE!</v>
      </c>
      <c r="HF57" t="e">
        <f>AND('Planilla_General_29-11-2012_10_'!N856,"AAAAAHe/T9U=")</f>
        <v>#VALUE!</v>
      </c>
      <c r="HG57" t="e">
        <f>AND('Planilla_General_29-11-2012_10_'!O856,"AAAAAHe/T9Y=")</f>
        <v>#VALUE!</v>
      </c>
      <c r="HH57" t="e">
        <f>AND('Planilla_General_29-11-2012_10_'!P856,"AAAAAHe/T9c=")</f>
        <v>#VALUE!</v>
      </c>
      <c r="HI57">
        <f>IF('Planilla_General_29-11-2012_10_'!857:857,"AAAAAHe/T9g=",0)</f>
        <v>0</v>
      </c>
      <c r="HJ57" t="e">
        <f>AND('Planilla_General_29-11-2012_10_'!A857,"AAAAAHe/T9k=")</f>
        <v>#VALUE!</v>
      </c>
      <c r="HK57" t="e">
        <f>AND('Planilla_General_29-11-2012_10_'!B857,"AAAAAHe/T9o=")</f>
        <v>#VALUE!</v>
      </c>
      <c r="HL57" t="e">
        <f>AND('Planilla_General_29-11-2012_10_'!C857,"AAAAAHe/T9s=")</f>
        <v>#VALUE!</v>
      </c>
      <c r="HM57" t="e">
        <f>AND('Planilla_General_29-11-2012_10_'!D857,"AAAAAHe/T9w=")</f>
        <v>#VALUE!</v>
      </c>
      <c r="HN57" t="e">
        <f>AND('Planilla_General_29-11-2012_10_'!E857,"AAAAAHe/T90=")</f>
        <v>#VALUE!</v>
      </c>
      <c r="HO57" t="e">
        <f>AND('Planilla_General_29-11-2012_10_'!F857,"AAAAAHe/T94=")</f>
        <v>#VALUE!</v>
      </c>
      <c r="HP57" t="e">
        <f>AND('Planilla_General_29-11-2012_10_'!G857,"AAAAAHe/T98=")</f>
        <v>#VALUE!</v>
      </c>
      <c r="HQ57" t="e">
        <f>AND('Planilla_General_29-11-2012_10_'!H857,"AAAAAHe/T+A=")</f>
        <v>#VALUE!</v>
      </c>
      <c r="HR57" t="e">
        <f>AND('Planilla_General_29-11-2012_10_'!I857,"AAAAAHe/T+E=")</f>
        <v>#VALUE!</v>
      </c>
      <c r="HS57" t="e">
        <f>AND('Planilla_General_29-11-2012_10_'!J857,"AAAAAHe/T+I=")</f>
        <v>#VALUE!</v>
      </c>
      <c r="HT57" t="e">
        <f>AND('Planilla_General_29-11-2012_10_'!K857,"AAAAAHe/T+M=")</f>
        <v>#VALUE!</v>
      </c>
      <c r="HU57" t="e">
        <f>AND('Planilla_General_29-11-2012_10_'!L857,"AAAAAHe/T+Q=")</f>
        <v>#VALUE!</v>
      </c>
      <c r="HV57" t="e">
        <f>AND('Planilla_General_29-11-2012_10_'!M857,"AAAAAHe/T+U=")</f>
        <v>#VALUE!</v>
      </c>
      <c r="HW57" t="e">
        <f>AND('Planilla_General_29-11-2012_10_'!N857,"AAAAAHe/T+Y=")</f>
        <v>#VALUE!</v>
      </c>
      <c r="HX57" t="e">
        <f>AND('Planilla_General_29-11-2012_10_'!O857,"AAAAAHe/T+c=")</f>
        <v>#VALUE!</v>
      </c>
      <c r="HY57" t="e">
        <f>AND('Planilla_General_29-11-2012_10_'!P857,"AAAAAHe/T+g=")</f>
        <v>#VALUE!</v>
      </c>
      <c r="HZ57">
        <f>IF('Planilla_General_29-11-2012_10_'!858:858,"AAAAAHe/T+k=",0)</f>
        <v>0</v>
      </c>
      <c r="IA57" t="e">
        <f>AND('Planilla_General_29-11-2012_10_'!A858,"AAAAAHe/T+o=")</f>
        <v>#VALUE!</v>
      </c>
      <c r="IB57" t="e">
        <f>AND('Planilla_General_29-11-2012_10_'!B858,"AAAAAHe/T+s=")</f>
        <v>#VALUE!</v>
      </c>
      <c r="IC57" t="e">
        <f>AND('Planilla_General_29-11-2012_10_'!C858,"AAAAAHe/T+w=")</f>
        <v>#VALUE!</v>
      </c>
      <c r="ID57" t="e">
        <f>AND('Planilla_General_29-11-2012_10_'!D858,"AAAAAHe/T+0=")</f>
        <v>#VALUE!</v>
      </c>
      <c r="IE57" t="e">
        <f>AND('Planilla_General_29-11-2012_10_'!E858,"AAAAAHe/T+4=")</f>
        <v>#VALUE!</v>
      </c>
      <c r="IF57" t="e">
        <f>AND('Planilla_General_29-11-2012_10_'!F858,"AAAAAHe/T+8=")</f>
        <v>#VALUE!</v>
      </c>
      <c r="IG57" t="e">
        <f>AND('Planilla_General_29-11-2012_10_'!G858,"AAAAAHe/T/A=")</f>
        <v>#VALUE!</v>
      </c>
      <c r="IH57" t="e">
        <f>AND('Planilla_General_29-11-2012_10_'!H858,"AAAAAHe/T/E=")</f>
        <v>#VALUE!</v>
      </c>
      <c r="II57" t="e">
        <f>AND('Planilla_General_29-11-2012_10_'!I858,"AAAAAHe/T/I=")</f>
        <v>#VALUE!</v>
      </c>
      <c r="IJ57" t="e">
        <f>AND('Planilla_General_29-11-2012_10_'!J858,"AAAAAHe/T/M=")</f>
        <v>#VALUE!</v>
      </c>
      <c r="IK57" t="e">
        <f>AND('Planilla_General_29-11-2012_10_'!K858,"AAAAAHe/T/Q=")</f>
        <v>#VALUE!</v>
      </c>
      <c r="IL57" t="e">
        <f>AND('Planilla_General_29-11-2012_10_'!L858,"AAAAAHe/T/U=")</f>
        <v>#VALUE!</v>
      </c>
      <c r="IM57" t="e">
        <f>AND('Planilla_General_29-11-2012_10_'!M858,"AAAAAHe/T/Y=")</f>
        <v>#VALUE!</v>
      </c>
      <c r="IN57" t="e">
        <f>AND('Planilla_General_29-11-2012_10_'!N858,"AAAAAHe/T/c=")</f>
        <v>#VALUE!</v>
      </c>
      <c r="IO57" t="e">
        <f>AND('Planilla_General_29-11-2012_10_'!O858,"AAAAAHe/T/g=")</f>
        <v>#VALUE!</v>
      </c>
      <c r="IP57" t="e">
        <f>AND('Planilla_General_29-11-2012_10_'!P858,"AAAAAHe/T/k=")</f>
        <v>#VALUE!</v>
      </c>
      <c r="IQ57">
        <f>IF('Planilla_General_29-11-2012_10_'!859:859,"AAAAAHe/T/o=",0)</f>
        <v>0</v>
      </c>
      <c r="IR57" t="e">
        <f>AND('Planilla_General_29-11-2012_10_'!A859,"AAAAAHe/T/s=")</f>
        <v>#VALUE!</v>
      </c>
      <c r="IS57" t="e">
        <f>AND('Planilla_General_29-11-2012_10_'!B859,"AAAAAHe/T/w=")</f>
        <v>#VALUE!</v>
      </c>
      <c r="IT57" t="e">
        <f>AND('Planilla_General_29-11-2012_10_'!C859,"AAAAAHe/T/0=")</f>
        <v>#VALUE!</v>
      </c>
      <c r="IU57" t="e">
        <f>AND('Planilla_General_29-11-2012_10_'!D859,"AAAAAHe/T/4=")</f>
        <v>#VALUE!</v>
      </c>
      <c r="IV57" t="e">
        <f>AND('Planilla_General_29-11-2012_10_'!E859,"AAAAAHe/T/8=")</f>
        <v>#VALUE!</v>
      </c>
    </row>
    <row r="58" spans="1:256" x14ac:dyDescent="0.25">
      <c r="A58" t="e">
        <f>AND('Planilla_General_29-11-2012_10_'!F859,"AAAAAH/j/wA=")</f>
        <v>#VALUE!</v>
      </c>
      <c r="B58" t="e">
        <f>AND('Planilla_General_29-11-2012_10_'!G859,"AAAAAH/j/wE=")</f>
        <v>#VALUE!</v>
      </c>
      <c r="C58" t="e">
        <f>AND('Planilla_General_29-11-2012_10_'!H859,"AAAAAH/j/wI=")</f>
        <v>#VALUE!</v>
      </c>
      <c r="D58" t="e">
        <f>AND('Planilla_General_29-11-2012_10_'!I859,"AAAAAH/j/wM=")</f>
        <v>#VALUE!</v>
      </c>
      <c r="E58" t="e">
        <f>AND('Planilla_General_29-11-2012_10_'!J859,"AAAAAH/j/wQ=")</f>
        <v>#VALUE!</v>
      </c>
      <c r="F58" t="e">
        <f>AND('Planilla_General_29-11-2012_10_'!K859,"AAAAAH/j/wU=")</f>
        <v>#VALUE!</v>
      </c>
      <c r="G58" t="e">
        <f>AND('Planilla_General_29-11-2012_10_'!L859,"AAAAAH/j/wY=")</f>
        <v>#VALUE!</v>
      </c>
      <c r="H58" t="e">
        <f>AND('Planilla_General_29-11-2012_10_'!M859,"AAAAAH/j/wc=")</f>
        <v>#VALUE!</v>
      </c>
      <c r="I58" t="e">
        <f>AND('Planilla_General_29-11-2012_10_'!N859,"AAAAAH/j/wg=")</f>
        <v>#VALUE!</v>
      </c>
      <c r="J58" t="e">
        <f>AND('Planilla_General_29-11-2012_10_'!O859,"AAAAAH/j/wk=")</f>
        <v>#VALUE!</v>
      </c>
      <c r="K58" t="e">
        <f>AND('Planilla_General_29-11-2012_10_'!P859,"AAAAAH/j/wo=")</f>
        <v>#VALUE!</v>
      </c>
      <c r="L58" t="str">
        <f>IF('Planilla_General_29-11-2012_10_'!860:860,"AAAAAH/j/ws=",0)</f>
        <v>AAAAAH/j/ws=</v>
      </c>
      <c r="M58" t="e">
        <f>AND('Planilla_General_29-11-2012_10_'!A860,"AAAAAH/j/ww=")</f>
        <v>#VALUE!</v>
      </c>
      <c r="N58" t="e">
        <f>AND('Planilla_General_29-11-2012_10_'!B860,"AAAAAH/j/w0=")</f>
        <v>#VALUE!</v>
      </c>
      <c r="O58" t="e">
        <f>AND('Planilla_General_29-11-2012_10_'!C860,"AAAAAH/j/w4=")</f>
        <v>#VALUE!</v>
      </c>
      <c r="P58" t="e">
        <f>AND('Planilla_General_29-11-2012_10_'!D860,"AAAAAH/j/w8=")</f>
        <v>#VALUE!</v>
      </c>
      <c r="Q58" t="e">
        <f>AND('Planilla_General_29-11-2012_10_'!E860,"AAAAAH/j/xA=")</f>
        <v>#VALUE!</v>
      </c>
      <c r="R58" t="e">
        <f>AND('Planilla_General_29-11-2012_10_'!F860,"AAAAAH/j/xE=")</f>
        <v>#VALUE!</v>
      </c>
      <c r="S58" t="e">
        <f>AND('Planilla_General_29-11-2012_10_'!G860,"AAAAAH/j/xI=")</f>
        <v>#VALUE!</v>
      </c>
      <c r="T58" t="e">
        <f>AND('Planilla_General_29-11-2012_10_'!H860,"AAAAAH/j/xM=")</f>
        <v>#VALUE!</v>
      </c>
      <c r="U58" t="e">
        <f>AND('Planilla_General_29-11-2012_10_'!I860,"AAAAAH/j/xQ=")</f>
        <v>#VALUE!</v>
      </c>
      <c r="V58" t="e">
        <f>AND('Planilla_General_29-11-2012_10_'!J860,"AAAAAH/j/xU=")</f>
        <v>#VALUE!</v>
      </c>
      <c r="W58" t="e">
        <f>AND('Planilla_General_29-11-2012_10_'!K860,"AAAAAH/j/xY=")</f>
        <v>#VALUE!</v>
      </c>
      <c r="X58" t="e">
        <f>AND('Planilla_General_29-11-2012_10_'!L860,"AAAAAH/j/xc=")</f>
        <v>#VALUE!</v>
      </c>
      <c r="Y58" t="e">
        <f>AND('Planilla_General_29-11-2012_10_'!M860,"AAAAAH/j/xg=")</f>
        <v>#VALUE!</v>
      </c>
      <c r="Z58" t="e">
        <f>AND('Planilla_General_29-11-2012_10_'!N860,"AAAAAH/j/xk=")</f>
        <v>#VALUE!</v>
      </c>
      <c r="AA58" t="e">
        <f>AND('Planilla_General_29-11-2012_10_'!O860,"AAAAAH/j/xo=")</f>
        <v>#VALUE!</v>
      </c>
      <c r="AB58" t="e">
        <f>AND('Planilla_General_29-11-2012_10_'!P860,"AAAAAH/j/xs=")</f>
        <v>#VALUE!</v>
      </c>
      <c r="AC58">
        <f>IF('Planilla_General_29-11-2012_10_'!861:861,"AAAAAH/j/xw=",0)</f>
        <v>0</v>
      </c>
      <c r="AD58" t="e">
        <f>AND('Planilla_General_29-11-2012_10_'!A861,"AAAAAH/j/x0=")</f>
        <v>#VALUE!</v>
      </c>
      <c r="AE58" t="e">
        <f>AND('Planilla_General_29-11-2012_10_'!B861,"AAAAAH/j/x4=")</f>
        <v>#VALUE!</v>
      </c>
      <c r="AF58" t="e">
        <f>AND('Planilla_General_29-11-2012_10_'!C861,"AAAAAH/j/x8=")</f>
        <v>#VALUE!</v>
      </c>
      <c r="AG58" t="e">
        <f>AND('Planilla_General_29-11-2012_10_'!D861,"AAAAAH/j/yA=")</f>
        <v>#VALUE!</v>
      </c>
      <c r="AH58" t="e">
        <f>AND('Planilla_General_29-11-2012_10_'!E861,"AAAAAH/j/yE=")</f>
        <v>#VALUE!</v>
      </c>
      <c r="AI58" t="e">
        <f>AND('Planilla_General_29-11-2012_10_'!F861,"AAAAAH/j/yI=")</f>
        <v>#VALUE!</v>
      </c>
      <c r="AJ58" t="e">
        <f>AND('Planilla_General_29-11-2012_10_'!G861,"AAAAAH/j/yM=")</f>
        <v>#VALUE!</v>
      </c>
      <c r="AK58" t="e">
        <f>AND('Planilla_General_29-11-2012_10_'!H861,"AAAAAH/j/yQ=")</f>
        <v>#VALUE!</v>
      </c>
      <c r="AL58" t="e">
        <f>AND('Planilla_General_29-11-2012_10_'!I861,"AAAAAH/j/yU=")</f>
        <v>#VALUE!</v>
      </c>
      <c r="AM58" t="e">
        <f>AND('Planilla_General_29-11-2012_10_'!J861,"AAAAAH/j/yY=")</f>
        <v>#VALUE!</v>
      </c>
      <c r="AN58" t="e">
        <f>AND('Planilla_General_29-11-2012_10_'!K861,"AAAAAH/j/yc=")</f>
        <v>#VALUE!</v>
      </c>
      <c r="AO58" t="e">
        <f>AND('Planilla_General_29-11-2012_10_'!L861,"AAAAAH/j/yg=")</f>
        <v>#VALUE!</v>
      </c>
      <c r="AP58" t="e">
        <f>AND('Planilla_General_29-11-2012_10_'!M861,"AAAAAH/j/yk=")</f>
        <v>#VALUE!</v>
      </c>
      <c r="AQ58" t="e">
        <f>AND('Planilla_General_29-11-2012_10_'!N861,"AAAAAH/j/yo=")</f>
        <v>#VALUE!</v>
      </c>
      <c r="AR58" t="e">
        <f>AND('Planilla_General_29-11-2012_10_'!O861,"AAAAAH/j/ys=")</f>
        <v>#VALUE!</v>
      </c>
      <c r="AS58" t="e">
        <f>AND('Planilla_General_29-11-2012_10_'!P861,"AAAAAH/j/yw=")</f>
        <v>#VALUE!</v>
      </c>
      <c r="AT58">
        <f>IF('Planilla_General_29-11-2012_10_'!862:862,"AAAAAH/j/y0=",0)</f>
        <v>0</v>
      </c>
      <c r="AU58" t="e">
        <f>AND('Planilla_General_29-11-2012_10_'!A862,"AAAAAH/j/y4=")</f>
        <v>#VALUE!</v>
      </c>
      <c r="AV58" t="e">
        <f>AND('Planilla_General_29-11-2012_10_'!B862,"AAAAAH/j/y8=")</f>
        <v>#VALUE!</v>
      </c>
      <c r="AW58" t="e">
        <f>AND('Planilla_General_29-11-2012_10_'!C862,"AAAAAH/j/zA=")</f>
        <v>#VALUE!</v>
      </c>
      <c r="AX58" t="e">
        <f>AND('Planilla_General_29-11-2012_10_'!D862,"AAAAAH/j/zE=")</f>
        <v>#VALUE!</v>
      </c>
      <c r="AY58" t="e">
        <f>AND('Planilla_General_29-11-2012_10_'!E862,"AAAAAH/j/zI=")</f>
        <v>#VALUE!</v>
      </c>
      <c r="AZ58" t="e">
        <f>AND('Planilla_General_29-11-2012_10_'!F862,"AAAAAH/j/zM=")</f>
        <v>#VALUE!</v>
      </c>
      <c r="BA58" t="e">
        <f>AND('Planilla_General_29-11-2012_10_'!G862,"AAAAAH/j/zQ=")</f>
        <v>#VALUE!</v>
      </c>
      <c r="BB58" t="e">
        <f>AND('Planilla_General_29-11-2012_10_'!H862,"AAAAAH/j/zU=")</f>
        <v>#VALUE!</v>
      </c>
      <c r="BC58" t="e">
        <f>AND('Planilla_General_29-11-2012_10_'!I862,"AAAAAH/j/zY=")</f>
        <v>#VALUE!</v>
      </c>
      <c r="BD58" t="e">
        <f>AND('Planilla_General_29-11-2012_10_'!J862,"AAAAAH/j/zc=")</f>
        <v>#VALUE!</v>
      </c>
      <c r="BE58" t="e">
        <f>AND('Planilla_General_29-11-2012_10_'!K862,"AAAAAH/j/zg=")</f>
        <v>#VALUE!</v>
      </c>
      <c r="BF58" t="e">
        <f>AND('Planilla_General_29-11-2012_10_'!L862,"AAAAAH/j/zk=")</f>
        <v>#VALUE!</v>
      </c>
      <c r="BG58" t="e">
        <f>AND('Planilla_General_29-11-2012_10_'!M862,"AAAAAH/j/zo=")</f>
        <v>#VALUE!</v>
      </c>
      <c r="BH58" t="e">
        <f>AND('Planilla_General_29-11-2012_10_'!N862,"AAAAAH/j/zs=")</f>
        <v>#VALUE!</v>
      </c>
      <c r="BI58" t="e">
        <f>AND('Planilla_General_29-11-2012_10_'!O862,"AAAAAH/j/zw=")</f>
        <v>#VALUE!</v>
      </c>
      <c r="BJ58" t="e">
        <f>AND('Planilla_General_29-11-2012_10_'!P862,"AAAAAH/j/z0=")</f>
        <v>#VALUE!</v>
      </c>
      <c r="BK58">
        <f>IF('Planilla_General_29-11-2012_10_'!863:863,"AAAAAH/j/z4=",0)</f>
        <v>0</v>
      </c>
      <c r="BL58" t="e">
        <f>AND('Planilla_General_29-11-2012_10_'!A863,"AAAAAH/j/z8=")</f>
        <v>#VALUE!</v>
      </c>
      <c r="BM58" t="e">
        <f>AND('Planilla_General_29-11-2012_10_'!B863,"AAAAAH/j/0A=")</f>
        <v>#VALUE!</v>
      </c>
      <c r="BN58" t="e">
        <f>AND('Planilla_General_29-11-2012_10_'!C863,"AAAAAH/j/0E=")</f>
        <v>#VALUE!</v>
      </c>
      <c r="BO58" t="e">
        <f>AND('Planilla_General_29-11-2012_10_'!D863,"AAAAAH/j/0I=")</f>
        <v>#VALUE!</v>
      </c>
      <c r="BP58" t="e">
        <f>AND('Planilla_General_29-11-2012_10_'!E863,"AAAAAH/j/0M=")</f>
        <v>#VALUE!</v>
      </c>
      <c r="BQ58" t="e">
        <f>AND('Planilla_General_29-11-2012_10_'!F863,"AAAAAH/j/0Q=")</f>
        <v>#VALUE!</v>
      </c>
      <c r="BR58" t="e">
        <f>AND('Planilla_General_29-11-2012_10_'!G863,"AAAAAH/j/0U=")</f>
        <v>#VALUE!</v>
      </c>
      <c r="BS58" t="e">
        <f>AND('Planilla_General_29-11-2012_10_'!H863,"AAAAAH/j/0Y=")</f>
        <v>#VALUE!</v>
      </c>
      <c r="BT58" t="e">
        <f>AND('Planilla_General_29-11-2012_10_'!I863,"AAAAAH/j/0c=")</f>
        <v>#VALUE!</v>
      </c>
      <c r="BU58" t="e">
        <f>AND('Planilla_General_29-11-2012_10_'!J863,"AAAAAH/j/0g=")</f>
        <v>#VALUE!</v>
      </c>
      <c r="BV58" t="e">
        <f>AND('Planilla_General_29-11-2012_10_'!K863,"AAAAAH/j/0k=")</f>
        <v>#VALUE!</v>
      </c>
      <c r="BW58" t="e">
        <f>AND('Planilla_General_29-11-2012_10_'!L863,"AAAAAH/j/0o=")</f>
        <v>#VALUE!</v>
      </c>
      <c r="BX58" t="e">
        <f>AND('Planilla_General_29-11-2012_10_'!M863,"AAAAAH/j/0s=")</f>
        <v>#VALUE!</v>
      </c>
      <c r="BY58" t="e">
        <f>AND('Planilla_General_29-11-2012_10_'!N863,"AAAAAH/j/0w=")</f>
        <v>#VALUE!</v>
      </c>
      <c r="BZ58" t="e">
        <f>AND('Planilla_General_29-11-2012_10_'!O863,"AAAAAH/j/00=")</f>
        <v>#VALUE!</v>
      </c>
      <c r="CA58" t="e">
        <f>AND('Planilla_General_29-11-2012_10_'!P863,"AAAAAH/j/04=")</f>
        <v>#VALUE!</v>
      </c>
      <c r="CB58">
        <f>IF('Planilla_General_29-11-2012_10_'!864:864,"AAAAAH/j/08=",0)</f>
        <v>0</v>
      </c>
      <c r="CC58" t="e">
        <f>AND('Planilla_General_29-11-2012_10_'!A864,"AAAAAH/j/1A=")</f>
        <v>#VALUE!</v>
      </c>
      <c r="CD58" t="e">
        <f>AND('Planilla_General_29-11-2012_10_'!B864,"AAAAAH/j/1E=")</f>
        <v>#VALUE!</v>
      </c>
      <c r="CE58" t="e">
        <f>AND('Planilla_General_29-11-2012_10_'!C864,"AAAAAH/j/1I=")</f>
        <v>#VALUE!</v>
      </c>
      <c r="CF58" t="e">
        <f>AND('Planilla_General_29-11-2012_10_'!D864,"AAAAAH/j/1M=")</f>
        <v>#VALUE!</v>
      </c>
      <c r="CG58" t="e">
        <f>AND('Planilla_General_29-11-2012_10_'!E864,"AAAAAH/j/1Q=")</f>
        <v>#VALUE!</v>
      </c>
      <c r="CH58" t="e">
        <f>AND('Planilla_General_29-11-2012_10_'!F864,"AAAAAH/j/1U=")</f>
        <v>#VALUE!</v>
      </c>
      <c r="CI58" t="e">
        <f>AND('Planilla_General_29-11-2012_10_'!G864,"AAAAAH/j/1Y=")</f>
        <v>#VALUE!</v>
      </c>
      <c r="CJ58" t="e">
        <f>AND('Planilla_General_29-11-2012_10_'!H864,"AAAAAH/j/1c=")</f>
        <v>#VALUE!</v>
      </c>
      <c r="CK58" t="e">
        <f>AND('Planilla_General_29-11-2012_10_'!I864,"AAAAAH/j/1g=")</f>
        <v>#VALUE!</v>
      </c>
      <c r="CL58" t="e">
        <f>AND('Planilla_General_29-11-2012_10_'!J864,"AAAAAH/j/1k=")</f>
        <v>#VALUE!</v>
      </c>
      <c r="CM58" t="e">
        <f>AND('Planilla_General_29-11-2012_10_'!K864,"AAAAAH/j/1o=")</f>
        <v>#VALUE!</v>
      </c>
      <c r="CN58" t="e">
        <f>AND('Planilla_General_29-11-2012_10_'!L864,"AAAAAH/j/1s=")</f>
        <v>#VALUE!</v>
      </c>
      <c r="CO58" t="e">
        <f>AND('Planilla_General_29-11-2012_10_'!M864,"AAAAAH/j/1w=")</f>
        <v>#VALUE!</v>
      </c>
      <c r="CP58" t="e">
        <f>AND('Planilla_General_29-11-2012_10_'!N864,"AAAAAH/j/10=")</f>
        <v>#VALUE!</v>
      </c>
      <c r="CQ58" t="e">
        <f>AND('Planilla_General_29-11-2012_10_'!O864,"AAAAAH/j/14=")</f>
        <v>#VALUE!</v>
      </c>
      <c r="CR58" t="e">
        <f>AND('Planilla_General_29-11-2012_10_'!P864,"AAAAAH/j/18=")</f>
        <v>#VALUE!</v>
      </c>
      <c r="CS58">
        <f>IF('Planilla_General_29-11-2012_10_'!865:865,"AAAAAH/j/2A=",0)</f>
        <v>0</v>
      </c>
      <c r="CT58" t="e">
        <f>AND('Planilla_General_29-11-2012_10_'!A865,"AAAAAH/j/2E=")</f>
        <v>#VALUE!</v>
      </c>
      <c r="CU58" t="e">
        <f>AND('Planilla_General_29-11-2012_10_'!B865,"AAAAAH/j/2I=")</f>
        <v>#VALUE!</v>
      </c>
      <c r="CV58" t="e">
        <f>AND('Planilla_General_29-11-2012_10_'!C865,"AAAAAH/j/2M=")</f>
        <v>#VALUE!</v>
      </c>
      <c r="CW58" t="e">
        <f>AND('Planilla_General_29-11-2012_10_'!D865,"AAAAAH/j/2Q=")</f>
        <v>#VALUE!</v>
      </c>
      <c r="CX58" t="e">
        <f>AND('Planilla_General_29-11-2012_10_'!E865,"AAAAAH/j/2U=")</f>
        <v>#VALUE!</v>
      </c>
      <c r="CY58" t="e">
        <f>AND('Planilla_General_29-11-2012_10_'!F865,"AAAAAH/j/2Y=")</f>
        <v>#VALUE!</v>
      </c>
      <c r="CZ58" t="e">
        <f>AND('Planilla_General_29-11-2012_10_'!G865,"AAAAAH/j/2c=")</f>
        <v>#VALUE!</v>
      </c>
      <c r="DA58" t="e">
        <f>AND('Planilla_General_29-11-2012_10_'!H865,"AAAAAH/j/2g=")</f>
        <v>#VALUE!</v>
      </c>
      <c r="DB58" t="e">
        <f>AND('Planilla_General_29-11-2012_10_'!I865,"AAAAAH/j/2k=")</f>
        <v>#VALUE!</v>
      </c>
      <c r="DC58" t="e">
        <f>AND('Planilla_General_29-11-2012_10_'!J865,"AAAAAH/j/2o=")</f>
        <v>#VALUE!</v>
      </c>
      <c r="DD58" t="e">
        <f>AND('Planilla_General_29-11-2012_10_'!K865,"AAAAAH/j/2s=")</f>
        <v>#VALUE!</v>
      </c>
      <c r="DE58" t="e">
        <f>AND('Planilla_General_29-11-2012_10_'!L865,"AAAAAH/j/2w=")</f>
        <v>#VALUE!</v>
      </c>
      <c r="DF58" t="e">
        <f>AND('Planilla_General_29-11-2012_10_'!M865,"AAAAAH/j/20=")</f>
        <v>#VALUE!</v>
      </c>
      <c r="DG58" t="e">
        <f>AND('Planilla_General_29-11-2012_10_'!N865,"AAAAAH/j/24=")</f>
        <v>#VALUE!</v>
      </c>
      <c r="DH58" t="e">
        <f>AND('Planilla_General_29-11-2012_10_'!O865,"AAAAAH/j/28=")</f>
        <v>#VALUE!</v>
      </c>
      <c r="DI58" t="e">
        <f>AND('Planilla_General_29-11-2012_10_'!P865,"AAAAAH/j/3A=")</f>
        <v>#VALUE!</v>
      </c>
      <c r="DJ58">
        <f>IF('Planilla_General_29-11-2012_10_'!866:866,"AAAAAH/j/3E=",0)</f>
        <v>0</v>
      </c>
      <c r="DK58" t="e">
        <f>AND('Planilla_General_29-11-2012_10_'!A866,"AAAAAH/j/3I=")</f>
        <v>#VALUE!</v>
      </c>
      <c r="DL58" t="e">
        <f>AND('Planilla_General_29-11-2012_10_'!B866,"AAAAAH/j/3M=")</f>
        <v>#VALUE!</v>
      </c>
      <c r="DM58" t="e">
        <f>AND('Planilla_General_29-11-2012_10_'!C866,"AAAAAH/j/3Q=")</f>
        <v>#VALUE!</v>
      </c>
      <c r="DN58" t="e">
        <f>AND('Planilla_General_29-11-2012_10_'!D866,"AAAAAH/j/3U=")</f>
        <v>#VALUE!</v>
      </c>
      <c r="DO58" t="e">
        <f>AND('Planilla_General_29-11-2012_10_'!E866,"AAAAAH/j/3Y=")</f>
        <v>#VALUE!</v>
      </c>
      <c r="DP58" t="e">
        <f>AND('Planilla_General_29-11-2012_10_'!F866,"AAAAAH/j/3c=")</f>
        <v>#VALUE!</v>
      </c>
      <c r="DQ58" t="e">
        <f>AND('Planilla_General_29-11-2012_10_'!G866,"AAAAAH/j/3g=")</f>
        <v>#VALUE!</v>
      </c>
      <c r="DR58" t="e">
        <f>AND('Planilla_General_29-11-2012_10_'!H866,"AAAAAH/j/3k=")</f>
        <v>#VALUE!</v>
      </c>
      <c r="DS58" t="e">
        <f>AND('Planilla_General_29-11-2012_10_'!I866,"AAAAAH/j/3o=")</f>
        <v>#VALUE!</v>
      </c>
      <c r="DT58" t="e">
        <f>AND('Planilla_General_29-11-2012_10_'!J866,"AAAAAH/j/3s=")</f>
        <v>#VALUE!</v>
      </c>
      <c r="DU58" t="e">
        <f>AND('Planilla_General_29-11-2012_10_'!K866,"AAAAAH/j/3w=")</f>
        <v>#VALUE!</v>
      </c>
      <c r="DV58" t="e">
        <f>AND('Planilla_General_29-11-2012_10_'!L866,"AAAAAH/j/30=")</f>
        <v>#VALUE!</v>
      </c>
      <c r="DW58" t="e">
        <f>AND('Planilla_General_29-11-2012_10_'!M866,"AAAAAH/j/34=")</f>
        <v>#VALUE!</v>
      </c>
      <c r="DX58" t="e">
        <f>AND('Planilla_General_29-11-2012_10_'!N866,"AAAAAH/j/38=")</f>
        <v>#VALUE!</v>
      </c>
      <c r="DY58" t="e">
        <f>AND('Planilla_General_29-11-2012_10_'!O866,"AAAAAH/j/4A=")</f>
        <v>#VALUE!</v>
      </c>
      <c r="DZ58" t="e">
        <f>AND('Planilla_General_29-11-2012_10_'!P866,"AAAAAH/j/4E=")</f>
        <v>#VALUE!</v>
      </c>
      <c r="EA58">
        <f>IF('Planilla_General_29-11-2012_10_'!867:867,"AAAAAH/j/4I=",0)</f>
        <v>0</v>
      </c>
      <c r="EB58" t="e">
        <f>AND('Planilla_General_29-11-2012_10_'!A867,"AAAAAH/j/4M=")</f>
        <v>#VALUE!</v>
      </c>
      <c r="EC58" t="e">
        <f>AND('Planilla_General_29-11-2012_10_'!B867,"AAAAAH/j/4Q=")</f>
        <v>#VALUE!</v>
      </c>
      <c r="ED58" t="e">
        <f>AND('Planilla_General_29-11-2012_10_'!C867,"AAAAAH/j/4U=")</f>
        <v>#VALUE!</v>
      </c>
      <c r="EE58" t="e">
        <f>AND('Planilla_General_29-11-2012_10_'!D867,"AAAAAH/j/4Y=")</f>
        <v>#VALUE!</v>
      </c>
      <c r="EF58" t="e">
        <f>AND('Planilla_General_29-11-2012_10_'!E867,"AAAAAH/j/4c=")</f>
        <v>#VALUE!</v>
      </c>
      <c r="EG58" t="e">
        <f>AND('Planilla_General_29-11-2012_10_'!F867,"AAAAAH/j/4g=")</f>
        <v>#VALUE!</v>
      </c>
      <c r="EH58" t="e">
        <f>AND('Planilla_General_29-11-2012_10_'!G867,"AAAAAH/j/4k=")</f>
        <v>#VALUE!</v>
      </c>
      <c r="EI58" t="e">
        <f>AND('Planilla_General_29-11-2012_10_'!H867,"AAAAAH/j/4o=")</f>
        <v>#VALUE!</v>
      </c>
      <c r="EJ58" t="e">
        <f>AND('Planilla_General_29-11-2012_10_'!I867,"AAAAAH/j/4s=")</f>
        <v>#VALUE!</v>
      </c>
      <c r="EK58" t="e">
        <f>AND('Planilla_General_29-11-2012_10_'!J867,"AAAAAH/j/4w=")</f>
        <v>#VALUE!</v>
      </c>
      <c r="EL58" t="e">
        <f>AND('Planilla_General_29-11-2012_10_'!K867,"AAAAAH/j/40=")</f>
        <v>#VALUE!</v>
      </c>
      <c r="EM58" t="e">
        <f>AND('Planilla_General_29-11-2012_10_'!L867,"AAAAAH/j/44=")</f>
        <v>#VALUE!</v>
      </c>
      <c r="EN58" t="e">
        <f>AND('Planilla_General_29-11-2012_10_'!M867,"AAAAAH/j/48=")</f>
        <v>#VALUE!</v>
      </c>
      <c r="EO58" t="e">
        <f>AND('Planilla_General_29-11-2012_10_'!N867,"AAAAAH/j/5A=")</f>
        <v>#VALUE!</v>
      </c>
      <c r="EP58" t="e">
        <f>AND('Planilla_General_29-11-2012_10_'!O867,"AAAAAH/j/5E=")</f>
        <v>#VALUE!</v>
      </c>
      <c r="EQ58" t="e">
        <f>AND('Planilla_General_29-11-2012_10_'!P867,"AAAAAH/j/5I=")</f>
        <v>#VALUE!</v>
      </c>
      <c r="ER58">
        <f>IF('Planilla_General_29-11-2012_10_'!868:868,"AAAAAH/j/5M=",0)</f>
        <v>0</v>
      </c>
      <c r="ES58" t="e">
        <f>AND('Planilla_General_29-11-2012_10_'!A868,"AAAAAH/j/5Q=")</f>
        <v>#VALUE!</v>
      </c>
      <c r="ET58" t="e">
        <f>AND('Planilla_General_29-11-2012_10_'!B868,"AAAAAH/j/5U=")</f>
        <v>#VALUE!</v>
      </c>
      <c r="EU58" t="e">
        <f>AND('Planilla_General_29-11-2012_10_'!C868,"AAAAAH/j/5Y=")</f>
        <v>#VALUE!</v>
      </c>
      <c r="EV58" t="e">
        <f>AND('Planilla_General_29-11-2012_10_'!D868,"AAAAAH/j/5c=")</f>
        <v>#VALUE!</v>
      </c>
      <c r="EW58" t="e">
        <f>AND('Planilla_General_29-11-2012_10_'!E868,"AAAAAH/j/5g=")</f>
        <v>#VALUE!</v>
      </c>
      <c r="EX58" t="e">
        <f>AND('Planilla_General_29-11-2012_10_'!F868,"AAAAAH/j/5k=")</f>
        <v>#VALUE!</v>
      </c>
      <c r="EY58" t="e">
        <f>AND('Planilla_General_29-11-2012_10_'!G868,"AAAAAH/j/5o=")</f>
        <v>#VALUE!</v>
      </c>
      <c r="EZ58" t="e">
        <f>AND('Planilla_General_29-11-2012_10_'!H868,"AAAAAH/j/5s=")</f>
        <v>#VALUE!</v>
      </c>
      <c r="FA58" t="e">
        <f>AND('Planilla_General_29-11-2012_10_'!I868,"AAAAAH/j/5w=")</f>
        <v>#VALUE!</v>
      </c>
      <c r="FB58" t="e">
        <f>AND('Planilla_General_29-11-2012_10_'!J868,"AAAAAH/j/50=")</f>
        <v>#VALUE!</v>
      </c>
      <c r="FC58" t="e">
        <f>AND('Planilla_General_29-11-2012_10_'!K868,"AAAAAH/j/54=")</f>
        <v>#VALUE!</v>
      </c>
      <c r="FD58" t="e">
        <f>AND('Planilla_General_29-11-2012_10_'!L868,"AAAAAH/j/58=")</f>
        <v>#VALUE!</v>
      </c>
      <c r="FE58" t="e">
        <f>AND('Planilla_General_29-11-2012_10_'!M868,"AAAAAH/j/6A=")</f>
        <v>#VALUE!</v>
      </c>
      <c r="FF58" t="e">
        <f>AND('Planilla_General_29-11-2012_10_'!N868,"AAAAAH/j/6E=")</f>
        <v>#VALUE!</v>
      </c>
      <c r="FG58" t="e">
        <f>AND('Planilla_General_29-11-2012_10_'!O868,"AAAAAH/j/6I=")</f>
        <v>#VALUE!</v>
      </c>
      <c r="FH58" t="e">
        <f>AND('Planilla_General_29-11-2012_10_'!P868,"AAAAAH/j/6M=")</f>
        <v>#VALUE!</v>
      </c>
      <c r="FI58">
        <f>IF('Planilla_General_29-11-2012_10_'!869:869,"AAAAAH/j/6Q=",0)</f>
        <v>0</v>
      </c>
      <c r="FJ58" t="e">
        <f>AND('Planilla_General_29-11-2012_10_'!A869,"AAAAAH/j/6U=")</f>
        <v>#VALUE!</v>
      </c>
      <c r="FK58" t="e">
        <f>AND('Planilla_General_29-11-2012_10_'!B869,"AAAAAH/j/6Y=")</f>
        <v>#VALUE!</v>
      </c>
      <c r="FL58" t="e">
        <f>AND('Planilla_General_29-11-2012_10_'!C869,"AAAAAH/j/6c=")</f>
        <v>#VALUE!</v>
      </c>
      <c r="FM58" t="e">
        <f>AND('Planilla_General_29-11-2012_10_'!D869,"AAAAAH/j/6g=")</f>
        <v>#VALUE!</v>
      </c>
      <c r="FN58" t="e">
        <f>AND('Planilla_General_29-11-2012_10_'!E869,"AAAAAH/j/6k=")</f>
        <v>#VALUE!</v>
      </c>
      <c r="FO58" t="e">
        <f>AND('Planilla_General_29-11-2012_10_'!F869,"AAAAAH/j/6o=")</f>
        <v>#VALUE!</v>
      </c>
      <c r="FP58" t="e">
        <f>AND('Planilla_General_29-11-2012_10_'!G869,"AAAAAH/j/6s=")</f>
        <v>#VALUE!</v>
      </c>
      <c r="FQ58" t="e">
        <f>AND('Planilla_General_29-11-2012_10_'!H869,"AAAAAH/j/6w=")</f>
        <v>#VALUE!</v>
      </c>
      <c r="FR58" t="e">
        <f>AND('Planilla_General_29-11-2012_10_'!I869,"AAAAAH/j/60=")</f>
        <v>#VALUE!</v>
      </c>
      <c r="FS58" t="e">
        <f>AND('Planilla_General_29-11-2012_10_'!J869,"AAAAAH/j/64=")</f>
        <v>#VALUE!</v>
      </c>
      <c r="FT58" t="e">
        <f>AND('Planilla_General_29-11-2012_10_'!K869,"AAAAAH/j/68=")</f>
        <v>#VALUE!</v>
      </c>
      <c r="FU58" t="e">
        <f>AND('Planilla_General_29-11-2012_10_'!L869,"AAAAAH/j/7A=")</f>
        <v>#VALUE!</v>
      </c>
      <c r="FV58" t="e">
        <f>AND('Planilla_General_29-11-2012_10_'!M869,"AAAAAH/j/7E=")</f>
        <v>#VALUE!</v>
      </c>
      <c r="FW58" t="e">
        <f>AND('Planilla_General_29-11-2012_10_'!N869,"AAAAAH/j/7I=")</f>
        <v>#VALUE!</v>
      </c>
      <c r="FX58" t="e">
        <f>AND('Planilla_General_29-11-2012_10_'!O869,"AAAAAH/j/7M=")</f>
        <v>#VALUE!</v>
      </c>
      <c r="FY58" t="e">
        <f>AND('Planilla_General_29-11-2012_10_'!P869,"AAAAAH/j/7Q=")</f>
        <v>#VALUE!</v>
      </c>
      <c r="FZ58">
        <f>IF('Planilla_General_29-11-2012_10_'!870:870,"AAAAAH/j/7U=",0)</f>
        <v>0</v>
      </c>
      <c r="GA58" t="e">
        <f>AND('Planilla_General_29-11-2012_10_'!A870,"AAAAAH/j/7Y=")</f>
        <v>#VALUE!</v>
      </c>
      <c r="GB58" t="e">
        <f>AND('Planilla_General_29-11-2012_10_'!B870,"AAAAAH/j/7c=")</f>
        <v>#VALUE!</v>
      </c>
      <c r="GC58" t="e">
        <f>AND('Planilla_General_29-11-2012_10_'!C870,"AAAAAH/j/7g=")</f>
        <v>#VALUE!</v>
      </c>
      <c r="GD58" t="e">
        <f>AND('Planilla_General_29-11-2012_10_'!D870,"AAAAAH/j/7k=")</f>
        <v>#VALUE!</v>
      </c>
      <c r="GE58" t="e">
        <f>AND('Planilla_General_29-11-2012_10_'!E870,"AAAAAH/j/7o=")</f>
        <v>#VALUE!</v>
      </c>
      <c r="GF58" t="e">
        <f>AND('Planilla_General_29-11-2012_10_'!F870,"AAAAAH/j/7s=")</f>
        <v>#VALUE!</v>
      </c>
      <c r="GG58" t="e">
        <f>AND('Planilla_General_29-11-2012_10_'!G870,"AAAAAH/j/7w=")</f>
        <v>#VALUE!</v>
      </c>
      <c r="GH58" t="e">
        <f>AND('Planilla_General_29-11-2012_10_'!H870,"AAAAAH/j/70=")</f>
        <v>#VALUE!</v>
      </c>
      <c r="GI58" t="e">
        <f>AND('Planilla_General_29-11-2012_10_'!I870,"AAAAAH/j/74=")</f>
        <v>#VALUE!</v>
      </c>
      <c r="GJ58" t="e">
        <f>AND('Planilla_General_29-11-2012_10_'!J870,"AAAAAH/j/78=")</f>
        <v>#VALUE!</v>
      </c>
      <c r="GK58" t="e">
        <f>AND('Planilla_General_29-11-2012_10_'!K870,"AAAAAH/j/8A=")</f>
        <v>#VALUE!</v>
      </c>
      <c r="GL58" t="e">
        <f>AND('Planilla_General_29-11-2012_10_'!L870,"AAAAAH/j/8E=")</f>
        <v>#VALUE!</v>
      </c>
      <c r="GM58" t="e">
        <f>AND('Planilla_General_29-11-2012_10_'!M870,"AAAAAH/j/8I=")</f>
        <v>#VALUE!</v>
      </c>
      <c r="GN58" t="e">
        <f>AND('Planilla_General_29-11-2012_10_'!N870,"AAAAAH/j/8M=")</f>
        <v>#VALUE!</v>
      </c>
      <c r="GO58" t="e">
        <f>AND('Planilla_General_29-11-2012_10_'!O870,"AAAAAH/j/8Q=")</f>
        <v>#VALUE!</v>
      </c>
      <c r="GP58" t="e">
        <f>AND('Planilla_General_29-11-2012_10_'!P870,"AAAAAH/j/8U=")</f>
        <v>#VALUE!</v>
      </c>
      <c r="GQ58">
        <f>IF('Planilla_General_29-11-2012_10_'!871:871,"AAAAAH/j/8Y=",0)</f>
        <v>0</v>
      </c>
      <c r="GR58" t="e">
        <f>AND('Planilla_General_29-11-2012_10_'!A871,"AAAAAH/j/8c=")</f>
        <v>#VALUE!</v>
      </c>
      <c r="GS58" t="e">
        <f>AND('Planilla_General_29-11-2012_10_'!B871,"AAAAAH/j/8g=")</f>
        <v>#VALUE!</v>
      </c>
      <c r="GT58" t="e">
        <f>AND('Planilla_General_29-11-2012_10_'!C871,"AAAAAH/j/8k=")</f>
        <v>#VALUE!</v>
      </c>
      <c r="GU58" t="e">
        <f>AND('Planilla_General_29-11-2012_10_'!D871,"AAAAAH/j/8o=")</f>
        <v>#VALUE!</v>
      </c>
      <c r="GV58" t="e">
        <f>AND('Planilla_General_29-11-2012_10_'!E871,"AAAAAH/j/8s=")</f>
        <v>#VALUE!</v>
      </c>
      <c r="GW58" t="e">
        <f>AND('Planilla_General_29-11-2012_10_'!F871,"AAAAAH/j/8w=")</f>
        <v>#VALUE!</v>
      </c>
      <c r="GX58" t="e">
        <f>AND('Planilla_General_29-11-2012_10_'!G871,"AAAAAH/j/80=")</f>
        <v>#VALUE!</v>
      </c>
      <c r="GY58" t="e">
        <f>AND('Planilla_General_29-11-2012_10_'!H871,"AAAAAH/j/84=")</f>
        <v>#VALUE!</v>
      </c>
      <c r="GZ58" t="e">
        <f>AND('Planilla_General_29-11-2012_10_'!I871,"AAAAAH/j/88=")</f>
        <v>#VALUE!</v>
      </c>
      <c r="HA58" t="e">
        <f>AND('Planilla_General_29-11-2012_10_'!J871,"AAAAAH/j/9A=")</f>
        <v>#VALUE!</v>
      </c>
      <c r="HB58" t="e">
        <f>AND('Planilla_General_29-11-2012_10_'!K871,"AAAAAH/j/9E=")</f>
        <v>#VALUE!</v>
      </c>
      <c r="HC58" t="e">
        <f>AND('Planilla_General_29-11-2012_10_'!L871,"AAAAAH/j/9I=")</f>
        <v>#VALUE!</v>
      </c>
      <c r="HD58" t="e">
        <f>AND('Planilla_General_29-11-2012_10_'!M871,"AAAAAH/j/9M=")</f>
        <v>#VALUE!</v>
      </c>
      <c r="HE58" t="e">
        <f>AND('Planilla_General_29-11-2012_10_'!N871,"AAAAAH/j/9Q=")</f>
        <v>#VALUE!</v>
      </c>
      <c r="HF58" t="e">
        <f>AND('Planilla_General_29-11-2012_10_'!O871,"AAAAAH/j/9U=")</f>
        <v>#VALUE!</v>
      </c>
      <c r="HG58" t="e">
        <f>AND('Planilla_General_29-11-2012_10_'!P871,"AAAAAH/j/9Y=")</f>
        <v>#VALUE!</v>
      </c>
      <c r="HH58">
        <f>IF('Planilla_General_29-11-2012_10_'!872:872,"AAAAAH/j/9c=",0)</f>
        <v>0</v>
      </c>
      <c r="HI58" t="e">
        <f>AND('Planilla_General_29-11-2012_10_'!A872,"AAAAAH/j/9g=")</f>
        <v>#VALUE!</v>
      </c>
      <c r="HJ58" t="e">
        <f>AND('Planilla_General_29-11-2012_10_'!B872,"AAAAAH/j/9k=")</f>
        <v>#VALUE!</v>
      </c>
      <c r="HK58" t="e">
        <f>AND('Planilla_General_29-11-2012_10_'!C872,"AAAAAH/j/9o=")</f>
        <v>#VALUE!</v>
      </c>
      <c r="HL58" t="e">
        <f>AND('Planilla_General_29-11-2012_10_'!D872,"AAAAAH/j/9s=")</f>
        <v>#VALUE!</v>
      </c>
      <c r="HM58" t="e">
        <f>AND('Planilla_General_29-11-2012_10_'!E872,"AAAAAH/j/9w=")</f>
        <v>#VALUE!</v>
      </c>
      <c r="HN58" t="e">
        <f>AND('Planilla_General_29-11-2012_10_'!F872,"AAAAAH/j/90=")</f>
        <v>#VALUE!</v>
      </c>
      <c r="HO58" t="e">
        <f>AND('Planilla_General_29-11-2012_10_'!G872,"AAAAAH/j/94=")</f>
        <v>#VALUE!</v>
      </c>
      <c r="HP58" t="e">
        <f>AND('Planilla_General_29-11-2012_10_'!H872,"AAAAAH/j/98=")</f>
        <v>#VALUE!</v>
      </c>
      <c r="HQ58" t="e">
        <f>AND('Planilla_General_29-11-2012_10_'!I872,"AAAAAH/j/+A=")</f>
        <v>#VALUE!</v>
      </c>
      <c r="HR58" t="e">
        <f>AND('Planilla_General_29-11-2012_10_'!J872,"AAAAAH/j/+E=")</f>
        <v>#VALUE!</v>
      </c>
      <c r="HS58" t="e">
        <f>AND('Planilla_General_29-11-2012_10_'!K872,"AAAAAH/j/+I=")</f>
        <v>#VALUE!</v>
      </c>
      <c r="HT58" t="e">
        <f>AND('Planilla_General_29-11-2012_10_'!L872,"AAAAAH/j/+M=")</f>
        <v>#VALUE!</v>
      </c>
      <c r="HU58" t="e">
        <f>AND('Planilla_General_29-11-2012_10_'!M872,"AAAAAH/j/+Q=")</f>
        <v>#VALUE!</v>
      </c>
      <c r="HV58" t="e">
        <f>AND('Planilla_General_29-11-2012_10_'!N872,"AAAAAH/j/+U=")</f>
        <v>#VALUE!</v>
      </c>
      <c r="HW58" t="e">
        <f>AND('Planilla_General_29-11-2012_10_'!O872,"AAAAAH/j/+Y=")</f>
        <v>#VALUE!</v>
      </c>
      <c r="HX58" t="e">
        <f>AND('Planilla_General_29-11-2012_10_'!P872,"AAAAAH/j/+c=")</f>
        <v>#VALUE!</v>
      </c>
      <c r="HY58">
        <f>IF('Planilla_General_29-11-2012_10_'!873:873,"AAAAAH/j/+g=",0)</f>
        <v>0</v>
      </c>
      <c r="HZ58" t="e">
        <f>AND('Planilla_General_29-11-2012_10_'!A873,"AAAAAH/j/+k=")</f>
        <v>#VALUE!</v>
      </c>
      <c r="IA58" t="e">
        <f>AND('Planilla_General_29-11-2012_10_'!B873,"AAAAAH/j/+o=")</f>
        <v>#VALUE!</v>
      </c>
      <c r="IB58" t="e">
        <f>AND('Planilla_General_29-11-2012_10_'!C873,"AAAAAH/j/+s=")</f>
        <v>#VALUE!</v>
      </c>
      <c r="IC58" t="e">
        <f>AND('Planilla_General_29-11-2012_10_'!D873,"AAAAAH/j/+w=")</f>
        <v>#VALUE!</v>
      </c>
      <c r="ID58" t="e">
        <f>AND('Planilla_General_29-11-2012_10_'!E873,"AAAAAH/j/+0=")</f>
        <v>#VALUE!</v>
      </c>
      <c r="IE58" t="e">
        <f>AND('Planilla_General_29-11-2012_10_'!F873,"AAAAAH/j/+4=")</f>
        <v>#VALUE!</v>
      </c>
      <c r="IF58" t="e">
        <f>AND('Planilla_General_29-11-2012_10_'!G873,"AAAAAH/j/+8=")</f>
        <v>#VALUE!</v>
      </c>
      <c r="IG58" t="e">
        <f>AND('Planilla_General_29-11-2012_10_'!H873,"AAAAAH/j//A=")</f>
        <v>#VALUE!</v>
      </c>
      <c r="IH58" t="e">
        <f>AND('Planilla_General_29-11-2012_10_'!I873,"AAAAAH/j//E=")</f>
        <v>#VALUE!</v>
      </c>
      <c r="II58" t="e">
        <f>AND('Planilla_General_29-11-2012_10_'!J873,"AAAAAH/j//I=")</f>
        <v>#VALUE!</v>
      </c>
      <c r="IJ58" t="e">
        <f>AND('Planilla_General_29-11-2012_10_'!K873,"AAAAAH/j//M=")</f>
        <v>#VALUE!</v>
      </c>
      <c r="IK58" t="e">
        <f>AND('Planilla_General_29-11-2012_10_'!L873,"AAAAAH/j//Q=")</f>
        <v>#VALUE!</v>
      </c>
      <c r="IL58" t="e">
        <f>AND('Planilla_General_29-11-2012_10_'!M873,"AAAAAH/j//U=")</f>
        <v>#VALUE!</v>
      </c>
      <c r="IM58" t="e">
        <f>AND('Planilla_General_29-11-2012_10_'!N873,"AAAAAH/j//Y=")</f>
        <v>#VALUE!</v>
      </c>
      <c r="IN58" t="e">
        <f>AND('Planilla_General_29-11-2012_10_'!O873,"AAAAAH/j//c=")</f>
        <v>#VALUE!</v>
      </c>
      <c r="IO58" t="e">
        <f>AND('Planilla_General_29-11-2012_10_'!P873,"AAAAAH/j//g=")</f>
        <v>#VALUE!</v>
      </c>
      <c r="IP58">
        <f>IF('Planilla_General_29-11-2012_10_'!874:874,"AAAAAH/j//k=",0)</f>
        <v>0</v>
      </c>
      <c r="IQ58" t="e">
        <f>AND('Planilla_General_29-11-2012_10_'!A874,"AAAAAH/j//o=")</f>
        <v>#VALUE!</v>
      </c>
      <c r="IR58" t="e">
        <f>AND('Planilla_General_29-11-2012_10_'!B874,"AAAAAH/j//s=")</f>
        <v>#VALUE!</v>
      </c>
      <c r="IS58" t="e">
        <f>AND('Planilla_General_29-11-2012_10_'!C874,"AAAAAH/j//w=")</f>
        <v>#VALUE!</v>
      </c>
      <c r="IT58" t="e">
        <f>AND('Planilla_General_29-11-2012_10_'!D874,"AAAAAH/j//0=")</f>
        <v>#VALUE!</v>
      </c>
      <c r="IU58" t="e">
        <f>AND('Planilla_General_29-11-2012_10_'!E874,"AAAAAH/j//4=")</f>
        <v>#VALUE!</v>
      </c>
      <c r="IV58" t="e">
        <f>AND('Planilla_General_29-11-2012_10_'!F874,"AAAAAH/j//8=")</f>
        <v>#VALUE!</v>
      </c>
    </row>
    <row r="59" spans="1:256" x14ac:dyDescent="0.25">
      <c r="A59" t="e">
        <f>AND('Planilla_General_29-11-2012_10_'!G874,"AAAAACfu8wA=")</f>
        <v>#VALUE!</v>
      </c>
      <c r="B59" t="e">
        <f>AND('Planilla_General_29-11-2012_10_'!H874,"AAAAACfu8wE=")</f>
        <v>#VALUE!</v>
      </c>
      <c r="C59" t="e">
        <f>AND('Planilla_General_29-11-2012_10_'!I874,"AAAAACfu8wI=")</f>
        <v>#VALUE!</v>
      </c>
      <c r="D59" t="e">
        <f>AND('Planilla_General_29-11-2012_10_'!J874,"AAAAACfu8wM=")</f>
        <v>#VALUE!</v>
      </c>
      <c r="E59" t="e">
        <f>AND('Planilla_General_29-11-2012_10_'!K874,"AAAAACfu8wQ=")</f>
        <v>#VALUE!</v>
      </c>
      <c r="F59" t="e">
        <f>AND('Planilla_General_29-11-2012_10_'!L874,"AAAAACfu8wU=")</f>
        <v>#VALUE!</v>
      </c>
      <c r="G59" t="e">
        <f>AND('Planilla_General_29-11-2012_10_'!M874,"AAAAACfu8wY=")</f>
        <v>#VALUE!</v>
      </c>
      <c r="H59" t="e">
        <f>AND('Planilla_General_29-11-2012_10_'!N874,"AAAAACfu8wc=")</f>
        <v>#VALUE!</v>
      </c>
      <c r="I59" t="e">
        <f>AND('Planilla_General_29-11-2012_10_'!O874,"AAAAACfu8wg=")</f>
        <v>#VALUE!</v>
      </c>
      <c r="J59" t="e">
        <f>AND('Planilla_General_29-11-2012_10_'!P874,"AAAAACfu8wk=")</f>
        <v>#VALUE!</v>
      </c>
      <c r="K59" t="str">
        <f>IF('Planilla_General_29-11-2012_10_'!875:875,"AAAAACfu8wo=",0)</f>
        <v>AAAAACfu8wo=</v>
      </c>
      <c r="L59" t="e">
        <f>AND('Planilla_General_29-11-2012_10_'!A875,"AAAAACfu8ws=")</f>
        <v>#VALUE!</v>
      </c>
      <c r="M59" t="e">
        <f>AND('Planilla_General_29-11-2012_10_'!B875,"AAAAACfu8ww=")</f>
        <v>#VALUE!</v>
      </c>
      <c r="N59" t="e">
        <f>AND('Planilla_General_29-11-2012_10_'!C875,"AAAAACfu8w0=")</f>
        <v>#VALUE!</v>
      </c>
      <c r="O59" t="e">
        <f>AND('Planilla_General_29-11-2012_10_'!D875,"AAAAACfu8w4=")</f>
        <v>#VALUE!</v>
      </c>
      <c r="P59" t="e">
        <f>AND('Planilla_General_29-11-2012_10_'!E875,"AAAAACfu8w8=")</f>
        <v>#VALUE!</v>
      </c>
      <c r="Q59" t="e">
        <f>AND('Planilla_General_29-11-2012_10_'!F875,"AAAAACfu8xA=")</f>
        <v>#VALUE!</v>
      </c>
      <c r="R59" t="e">
        <f>AND('Planilla_General_29-11-2012_10_'!G875,"AAAAACfu8xE=")</f>
        <v>#VALUE!</v>
      </c>
      <c r="S59" t="e">
        <f>AND('Planilla_General_29-11-2012_10_'!H875,"AAAAACfu8xI=")</f>
        <v>#VALUE!</v>
      </c>
      <c r="T59" t="e">
        <f>AND('Planilla_General_29-11-2012_10_'!I875,"AAAAACfu8xM=")</f>
        <v>#VALUE!</v>
      </c>
      <c r="U59" t="e">
        <f>AND('Planilla_General_29-11-2012_10_'!J875,"AAAAACfu8xQ=")</f>
        <v>#VALUE!</v>
      </c>
      <c r="V59" t="e">
        <f>AND('Planilla_General_29-11-2012_10_'!K875,"AAAAACfu8xU=")</f>
        <v>#VALUE!</v>
      </c>
      <c r="W59" t="e">
        <f>AND('Planilla_General_29-11-2012_10_'!L875,"AAAAACfu8xY=")</f>
        <v>#VALUE!</v>
      </c>
      <c r="X59" t="e">
        <f>AND('Planilla_General_29-11-2012_10_'!M875,"AAAAACfu8xc=")</f>
        <v>#VALUE!</v>
      </c>
      <c r="Y59" t="e">
        <f>AND('Planilla_General_29-11-2012_10_'!N875,"AAAAACfu8xg=")</f>
        <v>#VALUE!</v>
      </c>
      <c r="Z59" t="e">
        <f>AND('Planilla_General_29-11-2012_10_'!O875,"AAAAACfu8xk=")</f>
        <v>#VALUE!</v>
      </c>
      <c r="AA59" t="e">
        <f>AND('Planilla_General_29-11-2012_10_'!P875,"AAAAACfu8xo=")</f>
        <v>#VALUE!</v>
      </c>
      <c r="AB59">
        <f>IF('Planilla_General_29-11-2012_10_'!876:876,"AAAAACfu8xs=",0)</f>
        <v>0</v>
      </c>
      <c r="AC59" t="e">
        <f>AND('Planilla_General_29-11-2012_10_'!A876,"AAAAACfu8xw=")</f>
        <v>#VALUE!</v>
      </c>
      <c r="AD59" t="e">
        <f>AND('Planilla_General_29-11-2012_10_'!B876,"AAAAACfu8x0=")</f>
        <v>#VALUE!</v>
      </c>
      <c r="AE59" t="e">
        <f>AND('Planilla_General_29-11-2012_10_'!C876,"AAAAACfu8x4=")</f>
        <v>#VALUE!</v>
      </c>
      <c r="AF59" t="e">
        <f>AND('Planilla_General_29-11-2012_10_'!D876,"AAAAACfu8x8=")</f>
        <v>#VALUE!</v>
      </c>
      <c r="AG59" t="e">
        <f>AND('Planilla_General_29-11-2012_10_'!E876,"AAAAACfu8yA=")</f>
        <v>#VALUE!</v>
      </c>
      <c r="AH59" t="e">
        <f>AND('Planilla_General_29-11-2012_10_'!F876,"AAAAACfu8yE=")</f>
        <v>#VALUE!</v>
      </c>
      <c r="AI59" t="e">
        <f>AND('Planilla_General_29-11-2012_10_'!G876,"AAAAACfu8yI=")</f>
        <v>#VALUE!</v>
      </c>
      <c r="AJ59" t="e">
        <f>AND('Planilla_General_29-11-2012_10_'!H876,"AAAAACfu8yM=")</f>
        <v>#VALUE!</v>
      </c>
      <c r="AK59" t="e">
        <f>AND('Planilla_General_29-11-2012_10_'!I876,"AAAAACfu8yQ=")</f>
        <v>#VALUE!</v>
      </c>
      <c r="AL59" t="e">
        <f>AND('Planilla_General_29-11-2012_10_'!J876,"AAAAACfu8yU=")</f>
        <v>#VALUE!</v>
      </c>
      <c r="AM59" t="e">
        <f>AND('Planilla_General_29-11-2012_10_'!K876,"AAAAACfu8yY=")</f>
        <v>#VALUE!</v>
      </c>
      <c r="AN59" t="e">
        <f>AND('Planilla_General_29-11-2012_10_'!L876,"AAAAACfu8yc=")</f>
        <v>#VALUE!</v>
      </c>
      <c r="AO59" t="e">
        <f>AND('Planilla_General_29-11-2012_10_'!M876,"AAAAACfu8yg=")</f>
        <v>#VALUE!</v>
      </c>
      <c r="AP59" t="e">
        <f>AND('Planilla_General_29-11-2012_10_'!N876,"AAAAACfu8yk=")</f>
        <v>#VALUE!</v>
      </c>
      <c r="AQ59" t="e">
        <f>AND('Planilla_General_29-11-2012_10_'!O876,"AAAAACfu8yo=")</f>
        <v>#VALUE!</v>
      </c>
      <c r="AR59" t="e">
        <f>AND('Planilla_General_29-11-2012_10_'!P876,"AAAAACfu8ys=")</f>
        <v>#VALUE!</v>
      </c>
      <c r="AS59">
        <f>IF('Planilla_General_29-11-2012_10_'!877:877,"AAAAACfu8yw=",0)</f>
        <v>0</v>
      </c>
      <c r="AT59" t="e">
        <f>AND('Planilla_General_29-11-2012_10_'!A877,"AAAAACfu8y0=")</f>
        <v>#VALUE!</v>
      </c>
      <c r="AU59" t="e">
        <f>AND('Planilla_General_29-11-2012_10_'!B877,"AAAAACfu8y4=")</f>
        <v>#VALUE!</v>
      </c>
      <c r="AV59" t="e">
        <f>AND('Planilla_General_29-11-2012_10_'!C877,"AAAAACfu8y8=")</f>
        <v>#VALUE!</v>
      </c>
      <c r="AW59" t="e">
        <f>AND('Planilla_General_29-11-2012_10_'!D877,"AAAAACfu8zA=")</f>
        <v>#VALUE!</v>
      </c>
      <c r="AX59" t="e">
        <f>AND('Planilla_General_29-11-2012_10_'!E877,"AAAAACfu8zE=")</f>
        <v>#VALUE!</v>
      </c>
      <c r="AY59" t="e">
        <f>AND('Planilla_General_29-11-2012_10_'!F877,"AAAAACfu8zI=")</f>
        <v>#VALUE!</v>
      </c>
      <c r="AZ59" t="e">
        <f>AND('Planilla_General_29-11-2012_10_'!G877,"AAAAACfu8zM=")</f>
        <v>#VALUE!</v>
      </c>
      <c r="BA59" t="e">
        <f>AND('Planilla_General_29-11-2012_10_'!H877,"AAAAACfu8zQ=")</f>
        <v>#VALUE!</v>
      </c>
      <c r="BB59" t="e">
        <f>AND('Planilla_General_29-11-2012_10_'!I877,"AAAAACfu8zU=")</f>
        <v>#VALUE!</v>
      </c>
      <c r="BC59" t="e">
        <f>AND('Planilla_General_29-11-2012_10_'!J877,"AAAAACfu8zY=")</f>
        <v>#VALUE!</v>
      </c>
      <c r="BD59" t="e">
        <f>AND('Planilla_General_29-11-2012_10_'!K877,"AAAAACfu8zc=")</f>
        <v>#VALUE!</v>
      </c>
      <c r="BE59" t="e">
        <f>AND('Planilla_General_29-11-2012_10_'!L877,"AAAAACfu8zg=")</f>
        <v>#VALUE!</v>
      </c>
      <c r="BF59" t="e">
        <f>AND('Planilla_General_29-11-2012_10_'!M877,"AAAAACfu8zk=")</f>
        <v>#VALUE!</v>
      </c>
      <c r="BG59" t="e">
        <f>AND('Planilla_General_29-11-2012_10_'!N877,"AAAAACfu8zo=")</f>
        <v>#VALUE!</v>
      </c>
      <c r="BH59" t="e">
        <f>AND('Planilla_General_29-11-2012_10_'!O877,"AAAAACfu8zs=")</f>
        <v>#VALUE!</v>
      </c>
      <c r="BI59" t="e">
        <f>AND('Planilla_General_29-11-2012_10_'!P877,"AAAAACfu8zw=")</f>
        <v>#VALUE!</v>
      </c>
      <c r="BJ59">
        <f>IF('Planilla_General_29-11-2012_10_'!878:878,"AAAAACfu8z0=",0)</f>
        <v>0</v>
      </c>
      <c r="BK59" t="e">
        <f>AND('Planilla_General_29-11-2012_10_'!A878,"AAAAACfu8z4=")</f>
        <v>#VALUE!</v>
      </c>
      <c r="BL59" t="e">
        <f>AND('Planilla_General_29-11-2012_10_'!B878,"AAAAACfu8z8=")</f>
        <v>#VALUE!</v>
      </c>
      <c r="BM59" t="e">
        <f>AND('Planilla_General_29-11-2012_10_'!C878,"AAAAACfu80A=")</f>
        <v>#VALUE!</v>
      </c>
      <c r="BN59" t="e">
        <f>AND('Planilla_General_29-11-2012_10_'!D878,"AAAAACfu80E=")</f>
        <v>#VALUE!</v>
      </c>
      <c r="BO59" t="e">
        <f>AND('Planilla_General_29-11-2012_10_'!E878,"AAAAACfu80I=")</f>
        <v>#VALUE!</v>
      </c>
      <c r="BP59" t="e">
        <f>AND('Planilla_General_29-11-2012_10_'!F878,"AAAAACfu80M=")</f>
        <v>#VALUE!</v>
      </c>
      <c r="BQ59" t="e">
        <f>AND('Planilla_General_29-11-2012_10_'!G878,"AAAAACfu80Q=")</f>
        <v>#VALUE!</v>
      </c>
      <c r="BR59" t="e">
        <f>AND('Planilla_General_29-11-2012_10_'!H878,"AAAAACfu80U=")</f>
        <v>#VALUE!</v>
      </c>
      <c r="BS59" t="e">
        <f>AND('Planilla_General_29-11-2012_10_'!I878,"AAAAACfu80Y=")</f>
        <v>#VALUE!</v>
      </c>
      <c r="BT59" t="e">
        <f>AND('Planilla_General_29-11-2012_10_'!J878,"AAAAACfu80c=")</f>
        <v>#VALUE!</v>
      </c>
      <c r="BU59" t="e">
        <f>AND('Planilla_General_29-11-2012_10_'!K878,"AAAAACfu80g=")</f>
        <v>#VALUE!</v>
      </c>
      <c r="BV59" t="e">
        <f>AND('Planilla_General_29-11-2012_10_'!L878,"AAAAACfu80k=")</f>
        <v>#VALUE!</v>
      </c>
      <c r="BW59" t="e">
        <f>AND('Planilla_General_29-11-2012_10_'!M878,"AAAAACfu80o=")</f>
        <v>#VALUE!</v>
      </c>
      <c r="BX59" t="e">
        <f>AND('Planilla_General_29-11-2012_10_'!N878,"AAAAACfu80s=")</f>
        <v>#VALUE!</v>
      </c>
      <c r="BY59" t="e">
        <f>AND('Planilla_General_29-11-2012_10_'!O878,"AAAAACfu80w=")</f>
        <v>#VALUE!</v>
      </c>
      <c r="BZ59" t="e">
        <f>AND('Planilla_General_29-11-2012_10_'!P878,"AAAAACfu800=")</f>
        <v>#VALUE!</v>
      </c>
      <c r="CA59">
        <f>IF('Planilla_General_29-11-2012_10_'!879:879,"AAAAACfu804=",0)</f>
        <v>0</v>
      </c>
      <c r="CB59" t="e">
        <f>AND('Planilla_General_29-11-2012_10_'!A879,"AAAAACfu808=")</f>
        <v>#VALUE!</v>
      </c>
      <c r="CC59" t="e">
        <f>AND('Planilla_General_29-11-2012_10_'!B879,"AAAAACfu81A=")</f>
        <v>#VALUE!</v>
      </c>
      <c r="CD59" t="e">
        <f>AND('Planilla_General_29-11-2012_10_'!C879,"AAAAACfu81E=")</f>
        <v>#VALUE!</v>
      </c>
      <c r="CE59" t="e">
        <f>AND('Planilla_General_29-11-2012_10_'!D879,"AAAAACfu81I=")</f>
        <v>#VALUE!</v>
      </c>
      <c r="CF59" t="e">
        <f>AND('Planilla_General_29-11-2012_10_'!E879,"AAAAACfu81M=")</f>
        <v>#VALUE!</v>
      </c>
      <c r="CG59" t="e">
        <f>AND('Planilla_General_29-11-2012_10_'!F879,"AAAAACfu81Q=")</f>
        <v>#VALUE!</v>
      </c>
      <c r="CH59" t="e">
        <f>AND('Planilla_General_29-11-2012_10_'!G879,"AAAAACfu81U=")</f>
        <v>#VALUE!</v>
      </c>
      <c r="CI59" t="e">
        <f>AND('Planilla_General_29-11-2012_10_'!H879,"AAAAACfu81Y=")</f>
        <v>#VALUE!</v>
      </c>
      <c r="CJ59" t="e">
        <f>AND('Planilla_General_29-11-2012_10_'!I879,"AAAAACfu81c=")</f>
        <v>#VALUE!</v>
      </c>
      <c r="CK59" t="e">
        <f>AND('Planilla_General_29-11-2012_10_'!J879,"AAAAACfu81g=")</f>
        <v>#VALUE!</v>
      </c>
      <c r="CL59" t="e">
        <f>AND('Planilla_General_29-11-2012_10_'!K879,"AAAAACfu81k=")</f>
        <v>#VALUE!</v>
      </c>
      <c r="CM59" t="e">
        <f>AND('Planilla_General_29-11-2012_10_'!L879,"AAAAACfu81o=")</f>
        <v>#VALUE!</v>
      </c>
      <c r="CN59" t="e">
        <f>AND('Planilla_General_29-11-2012_10_'!M879,"AAAAACfu81s=")</f>
        <v>#VALUE!</v>
      </c>
      <c r="CO59" t="e">
        <f>AND('Planilla_General_29-11-2012_10_'!N879,"AAAAACfu81w=")</f>
        <v>#VALUE!</v>
      </c>
      <c r="CP59" t="e">
        <f>AND('Planilla_General_29-11-2012_10_'!O879,"AAAAACfu810=")</f>
        <v>#VALUE!</v>
      </c>
      <c r="CQ59" t="e">
        <f>AND('Planilla_General_29-11-2012_10_'!P879,"AAAAACfu814=")</f>
        <v>#VALUE!</v>
      </c>
      <c r="CR59">
        <f>IF('Planilla_General_29-11-2012_10_'!880:880,"AAAAACfu818=",0)</f>
        <v>0</v>
      </c>
      <c r="CS59" t="e">
        <f>AND('Planilla_General_29-11-2012_10_'!A880,"AAAAACfu82A=")</f>
        <v>#VALUE!</v>
      </c>
      <c r="CT59" t="e">
        <f>AND('Planilla_General_29-11-2012_10_'!B880,"AAAAACfu82E=")</f>
        <v>#VALUE!</v>
      </c>
      <c r="CU59" t="e">
        <f>AND('Planilla_General_29-11-2012_10_'!C880,"AAAAACfu82I=")</f>
        <v>#VALUE!</v>
      </c>
      <c r="CV59" t="e">
        <f>AND('Planilla_General_29-11-2012_10_'!D880,"AAAAACfu82M=")</f>
        <v>#VALUE!</v>
      </c>
      <c r="CW59" t="e">
        <f>AND('Planilla_General_29-11-2012_10_'!E880,"AAAAACfu82Q=")</f>
        <v>#VALUE!</v>
      </c>
      <c r="CX59" t="e">
        <f>AND('Planilla_General_29-11-2012_10_'!F880,"AAAAACfu82U=")</f>
        <v>#VALUE!</v>
      </c>
      <c r="CY59" t="e">
        <f>AND('Planilla_General_29-11-2012_10_'!G880,"AAAAACfu82Y=")</f>
        <v>#VALUE!</v>
      </c>
      <c r="CZ59" t="e">
        <f>AND('Planilla_General_29-11-2012_10_'!H880,"AAAAACfu82c=")</f>
        <v>#VALUE!</v>
      </c>
      <c r="DA59" t="e">
        <f>AND('Planilla_General_29-11-2012_10_'!I880,"AAAAACfu82g=")</f>
        <v>#VALUE!</v>
      </c>
      <c r="DB59" t="e">
        <f>AND('Planilla_General_29-11-2012_10_'!J880,"AAAAACfu82k=")</f>
        <v>#VALUE!</v>
      </c>
      <c r="DC59" t="e">
        <f>AND('Planilla_General_29-11-2012_10_'!K880,"AAAAACfu82o=")</f>
        <v>#VALUE!</v>
      </c>
      <c r="DD59" t="e">
        <f>AND('Planilla_General_29-11-2012_10_'!L880,"AAAAACfu82s=")</f>
        <v>#VALUE!</v>
      </c>
      <c r="DE59" t="e">
        <f>AND('Planilla_General_29-11-2012_10_'!M880,"AAAAACfu82w=")</f>
        <v>#VALUE!</v>
      </c>
      <c r="DF59" t="e">
        <f>AND('Planilla_General_29-11-2012_10_'!N880,"AAAAACfu820=")</f>
        <v>#VALUE!</v>
      </c>
      <c r="DG59" t="e">
        <f>AND('Planilla_General_29-11-2012_10_'!O880,"AAAAACfu824=")</f>
        <v>#VALUE!</v>
      </c>
      <c r="DH59" t="e">
        <f>AND('Planilla_General_29-11-2012_10_'!P880,"AAAAACfu828=")</f>
        <v>#VALUE!</v>
      </c>
      <c r="DI59">
        <f>IF('Planilla_General_29-11-2012_10_'!881:881,"AAAAACfu83A=",0)</f>
        <v>0</v>
      </c>
      <c r="DJ59" t="e">
        <f>AND('Planilla_General_29-11-2012_10_'!A881,"AAAAACfu83E=")</f>
        <v>#VALUE!</v>
      </c>
      <c r="DK59" t="e">
        <f>AND('Planilla_General_29-11-2012_10_'!B881,"AAAAACfu83I=")</f>
        <v>#VALUE!</v>
      </c>
      <c r="DL59" t="e">
        <f>AND('Planilla_General_29-11-2012_10_'!C881,"AAAAACfu83M=")</f>
        <v>#VALUE!</v>
      </c>
      <c r="DM59" t="e">
        <f>AND('Planilla_General_29-11-2012_10_'!D881,"AAAAACfu83Q=")</f>
        <v>#VALUE!</v>
      </c>
      <c r="DN59" t="e">
        <f>AND('Planilla_General_29-11-2012_10_'!E881,"AAAAACfu83U=")</f>
        <v>#VALUE!</v>
      </c>
      <c r="DO59" t="e">
        <f>AND('Planilla_General_29-11-2012_10_'!F881,"AAAAACfu83Y=")</f>
        <v>#VALUE!</v>
      </c>
      <c r="DP59" t="e">
        <f>AND('Planilla_General_29-11-2012_10_'!G881,"AAAAACfu83c=")</f>
        <v>#VALUE!</v>
      </c>
      <c r="DQ59" t="e">
        <f>AND('Planilla_General_29-11-2012_10_'!H881,"AAAAACfu83g=")</f>
        <v>#VALUE!</v>
      </c>
      <c r="DR59" t="e">
        <f>AND('Planilla_General_29-11-2012_10_'!I881,"AAAAACfu83k=")</f>
        <v>#VALUE!</v>
      </c>
      <c r="DS59" t="e">
        <f>AND('Planilla_General_29-11-2012_10_'!J881,"AAAAACfu83o=")</f>
        <v>#VALUE!</v>
      </c>
      <c r="DT59" t="e">
        <f>AND('Planilla_General_29-11-2012_10_'!K881,"AAAAACfu83s=")</f>
        <v>#VALUE!</v>
      </c>
      <c r="DU59" t="e">
        <f>AND('Planilla_General_29-11-2012_10_'!L881,"AAAAACfu83w=")</f>
        <v>#VALUE!</v>
      </c>
      <c r="DV59" t="e">
        <f>AND('Planilla_General_29-11-2012_10_'!M881,"AAAAACfu830=")</f>
        <v>#VALUE!</v>
      </c>
      <c r="DW59" t="e">
        <f>AND('Planilla_General_29-11-2012_10_'!N881,"AAAAACfu834=")</f>
        <v>#VALUE!</v>
      </c>
      <c r="DX59" t="e">
        <f>AND('Planilla_General_29-11-2012_10_'!O881,"AAAAACfu838=")</f>
        <v>#VALUE!</v>
      </c>
      <c r="DY59" t="e">
        <f>AND('Planilla_General_29-11-2012_10_'!P881,"AAAAACfu84A=")</f>
        <v>#VALUE!</v>
      </c>
      <c r="DZ59">
        <f>IF('Planilla_General_29-11-2012_10_'!882:882,"AAAAACfu84E=",0)</f>
        <v>0</v>
      </c>
      <c r="EA59" t="e">
        <f>AND('Planilla_General_29-11-2012_10_'!A882,"AAAAACfu84I=")</f>
        <v>#VALUE!</v>
      </c>
      <c r="EB59" t="e">
        <f>AND('Planilla_General_29-11-2012_10_'!B882,"AAAAACfu84M=")</f>
        <v>#VALUE!</v>
      </c>
      <c r="EC59" t="e">
        <f>AND('Planilla_General_29-11-2012_10_'!C882,"AAAAACfu84Q=")</f>
        <v>#VALUE!</v>
      </c>
      <c r="ED59" t="e">
        <f>AND('Planilla_General_29-11-2012_10_'!D882,"AAAAACfu84U=")</f>
        <v>#VALUE!</v>
      </c>
      <c r="EE59" t="e">
        <f>AND('Planilla_General_29-11-2012_10_'!E882,"AAAAACfu84Y=")</f>
        <v>#VALUE!</v>
      </c>
      <c r="EF59" t="e">
        <f>AND('Planilla_General_29-11-2012_10_'!F882,"AAAAACfu84c=")</f>
        <v>#VALUE!</v>
      </c>
      <c r="EG59" t="e">
        <f>AND('Planilla_General_29-11-2012_10_'!G882,"AAAAACfu84g=")</f>
        <v>#VALUE!</v>
      </c>
      <c r="EH59" t="e">
        <f>AND('Planilla_General_29-11-2012_10_'!H882,"AAAAACfu84k=")</f>
        <v>#VALUE!</v>
      </c>
      <c r="EI59" t="e">
        <f>AND('Planilla_General_29-11-2012_10_'!I882,"AAAAACfu84o=")</f>
        <v>#VALUE!</v>
      </c>
      <c r="EJ59" t="e">
        <f>AND('Planilla_General_29-11-2012_10_'!J882,"AAAAACfu84s=")</f>
        <v>#VALUE!</v>
      </c>
      <c r="EK59" t="e">
        <f>AND('Planilla_General_29-11-2012_10_'!K882,"AAAAACfu84w=")</f>
        <v>#VALUE!</v>
      </c>
      <c r="EL59" t="e">
        <f>AND('Planilla_General_29-11-2012_10_'!L882,"AAAAACfu840=")</f>
        <v>#VALUE!</v>
      </c>
      <c r="EM59" t="e">
        <f>AND('Planilla_General_29-11-2012_10_'!M882,"AAAAACfu844=")</f>
        <v>#VALUE!</v>
      </c>
      <c r="EN59" t="e">
        <f>AND('Planilla_General_29-11-2012_10_'!N882,"AAAAACfu848=")</f>
        <v>#VALUE!</v>
      </c>
      <c r="EO59" t="e">
        <f>AND('Planilla_General_29-11-2012_10_'!O882,"AAAAACfu85A=")</f>
        <v>#VALUE!</v>
      </c>
      <c r="EP59" t="e">
        <f>AND('Planilla_General_29-11-2012_10_'!P882,"AAAAACfu85E=")</f>
        <v>#VALUE!</v>
      </c>
      <c r="EQ59">
        <f>IF('Planilla_General_29-11-2012_10_'!883:883,"AAAAACfu85I=",0)</f>
        <v>0</v>
      </c>
      <c r="ER59" t="e">
        <f>AND('Planilla_General_29-11-2012_10_'!A883,"AAAAACfu85M=")</f>
        <v>#VALUE!</v>
      </c>
      <c r="ES59" t="e">
        <f>AND('Planilla_General_29-11-2012_10_'!B883,"AAAAACfu85Q=")</f>
        <v>#VALUE!</v>
      </c>
      <c r="ET59" t="e">
        <f>AND('Planilla_General_29-11-2012_10_'!C883,"AAAAACfu85U=")</f>
        <v>#VALUE!</v>
      </c>
      <c r="EU59" t="e">
        <f>AND('Planilla_General_29-11-2012_10_'!D883,"AAAAACfu85Y=")</f>
        <v>#VALUE!</v>
      </c>
      <c r="EV59" t="e">
        <f>AND('Planilla_General_29-11-2012_10_'!E883,"AAAAACfu85c=")</f>
        <v>#VALUE!</v>
      </c>
      <c r="EW59" t="e">
        <f>AND('Planilla_General_29-11-2012_10_'!F883,"AAAAACfu85g=")</f>
        <v>#VALUE!</v>
      </c>
      <c r="EX59" t="e">
        <f>AND('Planilla_General_29-11-2012_10_'!G883,"AAAAACfu85k=")</f>
        <v>#VALUE!</v>
      </c>
      <c r="EY59" t="e">
        <f>AND('Planilla_General_29-11-2012_10_'!H883,"AAAAACfu85o=")</f>
        <v>#VALUE!</v>
      </c>
      <c r="EZ59" t="e">
        <f>AND('Planilla_General_29-11-2012_10_'!I883,"AAAAACfu85s=")</f>
        <v>#VALUE!</v>
      </c>
      <c r="FA59" t="e">
        <f>AND('Planilla_General_29-11-2012_10_'!J883,"AAAAACfu85w=")</f>
        <v>#VALUE!</v>
      </c>
      <c r="FB59" t="e">
        <f>AND('Planilla_General_29-11-2012_10_'!K883,"AAAAACfu850=")</f>
        <v>#VALUE!</v>
      </c>
      <c r="FC59" t="e">
        <f>AND('Planilla_General_29-11-2012_10_'!L883,"AAAAACfu854=")</f>
        <v>#VALUE!</v>
      </c>
      <c r="FD59" t="e">
        <f>AND('Planilla_General_29-11-2012_10_'!M883,"AAAAACfu858=")</f>
        <v>#VALUE!</v>
      </c>
      <c r="FE59" t="e">
        <f>AND('Planilla_General_29-11-2012_10_'!N883,"AAAAACfu86A=")</f>
        <v>#VALUE!</v>
      </c>
      <c r="FF59" t="e">
        <f>AND('Planilla_General_29-11-2012_10_'!O883,"AAAAACfu86E=")</f>
        <v>#VALUE!</v>
      </c>
      <c r="FG59" t="e">
        <f>AND('Planilla_General_29-11-2012_10_'!P883,"AAAAACfu86I=")</f>
        <v>#VALUE!</v>
      </c>
      <c r="FH59">
        <f>IF('Planilla_General_29-11-2012_10_'!884:884,"AAAAACfu86M=",0)</f>
        <v>0</v>
      </c>
      <c r="FI59" t="e">
        <f>AND('Planilla_General_29-11-2012_10_'!A884,"AAAAACfu86Q=")</f>
        <v>#VALUE!</v>
      </c>
      <c r="FJ59" t="e">
        <f>AND('Planilla_General_29-11-2012_10_'!B884,"AAAAACfu86U=")</f>
        <v>#VALUE!</v>
      </c>
      <c r="FK59" t="e">
        <f>AND('Planilla_General_29-11-2012_10_'!C884,"AAAAACfu86Y=")</f>
        <v>#VALUE!</v>
      </c>
      <c r="FL59" t="e">
        <f>AND('Planilla_General_29-11-2012_10_'!D884,"AAAAACfu86c=")</f>
        <v>#VALUE!</v>
      </c>
      <c r="FM59" t="e">
        <f>AND('Planilla_General_29-11-2012_10_'!E884,"AAAAACfu86g=")</f>
        <v>#VALUE!</v>
      </c>
      <c r="FN59" t="e">
        <f>AND('Planilla_General_29-11-2012_10_'!F884,"AAAAACfu86k=")</f>
        <v>#VALUE!</v>
      </c>
      <c r="FO59" t="e">
        <f>AND('Planilla_General_29-11-2012_10_'!G884,"AAAAACfu86o=")</f>
        <v>#VALUE!</v>
      </c>
      <c r="FP59" t="e">
        <f>AND('Planilla_General_29-11-2012_10_'!H884,"AAAAACfu86s=")</f>
        <v>#VALUE!</v>
      </c>
      <c r="FQ59" t="e">
        <f>AND('Planilla_General_29-11-2012_10_'!I884,"AAAAACfu86w=")</f>
        <v>#VALUE!</v>
      </c>
      <c r="FR59" t="e">
        <f>AND('Planilla_General_29-11-2012_10_'!J884,"AAAAACfu860=")</f>
        <v>#VALUE!</v>
      </c>
      <c r="FS59" t="e">
        <f>AND('Planilla_General_29-11-2012_10_'!K884,"AAAAACfu864=")</f>
        <v>#VALUE!</v>
      </c>
      <c r="FT59" t="e">
        <f>AND('Planilla_General_29-11-2012_10_'!L884,"AAAAACfu868=")</f>
        <v>#VALUE!</v>
      </c>
      <c r="FU59" t="e">
        <f>AND('Planilla_General_29-11-2012_10_'!M884,"AAAAACfu87A=")</f>
        <v>#VALUE!</v>
      </c>
      <c r="FV59" t="e">
        <f>AND('Planilla_General_29-11-2012_10_'!N884,"AAAAACfu87E=")</f>
        <v>#VALUE!</v>
      </c>
      <c r="FW59" t="e">
        <f>AND('Planilla_General_29-11-2012_10_'!O884,"AAAAACfu87I=")</f>
        <v>#VALUE!</v>
      </c>
      <c r="FX59" t="e">
        <f>AND('Planilla_General_29-11-2012_10_'!P884,"AAAAACfu87M=")</f>
        <v>#VALUE!</v>
      </c>
      <c r="FY59">
        <f>IF('Planilla_General_29-11-2012_10_'!885:885,"AAAAACfu87Q=",0)</f>
        <v>0</v>
      </c>
      <c r="FZ59" t="e">
        <f>AND('Planilla_General_29-11-2012_10_'!A885,"AAAAACfu87U=")</f>
        <v>#VALUE!</v>
      </c>
      <c r="GA59" t="e">
        <f>AND('Planilla_General_29-11-2012_10_'!B885,"AAAAACfu87Y=")</f>
        <v>#VALUE!</v>
      </c>
      <c r="GB59" t="e">
        <f>AND('Planilla_General_29-11-2012_10_'!C885,"AAAAACfu87c=")</f>
        <v>#VALUE!</v>
      </c>
      <c r="GC59" t="e">
        <f>AND('Planilla_General_29-11-2012_10_'!D885,"AAAAACfu87g=")</f>
        <v>#VALUE!</v>
      </c>
      <c r="GD59" t="e">
        <f>AND('Planilla_General_29-11-2012_10_'!E885,"AAAAACfu87k=")</f>
        <v>#VALUE!</v>
      </c>
      <c r="GE59" t="e">
        <f>AND('Planilla_General_29-11-2012_10_'!F885,"AAAAACfu87o=")</f>
        <v>#VALUE!</v>
      </c>
      <c r="GF59" t="e">
        <f>AND('Planilla_General_29-11-2012_10_'!G885,"AAAAACfu87s=")</f>
        <v>#VALUE!</v>
      </c>
      <c r="GG59" t="e">
        <f>AND('Planilla_General_29-11-2012_10_'!H885,"AAAAACfu87w=")</f>
        <v>#VALUE!</v>
      </c>
      <c r="GH59" t="e">
        <f>AND('Planilla_General_29-11-2012_10_'!I885,"AAAAACfu870=")</f>
        <v>#VALUE!</v>
      </c>
      <c r="GI59" t="e">
        <f>AND('Planilla_General_29-11-2012_10_'!J885,"AAAAACfu874=")</f>
        <v>#VALUE!</v>
      </c>
      <c r="GJ59" t="e">
        <f>AND('Planilla_General_29-11-2012_10_'!K885,"AAAAACfu878=")</f>
        <v>#VALUE!</v>
      </c>
      <c r="GK59" t="e">
        <f>AND('Planilla_General_29-11-2012_10_'!L885,"AAAAACfu88A=")</f>
        <v>#VALUE!</v>
      </c>
      <c r="GL59" t="e">
        <f>AND('Planilla_General_29-11-2012_10_'!M885,"AAAAACfu88E=")</f>
        <v>#VALUE!</v>
      </c>
      <c r="GM59" t="e">
        <f>AND('Planilla_General_29-11-2012_10_'!N885,"AAAAACfu88I=")</f>
        <v>#VALUE!</v>
      </c>
      <c r="GN59" t="e">
        <f>AND('Planilla_General_29-11-2012_10_'!O885,"AAAAACfu88M=")</f>
        <v>#VALUE!</v>
      </c>
      <c r="GO59" t="e">
        <f>AND('Planilla_General_29-11-2012_10_'!P885,"AAAAACfu88Q=")</f>
        <v>#VALUE!</v>
      </c>
      <c r="GP59">
        <f>IF('Planilla_General_29-11-2012_10_'!886:886,"AAAAACfu88U=",0)</f>
        <v>0</v>
      </c>
      <c r="GQ59" t="e">
        <f>AND('Planilla_General_29-11-2012_10_'!A886,"AAAAACfu88Y=")</f>
        <v>#VALUE!</v>
      </c>
      <c r="GR59" t="e">
        <f>AND('Planilla_General_29-11-2012_10_'!B886,"AAAAACfu88c=")</f>
        <v>#VALUE!</v>
      </c>
      <c r="GS59" t="e">
        <f>AND('Planilla_General_29-11-2012_10_'!C886,"AAAAACfu88g=")</f>
        <v>#VALUE!</v>
      </c>
      <c r="GT59" t="e">
        <f>AND('Planilla_General_29-11-2012_10_'!D886,"AAAAACfu88k=")</f>
        <v>#VALUE!</v>
      </c>
      <c r="GU59" t="e">
        <f>AND('Planilla_General_29-11-2012_10_'!E886,"AAAAACfu88o=")</f>
        <v>#VALUE!</v>
      </c>
      <c r="GV59" t="e">
        <f>AND('Planilla_General_29-11-2012_10_'!F886,"AAAAACfu88s=")</f>
        <v>#VALUE!</v>
      </c>
      <c r="GW59" t="e">
        <f>AND('Planilla_General_29-11-2012_10_'!G886,"AAAAACfu88w=")</f>
        <v>#VALUE!</v>
      </c>
      <c r="GX59" t="e">
        <f>AND('Planilla_General_29-11-2012_10_'!H886,"AAAAACfu880=")</f>
        <v>#VALUE!</v>
      </c>
      <c r="GY59" t="e">
        <f>AND('Planilla_General_29-11-2012_10_'!I886,"AAAAACfu884=")</f>
        <v>#VALUE!</v>
      </c>
      <c r="GZ59" t="e">
        <f>AND('Planilla_General_29-11-2012_10_'!J886,"AAAAACfu888=")</f>
        <v>#VALUE!</v>
      </c>
      <c r="HA59" t="e">
        <f>AND('Planilla_General_29-11-2012_10_'!K886,"AAAAACfu89A=")</f>
        <v>#VALUE!</v>
      </c>
      <c r="HB59" t="e">
        <f>AND('Planilla_General_29-11-2012_10_'!L886,"AAAAACfu89E=")</f>
        <v>#VALUE!</v>
      </c>
      <c r="HC59" t="e">
        <f>AND('Planilla_General_29-11-2012_10_'!M886,"AAAAACfu89I=")</f>
        <v>#VALUE!</v>
      </c>
      <c r="HD59" t="e">
        <f>AND('Planilla_General_29-11-2012_10_'!N886,"AAAAACfu89M=")</f>
        <v>#VALUE!</v>
      </c>
      <c r="HE59" t="e">
        <f>AND('Planilla_General_29-11-2012_10_'!O886,"AAAAACfu89Q=")</f>
        <v>#VALUE!</v>
      </c>
      <c r="HF59" t="e">
        <f>AND('Planilla_General_29-11-2012_10_'!P886,"AAAAACfu89U=")</f>
        <v>#VALUE!</v>
      </c>
      <c r="HG59">
        <f>IF('Planilla_General_29-11-2012_10_'!887:887,"AAAAACfu89Y=",0)</f>
        <v>0</v>
      </c>
      <c r="HH59" t="e">
        <f>AND('Planilla_General_29-11-2012_10_'!A887,"AAAAACfu89c=")</f>
        <v>#VALUE!</v>
      </c>
      <c r="HI59" t="e">
        <f>AND('Planilla_General_29-11-2012_10_'!B887,"AAAAACfu89g=")</f>
        <v>#VALUE!</v>
      </c>
      <c r="HJ59" t="e">
        <f>AND('Planilla_General_29-11-2012_10_'!C887,"AAAAACfu89k=")</f>
        <v>#VALUE!</v>
      </c>
      <c r="HK59" t="e">
        <f>AND('Planilla_General_29-11-2012_10_'!D887,"AAAAACfu89o=")</f>
        <v>#VALUE!</v>
      </c>
      <c r="HL59" t="e">
        <f>AND('Planilla_General_29-11-2012_10_'!E887,"AAAAACfu89s=")</f>
        <v>#VALUE!</v>
      </c>
      <c r="HM59" t="e">
        <f>AND('Planilla_General_29-11-2012_10_'!F887,"AAAAACfu89w=")</f>
        <v>#VALUE!</v>
      </c>
      <c r="HN59" t="e">
        <f>AND('Planilla_General_29-11-2012_10_'!G887,"AAAAACfu890=")</f>
        <v>#VALUE!</v>
      </c>
      <c r="HO59" t="e">
        <f>AND('Planilla_General_29-11-2012_10_'!H887,"AAAAACfu894=")</f>
        <v>#VALUE!</v>
      </c>
      <c r="HP59" t="e">
        <f>AND('Planilla_General_29-11-2012_10_'!I887,"AAAAACfu898=")</f>
        <v>#VALUE!</v>
      </c>
      <c r="HQ59" t="e">
        <f>AND('Planilla_General_29-11-2012_10_'!J887,"AAAAACfu8+A=")</f>
        <v>#VALUE!</v>
      </c>
      <c r="HR59" t="e">
        <f>AND('Planilla_General_29-11-2012_10_'!K887,"AAAAACfu8+E=")</f>
        <v>#VALUE!</v>
      </c>
      <c r="HS59" t="e">
        <f>AND('Planilla_General_29-11-2012_10_'!L887,"AAAAACfu8+I=")</f>
        <v>#VALUE!</v>
      </c>
      <c r="HT59" t="e">
        <f>AND('Planilla_General_29-11-2012_10_'!M887,"AAAAACfu8+M=")</f>
        <v>#VALUE!</v>
      </c>
      <c r="HU59" t="e">
        <f>AND('Planilla_General_29-11-2012_10_'!N887,"AAAAACfu8+Q=")</f>
        <v>#VALUE!</v>
      </c>
      <c r="HV59" t="e">
        <f>AND('Planilla_General_29-11-2012_10_'!O887,"AAAAACfu8+U=")</f>
        <v>#VALUE!</v>
      </c>
      <c r="HW59" t="e">
        <f>AND('Planilla_General_29-11-2012_10_'!P887,"AAAAACfu8+Y=")</f>
        <v>#VALUE!</v>
      </c>
      <c r="HX59">
        <f>IF('Planilla_General_29-11-2012_10_'!888:888,"AAAAACfu8+c=",0)</f>
        <v>0</v>
      </c>
      <c r="HY59" t="e">
        <f>AND('Planilla_General_29-11-2012_10_'!A888,"AAAAACfu8+g=")</f>
        <v>#VALUE!</v>
      </c>
      <c r="HZ59" t="e">
        <f>AND('Planilla_General_29-11-2012_10_'!B888,"AAAAACfu8+k=")</f>
        <v>#VALUE!</v>
      </c>
      <c r="IA59" t="e">
        <f>AND('Planilla_General_29-11-2012_10_'!C888,"AAAAACfu8+o=")</f>
        <v>#VALUE!</v>
      </c>
      <c r="IB59" t="e">
        <f>AND('Planilla_General_29-11-2012_10_'!D888,"AAAAACfu8+s=")</f>
        <v>#VALUE!</v>
      </c>
      <c r="IC59" t="e">
        <f>AND('Planilla_General_29-11-2012_10_'!E888,"AAAAACfu8+w=")</f>
        <v>#VALUE!</v>
      </c>
      <c r="ID59" t="e">
        <f>AND('Planilla_General_29-11-2012_10_'!F888,"AAAAACfu8+0=")</f>
        <v>#VALUE!</v>
      </c>
      <c r="IE59" t="e">
        <f>AND('Planilla_General_29-11-2012_10_'!G888,"AAAAACfu8+4=")</f>
        <v>#VALUE!</v>
      </c>
      <c r="IF59" t="e">
        <f>AND('Planilla_General_29-11-2012_10_'!H888,"AAAAACfu8+8=")</f>
        <v>#VALUE!</v>
      </c>
      <c r="IG59" t="e">
        <f>AND('Planilla_General_29-11-2012_10_'!I888,"AAAAACfu8/A=")</f>
        <v>#VALUE!</v>
      </c>
      <c r="IH59" t="e">
        <f>AND('Planilla_General_29-11-2012_10_'!J888,"AAAAACfu8/E=")</f>
        <v>#VALUE!</v>
      </c>
      <c r="II59" t="e">
        <f>AND('Planilla_General_29-11-2012_10_'!K888,"AAAAACfu8/I=")</f>
        <v>#VALUE!</v>
      </c>
      <c r="IJ59" t="e">
        <f>AND('Planilla_General_29-11-2012_10_'!L888,"AAAAACfu8/M=")</f>
        <v>#VALUE!</v>
      </c>
      <c r="IK59" t="e">
        <f>AND('Planilla_General_29-11-2012_10_'!M888,"AAAAACfu8/Q=")</f>
        <v>#VALUE!</v>
      </c>
      <c r="IL59" t="e">
        <f>AND('Planilla_General_29-11-2012_10_'!N888,"AAAAACfu8/U=")</f>
        <v>#VALUE!</v>
      </c>
      <c r="IM59" t="e">
        <f>AND('Planilla_General_29-11-2012_10_'!O888,"AAAAACfu8/Y=")</f>
        <v>#VALUE!</v>
      </c>
      <c r="IN59" t="e">
        <f>AND('Planilla_General_29-11-2012_10_'!P888,"AAAAACfu8/c=")</f>
        <v>#VALUE!</v>
      </c>
      <c r="IO59">
        <f>IF('Planilla_General_29-11-2012_10_'!889:889,"AAAAACfu8/g=",0)</f>
        <v>0</v>
      </c>
      <c r="IP59" t="e">
        <f>AND('Planilla_General_29-11-2012_10_'!A889,"AAAAACfu8/k=")</f>
        <v>#VALUE!</v>
      </c>
      <c r="IQ59" t="e">
        <f>AND('Planilla_General_29-11-2012_10_'!B889,"AAAAACfu8/o=")</f>
        <v>#VALUE!</v>
      </c>
      <c r="IR59" t="e">
        <f>AND('Planilla_General_29-11-2012_10_'!C889,"AAAAACfu8/s=")</f>
        <v>#VALUE!</v>
      </c>
      <c r="IS59" t="e">
        <f>AND('Planilla_General_29-11-2012_10_'!D889,"AAAAACfu8/w=")</f>
        <v>#VALUE!</v>
      </c>
      <c r="IT59" t="e">
        <f>AND('Planilla_General_29-11-2012_10_'!E889,"AAAAACfu8/0=")</f>
        <v>#VALUE!</v>
      </c>
      <c r="IU59" t="e">
        <f>AND('Planilla_General_29-11-2012_10_'!F889,"AAAAACfu8/4=")</f>
        <v>#VALUE!</v>
      </c>
      <c r="IV59" t="e">
        <f>AND('Planilla_General_29-11-2012_10_'!G889,"AAAAACfu8/8=")</f>
        <v>#VALUE!</v>
      </c>
    </row>
    <row r="60" spans="1:256" x14ac:dyDescent="0.25">
      <c r="A60" t="e">
        <f>AND('Planilla_General_29-11-2012_10_'!H889,"AAAAAGse/wA=")</f>
        <v>#VALUE!</v>
      </c>
      <c r="B60" t="e">
        <f>AND('Planilla_General_29-11-2012_10_'!I889,"AAAAAGse/wE=")</f>
        <v>#VALUE!</v>
      </c>
      <c r="C60" t="e">
        <f>AND('Planilla_General_29-11-2012_10_'!J889,"AAAAAGse/wI=")</f>
        <v>#VALUE!</v>
      </c>
      <c r="D60" t="e">
        <f>AND('Planilla_General_29-11-2012_10_'!K889,"AAAAAGse/wM=")</f>
        <v>#VALUE!</v>
      </c>
      <c r="E60" t="e">
        <f>AND('Planilla_General_29-11-2012_10_'!L889,"AAAAAGse/wQ=")</f>
        <v>#VALUE!</v>
      </c>
      <c r="F60" t="e">
        <f>AND('Planilla_General_29-11-2012_10_'!M889,"AAAAAGse/wU=")</f>
        <v>#VALUE!</v>
      </c>
      <c r="G60" t="e">
        <f>AND('Planilla_General_29-11-2012_10_'!N889,"AAAAAGse/wY=")</f>
        <v>#VALUE!</v>
      </c>
      <c r="H60" t="e">
        <f>AND('Planilla_General_29-11-2012_10_'!O889,"AAAAAGse/wc=")</f>
        <v>#VALUE!</v>
      </c>
      <c r="I60" t="e">
        <f>AND('Planilla_General_29-11-2012_10_'!P889,"AAAAAGse/wg=")</f>
        <v>#VALUE!</v>
      </c>
      <c r="J60" t="e">
        <f>IF('Planilla_General_29-11-2012_10_'!890:890,"AAAAAGse/wk=",0)</f>
        <v>#VALUE!</v>
      </c>
      <c r="K60" t="e">
        <f>AND('Planilla_General_29-11-2012_10_'!A890,"AAAAAGse/wo=")</f>
        <v>#VALUE!</v>
      </c>
      <c r="L60" t="e">
        <f>AND('Planilla_General_29-11-2012_10_'!B890,"AAAAAGse/ws=")</f>
        <v>#VALUE!</v>
      </c>
      <c r="M60" t="e">
        <f>AND('Planilla_General_29-11-2012_10_'!C890,"AAAAAGse/ww=")</f>
        <v>#VALUE!</v>
      </c>
      <c r="N60" t="e">
        <f>AND('Planilla_General_29-11-2012_10_'!D890,"AAAAAGse/w0=")</f>
        <v>#VALUE!</v>
      </c>
      <c r="O60" t="e">
        <f>AND('Planilla_General_29-11-2012_10_'!E890,"AAAAAGse/w4=")</f>
        <v>#VALUE!</v>
      </c>
      <c r="P60" t="e">
        <f>AND('Planilla_General_29-11-2012_10_'!F890,"AAAAAGse/w8=")</f>
        <v>#VALUE!</v>
      </c>
      <c r="Q60" t="e">
        <f>AND('Planilla_General_29-11-2012_10_'!G890,"AAAAAGse/xA=")</f>
        <v>#VALUE!</v>
      </c>
      <c r="R60" t="e">
        <f>AND('Planilla_General_29-11-2012_10_'!H890,"AAAAAGse/xE=")</f>
        <v>#VALUE!</v>
      </c>
      <c r="S60" t="e">
        <f>AND('Planilla_General_29-11-2012_10_'!I890,"AAAAAGse/xI=")</f>
        <v>#VALUE!</v>
      </c>
      <c r="T60" t="e">
        <f>AND('Planilla_General_29-11-2012_10_'!J890,"AAAAAGse/xM=")</f>
        <v>#VALUE!</v>
      </c>
      <c r="U60" t="e">
        <f>AND('Planilla_General_29-11-2012_10_'!K890,"AAAAAGse/xQ=")</f>
        <v>#VALUE!</v>
      </c>
      <c r="V60" t="e">
        <f>AND('Planilla_General_29-11-2012_10_'!L890,"AAAAAGse/xU=")</f>
        <v>#VALUE!</v>
      </c>
      <c r="W60" t="e">
        <f>AND('Planilla_General_29-11-2012_10_'!M890,"AAAAAGse/xY=")</f>
        <v>#VALUE!</v>
      </c>
      <c r="X60" t="e">
        <f>AND('Planilla_General_29-11-2012_10_'!N890,"AAAAAGse/xc=")</f>
        <v>#VALUE!</v>
      </c>
      <c r="Y60" t="e">
        <f>AND('Planilla_General_29-11-2012_10_'!O890,"AAAAAGse/xg=")</f>
        <v>#VALUE!</v>
      </c>
      <c r="Z60" t="e">
        <f>AND('Planilla_General_29-11-2012_10_'!P890,"AAAAAGse/xk=")</f>
        <v>#VALUE!</v>
      </c>
      <c r="AA60">
        <f>IF('Planilla_General_29-11-2012_10_'!891:891,"AAAAAGse/xo=",0)</f>
        <v>0</v>
      </c>
      <c r="AB60" t="e">
        <f>AND('Planilla_General_29-11-2012_10_'!A891,"AAAAAGse/xs=")</f>
        <v>#VALUE!</v>
      </c>
      <c r="AC60" t="e">
        <f>AND('Planilla_General_29-11-2012_10_'!B891,"AAAAAGse/xw=")</f>
        <v>#VALUE!</v>
      </c>
      <c r="AD60" t="e">
        <f>AND('Planilla_General_29-11-2012_10_'!C891,"AAAAAGse/x0=")</f>
        <v>#VALUE!</v>
      </c>
      <c r="AE60" t="e">
        <f>AND('Planilla_General_29-11-2012_10_'!D891,"AAAAAGse/x4=")</f>
        <v>#VALUE!</v>
      </c>
      <c r="AF60" t="e">
        <f>AND('Planilla_General_29-11-2012_10_'!E891,"AAAAAGse/x8=")</f>
        <v>#VALUE!</v>
      </c>
      <c r="AG60" t="e">
        <f>AND('Planilla_General_29-11-2012_10_'!F891,"AAAAAGse/yA=")</f>
        <v>#VALUE!</v>
      </c>
      <c r="AH60" t="e">
        <f>AND('Planilla_General_29-11-2012_10_'!G891,"AAAAAGse/yE=")</f>
        <v>#VALUE!</v>
      </c>
      <c r="AI60" t="e">
        <f>AND('Planilla_General_29-11-2012_10_'!H891,"AAAAAGse/yI=")</f>
        <v>#VALUE!</v>
      </c>
      <c r="AJ60" t="e">
        <f>AND('Planilla_General_29-11-2012_10_'!I891,"AAAAAGse/yM=")</f>
        <v>#VALUE!</v>
      </c>
      <c r="AK60" t="e">
        <f>AND('Planilla_General_29-11-2012_10_'!J891,"AAAAAGse/yQ=")</f>
        <v>#VALUE!</v>
      </c>
      <c r="AL60" t="e">
        <f>AND('Planilla_General_29-11-2012_10_'!K891,"AAAAAGse/yU=")</f>
        <v>#VALUE!</v>
      </c>
      <c r="AM60" t="e">
        <f>AND('Planilla_General_29-11-2012_10_'!L891,"AAAAAGse/yY=")</f>
        <v>#VALUE!</v>
      </c>
      <c r="AN60" t="e">
        <f>AND('Planilla_General_29-11-2012_10_'!M891,"AAAAAGse/yc=")</f>
        <v>#VALUE!</v>
      </c>
      <c r="AO60" t="e">
        <f>AND('Planilla_General_29-11-2012_10_'!N891,"AAAAAGse/yg=")</f>
        <v>#VALUE!</v>
      </c>
      <c r="AP60" t="e">
        <f>AND('Planilla_General_29-11-2012_10_'!O891,"AAAAAGse/yk=")</f>
        <v>#VALUE!</v>
      </c>
      <c r="AQ60" t="e">
        <f>AND('Planilla_General_29-11-2012_10_'!P891,"AAAAAGse/yo=")</f>
        <v>#VALUE!</v>
      </c>
      <c r="AR60">
        <f>IF('Planilla_General_29-11-2012_10_'!892:892,"AAAAAGse/ys=",0)</f>
        <v>0</v>
      </c>
      <c r="AS60" t="e">
        <f>AND('Planilla_General_29-11-2012_10_'!A892,"AAAAAGse/yw=")</f>
        <v>#VALUE!</v>
      </c>
      <c r="AT60" t="e">
        <f>AND('Planilla_General_29-11-2012_10_'!B892,"AAAAAGse/y0=")</f>
        <v>#VALUE!</v>
      </c>
      <c r="AU60" t="e">
        <f>AND('Planilla_General_29-11-2012_10_'!C892,"AAAAAGse/y4=")</f>
        <v>#VALUE!</v>
      </c>
      <c r="AV60" t="e">
        <f>AND('Planilla_General_29-11-2012_10_'!D892,"AAAAAGse/y8=")</f>
        <v>#VALUE!</v>
      </c>
      <c r="AW60" t="e">
        <f>AND('Planilla_General_29-11-2012_10_'!E892,"AAAAAGse/zA=")</f>
        <v>#VALUE!</v>
      </c>
      <c r="AX60" t="e">
        <f>AND('Planilla_General_29-11-2012_10_'!F892,"AAAAAGse/zE=")</f>
        <v>#VALUE!</v>
      </c>
      <c r="AY60" t="e">
        <f>AND('Planilla_General_29-11-2012_10_'!G892,"AAAAAGse/zI=")</f>
        <v>#VALUE!</v>
      </c>
      <c r="AZ60" t="e">
        <f>AND('Planilla_General_29-11-2012_10_'!H892,"AAAAAGse/zM=")</f>
        <v>#VALUE!</v>
      </c>
      <c r="BA60" t="e">
        <f>AND('Planilla_General_29-11-2012_10_'!I892,"AAAAAGse/zQ=")</f>
        <v>#VALUE!</v>
      </c>
      <c r="BB60" t="e">
        <f>AND('Planilla_General_29-11-2012_10_'!J892,"AAAAAGse/zU=")</f>
        <v>#VALUE!</v>
      </c>
      <c r="BC60" t="e">
        <f>AND('Planilla_General_29-11-2012_10_'!K892,"AAAAAGse/zY=")</f>
        <v>#VALUE!</v>
      </c>
      <c r="BD60" t="e">
        <f>AND('Planilla_General_29-11-2012_10_'!L892,"AAAAAGse/zc=")</f>
        <v>#VALUE!</v>
      </c>
      <c r="BE60" t="e">
        <f>AND('Planilla_General_29-11-2012_10_'!M892,"AAAAAGse/zg=")</f>
        <v>#VALUE!</v>
      </c>
      <c r="BF60" t="e">
        <f>AND('Planilla_General_29-11-2012_10_'!N892,"AAAAAGse/zk=")</f>
        <v>#VALUE!</v>
      </c>
      <c r="BG60" t="e">
        <f>AND('Planilla_General_29-11-2012_10_'!O892,"AAAAAGse/zo=")</f>
        <v>#VALUE!</v>
      </c>
      <c r="BH60" t="e">
        <f>AND('Planilla_General_29-11-2012_10_'!P892,"AAAAAGse/zs=")</f>
        <v>#VALUE!</v>
      </c>
      <c r="BI60">
        <f>IF('Planilla_General_29-11-2012_10_'!893:893,"AAAAAGse/zw=",0)</f>
        <v>0</v>
      </c>
      <c r="BJ60" t="e">
        <f>AND('Planilla_General_29-11-2012_10_'!A893,"AAAAAGse/z0=")</f>
        <v>#VALUE!</v>
      </c>
      <c r="BK60" t="e">
        <f>AND('Planilla_General_29-11-2012_10_'!B893,"AAAAAGse/z4=")</f>
        <v>#VALUE!</v>
      </c>
      <c r="BL60" t="e">
        <f>AND('Planilla_General_29-11-2012_10_'!C893,"AAAAAGse/z8=")</f>
        <v>#VALUE!</v>
      </c>
      <c r="BM60" t="e">
        <f>AND('Planilla_General_29-11-2012_10_'!D893,"AAAAAGse/0A=")</f>
        <v>#VALUE!</v>
      </c>
      <c r="BN60" t="e">
        <f>AND('Planilla_General_29-11-2012_10_'!E893,"AAAAAGse/0E=")</f>
        <v>#VALUE!</v>
      </c>
      <c r="BO60" t="e">
        <f>AND('Planilla_General_29-11-2012_10_'!F893,"AAAAAGse/0I=")</f>
        <v>#VALUE!</v>
      </c>
      <c r="BP60" t="e">
        <f>AND('Planilla_General_29-11-2012_10_'!G893,"AAAAAGse/0M=")</f>
        <v>#VALUE!</v>
      </c>
      <c r="BQ60" t="e">
        <f>AND('Planilla_General_29-11-2012_10_'!H893,"AAAAAGse/0Q=")</f>
        <v>#VALUE!</v>
      </c>
      <c r="BR60" t="e">
        <f>AND('Planilla_General_29-11-2012_10_'!I893,"AAAAAGse/0U=")</f>
        <v>#VALUE!</v>
      </c>
      <c r="BS60" t="e">
        <f>AND('Planilla_General_29-11-2012_10_'!J893,"AAAAAGse/0Y=")</f>
        <v>#VALUE!</v>
      </c>
      <c r="BT60" t="e">
        <f>AND('Planilla_General_29-11-2012_10_'!K893,"AAAAAGse/0c=")</f>
        <v>#VALUE!</v>
      </c>
      <c r="BU60" t="e">
        <f>AND('Planilla_General_29-11-2012_10_'!L893,"AAAAAGse/0g=")</f>
        <v>#VALUE!</v>
      </c>
      <c r="BV60" t="e">
        <f>AND('Planilla_General_29-11-2012_10_'!M893,"AAAAAGse/0k=")</f>
        <v>#VALUE!</v>
      </c>
      <c r="BW60" t="e">
        <f>AND('Planilla_General_29-11-2012_10_'!N893,"AAAAAGse/0o=")</f>
        <v>#VALUE!</v>
      </c>
      <c r="BX60" t="e">
        <f>AND('Planilla_General_29-11-2012_10_'!O893,"AAAAAGse/0s=")</f>
        <v>#VALUE!</v>
      </c>
      <c r="BY60" t="e">
        <f>AND('Planilla_General_29-11-2012_10_'!P893,"AAAAAGse/0w=")</f>
        <v>#VALUE!</v>
      </c>
      <c r="BZ60">
        <f>IF('Planilla_General_29-11-2012_10_'!894:894,"AAAAAGse/00=",0)</f>
        <v>0</v>
      </c>
      <c r="CA60" t="e">
        <f>AND('Planilla_General_29-11-2012_10_'!A894,"AAAAAGse/04=")</f>
        <v>#VALUE!</v>
      </c>
      <c r="CB60" t="e">
        <f>AND('Planilla_General_29-11-2012_10_'!B894,"AAAAAGse/08=")</f>
        <v>#VALUE!</v>
      </c>
      <c r="CC60" t="e">
        <f>AND('Planilla_General_29-11-2012_10_'!C894,"AAAAAGse/1A=")</f>
        <v>#VALUE!</v>
      </c>
      <c r="CD60" t="e">
        <f>AND('Planilla_General_29-11-2012_10_'!D894,"AAAAAGse/1E=")</f>
        <v>#VALUE!</v>
      </c>
      <c r="CE60" t="e">
        <f>AND('Planilla_General_29-11-2012_10_'!E894,"AAAAAGse/1I=")</f>
        <v>#VALUE!</v>
      </c>
      <c r="CF60" t="e">
        <f>AND('Planilla_General_29-11-2012_10_'!F894,"AAAAAGse/1M=")</f>
        <v>#VALUE!</v>
      </c>
      <c r="CG60" t="e">
        <f>AND('Planilla_General_29-11-2012_10_'!G894,"AAAAAGse/1Q=")</f>
        <v>#VALUE!</v>
      </c>
      <c r="CH60" t="e">
        <f>AND('Planilla_General_29-11-2012_10_'!H894,"AAAAAGse/1U=")</f>
        <v>#VALUE!</v>
      </c>
      <c r="CI60" t="e">
        <f>AND('Planilla_General_29-11-2012_10_'!I894,"AAAAAGse/1Y=")</f>
        <v>#VALUE!</v>
      </c>
      <c r="CJ60" t="e">
        <f>AND('Planilla_General_29-11-2012_10_'!J894,"AAAAAGse/1c=")</f>
        <v>#VALUE!</v>
      </c>
      <c r="CK60" t="e">
        <f>AND('Planilla_General_29-11-2012_10_'!K894,"AAAAAGse/1g=")</f>
        <v>#VALUE!</v>
      </c>
      <c r="CL60" t="e">
        <f>AND('Planilla_General_29-11-2012_10_'!L894,"AAAAAGse/1k=")</f>
        <v>#VALUE!</v>
      </c>
      <c r="CM60" t="e">
        <f>AND('Planilla_General_29-11-2012_10_'!M894,"AAAAAGse/1o=")</f>
        <v>#VALUE!</v>
      </c>
      <c r="CN60" t="e">
        <f>AND('Planilla_General_29-11-2012_10_'!N894,"AAAAAGse/1s=")</f>
        <v>#VALUE!</v>
      </c>
      <c r="CO60" t="e">
        <f>AND('Planilla_General_29-11-2012_10_'!O894,"AAAAAGse/1w=")</f>
        <v>#VALUE!</v>
      </c>
      <c r="CP60" t="e">
        <f>AND('Planilla_General_29-11-2012_10_'!P894,"AAAAAGse/10=")</f>
        <v>#VALUE!</v>
      </c>
      <c r="CQ60">
        <f>IF('Planilla_General_29-11-2012_10_'!895:895,"AAAAAGse/14=",0)</f>
        <v>0</v>
      </c>
      <c r="CR60" t="e">
        <f>AND('Planilla_General_29-11-2012_10_'!A895,"AAAAAGse/18=")</f>
        <v>#VALUE!</v>
      </c>
      <c r="CS60" t="e">
        <f>AND('Planilla_General_29-11-2012_10_'!B895,"AAAAAGse/2A=")</f>
        <v>#VALUE!</v>
      </c>
      <c r="CT60" t="e">
        <f>AND('Planilla_General_29-11-2012_10_'!C895,"AAAAAGse/2E=")</f>
        <v>#VALUE!</v>
      </c>
      <c r="CU60" t="e">
        <f>AND('Planilla_General_29-11-2012_10_'!D895,"AAAAAGse/2I=")</f>
        <v>#VALUE!</v>
      </c>
      <c r="CV60" t="e">
        <f>AND('Planilla_General_29-11-2012_10_'!E895,"AAAAAGse/2M=")</f>
        <v>#VALUE!</v>
      </c>
      <c r="CW60" t="e">
        <f>AND('Planilla_General_29-11-2012_10_'!F895,"AAAAAGse/2Q=")</f>
        <v>#VALUE!</v>
      </c>
      <c r="CX60" t="e">
        <f>AND('Planilla_General_29-11-2012_10_'!G895,"AAAAAGse/2U=")</f>
        <v>#VALUE!</v>
      </c>
      <c r="CY60" t="e">
        <f>AND('Planilla_General_29-11-2012_10_'!H895,"AAAAAGse/2Y=")</f>
        <v>#VALUE!</v>
      </c>
      <c r="CZ60" t="e">
        <f>AND('Planilla_General_29-11-2012_10_'!I895,"AAAAAGse/2c=")</f>
        <v>#VALUE!</v>
      </c>
      <c r="DA60" t="e">
        <f>AND('Planilla_General_29-11-2012_10_'!J895,"AAAAAGse/2g=")</f>
        <v>#VALUE!</v>
      </c>
      <c r="DB60" t="e">
        <f>AND('Planilla_General_29-11-2012_10_'!K895,"AAAAAGse/2k=")</f>
        <v>#VALUE!</v>
      </c>
      <c r="DC60" t="e">
        <f>AND('Planilla_General_29-11-2012_10_'!L895,"AAAAAGse/2o=")</f>
        <v>#VALUE!</v>
      </c>
      <c r="DD60" t="e">
        <f>AND('Planilla_General_29-11-2012_10_'!M895,"AAAAAGse/2s=")</f>
        <v>#VALUE!</v>
      </c>
      <c r="DE60" t="e">
        <f>AND('Planilla_General_29-11-2012_10_'!N895,"AAAAAGse/2w=")</f>
        <v>#VALUE!</v>
      </c>
      <c r="DF60" t="e">
        <f>AND('Planilla_General_29-11-2012_10_'!O895,"AAAAAGse/20=")</f>
        <v>#VALUE!</v>
      </c>
      <c r="DG60" t="e">
        <f>AND('Planilla_General_29-11-2012_10_'!P895,"AAAAAGse/24=")</f>
        <v>#VALUE!</v>
      </c>
      <c r="DH60">
        <f>IF('Planilla_General_29-11-2012_10_'!896:896,"AAAAAGse/28=",0)</f>
        <v>0</v>
      </c>
      <c r="DI60" t="e">
        <f>AND('Planilla_General_29-11-2012_10_'!A896,"AAAAAGse/3A=")</f>
        <v>#VALUE!</v>
      </c>
      <c r="DJ60" t="e">
        <f>AND('Planilla_General_29-11-2012_10_'!B896,"AAAAAGse/3E=")</f>
        <v>#VALUE!</v>
      </c>
      <c r="DK60" t="e">
        <f>AND('Planilla_General_29-11-2012_10_'!C896,"AAAAAGse/3I=")</f>
        <v>#VALUE!</v>
      </c>
      <c r="DL60" t="e">
        <f>AND('Planilla_General_29-11-2012_10_'!D896,"AAAAAGse/3M=")</f>
        <v>#VALUE!</v>
      </c>
      <c r="DM60" t="e">
        <f>AND('Planilla_General_29-11-2012_10_'!E896,"AAAAAGse/3Q=")</f>
        <v>#VALUE!</v>
      </c>
      <c r="DN60" t="e">
        <f>AND('Planilla_General_29-11-2012_10_'!F896,"AAAAAGse/3U=")</f>
        <v>#VALUE!</v>
      </c>
      <c r="DO60" t="e">
        <f>AND('Planilla_General_29-11-2012_10_'!G896,"AAAAAGse/3Y=")</f>
        <v>#VALUE!</v>
      </c>
      <c r="DP60" t="e">
        <f>AND('Planilla_General_29-11-2012_10_'!H896,"AAAAAGse/3c=")</f>
        <v>#VALUE!</v>
      </c>
      <c r="DQ60" t="e">
        <f>AND('Planilla_General_29-11-2012_10_'!I896,"AAAAAGse/3g=")</f>
        <v>#VALUE!</v>
      </c>
      <c r="DR60" t="e">
        <f>AND('Planilla_General_29-11-2012_10_'!J896,"AAAAAGse/3k=")</f>
        <v>#VALUE!</v>
      </c>
      <c r="DS60" t="e">
        <f>AND('Planilla_General_29-11-2012_10_'!K896,"AAAAAGse/3o=")</f>
        <v>#VALUE!</v>
      </c>
      <c r="DT60" t="e">
        <f>AND('Planilla_General_29-11-2012_10_'!L896,"AAAAAGse/3s=")</f>
        <v>#VALUE!</v>
      </c>
      <c r="DU60" t="e">
        <f>AND('Planilla_General_29-11-2012_10_'!M896,"AAAAAGse/3w=")</f>
        <v>#VALUE!</v>
      </c>
      <c r="DV60" t="e">
        <f>AND('Planilla_General_29-11-2012_10_'!N896,"AAAAAGse/30=")</f>
        <v>#VALUE!</v>
      </c>
      <c r="DW60" t="e">
        <f>AND('Planilla_General_29-11-2012_10_'!O896,"AAAAAGse/34=")</f>
        <v>#VALUE!</v>
      </c>
      <c r="DX60" t="e">
        <f>AND('Planilla_General_29-11-2012_10_'!P896,"AAAAAGse/38=")</f>
        <v>#VALUE!</v>
      </c>
      <c r="DY60">
        <f>IF('Planilla_General_29-11-2012_10_'!897:897,"AAAAAGse/4A=",0)</f>
        <v>0</v>
      </c>
      <c r="DZ60" t="e">
        <f>AND('Planilla_General_29-11-2012_10_'!A897,"AAAAAGse/4E=")</f>
        <v>#VALUE!</v>
      </c>
      <c r="EA60" t="e">
        <f>AND('Planilla_General_29-11-2012_10_'!B897,"AAAAAGse/4I=")</f>
        <v>#VALUE!</v>
      </c>
      <c r="EB60" t="e">
        <f>AND('Planilla_General_29-11-2012_10_'!C897,"AAAAAGse/4M=")</f>
        <v>#VALUE!</v>
      </c>
      <c r="EC60" t="e">
        <f>AND('Planilla_General_29-11-2012_10_'!D897,"AAAAAGse/4Q=")</f>
        <v>#VALUE!</v>
      </c>
      <c r="ED60" t="e">
        <f>AND('Planilla_General_29-11-2012_10_'!E897,"AAAAAGse/4U=")</f>
        <v>#VALUE!</v>
      </c>
      <c r="EE60" t="e">
        <f>AND('Planilla_General_29-11-2012_10_'!F897,"AAAAAGse/4Y=")</f>
        <v>#VALUE!</v>
      </c>
      <c r="EF60" t="e">
        <f>AND('Planilla_General_29-11-2012_10_'!G897,"AAAAAGse/4c=")</f>
        <v>#VALUE!</v>
      </c>
      <c r="EG60" t="e">
        <f>AND('Planilla_General_29-11-2012_10_'!H897,"AAAAAGse/4g=")</f>
        <v>#VALUE!</v>
      </c>
      <c r="EH60" t="e">
        <f>AND('Planilla_General_29-11-2012_10_'!I897,"AAAAAGse/4k=")</f>
        <v>#VALUE!</v>
      </c>
      <c r="EI60" t="e">
        <f>AND('Planilla_General_29-11-2012_10_'!J897,"AAAAAGse/4o=")</f>
        <v>#VALUE!</v>
      </c>
      <c r="EJ60" t="e">
        <f>AND('Planilla_General_29-11-2012_10_'!K897,"AAAAAGse/4s=")</f>
        <v>#VALUE!</v>
      </c>
      <c r="EK60" t="e">
        <f>AND('Planilla_General_29-11-2012_10_'!L897,"AAAAAGse/4w=")</f>
        <v>#VALUE!</v>
      </c>
      <c r="EL60" t="e">
        <f>AND('Planilla_General_29-11-2012_10_'!M897,"AAAAAGse/40=")</f>
        <v>#VALUE!</v>
      </c>
      <c r="EM60" t="e">
        <f>AND('Planilla_General_29-11-2012_10_'!N897,"AAAAAGse/44=")</f>
        <v>#VALUE!</v>
      </c>
      <c r="EN60" t="e">
        <f>AND('Planilla_General_29-11-2012_10_'!O897,"AAAAAGse/48=")</f>
        <v>#VALUE!</v>
      </c>
      <c r="EO60" t="e">
        <f>AND('Planilla_General_29-11-2012_10_'!P897,"AAAAAGse/5A=")</f>
        <v>#VALUE!</v>
      </c>
      <c r="EP60">
        <f>IF('Planilla_General_29-11-2012_10_'!898:898,"AAAAAGse/5E=",0)</f>
        <v>0</v>
      </c>
      <c r="EQ60" t="e">
        <f>AND('Planilla_General_29-11-2012_10_'!A898,"AAAAAGse/5I=")</f>
        <v>#VALUE!</v>
      </c>
      <c r="ER60" t="e">
        <f>AND('Planilla_General_29-11-2012_10_'!B898,"AAAAAGse/5M=")</f>
        <v>#VALUE!</v>
      </c>
      <c r="ES60" t="e">
        <f>AND('Planilla_General_29-11-2012_10_'!C898,"AAAAAGse/5Q=")</f>
        <v>#VALUE!</v>
      </c>
      <c r="ET60" t="e">
        <f>AND('Planilla_General_29-11-2012_10_'!D898,"AAAAAGse/5U=")</f>
        <v>#VALUE!</v>
      </c>
      <c r="EU60" t="e">
        <f>AND('Planilla_General_29-11-2012_10_'!E898,"AAAAAGse/5Y=")</f>
        <v>#VALUE!</v>
      </c>
      <c r="EV60" t="e">
        <f>AND('Planilla_General_29-11-2012_10_'!F898,"AAAAAGse/5c=")</f>
        <v>#VALUE!</v>
      </c>
      <c r="EW60" t="e">
        <f>AND('Planilla_General_29-11-2012_10_'!G898,"AAAAAGse/5g=")</f>
        <v>#VALUE!</v>
      </c>
      <c r="EX60" t="e">
        <f>AND('Planilla_General_29-11-2012_10_'!H898,"AAAAAGse/5k=")</f>
        <v>#VALUE!</v>
      </c>
      <c r="EY60" t="e">
        <f>AND('Planilla_General_29-11-2012_10_'!I898,"AAAAAGse/5o=")</f>
        <v>#VALUE!</v>
      </c>
      <c r="EZ60" t="e">
        <f>AND('Planilla_General_29-11-2012_10_'!J898,"AAAAAGse/5s=")</f>
        <v>#VALUE!</v>
      </c>
      <c r="FA60" t="e">
        <f>AND('Planilla_General_29-11-2012_10_'!K898,"AAAAAGse/5w=")</f>
        <v>#VALUE!</v>
      </c>
      <c r="FB60" t="e">
        <f>AND('Planilla_General_29-11-2012_10_'!L898,"AAAAAGse/50=")</f>
        <v>#VALUE!</v>
      </c>
      <c r="FC60" t="e">
        <f>AND('Planilla_General_29-11-2012_10_'!M898,"AAAAAGse/54=")</f>
        <v>#VALUE!</v>
      </c>
      <c r="FD60" t="e">
        <f>AND('Planilla_General_29-11-2012_10_'!N898,"AAAAAGse/58=")</f>
        <v>#VALUE!</v>
      </c>
      <c r="FE60" t="e">
        <f>AND('Planilla_General_29-11-2012_10_'!O898,"AAAAAGse/6A=")</f>
        <v>#VALUE!</v>
      </c>
      <c r="FF60" t="e">
        <f>AND('Planilla_General_29-11-2012_10_'!P898,"AAAAAGse/6E=")</f>
        <v>#VALUE!</v>
      </c>
      <c r="FG60">
        <f>IF('Planilla_General_29-11-2012_10_'!899:899,"AAAAAGse/6I=",0)</f>
        <v>0</v>
      </c>
      <c r="FH60" t="e">
        <f>AND('Planilla_General_29-11-2012_10_'!A899,"AAAAAGse/6M=")</f>
        <v>#VALUE!</v>
      </c>
      <c r="FI60" t="e">
        <f>AND('Planilla_General_29-11-2012_10_'!B899,"AAAAAGse/6Q=")</f>
        <v>#VALUE!</v>
      </c>
      <c r="FJ60" t="e">
        <f>AND('Planilla_General_29-11-2012_10_'!C899,"AAAAAGse/6U=")</f>
        <v>#VALUE!</v>
      </c>
      <c r="FK60" t="e">
        <f>AND('Planilla_General_29-11-2012_10_'!D899,"AAAAAGse/6Y=")</f>
        <v>#VALUE!</v>
      </c>
      <c r="FL60" t="e">
        <f>AND('Planilla_General_29-11-2012_10_'!E899,"AAAAAGse/6c=")</f>
        <v>#VALUE!</v>
      </c>
      <c r="FM60" t="e">
        <f>AND('Planilla_General_29-11-2012_10_'!F899,"AAAAAGse/6g=")</f>
        <v>#VALUE!</v>
      </c>
      <c r="FN60" t="e">
        <f>AND('Planilla_General_29-11-2012_10_'!G899,"AAAAAGse/6k=")</f>
        <v>#VALUE!</v>
      </c>
      <c r="FO60" t="e">
        <f>AND('Planilla_General_29-11-2012_10_'!H899,"AAAAAGse/6o=")</f>
        <v>#VALUE!</v>
      </c>
      <c r="FP60" t="e">
        <f>AND('Planilla_General_29-11-2012_10_'!I899,"AAAAAGse/6s=")</f>
        <v>#VALUE!</v>
      </c>
      <c r="FQ60" t="e">
        <f>AND('Planilla_General_29-11-2012_10_'!J899,"AAAAAGse/6w=")</f>
        <v>#VALUE!</v>
      </c>
      <c r="FR60" t="e">
        <f>AND('Planilla_General_29-11-2012_10_'!K899,"AAAAAGse/60=")</f>
        <v>#VALUE!</v>
      </c>
      <c r="FS60" t="e">
        <f>AND('Planilla_General_29-11-2012_10_'!L899,"AAAAAGse/64=")</f>
        <v>#VALUE!</v>
      </c>
      <c r="FT60" t="e">
        <f>AND('Planilla_General_29-11-2012_10_'!M899,"AAAAAGse/68=")</f>
        <v>#VALUE!</v>
      </c>
      <c r="FU60" t="e">
        <f>AND('Planilla_General_29-11-2012_10_'!N899,"AAAAAGse/7A=")</f>
        <v>#VALUE!</v>
      </c>
      <c r="FV60" t="e">
        <f>AND('Planilla_General_29-11-2012_10_'!O899,"AAAAAGse/7E=")</f>
        <v>#VALUE!</v>
      </c>
      <c r="FW60" t="e">
        <f>AND('Planilla_General_29-11-2012_10_'!P899,"AAAAAGse/7I=")</f>
        <v>#VALUE!</v>
      </c>
      <c r="FX60">
        <f>IF('Planilla_General_29-11-2012_10_'!900:900,"AAAAAGse/7M=",0)</f>
        <v>0</v>
      </c>
      <c r="FY60" t="e">
        <f>AND('Planilla_General_29-11-2012_10_'!A900,"AAAAAGse/7Q=")</f>
        <v>#VALUE!</v>
      </c>
      <c r="FZ60" t="e">
        <f>AND('Planilla_General_29-11-2012_10_'!B900,"AAAAAGse/7U=")</f>
        <v>#VALUE!</v>
      </c>
      <c r="GA60" t="e">
        <f>AND('Planilla_General_29-11-2012_10_'!C900,"AAAAAGse/7Y=")</f>
        <v>#VALUE!</v>
      </c>
      <c r="GB60" t="e">
        <f>AND('Planilla_General_29-11-2012_10_'!D900,"AAAAAGse/7c=")</f>
        <v>#VALUE!</v>
      </c>
      <c r="GC60" t="e">
        <f>AND('Planilla_General_29-11-2012_10_'!E900,"AAAAAGse/7g=")</f>
        <v>#VALUE!</v>
      </c>
      <c r="GD60" t="e">
        <f>AND('Planilla_General_29-11-2012_10_'!F900,"AAAAAGse/7k=")</f>
        <v>#VALUE!</v>
      </c>
      <c r="GE60" t="e">
        <f>AND('Planilla_General_29-11-2012_10_'!G900,"AAAAAGse/7o=")</f>
        <v>#VALUE!</v>
      </c>
      <c r="GF60" t="e">
        <f>AND('Planilla_General_29-11-2012_10_'!H900,"AAAAAGse/7s=")</f>
        <v>#VALUE!</v>
      </c>
      <c r="GG60" t="e">
        <f>AND('Planilla_General_29-11-2012_10_'!I900,"AAAAAGse/7w=")</f>
        <v>#VALUE!</v>
      </c>
      <c r="GH60" t="e">
        <f>AND('Planilla_General_29-11-2012_10_'!J900,"AAAAAGse/70=")</f>
        <v>#VALUE!</v>
      </c>
      <c r="GI60" t="e">
        <f>AND('Planilla_General_29-11-2012_10_'!K900,"AAAAAGse/74=")</f>
        <v>#VALUE!</v>
      </c>
      <c r="GJ60" t="e">
        <f>AND('Planilla_General_29-11-2012_10_'!L900,"AAAAAGse/78=")</f>
        <v>#VALUE!</v>
      </c>
      <c r="GK60" t="e">
        <f>AND('Planilla_General_29-11-2012_10_'!M900,"AAAAAGse/8A=")</f>
        <v>#VALUE!</v>
      </c>
      <c r="GL60" t="e">
        <f>AND('Planilla_General_29-11-2012_10_'!N900,"AAAAAGse/8E=")</f>
        <v>#VALUE!</v>
      </c>
      <c r="GM60" t="e">
        <f>AND('Planilla_General_29-11-2012_10_'!O900,"AAAAAGse/8I=")</f>
        <v>#VALUE!</v>
      </c>
      <c r="GN60" t="e">
        <f>AND('Planilla_General_29-11-2012_10_'!P900,"AAAAAGse/8M=")</f>
        <v>#VALUE!</v>
      </c>
      <c r="GO60">
        <f>IF('Planilla_General_29-11-2012_10_'!901:901,"AAAAAGse/8Q=",0)</f>
        <v>0</v>
      </c>
      <c r="GP60" t="e">
        <f>AND('Planilla_General_29-11-2012_10_'!A901,"AAAAAGse/8U=")</f>
        <v>#VALUE!</v>
      </c>
      <c r="GQ60" t="e">
        <f>AND('Planilla_General_29-11-2012_10_'!B901,"AAAAAGse/8Y=")</f>
        <v>#VALUE!</v>
      </c>
      <c r="GR60" t="e">
        <f>AND('Planilla_General_29-11-2012_10_'!C901,"AAAAAGse/8c=")</f>
        <v>#VALUE!</v>
      </c>
      <c r="GS60" t="e">
        <f>AND('Planilla_General_29-11-2012_10_'!D901,"AAAAAGse/8g=")</f>
        <v>#VALUE!</v>
      </c>
      <c r="GT60" t="e">
        <f>AND('Planilla_General_29-11-2012_10_'!E901,"AAAAAGse/8k=")</f>
        <v>#VALUE!</v>
      </c>
      <c r="GU60" t="e">
        <f>AND('Planilla_General_29-11-2012_10_'!F901,"AAAAAGse/8o=")</f>
        <v>#VALUE!</v>
      </c>
      <c r="GV60" t="e">
        <f>AND('Planilla_General_29-11-2012_10_'!G901,"AAAAAGse/8s=")</f>
        <v>#VALUE!</v>
      </c>
      <c r="GW60" t="e">
        <f>AND('Planilla_General_29-11-2012_10_'!H901,"AAAAAGse/8w=")</f>
        <v>#VALUE!</v>
      </c>
      <c r="GX60" t="e">
        <f>AND('Planilla_General_29-11-2012_10_'!I901,"AAAAAGse/80=")</f>
        <v>#VALUE!</v>
      </c>
      <c r="GY60" t="e">
        <f>AND('Planilla_General_29-11-2012_10_'!J901,"AAAAAGse/84=")</f>
        <v>#VALUE!</v>
      </c>
      <c r="GZ60" t="e">
        <f>AND('Planilla_General_29-11-2012_10_'!K901,"AAAAAGse/88=")</f>
        <v>#VALUE!</v>
      </c>
      <c r="HA60" t="e">
        <f>AND('Planilla_General_29-11-2012_10_'!L901,"AAAAAGse/9A=")</f>
        <v>#VALUE!</v>
      </c>
      <c r="HB60" t="e">
        <f>AND('Planilla_General_29-11-2012_10_'!M901,"AAAAAGse/9E=")</f>
        <v>#VALUE!</v>
      </c>
      <c r="HC60" t="e">
        <f>AND('Planilla_General_29-11-2012_10_'!N901,"AAAAAGse/9I=")</f>
        <v>#VALUE!</v>
      </c>
      <c r="HD60" t="e">
        <f>AND('Planilla_General_29-11-2012_10_'!O901,"AAAAAGse/9M=")</f>
        <v>#VALUE!</v>
      </c>
      <c r="HE60" t="e">
        <f>AND('Planilla_General_29-11-2012_10_'!P901,"AAAAAGse/9Q=")</f>
        <v>#VALUE!</v>
      </c>
      <c r="HF60">
        <f>IF('Planilla_General_29-11-2012_10_'!902:902,"AAAAAGse/9U=",0)</f>
        <v>0</v>
      </c>
      <c r="HG60" t="e">
        <f>AND('Planilla_General_29-11-2012_10_'!A902,"AAAAAGse/9Y=")</f>
        <v>#VALUE!</v>
      </c>
      <c r="HH60" t="e">
        <f>AND('Planilla_General_29-11-2012_10_'!B902,"AAAAAGse/9c=")</f>
        <v>#VALUE!</v>
      </c>
      <c r="HI60" t="e">
        <f>AND('Planilla_General_29-11-2012_10_'!C902,"AAAAAGse/9g=")</f>
        <v>#VALUE!</v>
      </c>
      <c r="HJ60" t="e">
        <f>AND('Planilla_General_29-11-2012_10_'!D902,"AAAAAGse/9k=")</f>
        <v>#VALUE!</v>
      </c>
      <c r="HK60" t="e">
        <f>AND('Planilla_General_29-11-2012_10_'!E902,"AAAAAGse/9o=")</f>
        <v>#VALUE!</v>
      </c>
      <c r="HL60" t="e">
        <f>AND('Planilla_General_29-11-2012_10_'!F902,"AAAAAGse/9s=")</f>
        <v>#VALUE!</v>
      </c>
      <c r="HM60" t="e">
        <f>AND('Planilla_General_29-11-2012_10_'!G902,"AAAAAGse/9w=")</f>
        <v>#VALUE!</v>
      </c>
      <c r="HN60" t="e">
        <f>AND('Planilla_General_29-11-2012_10_'!H902,"AAAAAGse/90=")</f>
        <v>#VALUE!</v>
      </c>
      <c r="HO60" t="e">
        <f>AND('Planilla_General_29-11-2012_10_'!I902,"AAAAAGse/94=")</f>
        <v>#VALUE!</v>
      </c>
      <c r="HP60" t="e">
        <f>AND('Planilla_General_29-11-2012_10_'!J902,"AAAAAGse/98=")</f>
        <v>#VALUE!</v>
      </c>
      <c r="HQ60" t="e">
        <f>AND('Planilla_General_29-11-2012_10_'!K902,"AAAAAGse/+A=")</f>
        <v>#VALUE!</v>
      </c>
      <c r="HR60" t="e">
        <f>AND('Planilla_General_29-11-2012_10_'!L902,"AAAAAGse/+E=")</f>
        <v>#VALUE!</v>
      </c>
      <c r="HS60" t="e">
        <f>AND('Planilla_General_29-11-2012_10_'!M902,"AAAAAGse/+I=")</f>
        <v>#VALUE!</v>
      </c>
      <c r="HT60" t="e">
        <f>AND('Planilla_General_29-11-2012_10_'!N902,"AAAAAGse/+M=")</f>
        <v>#VALUE!</v>
      </c>
      <c r="HU60" t="e">
        <f>AND('Planilla_General_29-11-2012_10_'!O902,"AAAAAGse/+Q=")</f>
        <v>#VALUE!</v>
      </c>
      <c r="HV60" t="e">
        <f>AND('Planilla_General_29-11-2012_10_'!P902,"AAAAAGse/+U=")</f>
        <v>#VALUE!</v>
      </c>
      <c r="HW60">
        <f>IF('Planilla_General_29-11-2012_10_'!903:903,"AAAAAGse/+Y=",0)</f>
        <v>0</v>
      </c>
      <c r="HX60" t="e">
        <f>AND('Planilla_General_29-11-2012_10_'!A903,"AAAAAGse/+c=")</f>
        <v>#VALUE!</v>
      </c>
      <c r="HY60" t="e">
        <f>AND('Planilla_General_29-11-2012_10_'!B903,"AAAAAGse/+g=")</f>
        <v>#VALUE!</v>
      </c>
      <c r="HZ60" t="e">
        <f>AND('Planilla_General_29-11-2012_10_'!C903,"AAAAAGse/+k=")</f>
        <v>#VALUE!</v>
      </c>
      <c r="IA60" t="e">
        <f>AND('Planilla_General_29-11-2012_10_'!D903,"AAAAAGse/+o=")</f>
        <v>#VALUE!</v>
      </c>
      <c r="IB60" t="e">
        <f>AND('Planilla_General_29-11-2012_10_'!E903,"AAAAAGse/+s=")</f>
        <v>#VALUE!</v>
      </c>
      <c r="IC60" t="e">
        <f>AND('Planilla_General_29-11-2012_10_'!F903,"AAAAAGse/+w=")</f>
        <v>#VALUE!</v>
      </c>
      <c r="ID60" t="e">
        <f>AND('Planilla_General_29-11-2012_10_'!G903,"AAAAAGse/+0=")</f>
        <v>#VALUE!</v>
      </c>
      <c r="IE60" t="e">
        <f>AND('Planilla_General_29-11-2012_10_'!H903,"AAAAAGse/+4=")</f>
        <v>#VALUE!</v>
      </c>
      <c r="IF60" t="e">
        <f>AND('Planilla_General_29-11-2012_10_'!I903,"AAAAAGse/+8=")</f>
        <v>#VALUE!</v>
      </c>
      <c r="IG60" t="e">
        <f>AND('Planilla_General_29-11-2012_10_'!J903,"AAAAAGse//A=")</f>
        <v>#VALUE!</v>
      </c>
      <c r="IH60" t="e">
        <f>AND('Planilla_General_29-11-2012_10_'!K903,"AAAAAGse//E=")</f>
        <v>#VALUE!</v>
      </c>
      <c r="II60" t="e">
        <f>AND('Planilla_General_29-11-2012_10_'!L903,"AAAAAGse//I=")</f>
        <v>#VALUE!</v>
      </c>
      <c r="IJ60" t="e">
        <f>AND('Planilla_General_29-11-2012_10_'!M903,"AAAAAGse//M=")</f>
        <v>#VALUE!</v>
      </c>
      <c r="IK60" t="e">
        <f>AND('Planilla_General_29-11-2012_10_'!N903,"AAAAAGse//Q=")</f>
        <v>#VALUE!</v>
      </c>
      <c r="IL60" t="e">
        <f>AND('Planilla_General_29-11-2012_10_'!O903,"AAAAAGse//U=")</f>
        <v>#VALUE!</v>
      </c>
      <c r="IM60" t="e">
        <f>AND('Planilla_General_29-11-2012_10_'!P903,"AAAAAGse//Y=")</f>
        <v>#VALUE!</v>
      </c>
      <c r="IN60">
        <f>IF('Planilla_General_29-11-2012_10_'!904:904,"AAAAAGse//c=",0)</f>
        <v>0</v>
      </c>
      <c r="IO60" t="e">
        <f>AND('Planilla_General_29-11-2012_10_'!A904,"AAAAAGse//g=")</f>
        <v>#VALUE!</v>
      </c>
      <c r="IP60" t="e">
        <f>AND('Planilla_General_29-11-2012_10_'!B904,"AAAAAGse//k=")</f>
        <v>#VALUE!</v>
      </c>
      <c r="IQ60" t="e">
        <f>AND('Planilla_General_29-11-2012_10_'!C904,"AAAAAGse//o=")</f>
        <v>#VALUE!</v>
      </c>
      <c r="IR60" t="e">
        <f>AND('Planilla_General_29-11-2012_10_'!D904,"AAAAAGse//s=")</f>
        <v>#VALUE!</v>
      </c>
      <c r="IS60" t="e">
        <f>AND('Planilla_General_29-11-2012_10_'!E904,"AAAAAGse//w=")</f>
        <v>#VALUE!</v>
      </c>
      <c r="IT60" t="e">
        <f>AND('Planilla_General_29-11-2012_10_'!F904,"AAAAAGse//0=")</f>
        <v>#VALUE!</v>
      </c>
      <c r="IU60" t="e">
        <f>AND('Planilla_General_29-11-2012_10_'!G904,"AAAAAGse//4=")</f>
        <v>#VALUE!</v>
      </c>
      <c r="IV60" t="e">
        <f>AND('Planilla_General_29-11-2012_10_'!H904,"AAAAAGse//8=")</f>
        <v>#VALUE!</v>
      </c>
    </row>
    <row r="61" spans="1:256" x14ac:dyDescent="0.25">
      <c r="A61" t="e">
        <f>AND('Planilla_General_29-11-2012_10_'!I904,"AAAAAFx/1QA=")</f>
        <v>#VALUE!</v>
      </c>
      <c r="B61" t="e">
        <f>AND('Planilla_General_29-11-2012_10_'!J904,"AAAAAFx/1QE=")</f>
        <v>#VALUE!</v>
      </c>
      <c r="C61" t="e">
        <f>AND('Planilla_General_29-11-2012_10_'!K904,"AAAAAFx/1QI=")</f>
        <v>#VALUE!</v>
      </c>
      <c r="D61" t="e">
        <f>AND('Planilla_General_29-11-2012_10_'!L904,"AAAAAFx/1QM=")</f>
        <v>#VALUE!</v>
      </c>
      <c r="E61" t="e">
        <f>AND('Planilla_General_29-11-2012_10_'!M904,"AAAAAFx/1QQ=")</f>
        <v>#VALUE!</v>
      </c>
      <c r="F61" t="e">
        <f>AND('Planilla_General_29-11-2012_10_'!N904,"AAAAAFx/1QU=")</f>
        <v>#VALUE!</v>
      </c>
      <c r="G61" t="e">
        <f>AND('Planilla_General_29-11-2012_10_'!O904,"AAAAAFx/1QY=")</f>
        <v>#VALUE!</v>
      </c>
      <c r="H61" t="e">
        <f>AND('Planilla_General_29-11-2012_10_'!P904,"AAAAAFx/1Qc=")</f>
        <v>#VALUE!</v>
      </c>
      <c r="I61" t="e">
        <f>IF('Planilla_General_29-11-2012_10_'!905:905,"AAAAAFx/1Qg=",0)</f>
        <v>#VALUE!</v>
      </c>
      <c r="J61" t="e">
        <f>AND('Planilla_General_29-11-2012_10_'!A905,"AAAAAFx/1Qk=")</f>
        <v>#VALUE!</v>
      </c>
      <c r="K61" t="e">
        <f>AND('Planilla_General_29-11-2012_10_'!B905,"AAAAAFx/1Qo=")</f>
        <v>#VALUE!</v>
      </c>
      <c r="L61" t="e">
        <f>AND('Planilla_General_29-11-2012_10_'!C905,"AAAAAFx/1Qs=")</f>
        <v>#VALUE!</v>
      </c>
      <c r="M61" t="e">
        <f>AND('Planilla_General_29-11-2012_10_'!D905,"AAAAAFx/1Qw=")</f>
        <v>#VALUE!</v>
      </c>
      <c r="N61" t="e">
        <f>AND('Planilla_General_29-11-2012_10_'!E905,"AAAAAFx/1Q0=")</f>
        <v>#VALUE!</v>
      </c>
      <c r="O61" t="e">
        <f>AND('Planilla_General_29-11-2012_10_'!F905,"AAAAAFx/1Q4=")</f>
        <v>#VALUE!</v>
      </c>
      <c r="P61" t="e">
        <f>AND('Planilla_General_29-11-2012_10_'!G905,"AAAAAFx/1Q8=")</f>
        <v>#VALUE!</v>
      </c>
      <c r="Q61" t="e">
        <f>AND('Planilla_General_29-11-2012_10_'!H905,"AAAAAFx/1RA=")</f>
        <v>#VALUE!</v>
      </c>
      <c r="R61" t="e">
        <f>AND('Planilla_General_29-11-2012_10_'!I905,"AAAAAFx/1RE=")</f>
        <v>#VALUE!</v>
      </c>
      <c r="S61" t="e">
        <f>AND('Planilla_General_29-11-2012_10_'!J905,"AAAAAFx/1RI=")</f>
        <v>#VALUE!</v>
      </c>
      <c r="T61" t="e">
        <f>AND('Planilla_General_29-11-2012_10_'!K905,"AAAAAFx/1RM=")</f>
        <v>#VALUE!</v>
      </c>
      <c r="U61" t="e">
        <f>AND('Planilla_General_29-11-2012_10_'!L905,"AAAAAFx/1RQ=")</f>
        <v>#VALUE!</v>
      </c>
      <c r="V61" t="e">
        <f>AND('Planilla_General_29-11-2012_10_'!M905,"AAAAAFx/1RU=")</f>
        <v>#VALUE!</v>
      </c>
      <c r="W61" t="e">
        <f>AND('Planilla_General_29-11-2012_10_'!N905,"AAAAAFx/1RY=")</f>
        <v>#VALUE!</v>
      </c>
      <c r="X61" t="e">
        <f>AND('Planilla_General_29-11-2012_10_'!O905,"AAAAAFx/1Rc=")</f>
        <v>#VALUE!</v>
      </c>
      <c r="Y61" t="e">
        <f>AND('Planilla_General_29-11-2012_10_'!P905,"AAAAAFx/1Rg=")</f>
        <v>#VALUE!</v>
      </c>
      <c r="Z61">
        <f>IF('Planilla_General_29-11-2012_10_'!906:906,"AAAAAFx/1Rk=",0)</f>
        <v>0</v>
      </c>
      <c r="AA61" t="e">
        <f>AND('Planilla_General_29-11-2012_10_'!A906,"AAAAAFx/1Ro=")</f>
        <v>#VALUE!</v>
      </c>
      <c r="AB61" t="e">
        <f>AND('Planilla_General_29-11-2012_10_'!B906,"AAAAAFx/1Rs=")</f>
        <v>#VALUE!</v>
      </c>
      <c r="AC61" t="e">
        <f>AND('Planilla_General_29-11-2012_10_'!C906,"AAAAAFx/1Rw=")</f>
        <v>#VALUE!</v>
      </c>
      <c r="AD61" t="e">
        <f>AND('Planilla_General_29-11-2012_10_'!D906,"AAAAAFx/1R0=")</f>
        <v>#VALUE!</v>
      </c>
      <c r="AE61" t="e">
        <f>AND('Planilla_General_29-11-2012_10_'!E906,"AAAAAFx/1R4=")</f>
        <v>#VALUE!</v>
      </c>
      <c r="AF61" t="e">
        <f>AND('Planilla_General_29-11-2012_10_'!F906,"AAAAAFx/1R8=")</f>
        <v>#VALUE!</v>
      </c>
      <c r="AG61" t="e">
        <f>AND('Planilla_General_29-11-2012_10_'!G906,"AAAAAFx/1SA=")</f>
        <v>#VALUE!</v>
      </c>
      <c r="AH61" t="e">
        <f>AND('Planilla_General_29-11-2012_10_'!H906,"AAAAAFx/1SE=")</f>
        <v>#VALUE!</v>
      </c>
      <c r="AI61" t="e">
        <f>AND('Planilla_General_29-11-2012_10_'!I906,"AAAAAFx/1SI=")</f>
        <v>#VALUE!</v>
      </c>
      <c r="AJ61" t="e">
        <f>AND('Planilla_General_29-11-2012_10_'!J906,"AAAAAFx/1SM=")</f>
        <v>#VALUE!</v>
      </c>
      <c r="AK61" t="e">
        <f>AND('Planilla_General_29-11-2012_10_'!K906,"AAAAAFx/1SQ=")</f>
        <v>#VALUE!</v>
      </c>
      <c r="AL61" t="e">
        <f>AND('Planilla_General_29-11-2012_10_'!L906,"AAAAAFx/1SU=")</f>
        <v>#VALUE!</v>
      </c>
      <c r="AM61" t="e">
        <f>AND('Planilla_General_29-11-2012_10_'!M906,"AAAAAFx/1SY=")</f>
        <v>#VALUE!</v>
      </c>
      <c r="AN61" t="e">
        <f>AND('Planilla_General_29-11-2012_10_'!N906,"AAAAAFx/1Sc=")</f>
        <v>#VALUE!</v>
      </c>
      <c r="AO61" t="e">
        <f>AND('Planilla_General_29-11-2012_10_'!O906,"AAAAAFx/1Sg=")</f>
        <v>#VALUE!</v>
      </c>
      <c r="AP61" t="e">
        <f>AND('Planilla_General_29-11-2012_10_'!P906,"AAAAAFx/1Sk=")</f>
        <v>#VALUE!</v>
      </c>
      <c r="AQ61">
        <f>IF('Planilla_General_29-11-2012_10_'!907:907,"AAAAAFx/1So=",0)</f>
        <v>0</v>
      </c>
      <c r="AR61" t="e">
        <f>AND('Planilla_General_29-11-2012_10_'!A907,"AAAAAFx/1Ss=")</f>
        <v>#VALUE!</v>
      </c>
      <c r="AS61" t="e">
        <f>AND('Planilla_General_29-11-2012_10_'!B907,"AAAAAFx/1Sw=")</f>
        <v>#VALUE!</v>
      </c>
      <c r="AT61" t="e">
        <f>AND('Planilla_General_29-11-2012_10_'!C907,"AAAAAFx/1S0=")</f>
        <v>#VALUE!</v>
      </c>
      <c r="AU61" t="e">
        <f>AND('Planilla_General_29-11-2012_10_'!D907,"AAAAAFx/1S4=")</f>
        <v>#VALUE!</v>
      </c>
      <c r="AV61" t="e">
        <f>AND('Planilla_General_29-11-2012_10_'!E907,"AAAAAFx/1S8=")</f>
        <v>#VALUE!</v>
      </c>
      <c r="AW61" t="e">
        <f>AND('Planilla_General_29-11-2012_10_'!F907,"AAAAAFx/1TA=")</f>
        <v>#VALUE!</v>
      </c>
      <c r="AX61" t="e">
        <f>AND('Planilla_General_29-11-2012_10_'!G907,"AAAAAFx/1TE=")</f>
        <v>#VALUE!</v>
      </c>
      <c r="AY61" t="e">
        <f>AND('Planilla_General_29-11-2012_10_'!H907,"AAAAAFx/1TI=")</f>
        <v>#VALUE!</v>
      </c>
      <c r="AZ61" t="e">
        <f>AND('Planilla_General_29-11-2012_10_'!I907,"AAAAAFx/1TM=")</f>
        <v>#VALUE!</v>
      </c>
      <c r="BA61" t="e">
        <f>AND('Planilla_General_29-11-2012_10_'!J907,"AAAAAFx/1TQ=")</f>
        <v>#VALUE!</v>
      </c>
      <c r="BB61" t="e">
        <f>AND('Planilla_General_29-11-2012_10_'!K907,"AAAAAFx/1TU=")</f>
        <v>#VALUE!</v>
      </c>
      <c r="BC61" t="e">
        <f>AND('Planilla_General_29-11-2012_10_'!L907,"AAAAAFx/1TY=")</f>
        <v>#VALUE!</v>
      </c>
      <c r="BD61" t="e">
        <f>AND('Planilla_General_29-11-2012_10_'!M907,"AAAAAFx/1Tc=")</f>
        <v>#VALUE!</v>
      </c>
      <c r="BE61" t="e">
        <f>AND('Planilla_General_29-11-2012_10_'!N907,"AAAAAFx/1Tg=")</f>
        <v>#VALUE!</v>
      </c>
      <c r="BF61" t="e">
        <f>AND('Planilla_General_29-11-2012_10_'!O907,"AAAAAFx/1Tk=")</f>
        <v>#VALUE!</v>
      </c>
      <c r="BG61" t="e">
        <f>AND('Planilla_General_29-11-2012_10_'!P907,"AAAAAFx/1To=")</f>
        <v>#VALUE!</v>
      </c>
      <c r="BH61">
        <f>IF('Planilla_General_29-11-2012_10_'!908:908,"AAAAAFx/1Ts=",0)</f>
        <v>0</v>
      </c>
      <c r="BI61" t="e">
        <f>AND('Planilla_General_29-11-2012_10_'!A908,"AAAAAFx/1Tw=")</f>
        <v>#VALUE!</v>
      </c>
      <c r="BJ61" t="e">
        <f>AND('Planilla_General_29-11-2012_10_'!B908,"AAAAAFx/1T0=")</f>
        <v>#VALUE!</v>
      </c>
      <c r="BK61" t="e">
        <f>AND('Planilla_General_29-11-2012_10_'!C908,"AAAAAFx/1T4=")</f>
        <v>#VALUE!</v>
      </c>
      <c r="BL61" t="e">
        <f>AND('Planilla_General_29-11-2012_10_'!D908,"AAAAAFx/1T8=")</f>
        <v>#VALUE!</v>
      </c>
      <c r="BM61" t="e">
        <f>AND('Planilla_General_29-11-2012_10_'!E908,"AAAAAFx/1UA=")</f>
        <v>#VALUE!</v>
      </c>
      <c r="BN61" t="e">
        <f>AND('Planilla_General_29-11-2012_10_'!F908,"AAAAAFx/1UE=")</f>
        <v>#VALUE!</v>
      </c>
      <c r="BO61" t="e">
        <f>AND('Planilla_General_29-11-2012_10_'!G908,"AAAAAFx/1UI=")</f>
        <v>#VALUE!</v>
      </c>
      <c r="BP61" t="e">
        <f>AND('Planilla_General_29-11-2012_10_'!H908,"AAAAAFx/1UM=")</f>
        <v>#VALUE!</v>
      </c>
      <c r="BQ61" t="e">
        <f>AND('Planilla_General_29-11-2012_10_'!I908,"AAAAAFx/1UQ=")</f>
        <v>#VALUE!</v>
      </c>
      <c r="BR61" t="e">
        <f>AND('Planilla_General_29-11-2012_10_'!J908,"AAAAAFx/1UU=")</f>
        <v>#VALUE!</v>
      </c>
      <c r="BS61" t="e">
        <f>AND('Planilla_General_29-11-2012_10_'!K908,"AAAAAFx/1UY=")</f>
        <v>#VALUE!</v>
      </c>
      <c r="BT61" t="e">
        <f>AND('Planilla_General_29-11-2012_10_'!L908,"AAAAAFx/1Uc=")</f>
        <v>#VALUE!</v>
      </c>
      <c r="BU61" t="e">
        <f>AND('Planilla_General_29-11-2012_10_'!M908,"AAAAAFx/1Ug=")</f>
        <v>#VALUE!</v>
      </c>
      <c r="BV61" t="e">
        <f>AND('Planilla_General_29-11-2012_10_'!N908,"AAAAAFx/1Uk=")</f>
        <v>#VALUE!</v>
      </c>
      <c r="BW61" t="e">
        <f>AND('Planilla_General_29-11-2012_10_'!O908,"AAAAAFx/1Uo=")</f>
        <v>#VALUE!</v>
      </c>
      <c r="BX61" t="e">
        <f>AND('Planilla_General_29-11-2012_10_'!P908,"AAAAAFx/1Us=")</f>
        <v>#VALUE!</v>
      </c>
      <c r="BY61">
        <f>IF('Planilla_General_29-11-2012_10_'!909:909,"AAAAAFx/1Uw=",0)</f>
        <v>0</v>
      </c>
      <c r="BZ61" t="e">
        <f>AND('Planilla_General_29-11-2012_10_'!A909,"AAAAAFx/1U0=")</f>
        <v>#VALUE!</v>
      </c>
      <c r="CA61" t="e">
        <f>AND('Planilla_General_29-11-2012_10_'!B909,"AAAAAFx/1U4=")</f>
        <v>#VALUE!</v>
      </c>
      <c r="CB61" t="e">
        <f>AND('Planilla_General_29-11-2012_10_'!C909,"AAAAAFx/1U8=")</f>
        <v>#VALUE!</v>
      </c>
      <c r="CC61" t="e">
        <f>AND('Planilla_General_29-11-2012_10_'!D909,"AAAAAFx/1VA=")</f>
        <v>#VALUE!</v>
      </c>
      <c r="CD61" t="e">
        <f>AND('Planilla_General_29-11-2012_10_'!E909,"AAAAAFx/1VE=")</f>
        <v>#VALUE!</v>
      </c>
      <c r="CE61" t="e">
        <f>AND('Planilla_General_29-11-2012_10_'!F909,"AAAAAFx/1VI=")</f>
        <v>#VALUE!</v>
      </c>
      <c r="CF61" t="e">
        <f>AND('Planilla_General_29-11-2012_10_'!G909,"AAAAAFx/1VM=")</f>
        <v>#VALUE!</v>
      </c>
      <c r="CG61" t="e">
        <f>AND('Planilla_General_29-11-2012_10_'!H909,"AAAAAFx/1VQ=")</f>
        <v>#VALUE!</v>
      </c>
      <c r="CH61" t="e">
        <f>AND('Planilla_General_29-11-2012_10_'!I909,"AAAAAFx/1VU=")</f>
        <v>#VALUE!</v>
      </c>
      <c r="CI61" t="e">
        <f>AND('Planilla_General_29-11-2012_10_'!J909,"AAAAAFx/1VY=")</f>
        <v>#VALUE!</v>
      </c>
      <c r="CJ61" t="e">
        <f>AND('Planilla_General_29-11-2012_10_'!K909,"AAAAAFx/1Vc=")</f>
        <v>#VALUE!</v>
      </c>
      <c r="CK61" t="e">
        <f>AND('Planilla_General_29-11-2012_10_'!L909,"AAAAAFx/1Vg=")</f>
        <v>#VALUE!</v>
      </c>
      <c r="CL61" t="e">
        <f>AND('Planilla_General_29-11-2012_10_'!M909,"AAAAAFx/1Vk=")</f>
        <v>#VALUE!</v>
      </c>
      <c r="CM61" t="e">
        <f>AND('Planilla_General_29-11-2012_10_'!N909,"AAAAAFx/1Vo=")</f>
        <v>#VALUE!</v>
      </c>
      <c r="CN61" t="e">
        <f>AND('Planilla_General_29-11-2012_10_'!O909,"AAAAAFx/1Vs=")</f>
        <v>#VALUE!</v>
      </c>
      <c r="CO61" t="e">
        <f>AND('Planilla_General_29-11-2012_10_'!P909,"AAAAAFx/1Vw=")</f>
        <v>#VALUE!</v>
      </c>
      <c r="CP61">
        <f>IF('Planilla_General_29-11-2012_10_'!910:910,"AAAAAFx/1V0=",0)</f>
        <v>0</v>
      </c>
      <c r="CQ61" t="e">
        <f>AND('Planilla_General_29-11-2012_10_'!A910,"AAAAAFx/1V4=")</f>
        <v>#VALUE!</v>
      </c>
      <c r="CR61" t="e">
        <f>AND('Planilla_General_29-11-2012_10_'!B910,"AAAAAFx/1V8=")</f>
        <v>#VALUE!</v>
      </c>
      <c r="CS61" t="e">
        <f>AND('Planilla_General_29-11-2012_10_'!C910,"AAAAAFx/1WA=")</f>
        <v>#VALUE!</v>
      </c>
      <c r="CT61" t="e">
        <f>AND('Planilla_General_29-11-2012_10_'!D910,"AAAAAFx/1WE=")</f>
        <v>#VALUE!</v>
      </c>
      <c r="CU61" t="e">
        <f>AND('Planilla_General_29-11-2012_10_'!E910,"AAAAAFx/1WI=")</f>
        <v>#VALUE!</v>
      </c>
      <c r="CV61" t="e">
        <f>AND('Planilla_General_29-11-2012_10_'!F910,"AAAAAFx/1WM=")</f>
        <v>#VALUE!</v>
      </c>
      <c r="CW61" t="e">
        <f>AND('Planilla_General_29-11-2012_10_'!G910,"AAAAAFx/1WQ=")</f>
        <v>#VALUE!</v>
      </c>
      <c r="CX61" t="e">
        <f>AND('Planilla_General_29-11-2012_10_'!H910,"AAAAAFx/1WU=")</f>
        <v>#VALUE!</v>
      </c>
      <c r="CY61" t="e">
        <f>AND('Planilla_General_29-11-2012_10_'!I910,"AAAAAFx/1WY=")</f>
        <v>#VALUE!</v>
      </c>
      <c r="CZ61" t="e">
        <f>AND('Planilla_General_29-11-2012_10_'!J910,"AAAAAFx/1Wc=")</f>
        <v>#VALUE!</v>
      </c>
      <c r="DA61" t="e">
        <f>AND('Planilla_General_29-11-2012_10_'!K910,"AAAAAFx/1Wg=")</f>
        <v>#VALUE!</v>
      </c>
      <c r="DB61" t="e">
        <f>AND('Planilla_General_29-11-2012_10_'!L910,"AAAAAFx/1Wk=")</f>
        <v>#VALUE!</v>
      </c>
      <c r="DC61" t="e">
        <f>AND('Planilla_General_29-11-2012_10_'!M910,"AAAAAFx/1Wo=")</f>
        <v>#VALUE!</v>
      </c>
      <c r="DD61" t="e">
        <f>AND('Planilla_General_29-11-2012_10_'!N910,"AAAAAFx/1Ws=")</f>
        <v>#VALUE!</v>
      </c>
      <c r="DE61" t="e">
        <f>AND('Planilla_General_29-11-2012_10_'!O910,"AAAAAFx/1Ww=")</f>
        <v>#VALUE!</v>
      </c>
      <c r="DF61" t="e">
        <f>AND('Planilla_General_29-11-2012_10_'!P910,"AAAAAFx/1W0=")</f>
        <v>#VALUE!</v>
      </c>
      <c r="DG61">
        <f>IF('Planilla_General_29-11-2012_10_'!911:911,"AAAAAFx/1W4=",0)</f>
        <v>0</v>
      </c>
      <c r="DH61" t="e">
        <f>AND('Planilla_General_29-11-2012_10_'!A911,"AAAAAFx/1W8=")</f>
        <v>#VALUE!</v>
      </c>
      <c r="DI61" t="e">
        <f>AND('Planilla_General_29-11-2012_10_'!B911,"AAAAAFx/1XA=")</f>
        <v>#VALUE!</v>
      </c>
      <c r="DJ61" t="e">
        <f>AND('Planilla_General_29-11-2012_10_'!C911,"AAAAAFx/1XE=")</f>
        <v>#VALUE!</v>
      </c>
      <c r="DK61" t="e">
        <f>AND('Planilla_General_29-11-2012_10_'!D911,"AAAAAFx/1XI=")</f>
        <v>#VALUE!</v>
      </c>
      <c r="DL61" t="e">
        <f>AND('Planilla_General_29-11-2012_10_'!E911,"AAAAAFx/1XM=")</f>
        <v>#VALUE!</v>
      </c>
      <c r="DM61" t="e">
        <f>AND('Planilla_General_29-11-2012_10_'!F911,"AAAAAFx/1XQ=")</f>
        <v>#VALUE!</v>
      </c>
      <c r="DN61" t="e">
        <f>AND('Planilla_General_29-11-2012_10_'!G911,"AAAAAFx/1XU=")</f>
        <v>#VALUE!</v>
      </c>
      <c r="DO61" t="e">
        <f>AND('Planilla_General_29-11-2012_10_'!H911,"AAAAAFx/1XY=")</f>
        <v>#VALUE!</v>
      </c>
      <c r="DP61" t="e">
        <f>AND('Planilla_General_29-11-2012_10_'!I911,"AAAAAFx/1Xc=")</f>
        <v>#VALUE!</v>
      </c>
      <c r="DQ61" t="e">
        <f>AND('Planilla_General_29-11-2012_10_'!J911,"AAAAAFx/1Xg=")</f>
        <v>#VALUE!</v>
      </c>
      <c r="DR61" t="e">
        <f>AND('Planilla_General_29-11-2012_10_'!K911,"AAAAAFx/1Xk=")</f>
        <v>#VALUE!</v>
      </c>
      <c r="DS61" t="e">
        <f>AND('Planilla_General_29-11-2012_10_'!L911,"AAAAAFx/1Xo=")</f>
        <v>#VALUE!</v>
      </c>
      <c r="DT61" t="e">
        <f>AND('Planilla_General_29-11-2012_10_'!M911,"AAAAAFx/1Xs=")</f>
        <v>#VALUE!</v>
      </c>
      <c r="DU61" t="e">
        <f>AND('Planilla_General_29-11-2012_10_'!N911,"AAAAAFx/1Xw=")</f>
        <v>#VALUE!</v>
      </c>
      <c r="DV61" t="e">
        <f>AND('Planilla_General_29-11-2012_10_'!O911,"AAAAAFx/1X0=")</f>
        <v>#VALUE!</v>
      </c>
      <c r="DW61" t="e">
        <f>AND('Planilla_General_29-11-2012_10_'!P911,"AAAAAFx/1X4=")</f>
        <v>#VALUE!</v>
      </c>
      <c r="DX61">
        <f>IF('Planilla_General_29-11-2012_10_'!912:912,"AAAAAFx/1X8=",0)</f>
        <v>0</v>
      </c>
      <c r="DY61" t="e">
        <f>AND('Planilla_General_29-11-2012_10_'!A912,"AAAAAFx/1YA=")</f>
        <v>#VALUE!</v>
      </c>
      <c r="DZ61" t="e">
        <f>AND('Planilla_General_29-11-2012_10_'!B912,"AAAAAFx/1YE=")</f>
        <v>#VALUE!</v>
      </c>
      <c r="EA61" t="e">
        <f>AND('Planilla_General_29-11-2012_10_'!C912,"AAAAAFx/1YI=")</f>
        <v>#VALUE!</v>
      </c>
      <c r="EB61" t="e">
        <f>AND('Planilla_General_29-11-2012_10_'!D912,"AAAAAFx/1YM=")</f>
        <v>#VALUE!</v>
      </c>
      <c r="EC61" t="e">
        <f>AND('Planilla_General_29-11-2012_10_'!E912,"AAAAAFx/1YQ=")</f>
        <v>#VALUE!</v>
      </c>
      <c r="ED61" t="e">
        <f>AND('Planilla_General_29-11-2012_10_'!F912,"AAAAAFx/1YU=")</f>
        <v>#VALUE!</v>
      </c>
      <c r="EE61" t="e">
        <f>AND('Planilla_General_29-11-2012_10_'!G912,"AAAAAFx/1YY=")</f>
        <v>#VALUE!</v>
      </c>
      <c r="EF61" t="e">
        <f>AND('Planilla_General_29-11-2012_10_'!H912,"AAAAAFx/1Yc=")</f>
        <v>#VALUE!</v>
      </c>
      <c r="EG61" t="e">
        <f>AND('Planilla_General_29-11-2012_10_'!I912,"AAAAAFx/1Yg=")</f>
        <v>#VALUE!</v>
      </c>
      <c r="EH61" t="e">
        <f>AND('Planilla_General_29-11-2012_10_'!J912,"AAAAAFx/1Yk=")</f>
        <v>#VALUE!</v>
      </c>
      <c r="EI61" t="e">
        <f>AND('Planilla_General_29-11-2012_10_'!K912,"AAAAAFx/1Yo=")</f>
        <v>#VALUE!</v>
      </c>
      <c r="EJ61" t="e">
        <f>AND('Planilla_General_29-11-2012_10_'!L912,"AAAAAFx/1Ys=")</f>
        <v>#VALUE!</v>
      </c>
      <c r="EK61" t="e">
        <f>AND('Planilla_General_29-11-2012_10_'!M912,"AAAAAFx/1Yw=")</f>
        <v>#VALUE!</v>
      </c>
      <c r="EL61" t="e">
        <f>AND('Planilla_General_29-11-2012_10_'!N912,"AAAAAFx/1Y0=")</f>
        <v>#VALUE!</v>
      </c>
      <c r="EM61" t="e">
        <f>AND('Planilla_General_29-11-2012_10_'!O912,"AAAAAFx/1Y4=")</f>
        <v>#VALUE!</v>
      </c>
      <c r="EN61" t="e">
        <f>AND('Planilla_General_29-11-2012_10_'!P912,"AAAAAFx/1Y8=")</f>
        <v>#VALUE!</v>
      </c>
      <c r="EO61">
        <f>IF('Planilla_General_29-11-2012_10_'!913:913,"AAAAAFx/1ZA=",0)</f>
        <v>0</v>
      </c>
      <c r="EP61" t="e">
        <f>AND('Planilla_General_29-11-2012_10_'!A913,"AAAAAFx/1ZE=")</f>
        <v>#VALUE!</v>
      </c>
      <c r="EQ61" t="e">
        <f>AND('Planilla_General_29-11-2012_10_'!B913,"AAAAAFx/1ZI=")</f>
        <v>#VALUE!</v>
      </c>
      <c r="ER61" t="e">
        <f>AND('Planilla_General_29-11-2012_10_'!C913,"AAAAAFx/1ZM=")</f>
        <v>#VALUE!</v>
      </c>
      <c r="ES61" t="e">
        <f>AND('Planilla_General_29-11-2012_10_'!D913,"AAAAAFx/1ZQ=")</f>
        <v>#VALUE!</v>
      </c>
      <c r="ET61" t="e">
        <f>AND('Planilla_General_29-11-2012_10_'!E913,"AAAAAFx/1ZU=")</f>
        <v>#VALUE!</v>
      </c>
      <c r="EU61" t="e">
        <f>AND('Planilla_General_29-11-2012_10_'!F913,"AAAAAFx/1ZY=")</f>
        <v>#VALUE!</v>
      </c>
      <c r="EV61" t="e">
        <f>AND('Planilla_General_29-11-2012_10_'!G913,"AAAAAFx/1Zc=")</f>
        <v>#VALUE!</v>
      </c>
      <c r="EW61" t="e">
        <f>AND('Planilla_General_29-11-2012_10_'!H913,"AAAAAFx/1Zg=")</f>
        <v>#VALUE!</v>
      </c>
      <c r="EX61" t="e">
        <f>AND('Planilla_General_29-11-2012_10_'!I913,"AAAAAFx/1Zk=")</f>
        <v>#VALUE!</v>
      </c>
      <c r="EY61" t="e">
        <f>AND('Planilla_General_29-11-2012_10_'!J913,"AAAAAFx/1Zo=")</f>
        <v>#VALUE!</v>
      </c>
      <c r="EZ61" t="e">
        <f>AND('Planilla_General_29-11-2012_10_'!K913,"AAAAAFx/1Zs=")</f>
        <v>#VALUE!</v>
      </c>
      <c r="FA61" t="e">
        <f>AND('Planilla_General_29-11-2012_10_'!L913,"AAAAAFx/1Zw=")</f>
        <v>#VALUE!</v>
      </c>
      <c r="FB61" t="e">
        <f>AND('Planilla_General_29-11-2012_10_'!M913,"AAAAAFx/1Z0=")</f>
        <v>#VALUE!</v>
      </c>
      <c r="FC61" t="e">
        <f>AND('Planilla_General_29-11-2012_10_'!N913,"AAAAAFx/1Z4=")</f>
        <v>#VALUE!</v>
      </c>
      <c r="FD61" t="e">
        <f>AND('Planilla_General_29-11-2012_10_'!O913,"AAAAAFx/1Z8=")</f>
        <v>#VALUE!</v>
      </c>
      <c r="FE61" t="e">
        <f>AND('Planilla_General_29-11-2012_10_'!P913,"AAAAAFx/1aA=")</f>
        <v>#VALUE!</v>
      </c>
      <c r="FF61">
        <f>IF('Planilla_General_29-11-2012_10_'!914:914,"AAAAAFx/1aE=",0)</f>
        <v>0</v>
      </c>
      <c r="FG61" t="e">
        <f>AND('Planilla_General_29-11-2012_10_'!A914,"AAAAAFx/1aI=")</f>
        <v>#VALUE!</v>
      </c>
      <c r="FH61" t="e">
        <f>AND('Planilla_General_29-11-2012_10_'!B914,"AAAAAFx/1aM=")</f>
        <v>#VALUE!</v>
      </c>
      <c r="FI61" t="e">
        <f>AND('Planilla_General_29-11-2012_10_'!C914,"AAAAAFx/1aQ=")</f>
        <v>#VALUE!</v>
      </c>
      <c r="FJ61" t="e">
        <f>AND('Planilla_General_29-11-2012_10_'!D914,"AAAAAFx/1aU=")</f>
        <v>#VALUE!</v>
      </c>
      <c r="FK61" t="e">
        <f>AND('Planilla_General_29-11-2012_10_'!E914,"AAAAAFx/1aY=")</f>
        <v>#VALUE!</v>
      </c>
      <c r="FL61" t="e">
        <f>AND('Planilla_General_29-11-2012_10_'!F914,"AAAAAFx/1ac=")</f>
        <v>#VALUE!</v>
      </c>
      <c r="FM61" t="e">
        <f>AND('Planilla_General_29-11-2012_10_'!G914,"AAAAAFx/1ag=")</f>
        <v>#VALUE!</v>
      </c>
      <c r="FN61" t="e">
        <f>AND('Planilla_General_29-11-2012_10_'!H914,"AAAAAFx/1ak=")</f>
        <v>#VALUE!</v>
      </c>
      <c r="FO61" t="e">
        <f>AND('Planilla_General_29-11-2012_10_'!I914,"AAAAAFx/1ao=")</f>
        <v>#VALUE!</v>
      </c>
      <c r="FP61" t="e">
        <f>AND('Planilla_General_29-11-2012_10_'!J914,"AAAAAFx/1as=")</f>
        <v>#VALUE!</v>
      </c>
      <c r="FQ61" t="e">
        <f>AND('Planilla_General_29-11-2012_10_'!K914,"AAAAAFx/1aw=")</f>
        <v>#VALUE!</v>
      </c>
      <c r="FR61" t="e">
        <f>AND('Planilla_General_29-11-2012_10_'!L914,"AAAAAFx/1a0=")</f>
        <v>#VALUE!</v>
      </c>
      <c r="FS61" t="e">
        <f>AND('Planilla_General_29-11-2012_10_'!M914,"AAAAAFx/1a4=")</f>
        <v>#VALUE!</v>
      </c>
      <c r="FT61" t="e">
        <f>AND('Planilla_General_29-11-2012_10_'!N914,"AAAAAFx/1a8=")</f>
        <v>#VALUE!</v>
      </c>
      <c r="FU61" t="e">
        <f>AND('Planilla_General_29-11-2012_10_'!O914,"AAAAAFx/1bA=")</f>
        <v>#VALUE!</v>
      </c>
      <c r="FV61" t="e">
        <f>AND('Planilla_General_29-11-2012_10_'!P914,"AAAAAFx/1bE=")</f>
        <v>#VALUE!</v>
      </c>
      <c r="FW61">
        <f>IF('Planilla_General_29-11-2012_10_'!915:915,"AAAAAFx/1bI=",0)</f>
        <v>0</v>
      </c>
      <c r="FX61" t="e">
        <f>AND('Planilla_General_29-11-2012_10_'!A915,"AAAAAFx/1bM=")</f>
        <v>#VALUE!</v>
      </c>
      <c r="FY61" t="e">
        <f>AND('Planilla_General_29-11-2012_10_'!B915,"AAAAAFx/1bQ=")</f>
        <v>#VALUE!</v>
      </c>
      <c r="FZ61" t="e">
        <f>AND('Planilla_General_29-11-2012_10_'!C915,"AAAAAFx/1bU=")</f>
        <v>#VALUE!</v>
      </c>
      <c r="GA61" t="e">
        <f>AND('Planilla_General_29-11-2012_10_'!D915,"AAAAAFx/1bY=")</f>
        <v>#VALUE!</v>
      </c>
      <c r="GB61" t="e">
        <f>AND('Planilla_General_29-11-2012_10_'!E915,"AAAAAFx/1bc=")</f>
        <v>#VALUE!</v>
      </c>
      <c r="GC61" t="e">
        <f>AND('Planilla_General_29-11-2012_10_'!F915,"AAAAAFx/1bg=")</f>
        <v>#VALUE!</v>
      </c>
      <c r="GD61" t="e">
        <f>AND('Planilla_General_29-11-2012_10_'!G915,"AAAAAFx/1bk=")</f>
        <v>#VALUE!</v>
      </c>
      <c r="GE61" t="e">
        <f>AND('Planilla_General_29-11-2012_10_'!H915,"AAAAAFx/1bo=")</f>
        <v>#VALUE!</v>
      </c>
      <c r="GF61" t="e">
        <f>AND('Planilla_General_29-11-2012_10_'!I915,"AAAAAFx/1bs=")</f>
        <v>#VALUE!</v>
      </c>
      <c r="GG61" t="e">
        <f>AND('Planilla_General_29-11-2012_10_'!J915,"AAAAAFx/1bw=")</f>
        <v>#VALUE!</v>
      </c>
      <c r="GH61" t="e">
        <f>AND('Planilla_General_29-11-2012_10_'!K915,"AAAAAFx/1b0=")</f>
        <v>#VALUE!</v>
      </c>
      <c r="GI61" t="e">
        <f>AND('Planilla_General_29-11-2012_10_'!L915,"AAAAAFx/1b4=")</f>
        <v>#VALUE!</v>
      </c>
      <c r="GJ61" t="e">
        <f>AND('Planilla_General_29-11-2012_10_'!M915,"AAAAAFx/1b8=")</f>
        <v>#VALUE!</v>
      </c>
      <c r="GK61" t="e">
        <f>AND('Planilla_General_29-11-2012_10_'!N915,"AAAAAFx/1cA=")</f>
        <v>#VALUE!</v>
      </c>
      <c r="GL61" t="e">
        <f>AND('Planilla_General_29-11-2012_10_'!O915,"AAAAAFx/1cE=")</f>
        <v>#VALUE!</v>
      </c>
      <c r="GM61" t="e">
        <f>AND('Planilla_General_29-11-2012_10_'!P915,"AAAAAFx/1cI=")</f>
        <v>#VALUE!</v>
      </c>
      <c r="GN61">
        <f>IF('Planilla_General_29-11-2012_10_'!916:916,"AAAAAFx/1cM=",0)</f>
        <v>0</v>
      </c>
      <c r="GO61" t="e">
        <f>AND('Planilla_General_29-11-2012_10_'!A916,"AAAAAFx/1cQ=")</f>
        <v>#VALUE!</v>
      </c>
      <c r="GP61" t="e">
        <f>AND('Planilla_General_29-11-2012_10_'!B916,"AAAAAFx/1cU=")</f>
        <v>#VALUE!</v>
      </c>
      <c r="GQ61" t="e">
        <f>AND('Planilla_General_29-11-2012_10_'!C916,"AAAAAFx/1cY=")</f>
        <v>#VALUE!</v>
      </c>
      <c r="GR61" t="e">
        <f>AND('Planilla_General_29-11-2012_10_'!D916,"AAAAAFx/1cc=")</f>
        <v>#VALUE!</v>
      </c>
      <c r="GS61" t="e">
        <f>AND('Planilla_General_29-11-2012_10_'!E916,"AAAAAFx/1cg=")</f>
        <v>#VALUE!</v>
      </c>
      <c r="GT61" t="e">
        <f>AND('Planilla_General_29-11-2012_10_'!F916,"AAAAAFx/1ck=")</f>
        <v>#VALUE!</v>
      </c>
      <c r="GU61" t="e">
        <f>AND('Planilla_General_29-11-2012_10_'!G916,"AAAAAFx/1co=")</f>
        <v>#VALUE!</v>
      </c>
      <c r="GV61" t="e">
        <f>AND('Planilla_General_29-11-2012_10_'!H916,"AAAAAFx/1cs=")</f>
        <v>#VALUE!</v>
      </c>
      <c r="GW61" t="e">
        <f>AND('Planilla_General_29-11-2012_10_'!I916,"AAAAAFx/1cw=")</f>
        <v>#VALUE!</v>
      </c>
      <c r="GX61" t="e">
        <f>AND('Planilla_General_29-11-2012_10_'!J916,"AAAAAFx/1c0=")</f>
        <v>#VALUE!</v>
      </c>
      <c r="GY61" t="e">
        <f>AND('Planilla_General_29-11-2012_10_'!K916,"AAAAAFx/1c4=")</f>
        <v>#VALUE!</v>
      </c>
      <c r="GZ61" t="e">
        <f>AND('Planilla_General_29-11-2012_10_'!L916,"AAAAAFx/1c8=")</f>
        <v>#VALUE!</v>
      </c>
      <c r="HA61" t="e">
        <f>AND('Planilla_General_29-11-2012_10_'!M916,"AAAAAFx/1dA=")</f>
        <v>#VALUE!</v>
      </c>
      <c r="HB61" t="e">
        <f>AND('Planilla_General_29-11-2012_10_'!N916,"AAAAAFx/1dE=")</f>
        <v>#VALUE!</v>
      </c>
      <c r="HC61" t="e">
        <f>AND('Planilla_General_29-11-2012_10_'!O916,"AAAAAFx/1dI=")</f>
        <v>#VALUE!</v>
      </c>
      <c r="HD61" t="e">
        <f>AND('Planilla_General_29-11-2012_10_'!P916,"AAAAAFx/1dM=")</f>
        <v>#VALUE!</v>
      </c>
      <c r="HE61">
        <f>IF('Planilla_General_29-11-2012_10_'!917:917,"AAAAAFx/1dQ=",0)</f>
        <v>0</v>
      </c>
      <c r="HF61" t="e">
        <f>AND('Planilla_General_29-11-2012_10_'!A917,"AAAAAFx/1dU=")</f>
        <v>#VALUE!</v>
      </c>
      <c r="HG61" t="e">
        <f>AND('Planilla_General_29-11-2012_10_'!B917,"AAAAAFx/1dY=")</f>
        <v>#VALUE!</v>
      </c>
      <c r="HH61" t="e">
        <f>AND('Planilla_General_29-11-2012_10_'!C917,"AAAAAFx/1dc=")</f>
        <v>#VALUE!</v>
      </c>
      <c r="HI61" t="e">
        <f>AND('Planilla_General_29-11-2012_10_'!D917,"AAAAAFx/1dg=")</f>
        <v>#VALUE!</v>
      </c>
      <c r="HJ61" t="e">
        <f>AND('Planilla_General_29-11-2012_10_'!E917,"AAAAAFx/1dk=")</f>
        <v>#VALUE!</v>
      </c>
      <c r="HK61" t="e">
        <f>AND('Planilla_General_29-11-2012_10_'!F917,"AAAAAFx/1do=")</f>
        <v>#VALUE!</v>
      </c>
      <c r="HL61" t="e">
        <f>AND('Planilla_General_29-11-2012_10_'!G917,"AAAAAFx/1ds=")</f>
        <v>#VALUE!</v>
      </c>
      <c r="HM61" t="e">
        <f>AND('Planilla_General_29-11-2012_10_'!H917,"AAAAAFx/1dw=")</f>
        <v>#VALUE!</v>
      </c>
      <c r="HN61" t="e">
        <f>AND('Planilla_General_29-11-2012_10_'!I917,"AAAAAFx/1d0=")</f>
        <v>#VALUE!</v>
      </c>
      <c r="HO61" t="e">
        <f>AND('Planilla_General_29-11-2012_10_'!J917,"AAAAAFx/1d4=")</f>
        <v>#VALUE!</v>
      </c>
      <c r="HP61" t="e">
        <f>AND('Planilla_General_29-11-2012_10_'!K917,"AAAAAFx/1d8=")</f>
        <v>#VALUE!</v>
      </c>
      <c r="HQ61" t="e">
        <f>AND('Planilla_General_29-11-2012_10_'!L917,"AAAAAFx/1eA=")</f>
        <v>#VALUE!</v>
      </c>
      <c r="HR61" t="e">
        <f>AND('Planilla_General_29-11-2012_10_'!M917,"AAAAAFx/1eE=")</f>
        <v>#VALUE!</v>
      </c>
      <c r="HS61" t="e">
        <f>AND('Planilla_General_29-11-2012_10_'!N917,"AAAAAFx/1eI=")</f>
        <v>#VALUE!</v>
      </c>
      <c r="HT61" t="e">
        <f>AND('Planilla_General_29-11-2012_10_'!O917,"AAAAAFx/1eM=")</f>
        <v>#VALUE!</v>
      </c>
      <c r="HU61" t="e">
        <f>AND('Planilla_General_29-11-2012_10_'!P917,"AAAAAFx/1eQ=")</f>
        <v>#VALUE!</v>
      </c>
      <c r="HV61">
        <f>IF('Planilla_General_29-11-2012_10_'!918:918,"AAAAAFx/1eU=",0)</f>
        <v>0</v>
      </c>
      <c r="HW61" t="e">
        <f>AND('Planilla_General_29-11-2012_10_'!A918,"AAAAAFx/1eY=")</f>
        <v>#VALUE!</v>
      </c>
      <c r="HX61" t="e">
        <f>AND('Planilla_General_29-11-2012_10_'!B918,"AAAAAFx/1ec=")</f>
        <v>#VALUE!</v>
      </c>
      <c r="HY61" t="e">
        <f>AND('Planilla_General_29-11-2012_10_'!C918,"AAAAAFx/1eg=")</f>
        <v>#VALUE!</v>
      </c>
      <c r="HZ61" t="e">
        <f>AND('Planilla_General_29-11-2012_10_'!D918,"AAAAAFx/1ek=")</f>
        <v>#VALUE!</v>
      </c>
      <c r="IA61" t="e">
        <f>AND('Planilla_General_29-11-2012_10_'!E918,"AAAAAFx/1eo=")</f>
        <v>#VALUE!</v>
      </c>
      <c r="IB61" t="e">
        <f>AND('Planilla_General_29-11-2012_10_'!F918,"AAAAAFx/1es=")</f>
        <v>#VALUE!</v>
      </c>
      <c r="IC61" t="e">
        <f>AND('Planilla_General_29-11-2012_10_'!G918,"AAAAAFx/1ew=")</f>
        <v>#VALUE!</v>
      </c>
      <c r="ID61" t="e">
        <f>AND('Planilla_General_29-11-2012_10_'!H918,"AAAAAFx/1e0=")</f>
        <v>#VALUE!</v>
      </c>
      <c r="IE61" t="e">
        <f>AND('Planilla_General_29-11-2012_10_'!I918,"AAAAAFx/1e4=")</f>
        <v>#VALUE!</v>
      </c>
      <c r="IF61" t="e">
        <f>AND('Planilla_General_29-11-2012_10_'!J918,"AAAAAFx/1e8=")</f>
        <v>#VALUE!</v>
      </c>
      <c r="IG61" t="e">
        <f>AND('Planilla_General_29-11-2012_10_'!K918,"AAAAAFx/1fA=")</f>
        <v>#VALUE!</v>
      </c>
      <c r="IH61" t="e">
        <f>AND('Planilla_General_29-11-2012_10_'!L918,"AAAAAFx/1fE=")</f>
        <v>#VALUE!</v>
      </c>
      <c r="II61" t="e">
        <f>AND('Planilla_General_29-11-2012_10_'!M918,"AAAAAFx/1fI=")</f>
        <v>#VALUE!</v>
      </c>
      <c r="IJ61" t="e">
        <f>AND('Planilla_General_29-11-2012_10_'!N918,"AAAAAFx/1fM=")</f>
        <v>#VALUE!</v>
      </c>
      <c r="IK61" t="e">
        <f>AND('Planilla_General_29-11-2012_10_'!O918,"AAAAAFx/1fQ=")</f>
        <v>#VALUE!</v>
      </c>
      <c r="IL61" t="e">
        <f>AND('Planilla_General_29-11-2012_10_'!P918,"AAAAAFx/1fU=")</f>
        <v>#VALUE!</v>
      </c>
      <c r="IM61">
        <f>IF('Planilla_General_29-11-2012_10_'!919:919,"AAAAAFx/1fY=",0)</f>
        <v>0</v>
      </c>
      <c r="IN61" t="e">
        <f>AND('Planilla_General_29-11-2012_10_'!A919,"AAAAAFx/1fc=")</f>
        <v>#VALUE!</v>
      </c>
      <c r="IO61" t="e">
        <f>AND('Planilla_General_29-11-2012_10_'!B919,"AAAAAFx/1fg=")</f>
        <v>#VALUE!</v>
      </c>
      <c r="IP61" t="e">
        <f>AND('Planilla_General_29-11-2012_10_'!C919,"AAAAAFx/1fk=")</f>
        <v>#VALUE!</v>
      </c>
      <c r="IQ61" t="e">
        <f>AND('Planilla_General_29-11-2012_10_'!D919,"AAAAAFx/1fo=")</f>
        <v>#VALUE!</v>
      </c>
      <c r="IR61" t="e">
        <f>AND('Planilla_General_29-11-2012_10_'!E919,"AAAAAFx/1fs=")</f>
        <v>#VALUE!</v>
      </c>
      <c r="IS61" t="e">
        <f>AND('Planilla_General_29-11-2012_10_'!F919,"AAAAAFx/1fw=")</f>
        <v>#VALUE!</v>
      </c>
      <c r="IT61" t="e">
        <f>AND('Planilla_General_29-11-2012_10_'!G919,"AAAAAFx/1f0=")</f>
        <v>#VALUE!</v>
      </c>
      <c r="IU61" t="e">
        <f>AND('Planilla_General_29-11-2012_10_'!H919,"AAAAAFx/1f4=")</f>
        <v>#VALUE!</v>
      </c>
      <c r="IV61" t="e">
        <f>AND('Planilla_General_29-11-2012_10_'!I919,"AAAAAFx/1f8=")</f>
        <v>#VALUE!</v>
      </c>
    </row>
    <row r="62" spans="1:256" x14ac:dyDescent="0.25">
      <c r="A62" t="e">
        <f>AND('Planilla_General_29-11-2012_10_'!J919,"AAAAACs/NwA=")</f>
        <v>#VALUE!</v>
      </c>
      <c r="B62" t="e">
        <f>AND('Planilla_General_29-11-2012_10_'!K919,"AAAAACs/NwE=")</f>
        <v>#VALUE!</v>
      </c>
      <c r="C62" t="e">
        <f>AND('Planilla_General_29-11-2012_10_'!L919,"AAAAACs/NwI=")</f>
        <v>#VALUE!</v>
      </c>
      <c r="D62" t="e">
        <f>AND('Planilla_General_29-11-2012_10_'!M919,"AAAAACs/NwM=")</f>
        <v>#VALUE!</v>
      </c>
      <c r="E62" t="e">
        <f>AND('Planilla_General_29-11-2012_10_'!N919,"AAAAACs/NwQ=")</f>
        <v>#VALUE!</v>
      </c>
      <c r="F62" t="e">
        <f>AND('Planilla_General_29-11-2012_10_'!O919,"AAAAACs/NwU=")</f>
        <v>#VALUE!</v>
      </c>
      <c r="G62" t="e">
        <f>AND('Planilla_General_29-11-2012_10_'!P919,"AAAAACs/NwY=")</f>
        <v>#VALUE!</v>
      </c>
      <c r="H62" t="e">
        <f>IF('Planilla_General_29-11-2012_10_'!920:920,"AAAAACs/Nwc=",0)</f>
        <v>#VALUE!</v>
      </c>
      <c r="I62" t="e">
        <f>AND('Planilla_General_29-11-2012_10_'!A920,"AAAAACs/Nwg=")</f>
        <v>#VALUE!</v>
      </c>
      <c r="J62" t="e">
        <f>AND('Planilla_General_29-11-2012_10_'!B920,"AAAAACs/Nwk=")</f>
        <v>#VALUE!</v>
      </c>
      <c r="K62" t="e">
        <f>AND('Planilla_General_29-11-2012_10_'!C920,"AAAAACs/Nwo=")</f>
        <v>#VALUE!</v>
      </c>
      <c r="L62" t="e">
        <f>AND('Planilla_General_29-11-2012_10_'!D920,"AAAAACs/Nws=")</f>
        <v>#VALUE!</v>
      </c>
      <c r="M62" t="e">
        <f>AND('Planilla_General_29-11-2012_10_'!E920,"AAAAACs/Nww=")</f>
        <v>#VALUE!</v>
      </c>
      <c r="N62" t="e">
        <f>AND('Planilla_General_29-11-2012_10_'!F920,"AAAAACs/Nw0=")</f>
        <v>#VALUE!</v>
      </c>
      <c r="O62" t="e">
        <f>AND('Planilla_General_29-11-2012_10_'!G920,"AAAAACs/Nw4=")</f>
        <v>#VALUE!</v>
      </c>
      <c r="P62" t="e">
        <f>AND('Planilla_General_29-11-2012_10_'!H920,"AAAAACs/Nw8=")</f>
        <v>#VALUE!</v>
      </c>
      <c r="Q62" t="e">
        <f>AND('Planilla_General_29-11-2012_10_'!I920,"AAAAACs/NxA=")</f>
        <v>#VALUE!</v>
      </c>
      <c r="R62" t="e">
        <f>AND('Planilla_General_29-11-2012_10_'!J920,"AAAAACs/NxE=")</f>
        <v>#VALUE!</v>
      </c>
      <c r="S62" t="e">
        <f>AND('Planilla_General_29-11-2012_10_'!K920,"AAAAACs/NxI=")</f>
        <v>#VALUE!</v>
      </c>
      <c r="T62" t="e">
        <f>AND('Planilla_General_29-11-2012_10_'!L920,"AAAAACs/NxM=")</f>
        <v>#VALUE!</v>
      </c>
      <c r="U62" t="e">
        <f>AND('Planilla_General_29-11-2012_10_'!M920,"AAAAACs/NxQ=")</f>
        <v>#VALUE!</v>
      </c>
      <c r="V62" t="e">
        <f>AND('Planilla_General_29-11-2012_10_'!N920,"AAAAACs/NxU=")</f>
        <v>#VALUE!</v>
      </c>
      <c r="W62" t="e">
        <f>AND('Planilla_General_29-11-2012_10_'!O920,"AAAAACs/NxY=")</f>
        <v>#VALUE!</v>
      </c>
      <c r="X62" t="e">
        <f>AND('Planilla_General_29-11-2012_10_'!P920,"AAAAACs/Nxc=")</f>
        <v>#VALUE!</v>
      </c>
      <c r="Y62">
        <f>IF('Planilla_General_29-11-2012_10_'!921:921,"AAAAACs/Nxg=",0)</f>
        <v>0</v>
      </c>
      <c r="Z62" t="e">
        <f>AND('Planilla_General_29-11-2012_10_'!A921,"AAAAACs/Nxk=")</f>
        <v>#VALUE!</v>
      </c>
      <c r="AA62" t="e">
        <f>AND('Planilla_General_29-11-2012_10_'!B921,"AAAAACs/Nxo=")</f>
        <v>#VALUE!</v>
      </c>
      <c r="AB62" t="e">
        <f>AND('Planilla_General_29-11-2012_10_'!C921,"AAAAACs/Nxs=")</f>
        <v>#VALUE!</v>
      </c>
      <c r="AC62" t="e">
        <f>AND('Planilla_General_29-11-2012_10_'!D921,"AAAAACs/Nxw=")</f>
        <v>#VALUE!</v>
      </c>
      <c r="AD62" t="e">
        <f>AND('Planilla_General_29-11-2012_10_'!E921,"AAAAACs/Nx0=")</f>
        <v>#VALUE!</v>
      </c>
      <c r="AE62" t="e">
        <f>AND('Planilla_General_29-11-2012_10_'!F921,"AAAAACs/Nx4=")</f>
        <v>#VALUE!</v>
      </c>
      <c r="AF62" t="e">
        <f>AND('Planilla_General_29-11-2012_10_'!G921,"AAAAACs/Nx8=")</f>
        <v>#VALUE!</v>
      </c>
      <c r="AG62" t="e">
        <f>AND('Planilla_General_29-11-2012_10_'!H921,"AAAAACs/NyA=")</f>
        <v>#VALUE!</v>
      </c>
      <c r="AH62" t="e">
        <f>AND('Planilla_General_29-11-2012_10_'!I921,"AAAAACs/NyE=")</f>
        <v>#VALUE!</v>
      </c>
      <c r="AI62" t="e">
        <f>AND('Planilla_General_29-11-2012_10_'!J921,"AAAAACs/NyI=")</f>
        <v>#VALUE!</v>
      </c>
      <c r="AJ62" t="e">
        <f>AND('Planilla_General_29-11-2012_10_'!K921,"AAAAACs/NyM=")</f>
        <v>#VALUE!</v>
      </c>
      <c r="AK62" t="e">
        <f>AND('Planilla_General_29-11-2012_10_'!L921,"AAAAACs/NyQ=")</f>
        <v>#VALUE!</v>
      </c>
      <c r="AL62" t="e">
        <f>AND('Planilla_General_29-11-2012_10_'!M921,"AAAAACs/NyU=")</f>
        <v>#VALUE!</v>
      </c>
      <c r="AM62" t="e">
        <f>AND('Planilla_General_29-11-2012_10_'!N921,"AAAAACs/NyY=")</f>
        <v>#VALUE!</v>
      </c>
      <c r="AN62" t="e">
        <f>AND('Planilla_General_29-11-2012_10_'!O921,"AAAAACs/Nyc=")</f>
        <v>#VALUE!</v>
      </c>
      <c r="AO62" t="e">
        <f>AND('Planilla_General_29-11-2012_10_'!P921,"AAAAACs/Nyg=")</f>
        <v>#VALUE!</v>
      </c>
      <c r="AP62">
        <f>IF('Planilla_General_29-11-2012_10_'!922:922,"AAAAACs/Nyk=",0)</f>
        <v>0</v>
      </c>
      <c r="AQ62" t="e">
        <f>AND('Planilla_General_29-11-2012_10_'!A922,"AAAAACs/Nyo=")</f>
        <v>#VALUE!</v>
      </c>
      <c r="AR62" t="e">
        <f>AND('Planilla_General_29-11-2012_10_'!B922,"AAAAACs/Nys=")</f>
        <v>#VALUE!</v>
      </c>
      <c r="AS62" t="e">
        <f>AND('Planilla_General_29-11-2012_10_'!C922,"AAAAACs/Nyw=")</f>
        <v>#VALUE!</v>
      </c>
      <c r="AT62" t="e">
        <f>AND('Planilla_General_29-11-2012_10_'!D922,"AAAAACs/Ny0=")</f>
        <v>#VALUE!</v>
      </c>
      <c r="AU62" t="e">
        <f>AND('Planilla_General_29-11-2012_10_'!E922,"AAAAACs/Ny4=")</f>
        <v>#VALUE!</v>
      </c>
      <c r="AV62" t="e">
        <f>AND('Planilla_General_29-11-2012_10_'!F922,"AAAAACs/Ny8=")</f>
        <v>#VALUE!</v>
      </c>
      <c r="AW62" t="e">
        <f>AND('Planilla_General_29-11-2012_10_'!G922,"AAAAACs/NzA=")</f>
        <v>#VALUE!</v>
      </c>
      <c r="AX62" t="e">
        <f>AND('Planilla_General_29-11-2012_10_'!H922,"AAAAACs/NzE=")</f>
        <v>#VALUE!</v>
      </c>
      <c r="AY62" t="e">
        <f>AND('Planilla_General_29-11-2012_10_'!I922,"AAAAACs/NzI=")</f>
        <v>#VALUE!</v>
      </c>
      <c r="AZ62" t="e">
        <f>AND('Planilla_General_29-11-2012_10_'!J922,"AAAAACs/NzM=")</f>
        <v>#VALUE!</v>
      </c>
      <c r="BA62" t="e">
        <f>AND('Planilla_General_29-11-2012_10_'!K922,"AAAAACs/NzQ=")</f>
        <v>#VALUE!</v>
      </c>
      <c r="BB62" t="e">
        <f>AND('Planilla_General_29-11-2012_10_'!L922,"AAAAACs/NzU=")</f>
        <v>#VALUE!</v>
      </c>
      <c r="BC62" t="e">
        <f>AND('Planilla_General_29-11-2012_10_'!M922,"AAAAACs/NzY=")</f>
        <v>#VALUE!</v>
      </c>
      <c r="BD62" t="e">
        <f>AND('Planilla_General_29-11-2012_10_'!N922,"AAAAACs/Nzc=")</f>
        <v>#VALUE!</v>
      </c>
      <c r="BE62" t="e">
        <f>AND('Planilla_General_29-11-2012_10_'!O922,"AAAAACs/Nzg=")</f>
        <v>#VALUE!</v>
      </c>
      <c r="BF62" t="e">
        <f>AND('Planilla_General_29-11-2012_10_'!P922,"AAAAACs/Nzk=")</f>
        <v>#VALUE!</v>
      </c>
      <c r="BG62">
        <f>IF('Planilla_General_29-11-2012_10_'!923:923,"AAAAACs/Nzo=",0)</f>
        <v>0</v>
      </c>
      <c r="BH62" t="e">
        <f>AND('Planilla_General_29-11-2012_10_'!A923,"AAAAACs/Nzs=")</f>
        <v>#VALUE!</v>
      </c>
      <c r="BI62" t="e">
        <f>AND('Planilla_General_29-11-2012_10_'!B923,"AAAAACs/Nzw=")</f>
        <v>#VALUE!</v>
      </c>
      <c r="BJ62" t="e">
        <f>AND('Planilla_General_29-11-2012_10_'!C923,"AAAAACs/Nz0=")</f>
        <v>#VALUE!</v>
      </c>
      <c r="BK62" t="e">
        <f>AND('Planilla_General_29-11-2012_10_'!D923,"AAAAACs/Nz4=")</f>
        <v>#VALUE!</v>
      </c>
      <c r="BL62" t="e">
        <f>AND('Planilla_General_29-11-2012_10_'!E923,"AAAAACs/Nz8=")</f>
        <v>#VALUE!</v>
      </c>
      <c r="BM62" t="e">
        <f>AND('Planilla_General_29-11-2012_10_'!F923,"AAAAACs/N0A=")</f>
        <v>#VALUE!</v>
      </c>
      <c r="BN62" t="e">
        <f>AND('Planilla_General_29-11-2012_10_'!G923,"AAAAACs/N0E=")</f>
        <v>#VALUE!</v>
      </c>
      <c r="BO62" t="e">
        <f>AND('Planilla_General_29-11-2012_10_'!H923,"AAAAACs/N0I=")</f>
        <v>#VALUE!</v>
      </c>
      <c r="BP62" t="e">
        <f>AND('Planilla_General_29-11-2012_10_'!I923,"AAAAACs/N0M=")</f>
        <v>#VALUE!</v>
      </c>
      <c r="BQ62" t="e">
        <f>AND('Planilla_General_29-11-2012_10_'!J923,"AAAAACs/N0Q=")</f>
        <v>#VALUE!</v>
      </c>
      <c r="BR62" t="e">
        <f>AND('Planilla_General_29-11-2012_10_'!K923,"AAAAACs/N0U=")</f>
        <v>#VALUE!</v>
      </c>
      <c r="BS62" t="e">
        <f>AND('Planilla_General_29-11-2012_10_'!L923,"AAAAACs/N0Y=")</f>
        <v>#VALUE!</v>
      </c>
      <c r="BT62" t="e">
        <f>AND('Planilla_General_29-11-2012_10_'!M923,"AAAAACs/N0c=")</f>
        <v>#VALUE!</v>
      </c>
      <c r="BU62" t="e">
        <f>AND('Planilla_General_29-11-2012_10_'!N923,"AAAAACs/N0g=")</f>
        <v>#VALUE!</v>
      </c>
      <c r="BV62" t="e">
        <f>AND('Planilla_General_29-11-2012_10_'!O923,"AAAAACs/N0k=")</f>
        <v>#VALUE!</v>
      </c>
      <c r="BW62" t="e">
        <f>AND('Planilla_General_29-11-2012_10_'!P923,"AAAAACs/N0o=")</f>
        <v>#VALUE!</v>
      </c>
      <c r="BX62">
        <f>IF('Planilla_General_29-11-2012_10_'!924:924,"AAAAACs/N0s=",0)</f>
        <v>0</v>
      </c>
      <c r="BY62" t="e">
        <f>AND('Planilla_General_29-11-2012_10_'!A924,"AAAAACs/N0w=")</f>
        <v>#VALUE!</v>
      </c>
      <c r="BZ62" t="e">
        <f>AND('Planilla_General_29-11-2012_10_'!B924,"AAAAACs/N00=")</f>
        <v>#VALUE!</v>
      </c>
      <c r="CA62" t="e">
        <f>AND('Planilla_General_29-11-2012_10_'!C924,"AAAAACs/N04=")</f>
        <v>#VALUE!</v>
      </c>
      <c r="CB62" t="e">
        <f>AND('Planilla_General_29-11-2012_10_'!D924,"AAAAACs/N08=")</f>
        <v>#VALUE!</v>
      </c>
      <c r="CC62" t="e">
        <f>AND('Planilla_General_29-11-2012_10_'!E924,"AAAAACs/N1A=")</f>
        <v>#VALUE!</v>
      </c>
      <c r="CD62" t="e">
        <f>AND('Planilla_General_29-11-2012_10_'!F924,"AAAAACs/N1E=")</f>
        <v>#VALUE!</v>
      </c>
      <c r="CE62" t="e">
        <f>AND('Planilla_General_29-11-2012_10_'!G924,"AAAAACs/N1I=")</f>
        <v>#VALUE!</v>
      </c>
      <c r="CF62" t="e">
        <f>AND('Planilla_General_29-11-2012_10_'!H924,"AAAAACs/N1M=")</f>
        <v>#VALUE!</v>
      </c>
      <c r="CG62" t="e">
        <f>AND('Planilla_General_29-11-2012_10_'!I924,"AAAAACs/N1Q=")</f>
        <v>#VALUE!</v>
      </c>
      <c r="CH62" t="e">
        <f>AND('Planilla_General_29-11-2012_10_'!J924,"AAAAACs/N1U=")</f>
        <v>#VALUE!</v>
      </c>
      <c r="CI62" t="e">
        <f>AND('Planilla_General_29-11-2012_10_'!K924,"AAAAACs/N1Y=")</f>
        <v>#VALUE!</v>
      </c>
      <c r="CJ62" t="e">
        <f>AND('Planilla_General_29-11-2012_10_'!L924,"AAAAACs/N1c=")</f>
        <v>#VALUE!</v>
      </c>
      <c r="CK62" t="e">
        <f>AND('Planilla_General_29-11-2012_10_'!M924,"AAAAACs/N1g=")</f>
        <v>#VALUE!</v>
      </c>
      <c r="CL62" t="e">
        <f>AND('Planilla_General_29-11-2012_10_'!N924,"AAAAACs/N1k=")</f>
        <v>#VALUE!</v>
      </c>
      <c r="CM62" t="e">
        <f>AND('Planilla_General_29-11-2012_10_'!O924,"AAAAACs/N1o=")</f>
        <v>#VALUE!</v>
      </c>
      <c r="CN62" t="e">
        <f>AND('Planilla_General_29-11-2012_10_'!P924,"AAAAACs/N1s=")</f>
        <v>#VALUE!</v>
      </c>
      <c r="CO62">
        <f>IF('Planilla_General_29-11-2012_10_'!925:925,"AAAAACs/N1w=",0)</f>
        <v>0</v>
      </c>
      <c r="CP62" t="e">
        <f>AND('Planilla_General_29-11-2012_10_'!A925,"AAAAACs/N10=")</f>
        <v>#VALUE!</v>
      </c>
      <c r="CQ62" t="e">
        <f>AND('Planilla_General_29-11-2012_10_'!B925,"AAAAACs/N14=")</f>
        <v>#VALUE!</v>
      </c>
      <c r="CR62" t="e">
        <f>AND('Planilla_General_29-11-2012_10_'!C925,"AAAAACs/N18=")</f>
        <v>#VALUE!</v>
      </c>
      <c r="CS62" t="e">
        <f>AND('Planilla_General_29-11-2012_10_'!D925,"AAAAACs/N2A=")</f>
        <v>#VALUE!</v>
      </c>
      <c r="CT62" t="e">
        <f>AND('Planilla_General_29-11-2012_10_'!E925,"AAAAACs/N2E=")</f>
        <v>#VALUE!</v>
      </c>
      <c r="CU62" t="e">
        <f>AND('Planilla_General_29-11-2012_10_'!F925,"AAAAACs/N2I=")</f>
        <v>#VALUE!</v>
      </c>
      <c r="CV62" t="e">
        <f>AND('Planilla_General_29-11-2012_10_'!G925,"AAAAACs/N2M=")</f>
        <v>#VALUE!</v>
      </c>
      <c r="CW62" t="e">
        <f>AND('Planilla_General_29-11-2012_10_'!H925,"AAAAACs/N2Q=")</f>
        <v>#VALUE!</v>
      </c>
      <c r="CX62" t="e">
        <f>AND('Planilla_General_29-11-2012_10_'!I925,"AAAAACs/N2U=")</f>
        <v>#VALUE!</v>
      </c>
      <c r="CY62" t="e">
        <f>AND('Planilla_General_29-11-2012_10_'!J925,"AAAAACs/N2Y=")</f>
        <v>#VALUE!</v>
      </c>
      <c r="CZ62" t="e">
        <f>AND('Planilla_General_29-11-2012_10_'!K925,"AAAAACs/N2c=")</f>
        <v>#VALUE!</v>
      </c>
      <c r="DA62" t="e">
        <f>AND('Planilla_General_29-11-2012_10_'!L925,"AAAAACs/N2g=")</f>
        <v>#VALUE!</v>
      </c>
      <c r="DB62" t="e">
        <f>AND('Planilla_General_29-11-2012_10_'!M925,"AAAAACs/N2k=")</f>
        <v>#VALUE!</v>
      </c>
      <c r="DC62" t="e">
        <f>AND('Planilla_General_29-11-2012_10_'!N925,"AAAAACs/N2o=")</f>
        <v>#VALUE!</v>
      </c>
      <c r="DD62" t="e">
        <f>AND('Planilla_General_29-11-2012_10_'!O925,"AAAAACs/N2s=")</f>
        <v>#VALUE!</v>
      </c>
      <c r="DE62" t="e">
        <f>AND('Planilla_General_29-11-2012_10_'!P925,"AAAAACs/N2w=")</f>
        <v>#VALUE!</v>
      </c>
      <c r="DF62">
        <f>IF('Planilla_General_29-11-2012_10_'!926:926,"AAAAACs/N20=",0)</f>
        <v>0</v>
      </c>
      <c r="DG62" t="e">
        <f>AND('Planilla_General_29-11-2012_10_'!A926,"AAAAACs/N24=")</f>
        <v>#VALUE!</v>
      </c>
      <c r="DH62" t="e">
        <f>AND('Planilla_General_29-11-2012_10_'!B926,"AAAAACs/N28=")</f>
        <v>#VALUE!</v>
      </c>
      <c r="DI62" t="e">
        <f>AND('Planilla_General_29-11-2012_10_'!C926,"AAAAACs/N3A=")</f>
        <v>#VALUE!</v>
      </c>
      <c r="DJ62" t="e">
        <f>AND('Planilla_General_29-11-2012_10_'!D926,"AAAAACs/N3E=")</f>
        <v>#VALUE!</v>
      </c>
      <c r="DK62" t="e">
        <f>AND('Planilla_General_29-11-2012_10_'!E926,"AAAAACs/N3I=")</f>
        <v>#VALUE!</v>
      </c>
      <c r="DL62" t="e">
        <f>AND('Planilla_General_29-11-2012_10_'!F926,"AAAAACs/N3M=")</f>
        <v>#VALUE!</v>
      </c>
      <c r="DM62" t="e">
        <f>AND('Planilla_General_29-11-2012_10_'!G926,"AAAAACs/N3Q=")</f>
        <v>#VALUE!</v>
      </c>
      <c r="DN62" t="e">
        <f>AND('Planilla_General_29-11-2012_10_'!H926,"AAAAACs/N3U=")</f>
        <v>#VALUE!</v>
      </c>
      <c r="DO62" t="e">
        <f>AND('Planilla_General_29-11-2012_10_'!I926,"AAAAACs/N3Y=")</f>
        <v>#VALUE!</v>
      </c>
      <c r="DP62" t="e">
        <f>AND('Planilla_General_29-11-2012_10_'!J926,"AAAAACs/N3c=")</f>
        <v>#VALUE!</v>
      </c>
      <c r="DQ62" t="e">
        <f>AND('Planilla_General_29-11-2012_10_'!K926,"AAAAACs/N3g=")</f>
        <v>#VALUE!</v>
      </c>
      <c r="DR62" t="e">
        <f>AND('Planilla_General_29-11-2012_10_'!L926,"AAAAACs/N3k=")</f>
        <v>#VALUE!</v>
      </c>
      <c r="DS62" t="e">
        <f>AND('Planilla_General_29-11-2012_10_'!M926,"AAAAACs/N3o=")</f>
        <v>#VALUE!</v>
      </c>
      <c r="DT62" t="e">
        <f>AND('Planilla_General_29-11-2012_10_'!N926,"AAAAACs/N3s=")</f>
        <v>#VALUE!</v>
      </c>
      <c r="DU62" t="e">
        <f>AND('Planilla_General_29-11-2012_10_'!O926,"AAAAACs/N3w=")</f>
        <v>#VALUE!</v>
      </c>
      <c r="DV62" t="e">
        <f>AND('Planilla_General_29-11-2012_10_'!P926,"AAAAACs/N30=")</f>
        <v>#VALUE!</v>
      </c>
      <c r="DW62">
        <f>IF('Planilla_General_29-11-2012_10_'!927:927,"AAAAACs/N34=",0)</f>
        <v>0</v>
      </c>
      <c r="DX62" t="e">
        <f>AND('Planilla_General_29-11-2012_10_'!A927,"AAAAACs/N38=")</f>
        <v>#VALUE!</v>
      </c>
      <c r="DY62" t="e">
        <f>AND('Planilla_General_29-11-2012_10_'!B927,"AAAAACs/N4A=")</f>
        <v>#VALUE!</v>
      </c>
      <c r="DZ62" t="e">
        <f>AND('Planilla_General_29-11-2012_10_'!C927,"AAAAACs/N4E=")</f>
        <v>#VALUE!</v>
      </c>
      <c r="EA62" t="e">
        <f>AND('Planilla_General_29-11-2012_10_'!D927,"AAAAACs/N4I=")</f>
        <v>#VALUE!</v>
      </c>
      <c r="EB62" t="e">
        <f>AND('Planilla_General_29-11-2012_10_'!E927,"AAAAACs/N4M=")</f>
        <v>#VALUE!</v>
      </c>
      <c r="EC62" t="e">
        <f>AND('Planilla_General_29-11-2012_10_'!F927,"AAAAACs/N4Q=")</f>
        <v>#VALUE!</v>
      </c>
      <c r="ED62" t="e">
        <f>AND('Planilla_General_29-11-2012_10_'!G927,"AAAAACs/N4U=")</f>
        <v>#VALUE!</v>
      </c>
      <c r="EE62" t="e">
        <f>AND('Planilla_General_29-11-2012_10_'!H927,"AAAAACs/N4Y=")</f>
        <v>#VALUE!</v>
      </c>
      <c r="EF62" t="e">
        <f>AND('Planilla_General_29-11-2012_10_'!I927,"AAAAACs/N4c=")</f>
        <v>#VALUE!</v>
      </c>
      <c r="EG62" t="e">
        <f>AND('Planilla_General_29-11-2012_10_'!J927,"AAAAACs/N4g=")</f>
        <v>#VALUE!</v>
      </c>
      <c r="EH62" t="e">
        <f>AND('Planilla_General_29-11-2012_10_'!K927,"AAAAACs/N4k=")</f>
        <v>#VALUE!</v>
      </c>
      <c r="EI62" t="e">
        <f>AND('Planilla_General_29-11-2012_10_'!L927,"AAAAACs/N4o=")</f>
        <v>#VALUE!</v>
      </c>
      <c r="EJ62" t="e">
        <f>AND('Planilla_General_29-11-2012_10_'!M927,"AAAAACs/N4s=")</f>
        <v>#VALUE!</v>
      </c>
      <c r="EK62" t="e">
        <f>AND('Planilla_General_29-11-2012_10_'!N927,"AAAAACs/N4w=")</f>
        <v>#VALUE!</v>
      </c>
      <c r="EL62" t="e">
        <f>AND('Planilla_General_29-11-2012_10_'!O927,"AAAAACs/N40=")</f>
        <v>#VALUE!</v>
      </c>
      <c r="EM62" t="e">
        <f>AND('Planilla_General_29-11-2012_10_'!P927,"AAAAACs/N44=")</f>
        <v>#VALUE!</v>
      </c>
      <c r="EN62">
        <f>IF('Planilla_General_29-11-2012_10_'!928:928,"AAAAACs/N48=",0)</f>
        <v>0</v>
      </c>
      <c r="EO62" t="e">
        <f>AND('Planilla_General_29-11-2012_10_'!A928,"AAAAACs/N5A=")</f>
        <v>#VALUE!</v>
      </c>
      <c r="EP62" t="e">
        <f>AND('Planilla_General_29-11-2012_10_'!B928,"AAAAACs/N5E=")</f>
        <v>#VALUE!</v>
      </c>
      <c r="EQ62" t="e">
        <f>AND('Planilla_General_29-11-2012_10_'!C928,"AAAAACs/N5I=")</f>
        <v>#VALUE!</v>
      </c>
      <c r="ER62" t="e">
        <f>AND('Planilla_General_29-11-2012_10_'!D928,"AAAAACs/N5M=")</f>
        <v>#VALUE!</v>
      </c>
      <c r="ES62" t="e">
        <f>AND('Planilla_General_29-11-2012_10_'!E928,"AAAAACs/N5Q=")</f>
        <v>#VALUE!</v>
      </c>
      <c r="ET62" t="e">
        <f>AND('Planilla_General_29-11-2012_10_'!F928,"AAAAACs/N5U=")</f>
        <v>#VALUE!</v>
      </c>
      <c r="EU62" t="e">
        <f>AND('Planilla_General_29-11-2012_10_'!G928,"AAAAACs/N5Y=")</f>
        <v>#VALUE!</v>
      </c>
      <c r="EV62" t="e">
        <f>AND('Planilla_General_29-11-2012_10_'!H928,"AAAAACs/N5c=")</f>
        <v>#VALUE!</v>
      </c>
      <c r="EW62" t="e">
        <f>AND('Planilla_General_29-11-2012_10_'!I928,"AAAAACs/N5g=")</f>
        <v>#VALUE!</v>
      </c>
      <c r="EX62" t="e">
        <f>AND('Planilla_General_29-11-2012_10_'!J928,"AAAAACs/N5k=")</f>
        <v>#VALUE!</v>
      </c>
      <c r="EY62" t="e">
        <f>AND('Planilla_General_29-11-2012_10_'!K928,"AAAAACs/N5o=")</f>
        <v>#VALUE!</v>
      </c>
      <c r="EZ62" t="e">
        <f>AND('Planilla_General_29-11-2012_10_'!L928,"AAAAACs/N5s=")</f>
        <v>#VALUE!</v>
      </c>
      <c r="FA62" t="e">
        <f>AND('Planilla_General_29-11-2012_10_'!M928,"AAAAACs/N5w=")</f>
        <v>#VALUE!</v>
      </c>
      <c r="FB62" t="e">
        <f>AND('Planilla_General_29-11-2012_10_'!N928,"AAAAACs/N50=")</f>
        <v>#VALUE!</v>
      </c>
      <c r="FC62" t="e">
        <f>AND('Planilla_General_29-11-2012_10_'!O928,"AAAAACs/N54=")</f>
        <v>#VALUE!</v>
      </c>
      <c r="FD62" t="e">
        <f>AND('Planilla_General_29-11-2012_10_'!P928,"AAAAACs/N58=")</f>
        <v>#VALUE!</v>
      </c>
      <c r="FE62">
        <f>IF('Planilla_General_29-11-2012_10_'!929:929,"AAAAACs/N6A=",0)</f>
        <v>0</v>
      </c>
      <c r="FF62" t="e">
        <f>AND('Planilla_General_29-11-2012_10_'!A929,"AAAAACs/N6E=")</f>
        <v>#VALUE!</v>
      </c>
      <c r="FG62" t="e">
        <f>AND('Planilla_General_29-11-2012_10_'!B929,"AAAAACs/N6I=")</f>
        <v>#VALUE!</v>
      </c>
      <c r="FH62" t="e">
        <f>AND('Planilla_General_29-11-2012_10_'!C929,"AAAAACs/N6M=")</f>
        <v>#VALUE!</v>
      </c>
      <c r="FI62" t="e">
        <f>AND('Planilla_General_29-11-2012_10_'!D929,"AAAAACs/N6Q=")</f>
        <v>#VALUE!</v>
      </c>
      <c r="FJ62" t="e">
        <f>AND('Planilla_General_29-11-2012_10_'!E929,"AAAAACs/N6U=")</f>
        <v>#VALUE!</v>
      </c>
      <c r="FK62" t="e">
        <f>AND('Planilla_General_29-11-2012_10_'!F929,"AAAAACs/N6Y=")</f>
        <v>#VALUE!</v>
      </c>
      <c r="FL62" t="e">
        <f>AND('Planilla_General_29-11-2012_10_'!G929,"AAAAACs/N6c=")</f>
        <v>#VALUE!</v>
      </c>
      <c r="FM62" t="e">
        <f>AND('Planilla_General_29-11-2012_10_'!H929,"AAAAACs/N6g=")</f>
        <v>#VALUE!</v>
      </c>
      <c r="FN62" t="e">
        <f>AND('Planilla_General_29-11-2012_10_'!I929,"AAAAACs/N6k=")</f>
        <v>#VALUE!</v>
      </c>
      <c r="FO62" t="e">
        <f>AND('Planilla_General_29-11-2012_10_'!J929,"AAAAACs/N6o=")</f>
        <v>#VALUE!</v>
      </c>
      <c r="FP62" t="e">
        <f>AND('Planilla_General_29-11-2012_10_'!K929,"AAAAACs/N6s=")</f>
        <v>#VALUE!</v>
      </c>
      <c r="FQ62" t="e">
        <f>AND('Planilla_General_29-11-2012_10_'!L929,"AAAAACs/N6w=")</f>
        <v>#VALUE!</v>
      </c>
      <c r="FR62" t="e">
        <f>AND('Planilla_General_29-11-2012_10_'!M929,"AAAAACs/N60=")</f>
        <v>#VALUE!</v>
      </c>
      <c r="FS62" t="e">
        <f>AND('Planilla_General_29-11-2012_10_'!N929,"AAAAACs/N64=")</f>
        <v>#VALUE!</v>
      </c>
      <c r="FT62" t="e">
        <f>AND('Planilla_General_29-11-2012_10_'!O929,"AAAAACs/N68=")</f>
        <v>#VALUE!</v>
      </c>
      <c r="FU62" t="e">
        <f>AND('Planilla_General_29-11-2012_10_'!P929,"AAAAACs/N7A=")</f>
        <v>#VALUE!</v>
      </c>
      <c r="FV62">
        <f>IF('Planilla_General_29-11-2012_10_'!930:930,"AAAAACs/N7E=",0)</f>
        <v>0</v>
      </c>
      <c r="FW62" t="e">
        <f>AND('Planilla_General_29-11-2012_10_'!A930,"AAAAACs/N7I=")</f>
        <v>#VALUE!</v>
      </c>
      <c r="FX62" t="e">
        <f>AND('Planilla_General_29-11-2012_10_'!B930,"AAAAACs/N7M=")</f>
        <v>#VALUE!</v>
      </c>
      <c r="FY62" t="e">
        <f>AND('Planilla_General_29-11-2012_10_'!C930,"AAAAACs/N7Q=")</f>
        <v>#VALUE!</v>
      </c>
      <c r="FZ62" t="e">
        <f>AND('Planilla_General_29-11-2012_10_'!D930,"AAAAACs/N7U=")</f>
        <v>#VALUE!</v>
      </c>
      <c r="GA62" t="e">
        <f>AND('Planilla_General_29-11-2012_10_'!E930,"AAAAACs/N7Y=")</f>
        <v>#VALUE!</v>
      </c>
      <c r="GB62" t="e">
        <f>AND('Planilla_General_29-11-2012_10_'!F930,"AAAAACs/N7c=")</f>
        <v>#VALUE!</v>
      </c>
      <c r="GC62" t="e">
        <f>AND('Planilla_General_29-11-2012_10_'!G930,"AAAAACs/N7g=")</f>
        <v>#VALUE!</v>
      </c>
      <c r="GD62" t="e">
        <f>AND('Planilla_General_29-11-2012_10_'!H930,"AAAAACs/N7k=")</f>
        <v>#VALUE!</v>
      </c>
      <c r="GE62" t="e">
        <f>AND('Planilla_General_29-11-2012_10_'!I930,"AAAAACs/N7o=")</f>
        <v>#VALUE!</v>
      </c>
      <c r="GF62" t="e">
        <f>AND('Planilla_General_29-11-2012_10_'!J930,"AAAAACs/N7s=")</f>
        <v>#VALUE!</v>
      </c>
      <c r="GG62" t="e">
        <f>AND('Planilla_General_29-11-2012_10_'!K930,"AAAAACs/N7w=")</f>
        <v>#VALUE!</v>
      </c>
      <c r="GH62" t="e">
        <f>AND('Planilla_General_29-11-2012_10_'!L930,"AAAAACs/N70=")</f>
        <v>#VALUE!</v>
      </c>
      <c r="GI62" t="e">
        <f>AND('Planilla_General_29-11-2012_10_'!M930,"AAAAACs/N74=")</f>
        <v>#VALUE!</v>
      </c>
      <c r="GJ62" t="e">
        <f>AND('Planilla_General_29-11-2012_10_'!N930,"AAAAACs/N78=")</f>
        <v>#VALUE!</v>
      </c>
      <c r="GK62" t="e">
        <f>AND('Planilla_General_29-11-2012_10_'!O930,"AAAAACs/N8A=")</f>
        <v>#VALUE!</v>
      </c>
      <c r="GL62" t="e">
        <f>AND('Planilla_General_29-11-2012_10_'!P930,"AAAAACs/N8E=")</f>
        <v>#VALUE!</v>
      </c>
      <c r="GM62">
        <f>IF('Planilla_General_29-11-2012_10_'!931:931,"AAAAACs/N8I=",0)</f>
        <v>0</v>
      </c>
      <c r="GN62" t="e">
        <f>AND('Planilla_General_29-11-2012_10_'!A931,"AAAAACs/N8M=")</f>
        <v>#VALUE!</v>
      </c>
      <c r="GO62" t="e">
        <f>AND('Planilla_General_29-11-2012_10_'!B931,"AAAAACs/N8Q=")</f>
        <v>#VALUE!</v>
      </c>
      <c r="GP62" t="e">
        <f>AND('Planilla_General_29-11-2012_10_'!C931,"AAAAACs/N8U=")</f>
        <v>#VALUE!</v>
      </c>
      <c r="GQ62" t="e">
        <f>AND('Planilla_General_29-11-2012_10_'!D931,"AAAAACs/N8Y=")</f>
        <v>#VALUE!</v>
      </c>
      <c r="GR62" t="e">
        <f>AND('Planilla_General_29-11-2012_10_'!E931,"AAAAACs/N8c=")</f>
        <v>#VALUE!</v>
      </c>
      <c r="GS62" t="e">
        <f>AND('Planilla_General_29-11-2012_10_'!F931,"AAAAACs/N8g=")</f>
        <v>#VALUE!</v>
      </c>
      <c r="GT62" t="e">
        <f>AND('Planilla_General_29-11-2012_10_'!G931,"AAAAACs/N8k=")</f>
        <v>#VALUE!</v>
      </c>
      <c r="GU62" t="e">
        <f>AND('Planilla_General_29-11-2012_10_'!H931,"AAAAACs/N8o=")</f>
        <v>#VALUE!</v>
      </c>
      <c r="GV62" t="e">
        <f>AND('Planilla_General_29-11-2012_10_'!I931,"AAAAACs/N8s=")</f>
        <v>#VALUE!</v>
      </c>
      <c r="GW62" t="e">
        <f>AND('Planilla_General_29-11-2012_10_'!J931,"AAAAACs/N8w=")</f>
        <v>#VALUE!</v>
      </c>
      <c r="GX62" t="e">
        <f>AND('Planilla_General_29-11-2012_10_'!K931,"AAAAACs/N80=")</f>
        <v>#VALUE!</v>
      </c>
      <c r="GY62" t="e">
        <f>AND('Planilla_General_29-11-2012_10_'!L931,"AAAAACs/N84=")</f>
        <v>#VALUE!</v>
      </c>
      <c r="GZ62" t="e">
        <f>AND('Planilla_General_29-11-2012_10_'!M931,"AAAAACs/N88=")</f>
        <v>#VALUE!</v>
      </c>
      <c r="HA62" t="e">
        <f>AND('Planilla_General_29-11-2012_10_'!N931,"AAAAACs/N9A=")</f>
        <v>#VALUE!</v>
      </c>
      <c r="HB62" t="e">
        <f>AND('Planilla_General_29-11-2012_10_'!O931,"AAAAACs/N9E=")</f>
        <v>#VALUE!</v>
      </c>
      <c r="HC62" t="e">
        <f>AND('Planilla_General_29-11-2012_10_'!P931,"AAAAACs/N9I=")</f>
        <v>#VALUE!</v>
      </c>
      <c r="HD62">
        <f>IF('Planilla_General_29-11-2012_10_'!932:932,"AAAAACs/N9M=",0)</f>
        <v>0</v>
      </c>
      <c r="HE62" t="e">
        <f>AND('Planilla_General_29-11-2012_10_'!A932,"AAAAACs/N9Q=")</f>
        <v>#VALUE!</v>
      </c>
      <c r="HF62" t="e">
        <f>AND('Planilla_General_29-11-2012_10_'!B932,"AAAAACs/N9U=")</f>
        <v>#VALUE!</v>
      </c>
      <c r="HG62" t="e">
        <f>AND('Planilla_General_29-11-2012_10_'!C932,"AAAAACs/N9Y=")</f>
        <v>#VALUE!</v>
      </c>
      <c r="HH62" t="e">
        <f>AND('Planilla_General_29-11-2012_10_'!D932,"AAAAACs/N9c=")</f>
        <v>#VALUE!</v>
      </c>
      <c r="HI62" t="e">
        <f>AND('Planilla_General_29-11-2012_10_'!E932,"AAAAACs/N9g=")</f>
        <v>#VALUE!</v>
      </c>
      <c r="HJ62" t="e">
        <f>AND('Planilla_General_29-11-2012_10_'!F932,"AAAAACs/N9k=")</f>
        <v>#VALUE!</v>
      </c>
      <c r="HK62" t="e">
        <f>AND('Planilla_General_29-11-2012_10_'!G932,"AAAAACs/N9o=")</f>
        <v>#VALUE!</v>
      </c>
      <c r="HL62" t="e">
        <f>AND('Planilla_General_29-11-2012_10_'!H932,"AAAAACs/N9s=")</f>
        <v>#VALUE!</v>
      </c>
      <c r="HM62" t="e">
        <f>AND('Planilla_General_29-11-2012_10_'!I932,"AAAAACs/N9w=")</f>
        <v>#VALUE!</v>
      </c>
      <c r="HN62" t="e">
        <f>AND('Planilla_General_29-11-2012_10_'!J932,"AAAAACs/N90=")</f>
        <v>#VALUE!</v>
      </c>
      <c r="HO62" t="e">
        <f>AND('Planilla_General_29-11-2012_10_'!K932,"AAAAACs/N94=")</f>
        <v>#VALUE!</v>
      </c>
      <c r="HP62" t="e">
        <f>AND('Planilla_General_29-11-2012_10_'!L932,"AAAAACs/N98=")</f>
        <v>#VALUE!</v>
      </c>
      <c r="HQ62" t="e">
        <f>AND('Planilla_General_29-11-2012_10_'!M932,"AAAAACs/N+A=")</f>
        <v>#VALUE!</v>
      </c>
      <c r="HR62" t="e">
        <f>AND('Planilla_General_29-11-2012_10_'!N932,"AAAAACs/N+E=")</f>
        <v>#VALUE!</v>
      </c>
      <c r="HS62" t="e">
        <f>AND('Planilla_General_29-11-2012_10_'!O932,"AAAAACs/N+I=")</f>
        <v>#VALUE!</v>
      </c>
      <c r="HT62" t="e">
        <f>AND('Planilla_General_29-11-2012_10_'!P932,"AAAAACs/N+M=")</f>
        <v>#VALUE!</v>
      </c>
      <c r="HU62">
        <f>IF('Planilla_General_29-11-2012_10_'!933:933,"AAAAACs/N+Q=",0)</f>
        <v>0</v>
      </c>
      <c r="HV62" t="e">
        <f>AND('Planilla_General_29-11-2012_10_'!A933,"AAAAACs/N+U=")</f>
        <v>#VALUE!</v>
      </c>
      <c r="HW62" t="e">
        <f>AND('Planilla_General_29-11-2012_10_'!B933,"AAAAACs/N+Y=")</f>
        <v>#VALUE!</v>
      </c>
      <c r="HX62" t="e">
        <f>AND('Planilla_General_29-11-2012_10_'!C933,"AAAAACs/N+c=")</f>
        <v>#VALUE!</v>
      </c>
      <c r="HY62" t="e">
        <f>AND('Planilla_General_29-11-2012_10_'!D933,"AAAAACs/N+g=")</f>
        <v>#VALUE!</v>
      </c>
      <c r="HZ62" t="e">
        <f>AND('Planilla_General_29-11-2012_10_'!E933,"AAAAACs/N+k=")</f>
        <v>#VALUE!</v>
      </c>
      <c r="IA62" t="e">
        <f>AND('Planilla_General_29-11-2012_10_'!F933,"AAAAACs/N+o=")</f>
        <v>#VALUE!</v>
      </c>
      <c r="IB62" t="e">
        <f>AND('Planilla_General_29-11-2012_10_'!G933,"AAAAACs/N+s=")</f>
        <v>#VALUE!</v>
      </c>
      <c r="IC62" t="e">
        <f>AND('Planilla_General_29-11-2012_10_'!H933,"AAAAACs/N+w=")</f>
        <v>#VALUE!</v>
      </c>
      <c r="ID62" t="e">
        <f>AND('Planilla_General_29-11-2012_10_'!I933,"AAAAACs/N+0=")</f>
        <v>#VALUE!</v>
      </c>
      <c r="IE62" t="e">
        <f>AND('Planilla_General_29-11-2012_10_'!J933,"AAAAACs/N+4=")</f>
        <v>#VALUE!</v>
      </c>
      <c r="IF62" t="e">
        <f>AND('Planilla_General_29-11-2012_10_'!K933,"AAAAACs/N+8=")</f>
        <v>#VALUE!</v>
      </c>
      <c r="IG62" t="e">
        <f>AND('Planilla_General_29-11-2012_10_'!L933,"AAAAACs/N/A=")</f>
        <v>#VALUE!</v>
      </c>
      <c r="IH62" t="e">
        <f>AND('Planilla_General_29-11-2012_10_'!M933,"AAAAACs/N/E=")</f>
        <v>#VALUE!</v>
      </c>
      <c r="II62" t="e">
        <f>AND('Planilla_General_29-11-2012_10_'!N933,"AAAAACs/N/I=")</f>
        <v>#VALUE!</v>
      </c>
      <c r="IJ62" t="e">
        <f>AND('Planilla_General_29-11-2012_10_'!O933,"AAAAACs/N/M=")</f>
        <v>#VALUE!</v>
      </c>
      <c r="IK62" t="e">
        <f>AND('Planilla_General_29-11-2012_10_'!P933,"AAAAACs/N/Q=")</f>
        <v>#VALUE!</v>
      </c>
      <c r="IL62">
        <f>IF('Planilla_General_29-11-2012_10_'!934:934,"AAAAACs/N/U=",0)</f>
        <v>0</v>
      </c>
      <c r="IM62" t="e">
        <f>AND('Planilla_General_29-11-2012_10_'!A934,"AAAAACs/N/Y=")</f>
        <v>#VALUE!</v>
      </c>
      <c r="IN62" t="e">
        <f>AND('Planilla_General_29-11-2012_10_'!B934,"AAAAACs/N/c=")</f>
        <v>#VALUE!</v>
      </c>
      <c r="IO62" t="e">
        <f>AND('Planilla_General_29-11-2012_10_'!C934,"AAAAACs/N/g=")</f>
        <v>#VALUE!</v>
      </c>
      <c r="IP62" t="e">
        <f>AND('Planilla_General_29-11-2012_10_'!D934,"AAAAACs/N/k=")</f>
        <v>#VALUE!</v>
      </c>
      <c r="IQ62" t="e">
        <f>AND('Planilla_General_29-11-2012_10_'!E934,"AAAAACs/N/o=")</f>
        <v>#VALUE!</v>
      </c>
      <c r="IR62" t="e">
        <f>AND('Planilla_General_29-11-2012_10_'!F934,"AAAAACs/N/s=")</f>
        <v>#VALUE!</v>
      </c>
      <c r="IS62" t="e">
        <f>AND('Planilla_General_29-11-2012_10_'!G934,"AAAAACs/N/w=")</f>
        <v>#VALUE!</v>
      </c>
      <c r="IT62" t="e">
        <f>AND('Planilla_General_29-11-2012_10_'!H934,"AAAAACs/N/0=")</f>
        <v>#VALUE!</v>
      </c>
      <c r="IU62" t="e">
        <f>AND('Planilla_General_29-11-2012_10_'!I934,"AAAAACs/N/4=")</f>
        <v>#VALUE!</v>
      </c>
      <c r="IV62" t="e">
        <f>AND('Planilla_General_29-11-2012_10_'!J934,"AAAAACs/N/8=")</f>
        <v>#VALUE!</v>
      </c>
    </row>
    <row r="63" spans="1:256" x14ac:dyDescent="0.25">
      <c r="A63" t="e">
        <f>AND('Planilla_General_29-11-2012_10_'!K934,"AAAAAHq29wA=")</f>
        <v>#VALUE!</v>
      </c>
      <c r="B63" t="e">
        <f>AND('Planilla_General_29-11-2012_10_'!L934,"AAAAAHq29wE=")</f>
        <v>#VALUE!</v>
      </c>
      <c r="C63" t="e">
        <f>AND('Planilla_General_29-11-2012_10_'!M934,"AAAAAHq29wI=")</f>
        <v>#VALUE!</v>
      </c>
      <c r="D63" t="e">
        <f>AND('Planilla_General_29-11-2012_10_'!N934,"AAAAAHq29wM=")</f>
        <v>#VALUE!</v>
      </c>
      <c r="E63" t="e">
        <f>AND('Planilla_General_29-11-2012_10_'!O934,"AAAAAHq29wQ=")</f>
        <v>#VALUE!</v>
      </c>
      <c r="F63" t="e">
        <f>AND('Planilla_General_29-11-2012_10_'!P934,"AAAAAHq29wU=")</f>
        <v>#VALUE!</v>
      </c>
      <c r="G63" t="e">
        <f>IF('Planilla_General_29-11-2012_10_'!935:935,"AAAAAHq29wY=",0)</f>
        <v>#VALUE!</v>
      </c>
      <c r="H63" t="e">
        <f>AND('Planilla_General_29-11-2012_10_'!A935,"AAAAAHq29wc=")</f>
        <v>#VALUE!</v>
      </c>
      <c r="I63" t="e">
        <f>AND('Planilla_General_29-11-2012_10_'!B935,"AAAAAHq29wg=")</f>
        <v>#VALUE!</v>
      </c>
      <c r="J63" t="e">
        <f>AND('Planilla_General_29-11-2012_10_'!C935,"AAAAAHq29wk=")</f>
        <v>#VALUE!</v>
      </c>
      <c r="K63" t="e">
        <f>AND('Planilla_General_29-11-2012_10_'!D935,"AAAAAHq29wo=")</f>
        <v>#VALUE!</v>
      </c>
      <c r="L63" t="e">
        <f>AND('Planilla_General_29-11-2012_10_'!E935,"AAAAAHq29ws=")</f>
        <v>#VALUE!</v>
      </c>
      <c r="M63" t="e">
        <f>AND('Planilla_General_29-11-2012_10_'!F935,"AAAAAHq29ww=")</f>
        <v>#VALUE!</v>
      </c>
      <c r="N63" t="e">
        <f>AND('Planilla_General_29-11-2012_10_'!G935,"AAAAAHq29w0=")</f>
        <v>#VALUE!</v>
      </c>
      <c r="O63" t="e">
        <f>AND('Planilla_General_29-11-2012_10_'!H935,"AAAAAHq29w4=")</f>
        <v>#VALUE!</v>
      </c>
      <c r="P63" t="e">
        <f>AND('Planilla_General_29-11-2012_10_'!I935,"AAAAAHq29w8=")</f>
        <v>#VALUE!</v>
      </c>
      <c r="Q63" t="e">
        <f>AND('Planilla_General_29-11-2012_10_'!J935,"AAAAAHq29xA=")</f>
        <v>#VALUE!</v>
      </c>
      <c r="R63" t="e">
        <f>AND('Planilla_General_29-11-2012_10_'!K935,"AAAAAHq29xE=")</f>
        <v>#VALUE!</v>
      </c>
      <c r="S63" t="e">
        <f>AND('Planilla_General_29-11-2012_10_'!L935,"AAAAAHq29xI=")</f>
        <v>#VALUE!</v>
      </c>
      <c r="T63" t="e">
        <f>AND('Planilla_General_29-11-2012_10_'!M935,"AAAAAHq29xM=")</f>
        <v>#VALUE!</v>
      </c>
      <c r="U63" t="e">
        <f>AND('Planilla_General_29-11-2012_10_'!N935,"AAAAAHq29xQ=")</f>
        <v>#VALUE!</v>
      </c>
      <c r="V63" t="e">
        <f>AND('Planilla_General_29-11-2012_10_'!O935,"AAAAAHq29xU=")</f>
        <v>#VALUE!</v>
      </c>
      <c r="W63" t="e">
        <f>AND('Planilla_General_29-11-2012_10_'!P935,"AAAAAHq29xY=")</f>
        <v>#VALUE!</v>
      </c>
      <c r="X63">
        <f>IF('Planilla_General_29-11-2012_10_'!936:936,"AAAAAHq29xc=",0)</f>
        <v>0</v>
      </c>
      <c r="Y63" t="e">
        <f>AND('Planilla_General_29-11-2012_10_'!A936,"AAAAAHq29xg=")</f>
        <v>#VALUE!</v>
      </c>
      <c r="Z63" t="e">
        <f>AND('Planilla_General_29-11-2012_10_'!B936,"AAAAAHq29xk=")</f>
        <v>#VALUE!</v>
      </c>
      <c r="AA63" t="e">
        <f>AND('Planilla_General_29-11-2012_10_'!C936,"AAAAAHq29xo=")</f>
        <v>#VALUE!</v>
      </c>
      <c r="AB63" t="e">
        <f>AND('Planilla_General_29-11-2012_10_'!D936,"AAAAAHq29xs=")</f>
        <v>#VALUE!</v>
      </c>
      <c r="AC63" t="e">
        <f>AND('Planilla_General_29-11-2012_10_'!E936,"AAAAAHq29xw=")</f>
        <v>#VALUE!</v>
      </c>
      <c r="AD63" t="e">
        <f>AND('Planilla_General_29-11-2012_10_'!F936,"AAAAAHq29x0=")</f>
        <v>#VALUE!</v>
      </c>
      <c r="AE63" t="e">
        <f>AND('Planilla_General_29-11-2012_10_'!G936,"AAAAAHq29x4=")</f>
        <v>#VALUE!</v>
      </c>
      <c r="AF63" t="e">
        <f>AND('Planilla_General_29-11-2012_10_'!H936,"AAAAAHq29x8=")</f>
        <v>#VALUE!</v>
      </c>
      <c r="AG63" t="e">
        <f>AND('Planilla_General_29-11-2012_10_'!I936,"AAAAAHq29yA=")</f>
        <v>#VALUE!</v>
      </c>
      <c r="AH63" t="e">
        <f>AND('Planilla_General_29-11-2012_10_'!J936,"AAAAAHq29yE=")</f>
        <v>#VALUE!</v>
      </c>
      <c r="AI63" t="e">
        <f>AND('Planilla_General_29-11-2012_10_'!K936,"AAAAAHq29yI=")</f>
        <v>#VALUE!</v>
      </c>
      <c r="AJ63" t="e">
        <f>AND('Planilla_General_29-11-2012_10_'!L936,"AAAAAHq29yM=")</f>
        <v>#VALUE!</v>
      </c>
      <c r="AK63" t="e">
        <f>AND('Planilla_General_29-11-2012_10_'!M936,"AAAAAHq29yQ=")</f>
        <v>#VALUE!</v>
      </c>
      <c r="AL63" t="e">
        <f>AND('Planilla_General_29-11-2012_10_'!N936,"AAAAAHq29yU=")</f>
        <v>#VALUE!</v>
      </c>
      <c r="AM63" t="e">
        <f>AND('Planilla_General_29-11-2012_10_'!O936,"AAAAAHq29yY=")</f>
        <v>#VALUE!</v>
      </c>
      <c r="AN63" t="e">
        <f>AND('Planilla_General_29-11-2012_10_'!P936,"AAAAAHq29yc=")</f>
        <v>#VALUE!</v>
      </c>
      <c r="AO63">
        <f>IF('Planilla_General_29-11-2012_10_'!937:937,"AAAAAHq29yg=",0)</f>
        <v>0</v>
      </c>
      <c r="AP63" t="e">
        <f>AND('Planilla_General_29-11-2012_10_'!A937,"AAAAAHq29yk=")</f>
        <v>#VALUE!</v>
      </c>
      <c r="AQ63" t="e">
        <f>AND('Planilla_General_29-11-2012_10_'!B937,"AAAAAHq29yo=")</f>
        <v>#VALUE!</v>
      </c>
      <c r="AR63" t="e">
        <f>AND('Planilla_General_29-11-2012_10_'!C937,"AAAAAHq29ys=")</f>
        <v>#VALUE!</v>
      </c>
      <c r="AS63" t="e">
        <f>AND('Planilla_General_29-11-2012_10_'!D937,"AAAAAHq29yw=")</f>
        <v>#VALUE!</v>
      </c>
      <c r="AT63" t="e">
        <f>AND('Planilla_General_29-11-2012_10_'!E937,"AAAAAHq29y0=")</f>
        <v>#VALUE!</v>
      </c>
      <c r="AU63" t="e">
        <f>AND('Planilla_General_29-11-2012_10_'!F937,"AAAAAHq29y4=")</f>
        <v>#VALUE!</v>
      </c>
      <c r="AV63" t="e">
        <f>AND('Planilla_General_29-11-2012_10_'!G937,"AAAAAHq29y8=")</f>
        <v>#VALUE!</v>
      </c>
      <c r="AW63" t="e">
        <f>AND('Planilla_General_29-11-2012_10_'!H937,"AAAAAHq29zA=")</f>
        <v>#VALUE!</v>
      </c>
      <c r="AX63" t="e">
        <f>AND('Planilla_General_29-11-2012_10_'!I937,"AAAAAHq29zE=")</f>
        <v>#VALUE!</v>
      </c>
      <c r="AY63" t="e">
        <f>AND('Planilla_General_29-11-2012_10_'!J937,"AAAAAHq29zI=")</f>
        <v>#VALUE!</v>
      </c>
      <c r="AZ63" t="e">
        <f>AND('Planilla_General_29-11-2012_10_'!K937,"AAAAAHq29zM=")</f>
        <v>#VALUE!</v>
      </c>
      <c r="BA63" t="e">
        <f>AND('Planilla_General_29-11-2012_10_'!L937,"AAAAAHq29zQ=")</f>
        <v>#VALUE!</v>
      </c>
      <c r="BB63" t="e">
        <f>AND('Planilla_General_29-11-2012_10_'!M937,"AAAAAHq29zU=")</f>
        <v>#VALUE!</v>
      </c>
      <c r="BC63" t="e">
        <f>AND('Planilla_General_29-11-2012_10_'!N937,"AAAAAHq29zY=")</f>
        <v>#VALUE!</v>
      </c>
      <c r="BD63" t="e">
        <f>AND('Planilla_General_29-11-2012_10_'!O937,"AAAAAHq29zc=")</f>
        <v>#VALUE!</v>
      </c>
      <c r="BE63" t="e">
        <f>AND('Planilla_General_29-11-2012_10_'!P937,"AAAAAHq29zg=")</f>
        <v>#VALUE!</v>
      </c>
      <c r="BF63">
        <f>IF('Planilla_General_29-11-2012_10_'!938:938,"AAAAAHq29zk=",0)</f>
        <v>0</v>
      </c>
      <c r="BG63" t="e">
        <f>AND('Planilla_General_29-11-2012_10_'!A938,"AAAAAHq29zo=")</f>
        <v>#VALUE!</v>
      </c>
      <c r="BH63" t="e">
        <f>AND('Planilla_General_29-11-2012_10_'!B938,"AAAAAHq29zs=")</f>
        <v>#VALUE!</v>
      </c>
      <c r="BI63" t="e">
        <f>AND('Planilla_General_29-11-2012_10_'!C938,"AAAAAHq29zw=")</f>
        <v>#VALUE!</v>
      </c>
      <c r="BJ63" t="e">
        <f>AND('Planilla_General_29-11-2012_10_'!D938,"AAAAAHq29z0=")</f>
        <v>#VALUE!</v>
      </c>
      <c r="BK63" t="e">
        <f>AND('Planilla_General_29-11-2012_10_'!E938,"AAAAAHq29z4=")</f>
        <v>#VALUE!</v>
      </c>
      <c r="BL63" t="e">
        <f>AND('Planilla_General_29-11-2012_10_'!F938,"AAAAAHq29z8=")</f>
        <v>#VALUE!</v>
      </c>
      <c r="BM63" t="e">
        <f>AND('Planilla_General_29-11-2012_10_'!G938,"AAAAAHq290A=")</f>
        <v>#VALUE!</v>
      </c>
      <c r="BN63" t="e">
        <f>AND('Planilla_General_29-11-2012_10_'!H938,"AAAAAHq290E=")</f>
        <v>#VALUE!</v>
      </c>
      <c r="BO63" t="e">
        <f>AND('Planilla_General_29-11-2012_10_'!I938,"AAAAAHq290I=")</f>
        <v>#VALUE!</v>
      </c>
      <c r="BP63" t="e">
        <f>AND('Planilla_General_29-11-2012_10_'!J938,"AAAAAHq290M=")</f>
        <v>#VALUE!</v>
      </c>
      <c r="BQ63" t="e">
        <f>AND('Planilla_General_29-11-2012_10_'!K938,"AAAAAHq290Q=")</f>
        <v>#VALUE!</v>
      </c>
      <c r="BR63" t="e">
        <f>AND('Planilla_General_29-11-2012_10_'!L938,"AAAAAHq290U=")</f>
        <v>#VALUE!</v>
      </c>
      <c r="BS63" t="e">
        <f>AND('Planilla_General_29-11-2012_10_'!M938,"AAAAAHq290Y=")</f>
        <v>#VALUE!</v>
      </c>
      <c r="BT63" t="e">
        <f>AND('Planilla_General_29-11-2012_10_'!N938,"AAAAAHq290c=")</f>
        <v>#VALUE!</v>
      </c>
      <c r="BU63" t="e">
        <f>AND('Planilla_General_29-11-2012_10_'!O938,"AAAAAHq290g=")</f>
        <v>#VALUE!</v>
      </c>
      <c r="BV63" t="e">
        <f>AND('Planilla_General_29-11-2012_10_'!P938,"AAAAAHq290k=")</f>
        <v>#VALUE!</v>
      </c>
      <c r="BW63">
        <f>IF('Planilla_General_29-11-2012_10_'!939:939,"AAAAAHq290o=",0)</f>
        <v>0</v>
      </c>
      <c r="BX63" t="e">
        <f>AND('Planilla_General_29-11-2012_10_'!A939,"AAAAAHq290s=")</f>
        <v>#VALUE!</v>
      </c>
      <c r="BY63" t="e">
        <f>AND('Planilla_General_29-11-2012_10_'!B939,"AAAAAHq290w=")</f>
        <v>#VALUE!</v>
      </c>
      <c r="BZ63" t="e">
        <f>AND('Planilla_General_29-11-2012_10_'!C939,"AAAAAHq2900=")</f>
        <v>#VALUE!</v>
      </c>
      <c r="CA63" t="e">
        <f>AND('Planilla_General_29-11-2012_10_'!D939,"AAAAAHq2904=")</f>
        <v>#VALUE!</v>
      </c>
      <c r="CB63" t="e">
        <f>AND('Planilla_General_29-11-2012_10_'!E939,"AAAAAHq2908=")</f>
        <v>#VALUE!</v>
      </c>
      <c r="CC63" t="e">
        <f>AND('Planilla_General_29-11-2012_10_'!F939,"AAAAAHq291A=")</f>
        <v>#VALUE!</v>
      </c>
      <c r="CD63" t="e">
        <f>AND('Planilla_General_29-11-2012_10_'!G939,"AAAAAHq291E=")</f>
        <v>#VALUE!</v>
      </c>
      <c r="CE63" t="e">
        <f>AND('Planilla_General_29-11-2012_10_'!H939,"AAAAAHq291I=")</f>
        <v>#VALUE!</v>
      </c>
      <c r="CF63" t="e">
        <f>AND('Planilla_General_29-11-2012_10_'!I939,"AAAAAHq291M=")</f>
        <v>#VALUE!</v>
      </c>
      <c r="CG63" t="e">
        <f>AND('Planilla_General_29-11-2012_10_'!J939,"AAAAAHq291Q=")</f>
        <v>#VALUE!</v>
      </c>
      <c r="CH63" t="e">
        <f>AND('Planilla_General_29-11-2012_10_'!K939,"AAAAAHq291U=")</f>
        <v>#VALUE!</v>
      </c>
      <c r="CI63" t="e">
        <f>AND('Planilla_General_29-11-2012_10_'!L939,"AAAAAHq291Y=")</f>
        <v>#VALUE!</v>
      </c>
      <c r="CJ63" t="e">
        <f>AND('Planilla_General_29-11-2012_10_'!M939,"AAAAAHq291c=")</f>
        <v>#VALUE!</v>
      </c>
      <c r="CK63" t="e">
        <f>AND('Planilla_General_29-11-2012_10_'!N939,"AAAAAHq291g=")</f>
        <v>#VALUE!</v>
      </c>
      <c r="CL63" t="e">
        <f>AND('Planilla_General_29-11-2012_10_'!O939,"AAAAAHq291k=")</f>
        <v>#VALUE!</v>
      </c>
      <c r="CM63" t="e">
        <f>AND('Planilla_General_29-11-2012_10_'!P939,"AAAAAHq291o=")</f>
        <v>#VALUE!</v>
      </c>
      <c r="CN63">
        <f>IF('Planilla_General_29-11-2012_10_'!940:940,"AAAAAHq291s=",0)</f>
        <v>0</v>
      </c>
      <c r="CO63" t="e">
        <f>AND('Planilla_General_29-11-2012_10_'!A940,"AAAAAHq291w=")</f>
        <v>#VALUE!</v>
      </c>
      <c r="CP63" t="e">
        <f>AND('Planilla_General_29-11-2012_10_'!B940,"AAAAAHq2910=")</f>
        <v>#VALUE!</v>
      </c>
      <c r="CQ63" t="e">
        <f>AND('Planilla_General_29-11-2012_10_'!C940,"AAAAAHq2914=")</f>
        <v>#VALUE!</v>
      </c>
      <c r="CR63" t="e">
        <f>AND('Planilla_General_29-11-2012_10_'!D940,"AAAAAHq2918=")</f>
        <v>#VALUE!</v>
      </c>
      <c r="CS63" t="e">
        <f>AND('Planilla_General_29-11-2012_10_'!E940,"AAAAAHq292A=")</f>
        <v>#VALUE!</v>
      </c>
      <c r="CT63" t="e">
        <f>AND('Planilla_General_29-11-2012_10_'!F940,"AAAAAHq292E=")</f>
        <v>#VALUE!</v>
      </c>
      <c r="CU63" t="e">
        <f>AND('Planilla_General_29-11-2012_10_'!G940,"AAAAAHq292I=")</f>
        <v>#VALUE!</v>
      </c>
      <c r="CV63" t="e">
        <f>AND('Planilla_General_29-11-2012_10_'!H940,"AAAAAHq292M=")</f>
        <v>#VALUE!</v>
      </c>
      <c r="CW63" t="e">
        <f>AND('Planilla_General_29-11-2012_10_'!I940,"AAAAAHq292Q=")</f>
        <v>#VALUE!</v>
      </c>
      <c r="CX63" t="e">
        <f>AND('Planilla_General_29-11-2012_10_'!J940,"AAAAAHq292U=")</f>
        <v>#VALUE!</v>
      </c>
      <c r="CY63" t="e">
        <f>AND('Planilla_General_29-11-2012_10_'!K940,"AAAAAHq292Y=")</f>
        <v>#VALUE!</v>
      </c>
      <c r="CZ63" t="e">
        <f>AND('Planilla_General_29-11-2012_10_'!L940,"AAAAAHq292c=")</f>
        <v>#VALUE!</v>
      </c>
      <c r="DA63" t="e">
        <f>AND('Planilla_General_29-11-2012_10_'!M940,"AAAAAHq292g=")</f>
        <v>#VALUE!</v>
      </c>
      <c r="DB63" t="e">
        <f>AND('Planilla_General_29-11-2012_10_'!N940,"AAAAAHq292k=")</f>
        <v>#VALUE!</v>
      </c>
      <c r="DC63" t="e">
        <f>AND('Planilla_General_29-11-2012_10_'!O940,"AAAAAHq292o=")</f>
        <v>#VALUE!</v>
      </c>
      <c r="DD63" t="e">
        <f>AND('Planilla_General_29-11-2012_10_'!P940,"AAAAAHq292s=")</f>
        <v>#VALUE!</v>
      </c>
      <c r="DE63">
        <f>IF('Planilla_General_29-11-2012_10_'!941:941,"AAAAAHq292w=",0)</f>
        <v>0</v>
      </c>
      <c r="DF63" t="e">
        <f>AND('Planilla_General_29-11-2012_10_'!A941,"AAAAAHq2920=")</f>
        <v>#VALUE!</v>
      </c>
      <c r="DG63" t="e">
        <f>AND('Planilla_General_29-11-2012_10_'!B941,"AAAAAHq2924=")</f>
        <v>#VALUE!</v>
      </c>
      <c r="DH63" t="e">
        <f>AND('Planilla_General_29-11-2012_10_'!C941,"AAAAAHq2928=")</f>
        <v>#VALUE!</v>
      </c>
      <c r="DI63" t="e">
        <f>AND('Planilla_General_29-11-2012_10_'!D941,"AAAAAHq293A=")</f>
        <v>#VALUE!</v>
      </c>
      <c r="DJ63" t="e">
        <f>AND('Planilla_General_29-11-2012_10_'!E941,"AAAAAHq293E=")</f>
        <v>#VALUE!</v>
      </c>
      <c r="DK63" t="e">
        <f>AND('Planilla_General_29-11-2012_10_'!F941,"AAAAAHq293I=")</f>
        <v>#VALUE!</v>
      </c>
      <c r="DL63" t="e">
        <f>AND('Planilla_General_29-11-2012_10_'!G941,"AAAAAHq293M=")</f>
        <v>#VALUE!</v>
      </c>
      <c r="DM63" t="e">
        <f>AND('Planilla_General_29-11-2012_10_'!H941,"AAAAAHq293Q=")</f>
        <v>#VALUE!</v>
      </c>
      <c r="DN63" t="e">
        <f>AND('Planilla_General_29-11-2012_10_'!I941,"AAAAAHq293U=")</f>
        <v>#VALUE!</v>
      </c>
      <c r="DO63" t="e">
        <f>AND('Planilla_General_29-11-2012_10_'!J941,"AAAAAHq293Y=")</f>
        <v>#VALUE!</v>
      </c>
      <c r="DP63" t="e">
        <f>AND('Planilla_General_29-11-2012_10_'!K941,"AAAAAHq293c=")</f>
        <v>#VALUE!</v>
      </c>
      <c r="DQ63" t="e">
        <f>AND('Planilla_General_29-11-2012_10_'!L941,"AAAAAHq293g=")</f>
        <v>#VALUE!</v>
      </c>
      <c r="DR63" t="e">
        <f>AND('Planilla_General_29-11-2012_10_'!M941,"AAAAAHq293k=")</f>
        <v>#VALUE!</v>
      </c>
      <c r="DS63" t="e">
        <f>AND('Planilla_General_29-11-2012_10_'!N941,"AAAAAHq293o=")</f>
        <v>#VALUE!</v>
      </c>
      <c r="DT63" t="e">
        <f>AND('Planilla_General_29-11-2012_10_'!O941,"AAAAAHq293s=")</f>
        <v>#VALUE!</v>
      </c>
      <c r="DU63" t="e">
        <f>AND('Planilla_General_29-11-2012_10_'!P941,"AAAAAHq293w=")</f>
        <v>#VALUE!</v>
      </c>
      <c r="DV63">
        <f>IF('Planilla_General_29-11-2012_10_'!942:942,"AAAAAHq2930=",0)</f>
        <v>0</v>
      </c>
      <c r="DW63" t="e">
        <f>AND('Planilla_General_29-11-2012_10_'!A942,"AAAAAHq2934=")</f>
        <v>#VALUE!</v>
      </c>
      <c r="DX63" t="e">
        <f>AND('Planilla_General_29-11-2012_10_'!B942,"AAAAAHq2938=")</f>
        <v>#VALUE!</v>
      </c>
      <c r="DY63" t="e">
        <f>AND('Planilla_General_29-11-2012_10_'!C942,"AAAAAHq294A=")</f>
        <v>#VALUE!</v>
      </c>
      <c r="DZ63" t="e">
        <f>AND('Planilla_General_29-11-2012_10_'!D942,"AAAAAHq294E=")</f>
        <v>#VALUE!</v>
      </c>
      <c r="EA63" t="e">
        <f>AND('Planilla_General_29-11-2012_10_'!E942,"AAAAAHq294I=")</f>
        <v>#VALUE!</v>
      </c>
      <c r="EB63" t="e">
        <f>AND('Planilla_General_29-11-2012_10_'!F942,"AAAAAHq294M=")</f>
        <v>#VALUE!</v>
      </c>
      <c r="EC63" t="e">
        <f>AND('Planilla_General_29-11-2012_10_'!G942,"AAAAAHq294Q=")</f>
        <v>#VALUE!</v>
      </c>
      <c r="ED63" t="e">
        <f>AND('Planilla_General_29-11-2012_10_'!H942,"AAAAAHq294U=")</f>
        <v>#VALUE!</v>
      </c>
      <c r="EE63" t="e">
        <f>AND('Planilla_General_29-11-2012_10_'!I942,"AAAAAHq294Y=")</f>
        <v>#VALUE!</v>
      </c>
      <c r="EF63" t="e">
        <f>AND('Planilla_General_29-11-2012_10_'!J942,"AAAAAHq294c=")</f>
        <v>#VALUE!</v>
      </c>
      <c r="EG63" t="e">
        <f>AND('Planilla_General_29-11-2012_10_'!K942,"AAAAAHq294g=")</f>
        <v>#VALUE!</v>
      </c>
      <c r="EH63" t="e">
        <f>AND('Planilla_General_29-11-2012_10_'!L942,"AAAAAHq294k=")</f>
        <v>#VALUE!</v>
      </c>
      <c r="EI63" t="e">
        <f>AND('Planilla_General_29-11-2012_10_'!M942,"AAAAAHq294o=")</f>
        <v>#VALUE!</v>
      </c>
      <c r="EJ63" t="e">
        <f>AND('Planilla_General_29-11-2012_10_'!N942,"AAAAAHq294s=")</f>
        <v>#VALUE!</v>
      </c>
      <c r="EK63" t="e">
        <f>AND('Planilla_General_29-11-2012_10_'!O942,"AAAAAHq294w=")</f>
        <v>#VALUE!</v>
      </c>
      <c r="EL63" t="e">
        <f>AND('Planilla_General_29-11-2012_10_'!P942,"AAAAAHq2940=")</f>
        <v>#VALUE!</v>
      </c>
      <c r="EM63">
        <f>IF('Planilla_General_29-11-2012_10_'!943:943,"AAAAAHq2944=",0)</f>
        <v>0</v>
      </c>
      <c r="EN63" t="e">
        <f>AND('Planilla_General_29-11-2012_10_'!A943,"AAAAAHq2948=")</f>
        <v>#VALUE!</v>
      </c>
      <c r="EO63" t="e">
        <f>AND('Planilla_General_29-11-2012_10_'!B943,"AAAAAHq295A=")</f>
        <v>#VALUE!</v>
      </c>
      <c r="EP63" t="e">
        <f>AND('Planilla_General_29-11-2012_10_'!C943,"AAAAAHq295E=")</f>
        <v>#VALUE!</v>
      </c>
      <c r="EQ63" t="e">
        <f>AND('Planilla_General_29-11-2012_10_'!D943,"AAAAAHq295I=")</f>
        <v>#VALUE!</v>
      </c>
      <c r="ER63" t="e">
        <f>AND('Planilla_General_29-11-2012_10_'!E943,"AAAAAHq295M=")</f>
        <v>#VALUE!</v>
      </c>
      <c r="ES63" t="e">
        <f>AND('Planilla_General_29-11-2012_10_'!F943,"AAAAAHq295Q=")</f>
        <v>#VALUE!</v>
      </c>
      <c r="ET63" t="e">
        <f>AND('Planilla_General_29-11-2012_10_'!G943,"AAAAAHq295U=")</f>
        <v>#VALUE!</v>
      </c>
      <c r="EU63" t="e">
        <f>AND('Planilla_General_29-11-2012_10_'!H943,"AAAAAHq295Y=")</f>
        <v>#VALUE!</v>
      </c>
      <c r="EV63" t="e">
        <f>AND('Planilla_General_29-11-2012_10_'!I943,"AAAAAHq295c=")</f>
        <v>#VALUE!</v>
      </c>
      <c r="EW63" t="e">
        <f>AND('Planilla_General_29-11-2012_10_'!J943,"AAAAAHq295g=")</f>
        <v>#VALUE!</v>
      </c>
      <c r="EX63" t="e">
        <f>AND('Planilla_General_29-11-2012_10_'!K943,"AAAAAHq295k=")</f>
        <v>#VALUE!</v>
      </c>
      <c r="EY63" t="e">
        <f>AND('Planilla_General_29-11-2012_10_'!L943,"AAAAAHq295o=")</f>
        <v>#VALUE!</v>
      </c>
      <c r="EZ63" t="e">
        <f>AND('Planilla_General_29-11-2012_10_'!M943,"AAAAAHq295s=")</f>
        <v>#VALUE!</v>
      </c>
      <c r="FA63" t="e">
        <f>AND('Planilla_General_29-11-2012_10_'!N943,"AAAAAHq295w=")</f>
        <v>#VALUE!</v>
      </c>
      <c r="FB63" t="e">
        <f>AND('Planilla_General_29-11-2012_10_'!O943,"AAAAAHq2950=")</f>
        <v>#VALUE!</v>
      </c>
      <c r="FC63" t="e">
        <f>AND('Planilla_General_29-11-2012_10_'!P943,"AAAAAHq2954=")</f>
        <v>#VALUE!</v>
      </c>
      <c r="FD63">
        <f>IF('Planilla_General_29-11-2012_10_'!944:944,"AAAAAHq2958=",0)</f>
        <v>0</v>
      </c>
      <c r="FE63" t="e">
        <f>AND('Planilla_General_29-11-2012_10_'!A944,"AAAAAHq296A=")</f>
        <v>#VALUE!</v>
      </c>
      <c r="FF63" t="e">
        <f>AND('Planilla_General_29-11-2012_10_'!B944,"AAAAAHq296E=")</f>
        <v>#VALUE!</v>
      </c>
      <c r="FG63" t="e">
        <f>AND('Planilla_General_29-11-2012_10_'!C944,"AAAAAHq296I=")</f>
        <v>#VALUE!</v>
      </c>
      <c r="FH63" t="e">
        <f>AND('Planilla_General_29-11-2012_10_'!D944,"AAAAAHq296M=")</f>
        <v>#VALUE!</v>
      </c>
      <c r="FI63" t="e">
        <f>AND('Planilla_General_29-11-2012_10_'!E944,"AAAAAHq296Q=")</f>
        <v>#VALUE!</v>
      </c>
      <c r="FJ63" t="e">
        <f>AND('Planilla_General_29-11-2012_10_'!F944,"AAAAAHq296U=")</f>
        <v>#VALUE!</v>
      </c>
      <c r="FK63" t="e">
        <f>AND('Planilla_General_29-11-2012_10_'!G944,"AAAAAHq296Y=")</f>
        <v>#VALUE!</v>
      </c>
      <c r="FL63" t="e">
        <f>AND('Planilla_General_29-11-2012_10_'!H944,"AAAAAHq296c=")</f>
        <v>#VALUE!</v>
      </c>
      <c r="FM63" t="e">
        <f>AND('Planilla_General_29-11-2012_10_'!I944,"AAAAAHq296g=")</f>
        <v>#VALUE!</v>
      </c>
      <c r="FN63" t="e">
        <f>AND('Planilla_General_29-11-2012_10_'!J944,"AAAAAHq296k=")</f>
        <v>#VALUE!</v>
      </c>
      <c r="FO63" t="e">
        <f>AND('Planilla_General_29-11-2012_10_'!K944,"AAAAAHq296o=")</f>
        <v>#VALUE!</v>
      </c>
      <c r="FP63" t="e">
        <f>AND('Planilla_General_29-11-2012_10_'!L944,"AAAAAHq296s=")</f>
        <v>#VALUE!</v>
      </c>
      <c r="FQ63" t="e">
        <f>AND('Planilla_General_29-11-2012_10_'!M944,"AAAAAHq296w=")</f>
        <v>#VALUE!</v>
      </c>
      <c r="FR63" t="e">
        <f>AND('Planilla_General_29-11-2012_10_'!N944,"AAAAAHq2960=")</f>
        <v>#VALUE!</v>
      </c>
      <c r="FS63" t="e">
        <f>AND('Planilla_General_29-11-2012_10_'!O944,"AAAAAHq2964=")</f>
        <v>#VALUE!</v>
      </c>
      <c r="FT63" t="e">
        <f>AND('Planilla_General_29-11-2012_10_'!P944,"AAAAAHq2968=")</f>
        <v>#VALUE!</v>
      </c>
      <c r="FU63">
        <f>IF('Planilla_General_29-11-2012_10_'!945:945,"AAAAAHq297A=",0)</f>
        <v>0</v>
      </c>
      <c r="FV63" t="e">
        <f>AND('Planilla_General_29-11-2012_10_'!A945,"AAAAAHq297E=")</f>
        <v>#VALUE!</v>
      </c>
      <c r="FW63" t="e">
        <f>AND('Planilla_General_29-11-2012_10_'!B945,"AAAAAHq297I=")</f>
        <v>#VALUE!</v>
      </c>
      <c r="FX63" t="e">
        <f>AND('Planilla_General_29-11-2012_10_'!C945,"AAAAAHq297M=")</f>
        <v>#VALUE!</v>
      </c>
      <c r="FY63" t="e">
        <f>AND('Planilla_General_29-11-2012_10_'!D945,"AAAAAHq297Q=")</f>
        <v>#VALUE!</v>
      </c>
      <c r="FZ63" t="e">
        <f>AND('Planilla_General_29-11-2012_10_'!E945,"AAAAAHq297U=")</f>
        <v>#VALUE!</v>
      </c>
      <c r="GA63" t="e">
        <f>AND('Planilla_General_29-11-2012_10_'!F945,"AAAAAHq297Y=")</f>
        <v>#VALUE!</v>
      </c>
      <c r="GB63" t="e">
        <f>AND('Planilla_General_29-11-2012_10_'!G945,"AAAAAHq297c=")</f>
        <v>#VALUE!</v>
      </c>
      <c r="GC63" t="e">
        <f>AND('Planilla_General_29-11-2012_10_'!H945,"AAAAAHq297g=")</f>
        <v>#VALUE!</v>
      </c>
      <c r="GD63" t="e">
        <f>AND('Planilla_General_29-11-2012_10_'!I945,"AAAAAHq297k=")</f>
        <v>#VALUE!</v>
      </c>
      <c r="GE63" t="e">
        <f>AND('Planilla_General_29-11-2012_10_'!J945,"AAAAAHq297o=")</f>
        <v>#VALUE!</v>
      </c>
      <c r="GF63" t="e">
        <f>AND('Planilla_General_29-11-2012_10_'!K945,"AAAAAHq297s=")</f>
        <v>#VALUE!</v>
      </c>
      <c r="GG63" t="e">
        <f>AND('Planilla_General_29-11-2012_10_'!L945,"AAAAAHq297w=")</f>
        <v>#VALUE!</v>
      </c>
      <c r="GH63" t="e">
        <f>AND('Planilla_General_29-11-2012_10_'!M945,"AAAAAHq2970=")</f>
        <v>#VALUE!</v>
      </c>
      <c r="GI63" t="e">
        <f>AND('Planilla_General_29-11-2012_10_'!N945,"AAAAAHq2974=")</f>
        <v>#VALUE!</v>
      </c>
      <c r="GJ63" t="e">
        <f>AND('Planilla_General_29-11-2012_10_'!O945,"AAAAAHq2978=")</f>
        <v>#VALUE!</v>
      </c>
      <c r="GK63" t="e">
        <f>AND('Planilla_General_29-11-2012_10_'!P945,"AAAAAHq298A=")</f>
        <v>#VALUE!</v>
      </c>
      <c r="GL63">
        <f>IF('Planilla_General_29-11-2012_10_'!946:946,"AAAAAHq298E=",0)</f>
        <v>0</v>
      </c>
      <c r="GM63" t="e">
        <f>AND('Planilla_General_29-11-2012_10_'!A946,"AAAAAHq298I=")</f>
        <v>#VALUE!</v>
      </c>
      <c r="GN63" t="e">
        <f>AND('Planilla_General_29-11-2012_10_'!B946,"AAAAAHq298M=")</f>
        <v>#VALUE!</v>
      </c>
      <c r="GO63" t="e">
        <f>AND('Planilla_General_29-11-2012_10_'!C946,"AAAAAHq298Q=")</f>
        <v>#VALUE!</v>
      </c>
      <c r="GP63" t="e">
        <f>AND('Planilla_General_29-11-2012_10_'!D946,"AAAAAHq298U=")</f>
        <v>#VALUE!</v>
      </c>
      <c r="GQ63" t="e">
        <f>AND('Planilla_General_29-11-2012_10_'!E946,"AAAAAHq298Y=")</f>
        <v>#VALUE!</v>
      </c>
      <c r="GR63" t="e">
        <f>AND('Planilla_General_29-11-2012_10_'!F946,"AAAAAHq298c=")</f>
        <v>#VALUE!</v>
      </c>
      <c r="GS63" t="e">
        <f>AND('Planilla_General_29-11-2012_10_'!G946,"AAAAAHq298g=")</f>
        <v>#VALUE!</v>
      </c>
      <c r="GT63" t="e">
        <f>AND('Planilla_General_29-11-2012_10_'!H946,"AAAAAHq298k=")</f>
        <v>#VALUE!</v>
      </c>
      <c r="GU63" t="e">
        <f>AND('Planilla_General_29-11-2012_10_'!I946,"AAAAAHq298o=")</f>
        <v>#VALUE!</v>
      </c>
      <c r="GV63" t="e">
        <f>AND('Planilla_General_29-11-2012_10_'!J946,"AAAAAHq298s=")</f>
        <v>#VALUE!</v>
      </c>
      <c r="GW63" t="e">
        <f>AND('Planilla_General_29-11-2012_10_'!K946,"AAAAAHq298w=")</f>
        <v>#VALUE!</v>
      </c>
      <c r="GX63" t="e">
        <f>AND('Planilla_General_29-11-2012_10_'!L946,"AAAAAHq2980=")</f>
        <v>#VALUE!</v>
      </c>
      <c r="GY63" t="e">
        <f>AND('Planilla_General_29-11-2012_10_'!M946,"AAAAAHq2984=")</f>
        <v>#VALUE!</v>
      </c>
      <c r="GZ63" t="e">
        <f>AND('Planilla_General_29-11-2012_10_'!N946,"AAAAAHq2988=")</f>
        <v>#VALUE!</v>
      </c>
      <c r="HA63" t="e">
        <f>AND('Planilla_General_29-11-2012_10_'!O946,"AAAAAHq299A=")</f>
        <v>#VALUE!</v>
      </c>
      <c r="HB63" t="e">
        <f>AND('Planilla_General_29-11-2012_10_'!P946,"AAAAAHq299E=")</f>
        <v>#VALUE!</v>
      </c>
      <c r="HC63">
        <f>IF('Planilla_General_29-11-2012_10_'!947:947,"AAAAAHq299I=",0)</f>
        <v>0</v>
      </c>
      <c r="HD63" t="e">
        <f>AND('Planilla_General_29-11-2012_10_'!A947,"AAAAAHq299M=")</f>
        <v>#VALUE!</v>
      </c>
      <c r="HE63" t="e">
        <f>AND('Planilla_General_29-11-2012_10_'!B947,"AAAAAHq299Q=")</f>
        <v>#VALUE!</v>
      </c>
      <c r="HF63" t="e">
        <f>AND('Planilla_General_29-11-2012_10_'!C947,"AAAAAHq299U=")</f>
        <v>#VALUE!</v>
      </c>
      <c r="HG63" t="e">
        <f>AND('Planilla_General_29-11-2012_10_'!D947,"AAAAAHq299Y=")</f>
        <v>#VALUE!</v>
      </c>
      <c r="HH63" t="e">
        <f>AND('Planilla_General_29-11-2012_10_'!E947,"AAAAAHq299c=")</f>
        <v>#VALUE!</v>
      </c>
      <c r="HI63" t="e">
        <f>AND('Planilla_General_29-11-2012_10_'!F947,"AAAAAHq299g=")</f>
        <v>#VALUE!</v>
      </c>
      <c r="HJ63" t="e">
        <f>AND('Planilla_General_29-11-2012_10_'!G947,"AAAAAHq299k=")</f>
        <v>#VALUE!</v>
      </c>
      <c r="HK63" t="e">
        <f>AND('Planilla_General_29-11-2012_10_'!H947,"AAAAAHq299o=")</f>
        <v>#VALUE!</v>
      </c>
      <c r="HL63" t="e">
        <f>AND('Planilla_General_29-11-2012_10_'!I947,"AAAAAHq299s=")</f>
        <v>#VALUE!</v>
      </c>
      <c r="HM63" t="e">
        <f>AND('Planilla_General_29-11-2012_10_'!J947,"AAAAAHq299w=")</f>
        <v>#VALUE!</v>
      </c>
      <c r="HN63" t="e">
        <f>AND('Planilla_General_29-11-2012_10_'!K947,"AAAAAHq2990=")</f>
        <v>#VALUE!</v>
      </c>
      <c r="HO63" t="e">
        <f>AND('Planilla_General_29-11-2012_10_'!L947,"AAAAAHq2994=")</f>
        <v>#VALUE!</v>
      </c>
      <c r="HP63" t="e">
        <f>AND('Planilla_General_29-11-2012_10_'!M947,"AAAAAHq2998=")</f>
        <v>#VALUE!</v>
      </c>
      <c r="HQ63" t="e">
        <f>AND('Planilla_General_29-11-2012_10_'!N947,"AAAAAHq29+A=")</f>
        <v>#VALUE!</v>
      </c>
      <c r="HR63" t="e">
        <f>AND('Planilla_General_29-11-2012_10_'!O947,"AAAAAHq29+E=")</f>
        <v>#VALUE!</v>
      </c>
      <c r="HS63" t="e">
        <f>AND('Planilla_General_29-11-2012_10_'!P947,"AAAAAHq29+I=")</f>
        <v>#VALUE!</v>
      </c>
      <c r="HT63">
        <f>IF('Planilla_General_29-11-2012_10_'!948:948,"AAAAAHq29+M=",0)</f>
        <v>0</v>
      </c>
      <c r="HU63" t="e">
        <f>AND('Planilla_General_29-11-2012_10_'!A948,"AAAAAHq29+Q=")</f>
        <v>#VALUE!</v>
      </c>
      <c r="HV63" t="e">
        <f>AND('Planilla_General_29-11-2012_10_'!B948,"AAAAAHq29+U=")</f>
        <v>#VALUE!</v>
      </c>
      <c r="HW63" t="e">
        <f>AND('Planilla_General_29-11-2012_10_'!C948,"AAAAAHq29+Y=")</f>
        <v>#VALUE!</v>
      </c>
      <c r="HX63" t="e">
        <f>AND('Planilla_General_29-11-2012_10_'!D948,"AAAAAHq29+c=")</f>
        <v>#VALUE!</v>
      </c>
      <c r="HY63" t="e">
        <f>AND('Planilla_General_29-11-2012_10_'!E948,"AAAAAHq29+g=")</f>
        <v>#VALUE!</v>
      </c>
      <c r="HZ63" t="e">
        <f>AND('Planilla_General_29-11-2012_10_'!F948,"AAAAAHq29+k=")</f>
        <v>#VALUE!</v>
      </c>
      <c r="IA63" t="e">
        <f>AND('Planilla_General_29-11-2012_10_'!G948,"AAAAAHq29+o=")</f>
        <v>#VALUE!</v>
      </c>
      <c r="IB63" t="e">
        <f>AND('Planilla_General_29-11-2012_10_'!H948,"AAAAAHq29+s=")</f>
        <v>#VALUE!</v>
      </c>
      <c r="IC63" t="e">
        <f>AND('Planilla_General_29-11-2012_10_'!I948,"AAAAAHq29+w=")</f>
        <v>#VALUE!</v>
      </c>
      <c r="ID63" t="e">
        <f>AND('Planilla_General_29-11-2012_10_'!J948,"AAAAAHq29+0=")</f>
        <v>#VALUE!</v>
      </c>
      <c r="IE63" t="e">
        <f>AND('Planilla_General_29-11-2012_10_'!K948,"AAAAAHq29+4=")</f>
        <v>#VALUE!</v>
      </c>
      <c r="IF63" t="e">
        <f>AND('Planilla_General_29-11-2012_10_'!L948,"AAAAAHq29+8=")</f>
        <v>#VALUE!</v>
      </c>
      <c r="IG63" t="e">
        <f>AND('Planilla_General_29-11-2012_10_'!M948,"AAAAAHq29/A=")</f>
        <v>#VALUE!</v>
      </c>
      <c r="IH63" t="e">
        <f>AND('Planilla_General_29-11-2012_10_'!N948,"AAAAAHq29/E=")</f>
        <v>#VALUE!</v>
      </c>
      <c r="II63" t="e">
        <f>AND('Planilla_General_29-11-2012_10_'!O948,"AAAAAHq29/I=")</f>
        <v>#VALUE!</v>
      </c>
      <c r="IJ63" t="e">
        <f>AND('Planilla_General_29-11-2012_10_'!P948,"AAAAAHq29/M=")</f>
        <v>#VALUE!</v>
      </c>
      <c r="IK63">
        <f>IF('Planilla_General_29-11-2012_10_'!949:949,"AAAAAHq29/Q=",0)</f>
        <v>0</v>
      </c>
      <c r="IL63" t="e">
        <f>AND('Planilla_General_29-11-2012_10_'!A949,"AAAAAHq29/U=")</f>
        <v>#VALUE!</v>
      </c>
      <c r="IM63" t="e">
        <f>AND('Planilla_General_29-11-2012_10_'!B949,"AAAAAHq29/Y=")</f>
        <v>#VALUE!</v>
      </c>
      <c r="IN63" t="e">
        <f>AND('Planilla_General_29-11-2012_10_'!C949,"AAAAAHq29/c=")</f>
        <v>#VALUE!</v>
      </c>
      <c r="IO63" t="e">
        <f>AND('Planilla_General_29-11-2012_10_'!D949,"AAAAAHq29/g=")</f>
        <v>#VALUE!</v>
      </c>
      <c r="IP63" t="e">
        <f>AND('Planilla_General_29-11-2012_10_'!E949,"AAAAAHq29/k=")</f>
        <v>#VALUE!</v>
      </c>
      <c r="IQ63" t="e">
        <f>AND('Planilla_General_29-11-2012_10_'!F949,"AAAAAHq29/o=")</f>
        <v>#VALUE!</v>
      </c>
      <c r="IR63" t="e">
        <f>AND('Planilla_General_29-11-2012_10_'!G949,"AAAAAHq29/s=")</f>
        <v>#VALUE!</v>
      </c>
      <c r="IS63" t="e">
        <f>AND('Planilla_General_29-11-2012_10_'!H949,"AAAAAHq29/w=")</f>
        <v>#VALUE!</v>
      </c>
      <c r="IT63" t="e">
        <f>AND('Planilla_General_29-11-2012_10_'!I949,"AAAAAHq29/0=")</f>
        <v>#VALUE!</v>
      </c>
      <c r="IU63" t="e">
        <f>AND('Planilla_General_29-11-2012_10_'!J949,"AAAAAHq29/4=")</f>
        <v>#VALUE!</v>
      </c>
      <c r="IV63" t="e">
        <f>AND('Planilla_General_29-11-2012_10_'!K949,"AAAAAHq29/8=")</f>
        <v>#VALUE!</v>
      </c>
    </row>
    <row r="64" spans="1:256" x14ac:dyDescent="0.25">
      <c r="A64" t="e">
        <f>AND('Planilla_General_29-11-2012_10_'!L949,"AAAAAF/frwA=")</f>
        <v>#VALUE!</v>
      </c>
      <c r="B64" t="e">
        <f>AND('Planilla_General_29-11-2012_10_'!M949,"AAAAAF/frwE=")</f>
        <v>#VALUE!</v>
      </c>
      <c r="C64" t="e">
        <f>AND('Planilla_General_29-11-2012_10_'!N949,"AAAAAF/frwI=")</f>
        <v>#VALUE!</v>
      </c>
      <c r="D64" t="e">
        <f>AND('Planilla_General_29-11-2012_10_'!O949,"AAAAAF/frwM=")</f>
        <v>#VALUE!</v>
      </c>
      <c r="E64" t="e">
        <f>AND('Planilla_General_29-11-2012_10_'!P949,"AAAAAF/frwQ=")</f>
        <v>#VALUE!</v>
      </c>
      <c r="F64" t="e">
        <f>IF('Planilla_General_29-11-2012_10_'!950:950,"AAAAAF/frwU=",0)</f>
        <v>#VALUE!</v>
      </c>
      <c r="G64" t="e">
        <f>AND('Planilla_General_29-11-2012_10_'!A950,"AAAAAF/frwY=")</f>
        <v>#VALUE!</v>
      </c>
      <c r="H64" t="e">
        <f>AND('Planilla_General_29-11-2012_10_'!B950,"AAAAAF/frwc=")</f>
        <v>#VALUE!</v>
      </c>
      <c r="I64" t="e">
        <f>AND('Planilla_General_29-11-2012_10_'!C950,"AAAAAF/frwg=")</f>
        <v>#VALUE!</v>
      </c>
      <c r="J64" t="e">
        <f>AND('Planilla_General_29-11-2012_10_'!D950,"AAAAAF/frwk=")</f>
        <v>#VALUE!</v>
      </c>
      <c r="K64" t="e">
        <f>AND('Planilla_General_29-11-2012_10_'!E950,"AAAAAF/frwo=")</f>
        <v>#VALUE!</v>
      </c>
      <c r="L64" t="e">
        <f>AND('Planilla_General_29-11-2012_10_'!F950,"AAAAAF/frws=")</f>
        <v>#VALUE!</v>
      </c>
      <c r="M64" t="e">
        <f>AND('Planilla_General_29-11-2012_10_'!G950,"AAAAAF/frww=")</f>
        <v>#VALUE!</v>
      </c>
      <c r="N64" t="e">
        <f>AND('Planilla_General_29-11-2012_10_'!H950,"AAAAAF/frw0=")</f>
        <v>#VALUE!</v>
      </c>
      <c r="O64" t="e">
        <f>AND('Planilla_General_29-11-2012_10_'!I950,"AAAAAF/frw4=")</f>
        <v>#VALUE!</v>
      </c>
      <c r="P64" t="e">
        <f>AND('Planilla_General_29-11-2012_10_'!J950,"AAAAAF/frw8=")</f>
        <v>#VALUE!</v>
      </c>
      <c r="Q64" t="e">
        <f>AND('Planilla_General_29-11-2012_10_'!K950,"AAAAAF/frxA=")</f>
        <v>#VALUE!</v>
      </c>
      <c r="R64" t="e">
        <f>AND('Planilla_General_29-11-2012_10_'!L950,"AAAAAF/frxE=")</f>
        <v>#VALUE!</v>
      </c>
      <c r="S64" t="e">
        <f>AND('Planilla_General_29-11-2012_10_'!M950,"AAAAAF/frxI=")</f>
        <v>#VALUE!</v>
      </c>
      <c r="T64" t="e">
        <f>AND('Planilla_General_29-11-2012_10_'!N950,"AAAAAF/frxM=")</f>
        <v>#VALUE!</v>
      </c>
      <c r="U64" t="e">
        <f>AND('Planilla_General_29-11-2012_10_'!O950,"AAAAAF/frxQ=")</f>
        <v>#VALUE!</v>
      </c>
      <c r="V64" t="e">
        <f>AND('Planilla_General_29-11-2012_10_'!P950,"AAAAAF/frxU=")</f>
        <v>#VALUE!</v>
      </c>
      <c r="W64">
        <f>IF('Planilla_General_29-11-2012_10_'!951:951,"AAAAAF/frxY=",0)</f>
        <v>0</v>
      </c>
      <c r="X64" t="e">
        <f>AND('Planilla_General_29-11-2012_10_'!A951,"AAAAAF/frxc=")</f>
        <v>#VALUE!</v>
      </c>
      <c r="Y64" t="e">
        <f>AND('Planilla_General_29-11-2012_10_'!B951,"AAAAAF/frxg=")</f>
        <v>#VALUE!</v>
      </c>
      <c r="Z64" t="e">
        <f>AND('Planilla_General_29-11-2012_10_'!C951,"AAAAAF/frxk=")</f>
        <v>#VALUE!</v>
      </c>
      <c r="AA64" t="e">
        <f>AND('Planilla_General_29-11-2012_10_'!D951,"AAAAAF/frxo=")</f>
        <v>#VALUE!</v>
      </c>
      <c r="AB64" t="e">
        <f>AND('Planilla_General_29-11-2012_10_'!E951,"AAAAAF/frxs=")</f>
        <v>#VALUE!</v>
      </c>
      <c r="AC64" t="e">
        <f>AND('Planilla_General_29-11-2012_10_'!F951,"AAAAAF/frxw=")</f>
        <v>#VALUE!</v>
      </c>
      <c r="AD64" t="e">
        <f>AND('Planilla_General_29-11-2012_10_'!G951,"AAAAAF/frx0=")</f>
        <v>#VALUE!</v>
      </c>
      <c r="AE64" t="e">
        <f>AND('Planilla_General_29-11-2012_10_'!H951,"AAAAAF/frx4=")</f>
        <v>#VALUE!</v>
      </c>
      <c r="AF64" t="e">
        <f>AND('Planilla_General_29-11-2012_10_'!I951,"AAAAAF/frx8=")</f>
        <v>#VALUE!</v>
      </c>
      <c r="AG64" t="e">
        <f>AND('Planilla_General_29-11-2012_10_'!J951,"AAAAAF/fryA=")</f>
        <v>#VALUE!</v>
      </c>
      <c r="AH64" t="e">
        <f>AND('Planilla_General_29-11-2012_10_'!K951,"AAAAAF/fryE=")</f>
        <v>#VALUE!</v>
      </c>
      <c r="AI64" t="e">
        <f>AND('Planilla_General_29-11-2012_10_'!L951,"AAAAAF/fryI=")</f>
        <v>#VALUE!</v>
      </c>
      <c r="AJ64" t="e">
        <f>AND('Planilla_General_29-11-2012_10_'!M951,"AAAAAF/fryM=")</f>
        <v>#VALUE!</v>
      </c>
      <c r="AK64" t="e">
        <f>AND('Planilla_General_29-11-2012_10_'!N951,"AAAAAF/fryQ=")</f>
        <v>#VALUE!</v>
      </c>
      <c r="AL64" t="e">
        <f>AND('Planilla_General_29-11-2012_10_'!O951,"AAAAAF/fryU=")</f>
        <v>#VALUE!</v>
      </c>
      <c r="AM64" t="e">
        <f>AND('Planilla_General_29-11-2012_10_'!P951,"AAAAAF/fryY=")</f>
        <v>#VALUE!</v>
      </c>
      <c r="AN64">
        <f>IF('Planilla_General_29-11-2012_10_'!952:952,"AAAAAF/fryc=",0)</f>
        <v>0</v>
      </c>
      <c r="AO64" t="e">
        <f>AND('Planilla_General_29-11-2012_10_'!A952,"AAAAAF/fryg=")</f>
        <v>#VALUE!</v>
      </c>
      <c r="AP64" t="e">
        <f>AND('Planilla_General_29-11-2012_10_'!B952,"AAAAAF/fryk=")</f>
        <v>#VALUE!</v>
      </c>
      <c r="AQ64" t="e">
        <f>AND('Planilla_General_29-11-2012_10_'!C952,"AAAAAF/fryo=")</f>
        <v>#VALUE!</v>
      </c>
      <c r="AR64" t="e">
        <f>AND('Planilla_General_29-11-2012_10_'!D952,"AAAAAF/frys=")</f>
        <v>#VALUE!</v>
      </c>
      <c r="AS64" t="e">
        <f>AND('Planilla_General_29-11-2012_10_'!E952,"AAAAAF/fryw=")</f>
        <v>#VALUE!</v>
      </c>
      <c r="AT64" t="e">
        <f>AND('Planilla_General_29-11-2012_10_'!F952,"AAAAAF/fry0=")</f>
        <v>#VALUE!</v>
      </c>
      <c r="AU64" t="e">
        <f>AND('Planilla_General_29-11-2012_10_'!G952,"AAAAAF/fry4=")</f>
        <v>#VALUE!</v>
      </c>
      <c r="AV64" t="e">
        <f>AND('Planilla_General_29-11-2012_10_'!H952,"AAAAAF/fry8=")</f>
        <v>#VALUE!</v>
      </c>
      <c r="AW64" t="e">
        <f>AND('Planilla_General_29-11-2012_10_'!I952,"AAAAAF/frzA=")</f>
        <v>#VALUE!</v>
      </c>
      <c r="AX64" t="e">
        <f>AND('Planilla_General_29-11-2012_10_'!J952,"AAAAAF/frzE=")</f>
        <v>#VALUE!</v>
      </c>
      <c r="AY64" t="e">
        <f>AND('Planilla_General_29-11-2012_10_'!K952,"AAAAAF/frzI=")</f>
        <v>#VALUE!</v>
      </c>
      <c r="AZ64" t="e">
        <f>AND('Planilla_General_29-11-2012_10_'!L952,"AAAAAF/frzM=")</f>
        <v>#VALUE!</v>
      </c>
      <c r="BA64" t="e">
        <f>AND('Planilla_General_29-11-2012_10_'!M952,"AAAAAF/frzQ=")</f>
        <v>#VALUE!</v>
      </c>
      <c r="BB64" t="e">
        <f>AND('Planilla_General_29-11-2012_10_'!N952,"AAAAAF/frzU=")</f>
        <v>#VALUE!</v>
      </c>
      <c r="BC64" t="e">
        <f>AND('Planilla_General_29-11-2012_10_'!O952,"AAAAAF/frzY=")</f>
        <v>#VALUE!</v>
      </c>
      <c r="BD64" t="e">
        <f>AND('Planilla_General_29-11-2012_10_'!P952,"AAAAAF/frzc=")</f>
        <v>#VALUE!</v>
      </c>
      <c r="BE64">
        <f>IF('Planilla_General_29-11-2012_10_'!953:953,"AAAAAF/frzg=",0)</f>
        <v>0</v>
      </c>
      <c r="BF64" t="e">
        <f>AND('Planilla_General_29-11-2012_10_'!A953,"AAAAAF/frzk=")</f>
        <v>#VALUE!</v>
      </c>
      <c r="BG64" t="e">
        <f>AND('Planilla_General_29-11-2012_10_'!B953,"AAAAAF/frzo=")</f>
        <v>#VALUE!</v>
      </c>
      <c r="BH64" t="e">
        <f>AND('Planilla_General_29-11-2012_10_'!C953,"AAAAAF/frzs=")</f>
        <v>#VALUE!</v>
      </c>
      <c r="BI64" t="e">
        <f>AND('Planilla_General_29-11-2012_10_'!D953,"AAAAAF/frzw=")</f>
        <v>#VALUE!</v>
      </c>
      <c r="BJ64" t="e">
        <f>AND('Planilla_General_29-11-2012_10_'!E953,"AAAAAF/frz0=")</f>
        <v>#VALUE!</v>
      </c>
      <c r="BK64" t="e">
        <f>AND('Planilla_General_29-11-2012_10_'!F953,"AAAAAF/frz4=")</f>
        <v>#VALUE!</v>
      </c>
      <c r="BL64" t="e">
        <f>AND('Planilla_General_29-11-2012_10_'!G953,"AAAAAF/frz8=")</f>
        <v>#VALUE!</v>
      </c>
      <c r="BM64" t="e">
        <f>AND('Planilla_General_29-11-2012_10_'!H953,"AAAAAF/fr0A=")</f>
        <v>#VALUE!</v>
      </c>
      <c r="BN64" t="e">
        <f>AND('Planilla_General_29-11-2012_10_'!I953,"AAAAAF/fr0E=")</f>
        <v>#VALUE!</v>
      </c>
      <c r="BO64" t="e">
        <f>AND('Planilla_General_29-11-2012_10_'!J953,"AAAAAF/fr0I=")</f>
        <v>#VALUE!</v>
      </c>
      <c r="BP64" t="e">
        <f>AND('Planilla_General_29-11-2012_10_'!K953,"AAAAAF/fr0M=")</f>
        <v>#VALUE!</v>
      </c>
      <c r="BQ64" t="e">
        <f>AND('Planilla_General_29-11-2012_10_'!L953,"AAAAAF/fr0Q=")</f>
        <v>#VALUE!</v>
      </c>
      <c r="BR64" t="e">
        <f>AND('Planilla_General_29-11-2012_10_'!M953,"AAAAAF/fr0U=")</f>
        <v>#VALUE!</v>
      </c>
      <c r="BS64" t="e">
        <f>AND('Planilla_General_29-11-2012_10_'!N953,"AAAAAF/fr0Y=")</f>
        <v>#VALUE!</v>
      </c>
      <c r="BT64" t="e">
        <f>AND('Planilla_General_29-11-2012_10_'!O953,"AAAAAF/fr0c=")</f>
        <v>#VALUE!</v>
      </c>
      <c r="BU64" t="e">
        <f>AND('Planilla_General_29-11-2012_10_'!P953,"AAAAAF/fr0g=")</f>
        <v>#VALUE!</v>
      </c>
      <c r="BV64">
        <f>IF('Planilla_General_29-11-2012_10_'!954:954,"AAAAAF/fr0k=",0)</f>
        <v>0</v>
      </c>
      <c r="BW64" t="e">
        <f>AND('Planilla_General_29-11-2012_10_'!A954,"AAAAAF/fr0o=")</f>
        <v>#VALUE!</v>
      </c>
      <c r="BX64" t="e">
        <f>AND('Planilla_General_29-11-2012_10_'!B954,"AAAAAF/fr0s=")</f>
        <v>#VALUE!</v>
      </c>
      <c r="BY64" t="e">
        <f>AND('Planilla_General_29-11-2012_10_'!C954,"AAAAAF/fr0w=")</f>
        <v>#VALUE!</v>
      </c>
      <c r="BZ64" t="e">
        <f>AND('Planilla_General_29-11-2012_10_'!D954,"AAAAAF/fr00=")</f>
        <v>#VALUE!</v>
      </c>
      <c r="CA64" t="e">
        <f>AND('Planilla_General_29-11-2012_10_'!E954,"AAAAAF/fr04=")</f>
        <v>#VALUE!</v>
      </c>
      <c r="CB64" t="e">
        <f>AND('Planilla_General_29-11-2012_10_'!F954,"AAAAAF/fr08=")</f>
        <v>#VALUE!</v>
      </c>
      <c r="CC64" t="e">
        <f>AND('Planilla_General_29-11-2012_10_'!G954,"AAAAAF/fr1A=")</f>
        <v>#VALUE!</v>
      </c>
      <c r="CD64" t="e">
        <f>AND('Planilla_General_29-11-2012_10_'!H954,"AAAAAF/fr1E=")</f>
        <v>#VALUE!</v>
      </c>
      <c r="CE64" t="e">
        <f>AND('Planilla_General_29-11-2012_10_'!I954,"AAAAAF/fr1I=")</f>
        <v>#VALUE!</v>
      </c>
      <c r="CF64" t="e">
        <f>AND('Planilla_General_29-11-2012_10_'!J954,"AAAAAF/fr1M=")</f>
        <v>#VALUE!</v>
      </c>
      <c r="CG64" t="e">
        <f>AND('Planilla_General_29-11-2012_10_'!K954,"AAAAAF/fr1Q=")</f>
        <v>#VALUE!</v>
      </c>
      <c r="CH64" t="e">
        <f>AND('Planilla_General_29-11-2012_10_'!L954,"AAAAAF/fr1U=")</f>
        <v>#VALUE!</v>
      </c>
      <c r="CI64" t="e">
        <f>AND('Planilla_General_29-11-2012_10_'!M954,"AAAAAF/fr1Y=")</f>
        <v>#VALUE!</v>
      </c>
      <c r="CJ64" t="e">
        <f>AND('Planilla_General_29-11-2012_10_'!N954,"AAAAAF/fr1c=")</f>
        <v>#VALUE!</v>
      </c>
      <c r="CK64" t="e">
        <f>AND('Planilla_General_29-11-2012_10_'!O954,"AAAAAF/fr1g=")</f>
        <v>#VALUE!</v>
      </c>
      <c r="CL64" t="e">
        <f>AND('Planilla_General_29-11-2012_10_'!P954,"AAAAAF/fr1k=")</f>
        <v>#VALUE!</v>
      </c>
      <c r="CM64">
        <f>IF('Planilla_General_29-11-2012_10_'!955:955,"AAAAAF/fr1o=",0)</f>
        <v>0</v>
      </c>
      <c r="CN64" t="e">
        <f>AND('Planilla_General_29-11-2012_10_'!A955,"AAAAAF/fr1s=")</f>
        <v>#VALUE!</v>
      </c>
      <c r="CO64" t="e">
        <f>AND('Planilla_General_29-11-2012_10_'!B955,"AAAAAF/fr1w=")</f>
        <v>#VALUE!</v>
      </c>
      <c r="CP64" t="e">
        <f>AND('Planilla_General_29-11-2012_10_'!C955,"AAAAAF/fr10=")</f>
        <v>#VALUE!</v>
      </c>
      <c r="CQ64" t="e">
        <f>AND('Planilla_General_29-11-2012_10_'!D955,"AAAAAF/fr14=")</f>
        <v>#VALUE!</v>
      </c>
      <c r="CR64" t="e">
        <f>AND('Planilla_General_29-11-2012_10_'!E955,"AAAAAF/fr18=")</f>
        <v>#VALUE!</v>
      </c>
      <c r="CS64" t="e">
        <f>AND('Planilla_General_29-11-2012_10_'!F955,"AAAAAF/fr2A=")</f>
        <v>#VALUE!</v>
      </c>
      <c r="CT64" t="e">
        <f>AND('Planilla_General_29-11-2012_10_'!G955,"AAAAAF/fr2E=")</f>
        <v>#VALUE!</v>
      </c>
      <c r="CU64" t="e">
        <f>AND('Planilla_General_29-11-2012_10_'!H955,"AAAAAF/fr2I=")</f>
        <v>#VALUE!</v>
      </c>
      <c r="CV64" t="e">
        <f>AND('Planilla_General_29-11-2012_10_'!I955,"AAAAAF/fr2M=")</f>
        <v>#VALUE!</v>
      </c>
      <c r="CW64" t="e">
        <f>AND('Planilla_General_29-11-2012_10_'!J955,"AAAAAF/fr2Q=")</f>
        <v>#VALUE!</v>
      </c>
      <c r="CX64" t="e">
        <f>AND('Planilla_General_29-11-2012_10_'!K955,"AAAAAF/fr2U=")</f>
        <v>#VALUE!</v>
      </c>
      <c r="CY64" t="e">
        <f>AND('Planilla_General_29-11-2012_10_'!L955,"AAAAAF/fr2Y=")</f>
        <v>#VALUE!</v>
      </c>
      <c r="CZ64" t="e">
        <f>AND('Planilla_General_29-11-2012_10_'!M955,"AAAAAF/fr2c=")</f>
        <v>#VALUE!</v>
      </c>
      <c r="DA64" t="e">
        <f>AND('Planilla_General_29-11-2012_10_'!N955,"AAAAAF/fr2g=")</f>
        <v>#VALUE!</v>
      </c>
      <c r="DB64" t="e">
        <f>AND('Planilla_General_29-11-2012_10_'!O955,"AAAAAF/fr2k=")</f>
        <v>#VALUE!</v>
      </c>
      <c r="DC64" t="e">
        <f>AND('Planilla_General_29-11-2012_10_'!P955,"AAAAAF/fr2o=")</f>
        <v>#VALUE!</v>
      </c>
      <c r="DD64">
        <f>IF('Planilla_General_29-11-2012_10_'!956:956,"AAAAAF/fr2s=",0)</f>
        <v>0</v>
      </c>
      <c r="DE64" t="e">
        <f>AND('Planilla_General_29-11-2012_10_'!A956,"AAAAAF/fr2w=")</f>
        <v>#VALUE!</v>
      </c>
      <c r="DF64" t="e">
        <f>AND('Planilla_General_29-11-2012_10_'!B956,"AAAAAF/fr20=")</f>
        <v>#VALUE!</v>
      </c>
      <c r="DG64" t="e">
        <f>AND('Planilla_General_29-11-2012_10_'!C956,"AAAAAF/fr24=")</f>
        <v>#VALUE!</v>
      </c>
      <c r="DH64" t="e">
        <f>AND('Planilla_General_29-11-2012_10_'!D956,"AAAAAF/fr28=")</f>
        <v>#VALUE!</v>
      </c>
      <c r="DI64" t="e">
        <f>AND('Planilla_General_29-11-2012_10_'!E956,"AAAAAF/fr3A=")</f>
        <v>#VALUE!</v>
      </c>
      <c r="DJ64" t="e">
        <f>AND('Planilla_General_29-11-2012_10_'!F956,"AAAAAF/fr3E=")</f>
        <v>#VALUE!</v>
      </c>
      <c r="DK64" t="e">
        <f>AND('Planilla_General_29-11-2012_10_'!G956,"AAAAAF/fr3I=")</f>
        <v>#VALUE!</v>
      </c>
      <c r="DL64" t="e">
        <f>AND('Planilla_General_29-11-2012_10_'!H956,"AAAAAF/fr3M=")</f>
        <v>#VALUE!</v>
      </c>
      <c r="DM64" t="e">
        <f>AND('Planilla_General_29-11-2012_10_'!I956,"AAAAAF/fr3Q=")</f>
        <v>#VALUE!</v>
      </c>
      <c r="DN64" t="e">
        <f>AND('Planilla_General_29-11-2012_10_'!J956,"AAAAAF/fr3U=")</f>
        <v>#VALUE!</v>
      </c>
      <c r="DO64" t="e">
        <f>AND('Planilla_General_29-11-2012_10_'!K956,"AAAAAF/fr3Y=")</f>
        <v>#VALUE!</v>
      </c>
      <c r="DP64" t="e">
        <f>AND('Planilla_General_29-11-2012_10_'!L956,"AAAAAF/fr3c=")</f>
        <v>#VALUE!</v>
      </c>
      <c r="DQ64" t="e">
        <f>AND('Planilla_General_29-11-2012_10_'!M956,"AAAAAF/fr3g=")</f>
        <v>#VALUE!</v>
      </c>
      <c r="DR64" t="e">
        <f>AND('Planilla_General_29-11-2012_10_'!N956,"AAAAAF/fr3k=")</f>
        <v>#VALUE!</v>
      </c>
      <c r="DS64" t="e">
        <f>AND('Planilla_General_29-11-2012_10_'!O956,"AAAAAF/fr3o=")</f>
        <v>#VALUE!</v>
      </c>
      <c r="DT64" t="e">
        <f>AND('Planilla_General_29-11-2012_10_'!P956,"AAAAAF/fr3s=")</f>
        <v>#VALUE!</v>
      </c>
      <c r="DU64">
        <f>IF('Planilla_General_29-11-2012_10_'!957:957,"AAAAAF/fr3w=",0)</f>
        <v>0</v>
      </c>
      <c r="DV64" t="e">
        <f>AND('Planilla_General_29-11-2012_10_'!A957,"AAAAAF/fr30=")</f>
        <v>#VALUE!</v>
      </c>
      <c r="DW64" t="e">
        <f>AND('Planilla_General_29-11-2012_10_'!B957,"AAAAAF/fr34=")</f>
        <v>#VALUE!</v>
      </c>
      <c r="DX64" t="e">
        <f>AND('Planilla_General_29-11-2012_10_'!C957,"AAAAAF/fr38=")</f>
        <v>#VALUE!</v>
      </c>
      <c r="DY64" t="e">
        <f>AND('Planilla_General_29-11-2012_10_'!D957,"AAAAAF/fr4A=")</f>
        <v>#VALUE!</v>
      </c>
      <c r="DZ64" t="e">
        <f>AND('Planilla_General_29-11-2012_10_'!E957,"AAAAAF/fr4E=")</f>
        <v>#VALUE!</v>
      </c>
      <c r="EA64" t="e">
        <f>AND('Planilla_General_29-11-2012_10_'!F957,"AAAAAF/fr4I=")</f>
        <v>#VALUE!</v>
      </c>
      <c r="EB64" t="e">
        <f>AND('Planilla_General_29-11-2012_10_'!G957,"AAAAAF/fr4M=")</f>
        <v>#VALUE!</v>
      </c>
      <c r="EC64" t="e">
        <f>AND('Planilla_General_29-11-2012_10_'!H957,"AAAAAF/fr4Q=")</f>
        <v>#VALUE!</v>
      </c>
      <c r="ED64" t="e">
        <f>AND('Planilla_General_29-11-2012_10_'!I957,"AAAAAF/fr4U=")</f>
        <v>#VALUE!</v>
      </c>
      <c r="EE64" t="e">
        <f>AND('Planilla_General_29-11-2012_10_'!J957,"AAAAAF/fr4Y=")</f>
        <v>#VALUE!</v>
      </c>
      <c r="EF64" t="e">
        <f>AND('Planilla_General_29-11-2012_10_'!K957,"AAAAAF/fr4c=")</f>
        <v>#VALUE!</v>
      </c>
      <c r="EG64" t="e">
        <f>AND('Planilla_General_29-11-2012_10_'!L957,"AAAAAF/fr4g=")</f>
        <v>#VALUE!</v>
      </c>
      <c r="EH64" t="e">
        <f>AND('Planilla_General_29-11-2012_10_'!M957,"AAAAAF/fr4k=")</f>
        <v>#VALUE!</v>
      </c>
      <c r="EI64" t="e">
        <f>AND('Planilla_General_29-11-2012_10_'!N957,"AAAAAF/fr4o=")</f>
        <v>#VALUE!</v>
      </c>
      <c r="EJ64" t="e">
        <f>AND('Planilla_General_29-11-2012_10_'!O957,"AAAAAF/fr4s=")</f>
        <v>#VALUE!</v>
      </c>
      <c r="EK64" t="e">
        <f>AND('Planilla_General_29-11-2012_10_'!P957,"AAAAAF/fr4w=")</f>
        <v>#VALUE!</v>
      </c>
      <c r="EL64">
        <f>IF('Planilla_General_29-11-2012_10_'!958:958,"AAAAAF/fr40=",0)</f>
        <v>0</v>
      </c>
      <c r="EM64" t="e">
        <f>AND('Planilla_General_29-11-2012_10_'!A958,"AAAAAF/fr44=")</f>
        <v>#VALUE!</v>
      </c>
      <c r="EN64" t="e">
        <f>AND('Planilla_General_29-11-2012_10_'!B958,"AAAAAF/fr48=")</f>
        <v>#VALUE!</v>
      </c>
      <c r="EO64" t="e">
        <f>AND('Planilla_General_29-11-2012_10_'!C958,"AAAAAF/fr5A=")</f>
        <v>#VALUE!</v>
      </c>
      <c r="EP64" t="e">
        <f>AND('Planilla_General_29-11-2012_10_'!D958,"AAAAAF/fr5E=")</f>
        <v>#VALUE!</v>
      </c>
      <c r="EQ64" t="e">
        <f>AND('Planilla_General_29-11-2012_10_'!E958,"AAAAAF/fr5I=")</f>
        <v>#VALUE!</v>
      </c>
      <c r="ER64" t="e">
        <f>AND('Planilla_General_29-11-2012_10_'!F958,"AAAAAF/fr5M=")</f>
        <v>#VALUE!</v>
      </c>
      <c r="ES64" t="e">
        <f>AND('Planilla_General_29-11-2012_10_'!G958,"AAAAAF/fr5Q=")</f>
        <v>#VALUE!</v>
      </c>
      <c r="ET64" t="e">
        <f>AND('Planilla_General_29-11-2012_10_'!H958,"AAAAAF/fr5U=")</f>
        <v>#VALUE!</v>
      </c>
      <c r="EU64" t="e">
        <f>AND('Planilla_General_29-11-2012_10_'!I958,"AAAAAF/fr5Y=")</f>
        <v>#VALUE!</v>
      </c>
      <c r="EV64" t="e">
        <f>AND('Planilla_General_29-11-2012_10_'!J958,"AAAAAF/fr5c=")</f>
        <v>#VALUE!</v>
      </c>
      <c r="EW64" t="e">
        <f>AND('Planilla_General_29-11-2012_10_'!K958,"AAAAAF/fr5g=")</f>
        <v>#VALUE!</v>
      </c>
      <c r="EX64" t="e">
        <f>AND('Planilla_General_29-11-2012_10_'!L958,"AAAAAF/fr5k=")</f>
        <v>#VALUE!</v>
      </c>
      <c r="EY64" t="e">
        <f>AND('Planilla_General_29-11-2012_10_'!M958,"AAAAAF/fr5o=")</f>
        <v>#VALUE!</v>
      </c>
      <c r="EZ64" t="e">
        <f>AND('Planilla_General_29-11-2012_10_'!N958,"AAAAAF/fr5s=")</f>
        <v>#VALUE!</v>
      </c>
      <c r="FA64" t="e">
        <f>AND('Planilla_General_29-11-2012_10_'!O958,"AAAAAF/fr5w=")</f>
        <v>#VALUE!</v>
      </c>
      <c r="FB64" t="e">
        <f>AND('Planilla_General_29-11-2012_10_'!P958,"AAAAAF/fr50=")</f>
        <v>#VALUE!</v>
      </c>
      <c r="FC64">
        <f>IF('Planilla_General_29-11-2012_10_'!959:959,"AAAAAF/fr54=",0)</f>
        <v>0</v>
      </c>
      <c r="FD64" t="e">
        <f>AND('Planilla_General_29-11-2012_10_'!A959,"AAAAAF/fr58=")</f>
        <v>#VALUE!</v>
      </c>
      <c r="FE64" t="e">
        <f>AND('Planilla_General_29-11-2012_10_'!B959,"AAAAAF/fr6A=")</f>
        <v>#VALUE!</v>
      </c>
      <c r="FF64" t="e">
        <f>AND('Planilla_General_29-11-2012_10_'!C959,"AAAAAF/fr6E=")</f>
        <v>#VALUE!</v>
      </c>
      <c r="FG64" t="e">
        <f>AND('Planilla_General_29-11-2012_10_'!D959,"AAAAAF/fr6I=")</f>
        <v>#VALUE!</v>
      </c>
      <c r="FH64" t="e">
        <f>AND('Planilla_General_29-11-2012_10_'!E959,"AAAAAF/fr6M=")</f>
        <v>#VALUE!</v>
      </c>
      <c r="FI64" t="e">
        <f>AND('Planilla_General_29-11-2012_10_'!F959,"AAAAAF/fr6Q=")</f>
        <v>#VALUE!</v>
      </c>
      <c r="FJ64" t="e">
        <f>AND('Planilla_General_29-11-2012_10_'!G959,"AAAAAF/fr6U=")</f>
        <v>#VALUE!</v>
      </c>
      <c r="FK64" t="e">
        <f>AND('Planilla_General_29-11-2012_10_'!H959,"AAAAAF/fr6Y=")</f>
        <v>#VALUE!</v>
      </c>
      <c r="FL64" t="e">
        <f>AND('Planilla_General_29-11-2012_10_'!I959,"AAAAAF/fr6c=")</f>
        <v>#VALUE!</v>
      </c>
      <c r="FM64" t="e">
        <f>AND('Planilla_General_29-11-2012_10_'!J959,"AAAAAF/fr6g=")</f>
        <v>#VALUE!</v>
      </c>
      <c r="FN64" t="e">
        <f>AND('Planilla_General_29-11-2012_10_'!K959,"AAAAAF/fr6k=")</f>
        <v>#VALUE!</v>
      </c>
      <c r="FO64" t="e">
        <f>AND('Planilla_General_29-11-2012_10_'!L959,"AAAAAF/fr6o=")</f>
        <v>#VALUE!</v>
      </c>
      <c r="FP64" t="e">
        <f>AND('Planilla_General_29-11-2012_10_'!M959,"AAAAAF/fr6s=")</f>
        <v>#VALUE!</v>
      </c>
      <c r="FQ64" t="e">
        <f>AND('Planilla_General_29-11-2012_10_'!N959,"AAAAAF/fr6w=")</f>
        <v>#VALUE!</v>
      </c>
      <c r="FR64" t="e">
        <f>AND('Planilla_General_29-11-2012_10_'!O959,"AAAAAF/fr60=")</f>
        <v>#VALUE!</v>
      </c>
      <c r="FS64" t="e">
        <f>AND('Planilla_General_29-11-2012_10_'!P959,"AAAAAF/fr64=")</f>
        <v>#VALUE!</v>
      </c>
      <c r="FT64">
        <f>IF('Planilla_General_29-11-2012_10_'!960:960,"AAAAAF/fr68=",0)</f>
        <v>0</v>
      </c>
      <c r="FU64" t="e">
        <f>AND('Planilla_General_29-11-2012_10_'!A960,"AAAAAF/fr7A=")</f>
        <v>#VALUE!</v>
      </c>
      <c r="FV64" t="e">
        <f>AND('Planilla_General_29-11-2012_10_'!B960,"AAAAAF/fr7E=")</f>
        <v>#VALUE!</v>
      </c>
      <c r="FW64" t="e">
        <f>AND('Planilla_General_29-11-2012_10_'!C960,"AAAAAF/fr7I=")</f>
        <v>#VALUE!</v>
      </c>
      <c r="FX64" t="e">
        <f>AND('Planilla_General_29-11-2012_10_'!D960,"AAAAAF/fr7M=")</f>
        <v>#VALUE!</v>
      </c>
      <c r="FY64" t="e">
        <f>AND('Planilla_General_29-11-2012_10_'!E960,"AAAAAF/fr7Q=")</f>
        <v>#VALUE!</v>
      </c>
      <c r="FZ64" t="e">
        <f>AND('Planilla_General_29-11-2012_10_'!F960,"AAAAAF/fr7U=")</f>
        <v>#VALUE!</v>
      </c>
      <c r="GA64" t="e">
        <f>AND('Planilla_General_29-11-2012_10_'!G960,"AAAAAF/fr7Y=")</f>
        <v>#VALUE!</v>
      </c>
      <c r="GB64" t="e">
        <f>AND('Planilla_General_29-11-2012_10_'!H960,"AAAAAF/fr7c=")</f>
        <v>#VALUE!</v>
      </c>
      <c r="GC64" t="e">
        <f>AND('Planilla_General_29-11-2012_10_'!I960,"AAAAAF/fr7g=")</f>
        <v>#VALUE!</v>
      </c>
      <c r="GD64" t="e">
        <f>AND('Planilla_General_29-11-2012_10_'!J960,"AAAAAF/fr7k=")</f>
        <v>#VALUE!</v>
      </c>
      <c r="GE64" t="e">
        <f>AND('Planilla_General_29-11-2012_10_'!K960,"AAAAAF/fr7o=")</f>
        <v>#VALUE!</v>
      </c>
      <c r="GF64" t="e">
        <f>AND('Planilla_General_29-11-2012_10_'!L960,"AAAAAF/fr7s=")</f>
        <v>#VALUE!</v>
      </c>
      <c r="GG64" t="e">
        <f>AND('Planilla_General_29-11-2012_10_'!M960,"AAAAAF/fr7w=")</f>
        <v>#VALUE!</v>
      </c>
      <c r="GH64" t="e">
        <f>AND('Planilla_General_29-11-2012_10_'!N960,"AAAAAF/fr70=")</f>
        <v>#VALUE!</v>
      </c>
      <c r="GI64" t="e">
        <f>AND('Planilla_General_29-11-2012_10_'!O960,"AAAAAF/fr74=")</f>
        <v>#VALUE!</v>
      </c>
      <c r="GJ64" t="e">
        <f>AND('Planilla_General_29-11-2012_10_'!P960,"AAAAAF/fr78=")</f>
        <v>#VALUE!</v>
      </c>
      <c r="GK64">
        <f>IF('Planilla_General_29-11-2012_10_'!961:961,"AAAAAF/fr8A=",0)</f>
        <v>0</v>
      </c>
      <c r="GL64" t="e">
        <f>AND('Planilla_General_29-11-2012_10_'!A961,"AAAAAF/fr8E=")</f>
        <v>#VALUE!</v>
      </c>
      <c r="GM64" t="e">
        <f>AND('Planilla_General_29-11-2012_10_'!B961,"AAAAAF/fr8I=")</f>
        <v>#VALUE!</v>
      </c>
      <c r="GN64" t="e">
        <f>AND('Planilla_General_29-11-2012_10_'!C961,"AAAAAF/fr8M=")</f>
        <v>#VALUE!</v>
      </c>
      <c r="GO64" t="e">
        <f>AND('Planilla_General_29-11-2012_10_'!D961,"AAAAAF/fr8Q=")</f>
        <v>#VALUE!</v>
      </c>
      <c r="GP64" t="e">
        <f>AND('Planilla_General_29-11-2012_10_'!E961,"AAAAAF/fr8U=")</f>
        <v>#VALUE!</v>
      </c>
      <c r="GQ64" t="e">
        <f>AND('Planilla_General_29-11-2012_10_'!F961,"AAAAAF/fr8Y=")</f>
        <v>#VALUE!</v>
      </c>
      <c r="GR64" t="e">
        <f>AND('Planilla_General_29-11-2012_10_'!G961,"AAAAAF/fr8c=")</f>
        <v>#VALUE!</v>
      </c>
      <c r="GS64" t="e">
        <f>AND('Planilla_General_29-11-2012_10_'!H961,"AAAAAF/fr8g=")</f>
        <v>#VALUE!</v>
      </c>
      <c r="GT64" t="e">
        <f>AND('Planilla_General_29-11-2012_10_'!I961,"AAAAAF/fr8k=")</f>
        <v>#VALUE!</v>
      </c>
      <c r="GU64" t="e">
        <f>AND('Planilla_General_29-11-2012_10_'!J961,"AAAAAF/fr8o=")</f>
        <v>#VALUE!</v>
      </c>
      <c r="GV64" t="e">
        <f>AND('Planilla_General_29-11-2012_10_'!K961,"AAAAAF/fr8s=")</f>
        <v>#VALUE!</v>
      </c>
      <c r="GW64" t="e">
        <f>AND('Planilla_General_29-11-2012_10_'!L961,"AAAAAF/fr8w=")</f>
        <v>#VALUE!</v>
      </c>
      <c r="GX64" t="e">
        <f>AND('Planilla_General_29-11-2012_10_'!M961,"AAAAAF/fr80=")</f>
        <v>#VALUE!</v>
      </c>
      <c r="GY64" t="e">
        <f>AND('Planilla_General_29-11-2012_10_'!N961,"AAAAAF/fr84=")</f>
        <v>#VALUE!</v>
      </c>
      <c r="GZ64" t="e">
        <f>AND('Planilla_General_29-11-2012_10_'!O961,"AAAAAF/fr88=")</f>
        <v>#VALUE!</v>
      </c>
      <c r="HA64" t="e">
        <f>AND('Planilla_General_29-11-2012_10_'!P961,"AAAAAF/fr9A=")</f>
        <v>#VALUE!</v>
      </c>
      <c r="HB64">
        <f>IF('Planilla_General_29-11-2012_10_'!962:962,"AAAAAF/fr9E=",0)</f>
        <v>0</v>
      </c>
      <c r="HC64" t="e">
        <f>AND('Planilla_General_29-11-2012_10_'!A962,"AAAAAF/fr9I=")</f>
        <v>#VALUE!</v>
      </c>
      <c r="HD64" t="e">
        <f>AND('Planilla_General_29-11-2012_10_'!B962,"AAAAAF/fr9M=")</f>
        <v>#VALUE!</v>
      </c>
      <c r="HE64" t="e">
        <f>AND('Planilla_General_29-11-2012_10_'!C962,"AAAAAF/fr9Q=")</f>
        <v>#VALUE!</v>
      </c>
      <c r="HF64" t="e">
        <f>AND('Planilla_General_29-11-2012_10_'!D962,"AAAAAF/fr9U=")</f>
        <v>#VALUE!</v>
      </c>
      <c r="HG64" t="e">
        <f>AND('Planilla_General_29-11-2012_10_'!E962,"AAAAAF/fr9Y=")</f>
        <v>#VALUE!</v>
      </c>
      <c r="HH64" t="e">
        <f>AND('Planilla_General_29-11-2012_10_'!F962,"AAAAAF/fr9c=")</f>
        <v>#VALUE!</v>
      </c>
      <c r="HI64" t="e">
        <f>AND('Planilla_General_29-11-2012_10_'!G962,"AAAAAF/fr9g=")</f>
        <v>#VALUE!</v>
      </c>
      <c r="HJ64" t="e">
        <f>AND('Planilla_General_29-11-2012_10_'!H962,"AAAAAF/fr9k=")</f>
        <v>#VALUE!</v>
      </c>
      <c r="HK64" t="e">
        <f>AND('Planilla_General_29-11-2012_10_'!I962,"AAAAAF/fr9o=")</f>
        <v>#VALUE!</v>
      </c>
      <c r="HL64" t="e">
        <f>AND('Planilla_General_29-11-2012_10_'!J962,"AAAAAF/fr9s=")</f>
        <v>#VALUE!</v>
      </c>
      <c r="HM64" t="e">
        <f>AND('Planilla_General_29-11-2012_10_'!K962,"AAAAAF/fr9w=")</f>
        <v>#VALUE!</v>
      </c>
      <c r="HN64" t="e">
        <f>AND('Planilla_General_29-11-2012_10_'!L962,"AAAAAF/fr90=")</f>
        <v>#VALUE!</v>
      </c>
      <c r="HO64" t="e">
        <f>AND('Planilla_General_29-11-2012_10_'!M962,"AAAAAF/fr94=")</f>
        <v>#VALUE!</v>
      </c>
      <c r="HP64" t="e">
        <f>AND('Planilla_General_29-11-2012_10_'!N962,"AAAAAF/fr98=")</f>
        <v>#VALUE!</v>
      </c>
      <c r="HQ64" t="e">
        <f>AND('Planilla_General_29-11-2012_10_'!O962,"AAAAAF/fr+A=")</f>
        <v>#VALUE!</v>
      </c>
      <c r="HR64" t="e">
        <f>AND('Planilla_General_29-11-2012_10_'!P962,"AAAAAF/fr+E=")</f>
        <v>#VALUE!</v>
      </c>
      <c r="HS64">
        <f>IF('Planilla_General_29-11-2012_10_'!963:963,"AAAAAF/fr+I=",0)</f>
        <v>0</v>
      </c>
      <c r="HT64" t="e">
        <f>AND('Planilla_General_29-11-2012_10_'!A963,"AAAAAF/fr+M=")</f>
        <v>#VALUE!</v>
      </c>
      <c r="HU64" t="e">
        <f>AND('Planilla_General_29-11-2012_10_'!B963,"AAAAAF/fr+Q=")</f>
        <v>#VALUE!</v>
      </c>
      <c r="HV64" t="e">
        <f>AND('Planilla_General_29-11-2012_10_'!C963,"AAAAAF/fr+U=")</f>
        <v>#VALUE!</v>
      </c>
      <c r="HW64" t="e">
        <f>AND('Planilla_General_29-11-2012_10_'!D963,"AAAAAF/fr+Y=")</f>
        <v>#VALUE!</v>
      </c>
      <c r="HX64" t="e">
        <f>AND('Planilla_General_29-11-2012_10_'!E963,"AAAAAF/fr+c=")</f>
        <v>#VALUE!</v>
      </c>
      <c r="HY64" t="e">
        <f>AND('Planilla_General_29-11-2012_10_'!F963,"AAAAAF/fr+g=")</f>
        <v>#VALUE!</v>
      </c>
      <c r="HZ64" t="e">
        <f>AND('Planilla_General_29-11-2012_10_'!G963,"AAAAAF/fr+k=")</f>
        <v>#VALUE!</v>
      </c>
      <c r="IA64" t="e">
        <f>AND('Planilla_General_29-11-2012_10_'!H963,"AAAAAF/fr+o=")</f>
        <v>#VALUE!</v>
      </c>
      <c r="IB64" t="e">
        <f>AND('Planilla_General_29-11-2012_10_'!I963,"AAAAAF/fr+s=")</f>
        <v>#VALUE!</v>
      </c>
      <c r="IC64" t="e">
        <f>AND('Planilla_General_29-11-2012_10_'!J963,"AAAAAF/fr+w=")</f>
        <v>#VALUE!</v>
      </c>
      <c r="ID64" t="e">
        <f>AND('Planilla_General_29-11-2012_10_'!K963,"AAAAAF/fr+0=")</f>
        <v>#VALUE!</v>
      </c>
      <c r="IE64" t="e">
        <f>AND('Planilla_General_29-11-2012_10_'!L963,"AAAAAF/fr+4=")</f>
        <v>#VALUE!</v>
      </c>
      <c r="IF64" t="e">
        <f>AND('Planilla_General_29-11-2012_10_'!M963,"AAAAAF/fr+8=")</f>
        <v>#VALUE!</v>
      </c>
      <c r="IG64" t="e">
        <f>AND('Planilla_General_29-11-2012_10_'!N963,"AAAAAF/fr/A=")</f>
        <v>#VALUE!</v>
      </c>
      <c r="IH64" t="e">
        <f>AND('Planilla_General_29-11-2012_10_'!O963,"AAAAAF/fr/E=")</f>
        <v>#VALUE!</v>
      </c>
      <c r="II64" t="e">
        <f>AND('Planilla_General_29-11-2012_10_'!P963,"AAAAAF/fr/I=")</f>
        <v>#VALUE!</v>
      </c>
      <c r="IJ64">
        <f>IF('Planilla_General_29-11-2012_10_'!964:964,"AAAAAF/fr/M=",0)</f>
        <v>0</v>
      </c>
      <c r="IK64" t="e">
        <f>AND('Planilla_General_29-11-2012_10_'!A964,"AAAAAF/fr/Q=")</f>
        <v>#VALUE!</v>
      </c>
      <c r="IL64" t="e">
        <f>AND('Planilla_General_29-11-2012_10_'!B964,"AAAAAF/fr/U=")</f>
        <v>#VALUE!</v>
      </c>
      <c r="IM64" t="e">
        <f>AND('Planilla_General_29-11-2012_10_'!C964,"AAAAAF/fr/Y=")</f>
        <v>#VALUE!</v>
      </c>
      <c r="IN64" t="e">
        <f>AND('Planilla_General_29-11-2012_10_'!D964,"AAAAAF/fr/c=")</f>
        <v>#VALUE!</v>
      </c>
      <c r="IO64" t="e">
        <f>AND('Planilla_General_29-11-2012_10_'!E964,"AAAAAF/fr/g=")</f>
        <v>#VALUE!</v>
      </c>
      <c r="IP64" t="e">
        <f>AND('Planilla_General_29-11-2012_10_'!F964,"AAAAAF/fr/k=")</f>
        <v>#VALUE!</v>
      </c>
      <c r="IQ64" t="e">
        <f>AND('Planilla_General_29-11-2012_10_'!G964,"AAAAAF/fr/o=")</f>
        <v>#VALUE!</v>
      </c>
      <c r="IR64" t="e">
        <f>AND('Planilla_General_29-11-2012_10_'!H964,"AAAAAF/fr/s=")</f>
        <v>#VALUE!</v>
      </c>
      <c r="IS64" t="e">
        <f>AND('Planilla_General_29-11-2012_10_'!I964,"AAAAAF/fr/w=")</f>
        <v>#VALUE!</v>
      </c>
      <c r="IT64" t="e">
        <f>AND('Planilla_General_29-11-2012_10_'!J964,"AAAAAF/fr/0=")</f>
        <v>#VALUE!</v>
      </c>
      <c r="IU64" t="e">
        <f>AND('Planilla_General_29-11-2012_10_'!K964,"AAAAAF/fr/4=")</f>
        <v>#VALUE!</v>
      </c>
      <c r="IV64" t="e">
        <f>AND('Planilla_General_29-11-2012_10_'!L964,"AAAAAF/fr/8=")</f>
        <v>#VALUE!</v>
      </c>
    </row>
    <row r="65" spans="1:256" x14ac:dyDescent="0.25">
      <c r="A65" t="e">
        <f>AND('Planilla_General_29-11-2012_10_'!M964,"AAAAAG/n/gA=")</f>
        <v>#VALUE!</v>
      </c>
      <c r="B65" t="e">
        <f>AND('Planilla_General_29-11-2012_10_'!N964,"AAAAAG/n/gE=")</f>
        <v>#VALUE!</v>
      </c>
      <c r="C65" t="e">
        <f>AND('Planilla_General_29-11-2012_10_'!O964,"AAAAAG/n/gI=")</f>
        <v>#VALUE!</v>
      </c>
      <c r="D65" t="e">
        <f>AND('Planilla_General_29-11-2012_10_'!P964,"AAAAAG/n/gM=")</f>
        <v>#VALUE!</v>
      </c>
      <c r="E65" t="e">
        <f>IF('Planilla_General_29-11-2012_10_'!965:965,"AAAAAG/n/gQ=",0)</f>
        <v>#VALUE!</v>
      </c>
      <c r="F65" t="e">
        <f>AND('Planilla_General_29-11-2012_10_'!A965,"AAAAAG/n/gU=")</f>
        <v>#VALUE!</v>
      </c>
      <c r="G65" t="e">
        <f>AND('Planilla_General_29-11-2012_10_'!B965,"AAAAAG/n/gY=")</f>
        <v>#VALUE!</v>
      </c>
      <c r="H65" t="e">
        <f>AND('Planilla_General_29-11-2012_10_'!C965,"AAAAAG/n/gc=")</f>
        <v>#VALUE!</v>
      </c>
      <c r="I65" t="e">
        <f>AND('Planilla_General_29-11-2012_10_'!D965,"AAAAAG/n/gg=")</f>
        <v>#VALUE!</v>
      </c>
      <c r="J65" t="e">
        <f>AND('Planilla_General_29-11-2012_10_'!E965,"AAAAAG/n/gk=")</f>
        <v>#VALUE!</v>
      </c>
      <c r="K65" t="e">
        <f>AND('Planilla_General_29-11-2012_10_'!F965,"AAAAAG/n/go=")</f>
        <v>#VALUE!</v>
      </c>
      <c r="L65" t="e">
        <f>AND('Planilla_General_29-11-2012_10_'!G965,"AAAAAG/n/gs=")</f>
        <v>#VALUE!</v>
      </c>
      <c r="M65" t="e">
        <f>AND('Planilla_General_29-11-2012_10_'!H965,"AAAAAG/n/gw=")</f>
        <v>#VALUE!</v>
      </c>
      <c r="N65" t="e">
        <f>AND('Planilla_General_29-11-2012_10_'!I965,"AAAAAG/n/g0=")</f>
        <v>#VALUE!</v>
      </c>
      <c r="O65" t="e">
        <f>AND('Planilla_General_29-11-2012_10_'!J965,"AAAAAG/n/g4=")</f>
        <v>#VALUE!</v>
      </c>
      <c r="P65" t="e">
        <f>AND('Planilla_General_29-11-2012_10_'!K965,"AAAAAG/n/g8=")</f>
        <v>#VALUE!</v>
      </c>
      <c r="Q65" t="e">
        <f>AND('Planilla_General_29-11-2012_10_'!L965,"AAAAAG/n/hA=")</f>
        <v>#VALUE!</v>
      </c>
      <c r="R65" t="e">
        <f>AND('Planilla_General_29-11-2012_10_'!M965,"AAAAAG/n/hE=")</f>
        <v>#VALUE!</v>
      </c>
      <c r="S65" t="e">
        <f>AND('Planilla_General_29-11-2012_10_'!N965,"AAAAAG/n/hI=")</f>
        <v>#VALUE!</v>
      </c>
      <c r="T65" t="e">
        <f>AND('Planilla_General_29-11-2012_10_'!O965,"AAAAAG/n/hM=")</f>
        <v>#VALUE!</v>
      </c>
      <c r="U65" t="e">
        <f>AND('Planilla_General_29-11-2012_10_'!P965,"AAAAAG/n/hQ=")</f>
        <v>#VALUE!</v>
      </c>
      <c r="V65">
        <f>IF('Planilla_General_29-11-2012_10_'!966:966,"AAAAAG/n/hU=",0)</f>
        <v>0</v>
      </c>
      <c r="W65" t="e">
        <f>AND('Planilla_General_29-11-2012_10_'!A966,"AAAAAG/n/hY=")</f>
        <v>#VALUE!</v>
      </c>
      <c r="X65" t="e">
        <f>AND('Planilla_General_29-11-2012_10_'!B966,"AAAAAG/n/hc=")</f>
        <v>#VALUE!</v>
      </c>
      <c r="Y65" t="e">
        <f>AND('Planilla_General_29-11-2012_10_'!C966,"AAAAAG/n/hg=")</f>
        <v>#VALUE!</v>
      </c>
      <c r="Z65" t="e">
        <f>AND('Planilla_General_29-11-2012_10_'!D966,"AAAAAG/n/hk=")</f>
        <v>#VALUE!</v>
      </c>
      <c r="AA65" t="e">
        <f>AND('Planilla_General_29-11-2012_10_'!E966,"AAAAAG/n/ho=")</f>
        <v>#VALUE!</v>
      </c>
      <c r="AB65" t="e">
        <f>AND('Planilla_General_29-11-2012_10_'!F966,"AAAAAG/n/hs=")</f>
        <v>#VALUE!</v>
      </c>
      <c r="AC65" t="e">
        <f>AND('Planilla_General_29-11-2012_10_'!G966,"AAAAAG/n/hw=")</f>
        <v>#VALUE!</v>
      </c>
      <c r="AD65" t="e">
        <f>AND('Planilla_General_29-11-2012_10_'!H966,"AAAAAG/n/h0=")</f>
        <v>#VALUE!</v>
      </c>
      <c r="AE65" t="e">
        <f>AND('Planilla_General_29-11-2012_10_'!I966,"AAAAAG/n/h4=")</f>
        <v>#VALUE!</v>
      </c>
      <c r="AF65" t="e">
        <f>AND('Planilla_General_29-11-2012_10_'!J966,"AAAAAG/n/h8=")</f>
        <v>#VALUE!</v>
      </c>
      <c r="AG65" t="e">
        <f>AND('Planilla_General_29-11-2012_10_'!K966,"AAAAAG/n/iA=")</f>
        <v>#VALUE!</v>
      </c>
      <c r="AH65" t="e">
        <f>AND('Planilla_General_29-11-2012_10_'!L966,"AAAAAG/n/iE=")</f>
        <v>#VALUE!</v>
      </c>
      <c r="AI65" t="e">
        <f>AND('Planilla_General_29-11-2012_10_'!M966,"AAAAAG/n/iI=")</f>
        <v>#VALUE!</v>
      </c>
      <c r="AJ65" t="e">
        <f>AND('Planilla_General_29-11-2012_10_'!N966,"AAAAAG/n/iM=")</f>
        <v>#VALUE!</v>
      </c>
      <c r="AK65" t="e">
        <f>AND('Planilla_General_29-11-2012_10_'!O966,"AAAAAG/n/iQ=")</f>
        <v>#VALUE!</v>
      </c>
      <c r="AL65" t="e">
        <f>AND('Planilla_General_29-11-2012_10_'!P966,"AAAAAG/n/iU=")</f>
        <v>#VALUE!</v>
      </c>
      <c r="AM65">
        <f>IF('Planilla_General_29-11-2012_10_'!967:967,"AAAAAG/n/iY=",0)</f>
        <v>0</v>
      </c>
      <c r="AN65" t="e">
        <f>AND('Planilla_General_29-11-2012_10_'!A967,"AAAAAG/n/ic=")</f>
        <v>#VALUE!</v>
      </c>
      <c r="AO65" t="e">
        <f>AND('Planilla_General_29-11-2012_10_'!B967,"AAAAAG/n/ig=")</f>
        <v>#VALUE!</v>
      </c>
      <c r="AP65" t="e">
        <f>AND('Planilla_General_29-11-2012_10_'!C967,"AAAAAG/n/ik=")</f>
        <v>#VALUE!</v>
      </c>
      <c r="AQ65" t="e">
        <f>AND('Planilla_General_29-11-2012_10_'!D967,"AAAAAG/n/io=")</f>
        <v>#VALUE!</v>
      </c>
      <c r="AR65" t="e">
        <f>AND('Planilla_General_29-11-2012_10_'!E967,"AAAAAG/n/is=")</f>
        <v>#VALUE!</v>
      </c>
      <c r="AS65" t="e">
        <f>AND('Planilla_General_29-11-2012_10_'!F967,"AAAAAG/n/iw=")</f>
        <v>#VALUE!</v>
      </c>
      <c r="AT65" t="e">
        <f>AND('Planilla_General_29-11-2012_10_'!G967,"AAAAAG/n/i0=")</f>
        <v>#VALUE!</v>
      </c>
      <c r="AU65" t="e">
        <f>AND('Planilla_General_29-11-2012_10_'!H967,"AAAAAG/n/i4=")</f>
        <v>#VALUE!</v>
      </c>
      <c r="AV65" t="e">
        <f>AND('Planilla_General_29-11-2012_10_'!I967,"AAAAAG/n/i8=")</f>
        <v>#VALUE!</v>
      </c>
      <c r="AW65" t="e">
        <f>AND('Planilla_General_29-11-2012_10_'!J967,"AAAAAG/n/jA=")</f>
        <v>#VALUE!</v>
      </c>
      <c r="AX65" t="e">
        <f>AND('Planilla_General_29-11-2012_10_'!K967,"AAAAAG/n/jE=")</f>
        <v>#VALUE!</v>
      </c>
      <c r="AY65" t="e">
        <f>AND('Planilla_General_29-11-2012_10_'!L967,"AAAAAG/n/jI=")</f>
        <v>#VALUE!</v>
      </c>
      <c r="AZ65" t="e">
        <f>AND('Planilla_General_29-11-2012_10_'!M967,"AAAAAG/n/jM=")</f>
        <v>#VALUE!</v>
      </c>
      <c r="BA65" t="e">
        <f>AND('Planilla_General_29-11-2012_10_'!N967,"AAAAAG/n/jQ=")</f>
        <v>#VALUE!</v>
      </c>
      <c r="BB65" t="e">
        <f>AND('Planilla_General_29-11-2012_10_'!O967,"AAAAAG/n/jU=")</f>
        <v>#VALUE!</v>
      </c>
      <c r="BC65" t="e">
        <f>AND('Planilla_General_29-11-2012_10_'!P967,"AAAAAG/n/jY=")</f>
        <v>#VALUE!</v>
      </c>
      <c r="BD65">
        <f>IF('Planilla_General_29-11-2012_10_'!968:968,"AAAAAG/n/jc=",0)</f>
        <v>0</v>
      </c>
      <c r="BE65" t="e">
        <f>AND('Planilla_General_29-11-2012_10_'!A968,"AAAAAG/n/jg=")</f>
        <v>#VALUE!</v>
      </c>
      <c r="BF65" t="e">
        <f>AND('Planilla_General_29-11-2012_10_'!B968,"AAAAAG/n/jk=")</f>
        <v>#VALUE!</v>
      </c>
      <c r="BG65" t="e">
        <f>AND('Planilla_General_29-11-2012_10_'!C968,"AAAAAG/n/jo=")</f>
        <v>#VALUE!</v>
      </c>
      <c r="BH65" t="e">
        <f>AND('Planilla_General_29-11-2012_10_'!D968,"AAAAAG/n/js=")</f>
        <v>#VALUE!</v>
      </c>
      <c r="BI65" t="e">
        <f>AND('Planilla_General_29-11-2012_10_'!E968,"AAAAAG/n/jw=")</f>
        <v>#VALUE!</v>
      </c>
      <c r="BJ65" t="e">
        <f>AND('Planilla_General_29-11-2012_10_'!F968,"AAAAAG/n/j0=")</f>
        <v>#VALUE!</v>
      </c>
      <c r="BK65" t="e">
        <f>AND('Planilla_General_29-11-2012_10_'!G968,"AAAAAG/n/j4=")</f>
        <v>#VALUE!</v>
      </c>
      <c r="BL65" t="e">
        <f>AND('Planilla_General_29-11-2012_10_'!H968,"AAAAAG/n/j8=")</f>
        <v>#VALUE!</v>
      </c>
      <c r="BM65" t="e">
        <f>AND('Planilla_General_29-11-2012_10_'!I968,"AAAAAG/n/kA=")</f>
        <v>#VALUE!</v>
      </c>
      <c r="BN65" t="e">
        <f>AND('Planilla_General_29-11-2012_10_'!J968,"AAAAAG/n/kE=")</f>
        <v>#VALUE!</v>
      </c>
      <c r="BO65" t="e">
        <f>AND('Planilla_General_29-11-2012_10_'!K968,"AAAAAG/n/kI=")</f>
        <v>#VALUE!</v>
      </c>
      <c r="BP65" t="e">
        <f>AND('Planilla_General_29-11-2012_10_'!L968,"AAAAAG/n/kM=")</f>
        <v>#VALUE!</v>
      </c>
      <c r="BQ65" t="e">
        <f>AND('Planilla_General_29-11-2012_10_'!M968,"AAAAAG/n/kQ=")</f>
        <v>#VALUE!</v>
      </c>
      <c r="BR65" t="e">
        <f>AND('Planilla_General_29-11-2012_10_'!N968,"AAAAAG/n/kU=")</f>
        <v>#VALUE!</v>
      </c>
      <c r="BS65" t="e">
        <f>AND('Planilla_General_29-11-2012_10_'!O968,"AAAAAG/n/kY=")</f>
        <v>#VALUE!</v>
      </c>
      <c r="BT65" t="e">
        <f>AND('Planilla_General_29-11-2012_10_'!P968,"AAAAAG/n/kc=")</f>
        <v>#VALUE!</v>
      </c>
      <c r="BU65">
        <f>IF('Planilla_General_29-11-2012_10_'!969:969,"AAAAAG/n/kg=",0)</f>
        <v>0</v>
      </c>
      <c r="BV65" t="e">
        <f>AND('Planilla_General_29-11-2012_10_'!A969,"AAAAAG/n/kk=")</f>
        <v>#VALUE!</v>
      </c>
      <c r="BW65" t="e">
        <f>AND('Planilla_General_29-11-2012_10_'!B969,"AAAAAG/n/ko=")</f>
        <v>#VALUE!</v>
      </c>
      <c r="BX65" t="e">
        <f>AND('Planilla_General_29-11-2012_10_'!C969,"AAAAAG/n/ks=")</f>
        <v>#VALUE!</v>
      </c>
      <c r="BY65" t="e">
        <f>AND('Planilla_General_29-11-2012_10_'!D969,"AAAAAG/n/kw=")</f>
        <v>#VALUE!</v>
      </c>
      <c r="BZ65" t="e">
        <f>AND('Planilla_General_29-11-2012_10_'!E969,"AAAAAG/n/k0=")</f>
        <v>#VALUE!</v>
      </c>
      <c r="CA65" t="e">
        <f>AND('Planilla_General_29-11-2012_10_'!F969,"AAAAAG/n/k4=")</f>
        <v>#VALUE!</v>
      </c>
      <c r="CB65" t="e">
        <f>AND('Planilla_General_29-11-2012_10_'!G969,"AAAAAG/n/k8=")</f>
        <v>#VALUE!</v>
      </c>
      <c r="CC65" t="e">
        <f>AND('Planilla_General_29-11-2012_10_'!H969,"AAAAAG/n/lA=")</f>
        <v>#VALUE!</v>
      </c>
      <c r="CD65" t="e">
        <f>AND('Planilla_General_29-11-2012_10_'!I969,"AAAAAG/n/lE=")</f>
        <v>#VALUE!</v>
      </c>
      <c r="CE65" t="e">
        <f>AND('Planilla_General_29-11-2012_10_'!J969,"AAAAAG/n/lI=")</f>
        <v>#VALUE!</v>
      </c>
      <c r="CF65" t="e">
        <f>AND('Planilla_General_29-11-2012_10_'!K969,"AAAAAG/n/lM=")</f>
        <v>#VALUE!</v>
      </c>
      <c r="CG65" t="e">
        <f>AND('Planilla_General_29-11-2012_10_'!L969,"AAAAAG/n/lQ=")</f>
        <v>#VALUE!</v>
      </c>
      <c r="CH65" t="e">
        <f>AND('Planilla_General_29-11-2012_10_'!M969,"AAAAAG/n/lU=")</f>
        <v>#VALUE!</v>
      </c>
      <c r="CI65" t="e">
        <f>AND('Planilla_General_29-11-2012_10_'!N969,"AAAAAG/n/lY=")</f>
        <v>#VALUE!</v>
      </c>
      <c r="CJ65" t="e">
        <f>AND('Planilla_General_29-11-2012_10_'!O969,"AAAAAG/n/lc=")</f>
        <v>#VALUE!</v>
      </c>
      <c r="CK65" t="e">
        <f>AND('Planilla_General_29-11-2012_10_'!P969,"AAAAAG/n/lg=")</f>
        <v>#VALUE!</v>
      </c>
      <c r="CL65">
        <f>IF('Planilla_General_29-11-2012_10_'!970:970,"AAAAAG/n/lk=",0)</f>
        <v>0</v>
      </c>
      <c r="CM65" t="e">
        <f>AND('Planilla_General_29-11-2012_10_'!A970,"AAAAAG/n/lo=")</f>
        <v>#VALUE!</v>
      </c>
      <c r="CN65" t="e">
        <f>AND('Planilla_General_29-11-2012_10_'!B970,"AAAAAG/n/ls=")</f>
        <v>#VALUE!</v>
      </c>
      <c r="CO65" t="e">
        <f>AND('Planilla_General_29-11-2012_10_'!C970,"AAAAAG/n/lw=")</f>
        <v>#VALUE!</v>
      </c>
      <c r="CP65" t="e">
        <f>AND('Planilla_General_29-11-2012_10_'!D970,"AAAAAG/n/l0=")</f>
        <v>#VALUE!</v>
      </c>
      <c r="CQ65" t="e">
        <f>AND('Planilla_General_29-11-2012_10_'!E970,"AAAAAG/n/l4=")</f>
        <v>#VALUE!</v>
      </c>
      <c r="CR65" t="e">
        <f>AND('Planilla_General_29-11-2012_10_'!F970,"AAAAAG/n/l8=")</f>
        <v>#VALUE!</v>
      </c>
      <c r="CS65" t="e">
        <f>AND('Planilla_General_29-11-2012_10_'!G970,"AAAAAG/n/mA=")</f>
        <v>#VALUE!</v>
      </c>
      <c r="CT65" t="e">
        <f>AND('Planilla_General_29-11-2012_10_'!H970,"AAAAAG/n/mE=")</f>
        <v>#VALUE!</v>
      </c>
      <c r="CU65" t="e">
        <f>AND('Planilla_General_29-11-2012_10_'!I970,"AAAAAG/n/mI=")</f>
        <v>#VALUE!</v>
      </c>
      <c r="CV65" t="e">
        <f>AND('Planilla_General_29-11-2012_10_'!J970,"AAAAAG/n/mM=")</f>
        <v>#VALUE!</v>
      </c>
      <c r="CW65" t="e">
        <f>AND('Planilla_General_29-11-2012_10_'!K970,"AAAAAG/n/mQ=")</f>
        <v>#VALUE!</v>
      </c>
      <c r="CX65" t="e">
        <f>AND('Planilla_General_29-11-2012_10_'!L970,"AAAAAG/n/mU=")</f>
        <v>#VALUE!</v>
      </c>
      <c r="CY65" t="e">
        <f>AND('Planilla_General_29-11-2012_10_'!M970,"AAAAAG/n/mY=")</f>
        <v>#VALUE!</v>
      </c>
      <c r="CZ65" t="e">
        <f>AND('Planilla_General_29-11-2012_10_'!N970,"AAAAAG/n/mc=")</f>
        <v>#VALUE!</v>
      </c>
      <c r="DA65" t="e">
        <f>AND('Planilla_General_29-11-2012_10_'!O970,"AAAAAG/n/mg=")</f>
        <v>#VALUE!</v>
      </c>
      <c r="DB65" t="e">
        <f>AND('Planilla_General_29-11-2012_10_'!P970,"AAAAAG/n/mk=")</f>
        <v>#VALUE!</v>
      </c>
      <c r="DC65">
        <f>IF('Planilla_General_29-11-2012_10_'!971:971,"AAAAAG/n/mo=",0)</f>
        <v>0</v>
      </c>
      <c r="DD65" t="e">
        <f>AND('Planilla_General_29-11-2012_10_'!A971,"AAAAAG/n/ms=")</f>
        <v>#VALUE!</v>
      </c>
      <c r="DE65" t="e">
        <f>AND('Planilla_General_29-11-2012_10_'!B971,"AAAAAG/n/mw=")</f>
        <v>#VALUE!</v>
      </c>
      <c r="DF65" t="e">
        <f>AND('Planilla_General_29-11-2012_10_'!C971,"AAAAAG/n/m0=")</f>
        <v>#VALUE!</v>
      </c>
      <c r="DG65" t="e">
        <f>AND('Planilla_General_29-11-2012_10_'!D971,"AAAAAG/n/m4=")</f>
        <v>#VALUE!</v>
      </c>
      <c r="DH65" t="e">
        <f>AND('Planilla_General_29-11-2012_10_'!E971,"AAAAAG/n/m8=")</f>
        <v>#VALUE!</v>
      </c>
      <c r="DI65" t="e">
        <f>AND('Planilla_General_29-11-2012_10_'!F971,"AAAAAG/n/nA=")</f>
        <v>#VALUE!</v>
      </c>
      <c r="DJ65" t="e">
        <f>AND('Planilla_General_29-11-2012_10_'!G971,"AAAAAG/n/nE=")</f>
        <v>#VALUE!</v>
      </c>
      <c r="DK65" t="e">
        <f>AND('Planilla_General_29-11-2012_10_'!H971,"AAAAAG/n/nI=")</f>
        <v>#VALUE!</v>
      </c>
      <c r="DL65" t="e">
        <f>AND('Planilla_General_29-11-2012_10_'!I971,"AAAAAG/n/nM=")</f>
        <v>#VALUE!</v>
      </c>
      <c r="DM65" t="e">
        <f>AND('Planilla_General_29-11-2012_10_'!J971,"AAAAAG/n/nQ=")</f>
        <v>#VALUE!</v>
      </c>
      <c r="DN65" t="e">
        <f>AND('Planilla_General_29-11-2012_10_'!K971,"AAAAAG/n/nU=")</f>
        <v>#VALUE!</v>
      </c>
      <c r="DO65" t="e">
        <f>AND('Planilla_General_29-11-2012_10_'!L971,"AAAAAG/n/nY=")</f>
        <v>#VALUE!</v>
      </c>
      <c r="DP65" t="e">
        <f>AND('Planilla_General_29-11-2012_10_'!M971,"AAAAAG/n/nc=")</f>
        <v>#VALUE!</v>
      </c>
      <c r="DQ65" t="e">
        <f>AND('Planilla_General_29-11-2012_10_'!N971,"AAAAAG/n/ng=")</f>
        <v>#VALUE!</v>
      </c>
      <c r="DR65" t="e">
        <f>AND('Planilla_General_29-11-2012_10_'!O971,"AAAAAG/n/nk=")</f>
        <v>#VALUE!</v>
      </c>
      <c r="DS65" t="e">
        <f>AND('Planilla_General_29-11-2012_10_'!P971,"AAAAAG/n/no=")</f>
        <v>#VALUE!</v>
      </c>
      <c r="DT65">
        <f>IF('Planilla_General_29-11-2012_10_'!972:972,"AAAAAG/n/ns=",0)</f>
        <v>0</v>
      </c>
      <c r="DU65" t="e">
        <f>AND('Planilla_General_29-11-2012_10_'!A972,"AAAAAG/n/nw=")</f>
        <v>#VALUE!</v>
      </c>
      <c r="DV65" t="e">
        <f>AND('Planilla_General_29-11-2012_10_'!B972,"AAAAAG/n/n0=")</f>
        <v>#VALUE!</v>
      </c>
      <c r="DW65" t="e">
        <f>AND('Planilla_General_29-11-2012_10_'!C972,"AAAAAG/n/n4=")</f>
        <v>#VALUE!</v>
      </c>
      <c r="DX65" t="e">
        <f>AND('Planilla_General_29-11-2012_10_'!D972,"AAAAAG/n/n8=")</f>
        <v>#VALUE!</v>
      </c>
      <c r="DY65" t="e">
        <f>AND('Planilla_General_29-11-2012_10_'!E972,"AAAAAG/n/oA=")</f>
        <v>#VALUE!</v>
      </c>
      <c r="DZ65" t="e">
        <f>AND('Planilla_General_29-11-2012_10_'!F972,"AAAAAG/n/oE=")</f>
        <v>#VALUE!</v>
      </c>
      <c r="EA65" t="e">
        <f>AND('Planilla_General_29-11-2012_10_'!G972,"AAAAAG/n/oI=")</f>
        <v>#VALUE!</v>
      </c>
      <c r="EB65" t="e">
        <f>AND('Planilla_General_29-11-2012_10_'!H972,"AAAAAG/n/oM=")</f>
        <v>#VALUE!</v>
      </c>
      <c r="EC65" t="e">
        <f>AND('Planilla_General_29-11-2012_10_'!I972,"AAAAAG/n/oQ=")</f>
        <v>#VALUE!</v>
      </c>
      <c r="ED65" t="e">
        <f>AND('Planilla_General_29-11-2012_10_'!J972,"AAAAAG/n/oU=")</f>
        <v>#VALUE!</v>
      </c>
      <c r="EE65" t="e">
        <f>AND('Planilla_General_29-11-2012_10_'!K972,"AAAAAG/n/oY=")</f>
        <v>#VALUE!</v>
      </c>
      <c r="EF65" t="e">
        <f>AND('Planilla_General_29-11-2012_10_'!L972,"AAAAAG/n/oc=")</f>
        <v>#VALUE!</v>
      </c>
      <c r="EG65" t="e">
        <f>AND('Planilla_General_29-11-2012_10_'!M972,"AAAAAG/n/og=")</f>
        <v>#VALUE!</v>
      </c>
      <c r="EH65" t="e">
        <f>AND('Planilla_General_29-11-2012_10_'!N972,"AAAAAG/n/ok=")</f>
        <v>#VALUE!</v>
      </c>
      <c r="EI65" t="e">
        <f>AND('Planilla_General_29-11-2012_10_'!O972,"AAAAAG/n/oo=")</f>
        <v>#VALUE!</v>
      </c>
      <c r="EJ65" t="e">
        <f>AND('Planilla_General_29-11-2012_10_'!P972,"AAAAAG/n/os=")</f>
        <v>#VALUE!</v>
      </c>
      <c r="EK65">
        <f>IF('Planilla_General_29-11-2012_10_'!973:973,"AAAAAG/n/ow=",0)</f>
        <v>0</v>
      </c>
      <c r="EL65" t="e">
        <f>AND('Planilla_General_29-11-2012_10_'!A973,"AAAAAG/n/o0=")</f>
        <v>#VALUE!</v>
      </c>
      <c r="EM65" t="e">
        <f>AND('Planilla_General_29-11-2012_10_'!B973,"AAAAAG/n/o4=")</f>
        <v>#VALUE!</v>
      </c>
      <c r="EN65" t="e">
        <f>AND('Planilla_General_29-11-2012_10_'!C973,"AAAAAG/n/o8=")</f>
        <v>#VALUE!</v>
      </c>
      <c r="EO65" t="e">
        <f>AND('Planilla_General_29-11-2012_10_'!D973,"AAAAAG/n/pA=")</f>
        <v>#VALUE!</v>
      </c>
      <c r="EP65" t="e">
        <f>AND('Planilla_General_29-11-2012_10_'!E973,"AAAAAG/n/pE=")</f>
        <v>#VALUE!</v>
      </c>
      <c r="EQ65" t="e">
        <f>AND('Planilla_General_29-11-2012_10_'!F973,"AAAAAG/n/pI=")</f>
        <v>#VALUE!</v>
      </c>
      <c r="ER65" t="e">
        <f>AND('Planilla_General_29-11-2012_10_'!G973,"AAAAAG/n/pM=")</f>
        <v>#VALUE!</v>
      </c>
      <c r="ES65" t="e">
        <f>AND('Planilla_General_29-11-2012_10_'!H973,"AAAAAG/n/pQ=")</f>
        <v>#VALUE!</v>
      </c>
      <c r="ET65" t="e">
        <f>AND('Planilla_General_29-11-2012_10_'!I973,"AAAAAG/n/pU=")</f>
        <v>#VALUE!</v>
      </c>
      <c r="EU65" t="e">
        <f>AND('Planilla_General_29-11-2012_10_'!J973,"AAAAAG/n/pY=")</f>
        <v>#VALUE!</v>
      </c>
      <c r="EV65" t="e">
        <f>AND('Planilla_General_29-11-2012_10_'!K973,"AAAAAG/n/pc=")</f>
        <v>#VALUE!</v>
      </c>
      <c r="EW65" t="e">
        <f>AND('Planilla_General_29-11-2012_10_'!L973,"AAAAAG/n/pg=")</f>
        <v>#VALUE!</v>
      </c>
      <c r="EX65" t="e">
        <f>AND('Planilla_General_29-11-2012_10_'!M973,"AAAAAG/n/pk=")</f>
        <v>#VALUE!</v>
      </c>
      <c r="EY65" t="e">
        <f>AND('Planilla_General_29-11-2012_10_'!N973,"AAAAAG/n/po=")</f>
        <v>#VALUE!</v>
      </c>
      <c r="EZ65" t="e">
        <f>AND('Planilla_General_29-11-2012_10_'!O973,"AAAAAG/n/ps=")</f>
        <v>#VALUE!</v>
      </c>
      <c r="FA65" t="e">
        <f>AND('Planilla_General_29-11-2012_10_'!P973,"AAAAAG/n/pw=")</f>
        <v>#VALUE!</v>
      </c>
      <c r="FB65">
        <f>IF('Planilla_General_29-11-2012_10_'!974:974,"AAAAAG/n/p0=",0)</f>
        <v>0</v>
      </c>
      <c r="FC65" t="e">
        <f>AND('Planilla_General_29-11-2012_10_'!A974,"AAAAAG/n/p4=")</f>
        <v>#VALUE!</v>
      </c>
      <c r="FD65" t="e">
        <f>AND('Planilla_General_29-11-2012_10_'!B974,"AAAAAG/n/p8=")</f>
        <v>#VALUE!</v>
      </c>
      <c r="FE65" t="e">
        <f>AND('Planilla_General_29-11-2012_10_'!C974,"AAAAAG/n/qA=")</f>
        <v>#VALUE!</v>
      </c>
      <c r="FF65" t="e">
        <f>AND('Planilla_General_29-11-2012_10_'!D974,"AAAAAG/n/qE=")</f>
        <v>#VALUE!</v>
      </c>
      <c r="FG65" t="e">
        <f>AND('Planilla_General_29-11-2012_10_'!E974,"AAAAAG/n/qI=")</f>
        <v>#VALUE!</v>
      </c>
      <c r="FH65" t="e">
        <f>AND('Planilla_General_29-11-2012_10_'!F974,"AAAAAG/n/qM=")</f>
        <v>#VALUE!</v>
      </c>
      <c r="FI65" t="e">
        <f>AND('Planilla_General_29-11-2012_10_'!G974,"AAAAAG/n/qQ=")</f>
        <v>#VALUE!</v>
      </c>
      <c r="FJ65" t="e">
        <f>AND('Planilla_General_29-11-2012_10_'!H974,"AAAAAG/n/qU=")</f>
        <v>#VALUE!</v>
      </c>
      <c r="FK65" t="e">
        <f>AND('Planilla_General_29-11-2012_10_'!I974,"AAAAAG/n/qY=")</f>
        <v>#VALUE!</v>
      </c>
      <c r="FL65" t="e">
        <f>AND('Planilla_General_29-11-2012_10_'!J974,"AAAAAG/n/qc=")</f>
        <v>#VALUE!</v>
      </c>
      <c r="FM65" t="e">
        <f>AND('Planilla_General_29-11-2012_10_'!K974,"AAAAAG/n/qg=")</f>
        <v>#VALUE!</v>
      </c>
      <c r="FN65" t="e">
        <f>AND('Planilla_General_29-11-2012_10_'!L974,"AAAAAG/n/qk=")</f>
        <v>#VALUE!</v>
      </c>
      <c r="FO65" t="e">
        <f>AND('Planilla_General_29-11-2012_10_'!M974,"AAAAAG/n/qo=")</f>
        <v>#VALUE!</v>
      </c>
      <c r="FP65" t="e">
        <f>AND('Planilla_General_29-11-2012_10_'!N974,"AAAAAG/n/qs=")</f>
        <v>#VALUE!</v>
      </c>
      <c r="FQ65" t="e">
        <f>AND('Planilla_General_29-11-2012_10_'!O974,"AAAAAG/n/qw=")</f>
        <v>#VALUE!</v>
      </c>
      <c r="FR65" t="e">
        <f>AND('Planilla_General_29-11-2012_10_'!P974,"AAAAAG/n/q0=")</f>
        <v>#VALUE!</v>
      </c>
      <c r="FS65">
        <f>IF('Planilla_General_29-11-2012_10_'!975:975,"AAAAAG/n/q4=",0)</f>
        <v>0</v>
      </c>
      <c r="FT65" t="e">
        <f>AND('Planilla_General_29-11-2012_10_'!A975,"AAAAAG/n/q8=")</f>
        <v>#VALUE!</v>
      </c>
      <c r="FU65" t="e">
        <f>AND('Planilla_General_29-11-2012_10_'!B975,"AAAAAG/n/rA=")</f>
        <v>#VALUE!</v>
      </c>
      <c r="FV65" t="e">
        <f>AND('Planilla_General_29-11-2012_10_'!C975,"AAAAAG/n/rE=")</f>
        <v>#VALUE!</v>
      </c>
      <c r="FW65" t="e">
        <f>AND('Planilla_General_29-11-2012_10_'!D975,"AAAAAG/n/rI=")</f>
        <v>#VALUE!</v>
      </c>
      <c r="FX65" t="e">
        <f>AND('Planilla_General_29-11-2012_10_'!E975,"AAAAAG/n/rM=")</f>
        <v>#VALUE!</v>
      </c>
      <c r="FY65" t="e">
        <f>AND('Planilla_General_29-11-2012_10_'!F975,"AAAAAG/n/rQ=")</f>
        <v>#VALUE!</v>
      </c>
      <c r="FZ65" t="e">
        <f>AND('Planilla_General_29-11-2012_10_'!G975,"AAAAAG/n/rU=")</f>
        <v>#VALUE!</v>
      </c>
      <c r="GA65" t="e">
        <f>AND('Planilla_General_29-11-2012_10_'!H975,"AAAAAG/n/rY=")</f>
        <v>#VALUE!</v>
      </c>
      <c r="GB65" t="e">
        <f>AND('Planilla_General_29-11-2012_10_'!I975,"AAAAAG/n/rc=")</f>
        <v>#VALUE!</v>
      </c>
      <c r="GC65" t="e">
        <f>AND('Planilla_General_29-11-2012_10_'!J975,"AAAAAG/n/rg=")</f>
        <v>#VALUE!</v>
      </c>
      <c r="GD65" t="e">
        <f>AND('Planilla_General_29-11-2012_10_'!K975,"AAAAAG/n/rk=")</f>
        <v>#VALUE!</v>
      </c>
      <c r="GE65" t="e">
        <f>AND('Planilla_General_29-11-2012_10_'!L975,"AAAAAG/n/ro=")</f>
        <v>#VALUE!</v>
      </c>
      <c r="GF65" t="e">
        <f>AND('Planilla_General_29-11-2012_10_'!M975,"AAAAAG/n/rs=")</f>
        <v>#VALUE!</v>
      </c>
      <c r="GG65" t="e">
        <f>AND('Planilla_General_29-11-2012_10_'!N975,"AAAAAG/n/rw=")</f>
        <v>#VALUE!</v>
      </c>
      <c r="GH65" t="e">
        <f>AND('Planilla_General_29-11-2012_10_'!O975,"AAAAAG/n/r0=")</f>
        <v>#VALUE!</v>
      </c>
      <c r="GI65" t="e">
        <f>AND('Planilla_General_29-11-2012_10_'!P975,"AAAAAG/n/r4=")</f>
        <v>#VALUE!</v>
      </c>
      <c r="GJ65">
        <f>IF('Planilla_General_29-11-2012_10_'!976:976,"AAAAAG/n/r8=",0)</f>
        <v>0</v>
      </c>
      <c r="GK65" t="e">
        <f>AND('Planilla_General_29-11-2012_10_'!A976,"AAAAAG/n/sA=")</f>
        <v>#VALUE!</v>
      </c>
      <c r="GL65" t="e">
        <f>AND('Planilla_General_29-11-2012_10_'!B976,"AAAAAG/n/sE=")</f>
        <v>#VALUE!</v>
      </c>
      <c r="GM65" t="e">
        <f>AND('Planilla_General_29-11-2012_10_'!C976,"AAAAAG/n/sI=")</f>
        <v>#VALUE!</v>
      </c>
      <c r="GN65" t="e">
        <f>AND('Planilla_General_29-11-2012_10_'!D976,"AAAAAG/n/sM=")</f>
        <v>#VALUE!</v>
      </c>
      <c r="GO65" t="e">
        <f>AND('Planilla_General_29-11-2012_10_'!E976,"AAAAAG/n/sQ=")</f>
        <v>#VALUE!</v>
      </c>
      <c r="GP65" t="e">
        <f>AND('Planilla_General_29-11-2012_10_'!F976,"AAAAAG/n/sU=")</f>
        <v>#VALUE!</v>
      </c>
      <c r="GQ65" t="e">
        <f>AND('Planilla_General_29-11-2012_10_'!G976,"AAAAAG/n/sY=")</f>
        <v>#VALUE!</v>
      </c>
      <c r="GR65" t="e">
        <f>AND('Planilla_General_29-11-2012_10_'!H976,"AAAAAG/n/sc=")</f>
        <v>#VALUE!</v>
      </c>
      <c r="GS65" t="e">
        <f>AND('Planilla_General_29-11-2012_10_'!I976,"AAAAAG/n/sg=")</f>
        <v>#VALUE!</v>
      </c>
      <c r="GT65" t="e">
        <f>AND('Planilla_General_29-11-2012_10_'!J976,"AAAAAG/n/sk=")</f>
        <v>#VALUE!</v>
      </c>
      <c r="GU65" t="e">
        <f>AND('Planilla_General_29-11-2012_10_'!K976,"AAAAAG/n/so=")</f>
        <v>#VALUE!</v>
      </c>
      <c r="GV65" t="e">
        <f>AND('Planilla_General_29-11-2012_10_'!L976,"AAAAAG/n/ss=")</f>
        <v>#VALUE!</v>
      </c>
      <c r="GW65" t="e">
        <f>AND('Planilla_General_29-11-2012_10_'!M976,"AAAAAG/n/sw=")</f>
        <v>#VALUE!</v>
      </c>
      <c r="GX65" t="e">
        <f>AND('Planilla_General_29-11-2012_10_'!N976,"AAAAAG/n/s0=")</f>
        <v>#VALUE!</v>
      </c>
      <c r="GY65" t="e">
        <f>AND('Planilla_General_29-11-2012_10_'!O976,"AAAAAG/n/s4=")</f>
        <v>#VALUE!</v>
      </c>
      <c r="GZ65" t="e">
        <f>AND('Planilla_General_29-11-2012_10_'!P976,"AAAAAG/n/s8=")</f>
        <v>#VALUE!</v>
      </c>
      <c r="HA65">
        <f>IF('Planilla_General_29-11-2012_10_'!977:977,"AAAAAG/n/tA=",0)</f>
        <v>0</v>
      </c>
      <c r="HB65" t="e">
        <f>AND('Planilla_General_29-11-2012_10_'!A977,"AAAAAG/n/tE=")</f>
        <v>#VALUE!</v>
      </c>
      <c r="HC65" t="e">
        <f>AND('Planilla_General_29-11-2012_10_'!B977,"AAAAAG/n/tI=")</f>
        <v>#VALUE!</v>
      </c>
      <c r="HD65" t="e">
        <f>AND('Planilla_General_29-11-2012_10_'!C977,"AAAAAG/n/tM=")</f>
        <v>#VALUE!</v>
      </c>
      <c r="HE65" t="e">
        <f>AND('Planilla_General_29-11-2012_10_'!D977,"AAAAAG/n/tQ=")</f>
        <v>#VALUE!</v>
      </c>
      <c r="HF65" t="e">
        <f>AND('Planilla_General_29-11-2012_10_'!E977,"AAAAAG/n/tU=")</f>
        <v>#VALUE!</v>
      </c>
      <c r="HG65" t="e">
        <f>AND('Planilla_General_29-11-2012_10_'!F977,"AAAAAG/n/tY=")</f>
        <v>#VALUE!</v>
      </c>
      <c r="HH65" t="e">
        <f>AND('Planilla_General_29-11-2012_10_'!G977,"AAAAAG/n/tc=")</f>
        <v>#VALUE!</v>
      </c>
      <c r="HI65" t="e">
        <f>AND('Planilla_General_29-11-2012_10_'!H977,"AAAAAG/n/tg=")</f>
        <v>#VALUE!</v>
      </c>
      <c r="HJ65" t="e">
        <f>AND('Planilla_General_29-11-2012_10_'!I977,"AAAAAG/n/tk=")</f>
        <v>#VALUE!</v>
      </c>
      <c r="HK65" t="e">
        <f>AND('Planilla_General_29-11-2012_10_'!J977,"AAAAAG/n/to=")</f>
        <v>#VALUE!</v>
      </c>
      <c r="HL65" t="e">
        <f>AND('Planilla_General_29-11-2012_10_'!K977,"AAAAAG/n/ts=")</f>
        <v>#VALUE!</v>
      </c>
      <c r="HM65" t="e">
        <f>AND('Planilla_General_29-11-2012_10_'!L977,"AAAAAG/n/tw=")</f>
        <v>#VALUE!</v>
      </c>
      <c r="HN65" t="e">
        <f>AND('Planilla_General_29-11-2012_10_'!M977,"AAAAAG/n/t0=")</f>
        <v>#VALUE!</v>
      </c>
      <c r="HO65" t="e">
        <f>AND('Planilla_General_29-11-2012_10_'!N977,"AAAAAG/n/t4=")</f>
        <v>#VALUE!</v>
      </c>
      <c r="HP65" t="e">
        <f>AND('Planilla_General_29-11-2012_10_'!O977,"AAAAAG/n/t8=")</f>
        <v>#VALUE!</v>
      </c>
      <c r="HQ65" t="e">
        <f>AND('Planilla_General_29-11-2012_10_'!P977,"AAAAAG/n/uA=")</f>
        <v>#VALUE!</v>
      </c>
      <c r="HR65">
        <f>IF('Planilla_General_29-11-2012_10_'!978:978,"AAAAAG/n/uE=",0)</f>
        <v>0</v>
      </c>
      <c r="HS65" t="e">
        <f>AND('Planilla_General_29-11-2012_10_'!A978,"AAAAAG/n/uI=")</f>
        <v>#VALUE!</v>
      </c>
      <c r="HT65" t="e">
        <f>AND('Planilla_General_29-11-2012_10_'!B978,"AAAAAG/n/uM=")</f>
        <v>#VALUE!</v>
      </c>
      <c r="HU65" t="e">
        <f>AND('Planilla_General_29-11-2012_10_'!C978,"AAAAAG/n/uQ=")</f>
        <v>#VALUE!</v>
      </c>
      <c r="HV65" t="e">
        <f>AND('Planilla_General_29-11-2012_10_'!D978,"AAAAAG/n/uU=")</f>
        <v>#VALUE!</v>
      </c>
      <c r="HW65" t="e">
        <f>AND('Planilla_General_29-11-2012_10_'!E978,"AAAAAG/n/uY=")</f>
        <v>#VALUE!</v>
      </c>
      <c r="HX65" t="e">
        <f>AND('Planilla_General_29-11-2012_10_'!F978,"AAAAAG/n/uc=")</f>
        <v>#VALUE!</v>
      </c>
      <c r="HY65" t="e">
        <f>AND('Planilla_General_29-11-2012_10_'!G978,"AAAAAG/n/ug=")</f>
        <v>#VALUE!</v>
      </c>
      <c r="HZ65" t="e">
        <f>AND('Planilla_General_29-11-2012_10_'!H978,"AAAAAG/n/uk=")</f>
        <v>#VALUE!</v>
      </c>
      <c r="IA65" t="e">
        <f>AND('Planilla_General_29-11-2012_10_'!I978,"AAAAAG/n/uo=")</f>
        <v>#VALUE!</v>
      </c>
      <c r="IB65" t="e">
        <f>AND('Planilla_General_29-11-2012_10_'!J978,"AAAAAG/n/us=")</f>
        <v>#VALUE!</v>
      </c>
      <c r="IC65" t="e">
        <f>AND('Planilla_General_29-11-2012_10_'!K978,"AAAAAG/n/uw=")</f>
        <v>#VALUE!</v>
      </c>
      <c r="ID65" t="e">
        <f>AND('Planilla_General_29-11-2012_10_'!L978,"AAAAAG/n/u0=")</f>
        <v>#VALUE!</v>
      </c>
      <c r="IE65" t="e">
        <f>AND('Planilla_General_29-11-2012_10_'!M978,"AAAAAG/n/u4=")</f>
        <v>#VALUE!</v>
      </c>
      <c r="IF65" t="e">
        <f>AND('Planilla_General_29-11-2012_10_'!N978,"AAAAAG/n/u8=")</f>
        <v>#VALUE!</v>
      </c>
      <c r="IG65" t="e">
        <f>AND('Planilla_General_29-11-2012_10_'!O978,"AAAAAG/n/vA=")</f>
        <v>#VALUE!</v>
      </c>
      <c r="IH65" t="e">
        <f>AND('Planilla_General_29-11-2012_10_'!P978,"AAAAAG/n/vE=")</f>
        <v>#VALUE!</v>
      </c>
      <c r="II65">
        <f>IF('Planilla_General_29-11-2012_10_'!979:979,"AAAAAG/n/vI=",0)</f>
        <v>0</v>
      </c>
      <c r="IJ65" t="e">
        <f>AND('Planilla_General_29-11-2012_10_'!A979,"AAAAAG/n/vM=")</f>
        <v>#VALUE!</v>
      </c>
      <c r="IK65" t="e">
        <f>AND('Planilla_General_29-11-2012_10_'!B979,"AAAAAG/n/vQ=")</f>
        <v>#VALUE!</v>
      </c>
      <c r="IL65" t="e">
        <f>AND('Planilla_General_29-11-2012_10_'!C979,"AAAAAG/n/vU=")</f>
        <v>#VALUE!</v>
      </c>
      <c r="IM65" t="e">
        <f>AND('Planilla_General_29-11-2012_10_'!D979,"AAAAAG/n/vY=")</f>
        <v>#VALUE!</v>
      </c>
      <c r="IN65" t="e">
        <f>AND('Planilla_General_29-11-2012_10_'!E979,"AAAAAG/n/vc=")</f>
        <v>#VALUE!</v>
      </c>
      <c r="IO65" t="e">
        <f>AND('Planilla_General_29-11-2012_10_'!F979,"AAAAAG/n/vg=")</f>
        <v>#VALUE!</v>
      </c>
      <c r="IP65" t="e">
        <f>AND('Planilla_General_29-11-2012_10_'!G979,"AAAAAG/n/vk=")</f>
        <v>#VALUE!</v>
      </c>
      <c r="IQ65" t="e">
        <f>AND('Planilla_General_29-11-2012_10_'!H979,"AAAAAG/n/vo=")</f>
        <v>#VALUE!</v>
      </c>
      <c r="IR65" t="e">
        <f>AND('Planilla_General_29-11-2012_10_'!I979,"AAAAAG/n/vs=")</f>
        <v>#VALUE!</v>
      </c>
      <c r="IS65" t="e">
        <f>AND('Planilla_General_29-11-2012_10_'!J979,"AAAAAG/n/vw=")</f>
        <v>#VALUE!</v>
      </c>
      <c r="IT65" t="e">
        <f>AND('Planilla_General_29-11-2012_10_'!K979,"AAAAAG/n/v0=")</f>
        <v>#VALUE!</v>
      </c>
      <c r="IU65" t="e">
        <f>AND('Planilla_General_29-11-2012_10_'!L979,"AAAAAG/n/v4=")</f>
        <v>#VALUE!</v>
      </c>
      <c r="IV65" t="e">
        <f>AND('Planilla_General_29-11-2012_10_'!M979,"AAAAAG/n/v8=")</f>
        <v>#VALUE!</v>
      </c>
    </row>
    <row r="66" spans="1:256" x14ac:dyDescent="0.25">
      <c r="A66" t="e">
        <f>AND('Planilla_General_29-11-2012_10_'!N979,"AAAAAF/fXgA=")</f>
        <v>#VALUE!</v>
      </c>
      <c r="B66" t="e">
        <f>AND('Planilla_General_29-11-2012_10_'!O979,"AAAAAF/fXgE=")</f>
        <v>#VALUE!</v>
      </c>
      <c r="C66" t="e">
        <f>AND('Planilla_General_29-11-2012_10_'!P979,"AAAAAF/fXgI=")</f>
        <v>#VALUE!</v>
      </c>
      <c r="D66" t="e">
        <f>IF('Planilla_General_29-11-2012_10_'!980:980,"AAAAAF/fXgM=",0)</f>
        <v>#VALUE!</v>
      </c>
      <c r="E66" t="e">
        <f>AND('Planilla_General_29-11-2012_10_'!A980,"AAAAAF/fXgQ=")</f>
        <v>#VALUE!</v>
      </c>
      <c r="F66" t="e">
        <f>AND('Planilla_General_29-11-2012_10_'!B980,"AAAAAF/fXgU=")</f>
        <v>#VALUE!</v>
      </c>
      <c r="G66" t="e">
        <f>AND('Planilla_General_29-11-2012_10_'!C980,"AAAAAF/fXgY=")</f>
        <v>#VALUE!</v>
      </c>
      <c r="H66" t="e">
        <f>AND('Planilla_General_29-11-2012_10_'!D980,"AAAAAF/fXgc=")</f>
        <v>#VALUE!</v>
      </c>
      <c r="I66" t="e">
        <f>AND('Planilla_General_29-11-2012_10_'!E980,"AAAAAF/fXgg=")</f>
        <v>#VALUE!</v>
      </c>
      <c r="J66" t="e">
        <f>AND('Planilla_General_29-11-2012_10_'!F980,"AAAAAF/fXgk=")</f>
        <v>#VALUE!</v>
      </c>
      <c r="K66" t="e">
        <f>AND('Planilla_General_29-11-2012_10_'!G980,"AAAAAF/fXgo=")</f>
        <v>#VALUE!</v>
      </c>
      <c r="L66" t="e">
        <f>AND('Planilla_General_29-11-2012_10_'!H980,"AAAAAF/fXgs=")</f>
        <v>#VALUE!</v>
      </c>
      <c r="M66" t="e">
        <f>AND('Planilla_General_29-11-2012_10_'!I980,"AAAAAF/fXgw=")</f>
        <v>#VALUE!</v>
      </c>
      <c r="N66" t="e">
        <f>AND('Planilla_General_29-11-2012_10_'!J980,"AAAAAF/fXg0=")</f>
        <v>#VALUE!</v>
      </c>
      <c r="O66" t="e">
        <f>AND('Planilla_General_29-11-2012_10_'!K980,"AAAAAF/fXg4=")</f>
        <v>#VALUE!</v>
      </c>
      <c r="P66" t="e">
        <f>AND('Planilla_General_29-11-2012_10_'!L980,"AAAAAF/fXg8=")</f>
        <v>#VALUE!</v>
      </c>
      <c r="Q66" t="e">
        <f>AND('Planilla_General_29-11-2012_10_'!M980,"AAAAAF/fXhA=")</f>
        <v>#VALUE!</v>
      </c>
      <c r="R66" t="e">
        <f>AND('Planilla_General_29-11-2012_10_'!N980,"AAAAAF/fXhE=")</f>
        <v>#VALUE!</v>
      </c>
      <c r="S66" t="e">
        <f>AND('Planilla_General_29-11-2012_10_'!O980,"AAAAAF/fXhI=")</f>
        <v>#VALUE!</v>
      </c>
      <c r="T66" t="e">
        <f>AND('Planilla_General_29-11-2012_10_'!P980,"AAAAAF/fXhM=")</f>
        <v>#VALUE!</v>
      </c>
      <c r="U66">
        <f>IF('Planilla_General_29-11-2012_10_'!981:981,"AAAAAF/fXhQ=",0)</f>
        <v>0</v>
      </c>
      <c r="V66" t="e">
        <f>AND('Planilla_General_29-11-2012_10_'!A981,"AAAAAF/fXhU=")</f>
        <v>#VALUE!</v>
      </c>
      <c r="W66" t="e">
        <f>AND('Planilla_General_29-11-2012_10_'!B981,"AAAAAF/fXhY=")</f>
        <v>#VALUE!</v>
      </c>
      <c r="X66" t="e">
        <f>AND('Planilla_General_29-11-2012_10_'!C981,"AAAAAF/fXhc=")</f>
        <v>#VALUE!</v>
      </c>
      <c r="Y66" t="e">
        <f>AND('Planilla_General_29-11-2012_10_'!D981,"AAAAAF/fXhg=")</f>
        <v>#VALUE!</v>
      </c>
      <c r="Z66" t="e">
        <f>AND('Planilla_General_29-11-2012_10_'!E981,"AAAAAF/fXhk=")</f>
        <v>#VALUE!</v>
      </c>
      <c r="AA66" t="e">
        <f>AND('Planilla_General_29-11-2012_10_'!F981,"AAAAAF/fXho=")</f>
        <v>#VALUE!</v>
      </c>
      <c r="AB66" t="e">
        <f>AND('Planilla_General_29-11-2012_10_'!G981,"AAAAAF/fXhs=")</f>
        <v>#VALUE!</v>
      </c>
      <c r="AC66" t="e">
        <f>AND('Planilla_General_29-11-2012_10_'!H981,"AAAAAF/fXhw=")</f>
        <v>#VALUE!</v>
      </c>
      <c r="AD66" t="e">
        <f>AND('Planilla_General_29-11-2012_10_'!I981,"AAAAAF/fXh0=")</f>
        <v>#VALUE!</v>
      </c>
      <c r="AE66" t="e">
        <f>AND('Planilla_General_29-11-2012_10_'!J981,"AAAAAF/fXh4=")</f>
        <v>#VALUE!</v>
      </c>
      <c r="AF66" t="e">
        <f>AND('Planilla_General_29-11-2012_10_'!K981,"AAAAAF/fXh8=")</f>
        <v>#VALUE!</v>
      </c>
      <c r="AG66" t="e">
        <f>AND('Planilla_General_29-11-2012_10_'!L981,"AAAAAF/fXiA=")</f>
        <v>#VALUE!</v>
      </c>
      <c r="AH66" t="e">
        <f>AND('Planilla_General_29-11-2012_10_'!M981,"AAAAAF/fXiE=")</f>
        <v>#VALUE!</v>
      </c>
      <c r="AI66" t="e">
        <f>AND('Planilla_General_29-11-2012_10_'!N981,"AAAAAF/fXiI=")</f>
        <v>#VALUE!</v>
      </c>
      <c r="AJ66" t="e">
        <f>AND('Planilla_General_29-11-2012_10_'!O981,"AAAAAF/fXiM=")</f>
        <v>#VALUE!</v>
      </c>
      <c r="AK66" t="e">
        <f>AND('Planilla_General_29-11-2012_10_'!P981,"AAAAAF/fXiQ=")</f>
        <v>#VALUE!</v>
      </c>
      <c r="AL66">
        <f>IF('Planilla_General_29-11-2012_10_'!982:982,"AAAAAF/fXiU=",0)</f>
        <v>0</v>
      </c>
      <c r="AM66" t="e">
        <f>AND('Planilla_General_29-11-2012_10_'!A982,"AAAAAF/fXiY=")</f>
        <v>#VALUE!</v>
      </c>
      <c r="AN66" t="e">
        <f>AND('Planilla_General_29-11-2012_10_'!B982,"AAAAAF/fXic=")</f>
        <v>#VALUE!</v>
      </c>
      <c r="AO66" t="e">
        <f>AND('Planilla_General_29-11-2012_10_'!C982,"AAAAAF/fXig=")</f>
        <v>#VALUE!</v>
      </c>
      <c r="AP66" t="e">
        <f>AND('Planilla_General_29-11-2012_10_'!D982,"AAAAAF/fXik=")</f>
        <v>#VALUE!</v>
      </c>
      <c r="AQ66" t="e">
        <f>AND('Planilla_General_29-11-2012_10_'!E982,"AAAAAF/fXio=")</f>
        <v>#VALUE!</v>
      </c>
      <c r="AR66" t="e">
        <f>AND('Planilla_General_29-11-2012_10_'!F982,"AAAAAF/fXis=")</f>
        <v>#VALUE!</v>
      </c>
      <c r="AS66" t="e">
        <f>AND('Planilla_General_29-11-2012_10_'!G982,"AAAAAF/fXiw=")</f>
        <v>#VALUE!</v>
      </c>
      <c r="AT66" t="e">
        <f>AND('Planilla_General_29-11-2012_10_'!H982,"AAAAAF/fXi0=")</f>
        <v>#VALUE!</v>
      </c>
      <c r="AU66" t="e">
        <f>AND('Planilla_General_29-11-2012_10_'!I982,"AAAAAF/fXi4=")</f>
        <v>#VALUE!</v>
      </c>
      <c r="AV66" t="e">
        <f>AND('Planilla_General_29-11-2012_10_'!J982,"AAAAAF/fXi8=")</f>
        <v>#VALUE!</v>
      </c>
      <c r="AW66" t="e">
        <f>AND('Planilla_General_29-11-2012_10_'!K982,"AAAAAF/fXjA=")</f>
        <v>#VALUE!</v>
      </c>
      <c r="AX66" t="e">
        <f>AND('Planilla_General_29-11-2012_10_'!L982,"AAAAAF/fXjE=")</f>
        <v>#VALUE!</v>
      </c>
      <c r="AY66" t="e">
        <f>AND('Planilla_General_29-11-2012_10_'!M982,"AAAAAF/fXjI=")</f>
        <v>#VALUE!</v>
      </c>
      <c r="AZ66" t="e">
        <f>AND('Planilla_General_29-11-2012_10_'!N982,"AAAAAF/fXjM=")</f>
        <v>#VALUE!</v>
      </c>
      <c r="BA66" t="e">
        <f>AND('Planilla_General_29-11-2012_10_'!O982,"AAAAAF/fXjQ=")</f>
        <v>#VALUE!</v>
      </c>
      <c r="BB66" t="e">
        <f>AND('Planilla_General_29-11-2012_10_'!P982,"AAAAAF/fXjU=")</f>
        <v>#VALUE!</v>
      </c>
      <c r="BC66">
        <f>IF('Planilla_General_29-11-2012_10_'!983:983,"AAAAAF/fXjY=",0)</f>
        <v>0</v>
      </c>
      <c r="BD66" t="e">
        <f>AND('Planilla_General_29-11-2012_10_'!A983,"AAAAAF/fXjc=")</f>
        <v>#VALUE!</v>
      </c>
      <c r="BE66" t="e">
        <f>AND('Planilla_General_29-11-2012_10_'!B983,"AAAAAF/fXjg=")</f>
        <v>#VALUE!</v>
      </c>
      <c r="BF66" t="e">
        <f>AND('Planilla_General_29-11-2012_10_'!C983,"AAAAAF/fXjk=")</f>
        <v>#VALUE!</v>
      </c>
      <c r="BG66" t="e">
        <f>AND('Planilla_General_29-11-2012_10_'!D983,"AAAAAF/fXjo=")</f>
        <v>#VALUE!</v>
      </c>
      <c r="BH66" t="e">
        <f>AND('Planilla_General_29-11-2012_10_'!E983,"AAAAAF/fXjs=")</f>
        <v>#VALUE!</v>
      </c>
      <c r="BI66" t="e">
        <f>AND('Planilla_General_29-11-2012_10_'!F983,"AAAAAF/fXjw=")</f>
        <v>#VALUE!</v>
      </c>
      <c r="BJ66" t="e">
        <f>AND('Planilla_General_29-11-2012_10_'!G983,"AAAAAF/fXj0=")</f>
        <v>#VALUE!</v>
      </c>
      <c r="BK66" t="e">
        <f>AND('Planilla_General_29-11-2012_10_'!H983,"AAAAAF/fXj4=")</f>
        <v>#VALUE!</v>
      </c>
      <c r="BL66" t="e">
        <f>AND('Planilla_General_29-11-2012_10_'!I983,"AAAAAF/fXj8=")</f>
        <v>#VALUE!</v>
      </c>
      <c r="BM66" t="e">
        <f>AND('Planilla_General_29-11-2012_10_'!J983,"AAAAAF/fXkA=")</f>
        <v>#VALUE!</v>
      </c>
      <c r="BN66" t="e">
        <f>AND('Planilla_General_29-11-2012_10_'!K983,"AAAAAF/fXkE=")</f>
        <v>#VALUE!</v>
      </c>
      <c r="BO66" t="e">
        <f>AND('Planilla_General_29-11-2012_10_'!L983,"AAAAAF/fXkI=")</f>
        <v>#VALUE!</v>
      </c>
      <c r="BP66" t="e">
        <f>AND('Planilla_General_29-11-2012_10_'!M983,"AAAAAF/fXkM=")</f>
        <v>#VALUE!</v>
      </c>
      <c r="BQ66" t="e">
        <f>AND('Planilla_General_29-11-2012_10_'!N983,"AAAAAF/fXkQ=")</f>
        <v>#VALUE!</v>
      </c>
      <c r="BR66" t="e">
        <f>AND('Planilla_General_29-11-2012_10_'!O983,"AAAAAF/fXkU=")</f>
        <v>#VALUE!</v>
      </c>
      <c r="BS66" t="e">
        <f>AND('Planilla_General_29-11-2012_10_'!P983,"AAAAAF/fXkY=")</f>
        <v>#VALUE!</v>
      </c>
      <c r="BT66">
        <f>IF('Planilla_General_29-11-2012_10_'!984:984,"AAAAAF/fXkc=",0)</f>
        <v>0</v>
      </c>
      <c r="BU66" t="e">
        <f>AND('Planilla_General_29-11-2012_10_'!A984,"AAAAAF/fXkg=")</f>
        <v>#VALUE!</v>
      </c>
      <c r="BV66" t="e">
        <f>AND('Planilla_General_29-11-2012_10_'!B984,"AAAAAF/fXkk=")</f>
        <v>#VALUE!</v>
      </c>
      <c r="BW66" t="e">
        <f>AND('Planilla_General_29-11-2012_10_'!C984,"AAAAAF/fXko=")</f>
        <v>#VALUE!</v>
      </c>
      <c r="BX66" t="e">
        <f>AND('Planilla_General_29-11-2012_10_'!D984,"AAAAAF/fXks=")</f>
        <v>#VALUE!</v>
      </c>
      <c r="BY66" t="e">
        <f>AND('Planilla_General_29-11-2012_10_'!E984,"AAAAAF/fXkw=")</f>
        <v>#VALUE!</v>
      </c>
      <c r="BZ66" t="e">
        <f>AND('Planilla_General_29-11-2012_10_'!F984,"AAAAAF/fXk0=")</f>
        <v>#VALUE!</v>
      </c>
      <c r="CA66" t="e">
        <f>AND('Planilla_General_29-11-2012_10_'!G984,"AAAAAF/fXk4=")</f>
        <v>#VALUE!</v>
      </c>
      <c r="CB66" t="e">
        <f>AND('Planilla_General_29-11-2012_10_'!H984,"AAAAAF/fXk8=")</f>
        <v>#VALUE!</v>
      </c>
      <c r="CC66" t="e">
        <f>AND('Planilla_General_29-11-2012_10_'!I984,"AAAAAF/fXlA=")</f>
        <v>#VALUE!</v>
      </c>
      <c r="CD66" t="e">
        <f>AND('Planilla_General_29-11-2012_10_'!J984,"AAAAAF/fXlE=")</f>
        <v>#VALUE!</v>
      </c>
      <c r="CE66" t="e">
        <f>AND('Planilla_General_29-11-2012_10_'!K984,"AAAAAF/fXlI=")</f>
        <v>#VALUE!</v>
      </c>
      <c r="CF66" t="e">
        <f>AND('Planilla_General_29-11-2012_10_'!L984,"AAAAAF/fXlM=")</f>
        <v>#VALUE!</v>
      </c>
      <c r="CG66" t="e">
        <f>AND('Planilla_General_29-11-2012_10_'!M984,"AAAAAF/fXlQ=")</f>
        <v>#VALUE!</v>
      </c>
      <c r="CH66" t="e">
        <f>AND('Planilla_General_29-11-2012_10_'!N984,"AAAAAF/fXlU=")</f>
        <v>#VALUE!</v>
      </c>
      <c r="CI66" t="e">
        <f>AND('Planilla_General_29-11-2012_10_'!O984,"AAAAAF/fXlY=")</f>
        <v>#VALUE!</v>
      </c>
      <c r="CJ66" t="e">
        <f>AND('Planilla_General_29-11-2012_10_'!P984,"AAAAAF/fXlc=")</f>
        <v>#VALUE!</v>
      </c>
      <c r="CK66">
        <f>IF('Planilla_General_29-11-2012_10_'!985:985,"AAAAAF/fXlg=",0)</f>
        <v>0</v>
      </c>
      <c r="CL66" t="e">
        <f>AND('Planilla_General_29-11-2012_10_'!A985,"AAAAAF/fXlk=")</f>
        <v>#VALUE!</v>
      </c>
      <c r="CM66" t="e">
        <f>AND('Planilla_General_29-11-2012_10_'!B985,"AAAAAF/fXlo=")</f>
        <v>#VALUE!</v>
      </c>
      <c r="CN66" t="e">
        <f>AND('Planilla_General_29-11-2012_10_'!C985,"AAAAAF/fXls=")</f>
        <v>#VALUE!</v>
      </c>
      <c r="CO66" t="e">
        <f>AND('Planilla_General_29-11-2012_10_'!D985,"AAAAAF/fXlw=")</f>
        <v>#VALUE!</v>
      </c>
      <c r="CP66" t="e">
        <f>AND('Planilla_General_29-11-2012_10_'!E985,"AAAAAF/fXl0=")</f>
        <v>#VALUE!</v>
      </c>
      <c r="CQ66" t="e">
        <f>AND('Planilla_General_29-11-2012_10_'!F985,"AAAAAF/fXl4=")</f>
        <v>#VALUE!</v>
      </c>
      <c r="CR66" t="e">
        <f>AND('Planilla_General_29-11-2012_10_'!G985,"AAAAAF/fXl8=")</f>
        <v>#VALUE!</v>
      </c>
      <c r="CS66" t="e">
        <f>AND('Planilla_General_29-11-2012_10_'!H985,"AAAAAF/fXmA=")</f>
        <v>#VALUE!</v>
      </c>
      <c r="CT66" t="e">
        <f>AND('Planilla_General_29-11-2012_10_'!I985,"AAAAAF/fXmE=")</f>
        <v>#VALUE!</v>
      </c>
      <c r="CU66" t="e">
        <f>AND('Planilla_General_29-11-2012_10_'!J985,"AAAAAF/fXmI=")</f>
        <v>#VALUE!</v>
      </c>
      <c r="CV66" t="e">
        <f>AND('Planilla_General_29-11-2012_10_'!K985,"AAAAAF/fXmM=")</f>
        <v>#VALUE!</v>
      </c>
      <c r="CW66" t="e">
        <f>AND('Planilla_General_29-11-2012_10_'!L985,"AAAAAF/fXmQ=")</f>
        <v>#VALUE!</v>
      </c>
      <c r="CX66" t="e">
        <f>AND('Planilla_General_29-11-2012_10_'!M985,"AAAAAF/fXmU=")</f>
        <v>#VALUE!</v>
      </c>
      <c r="CY66" t="e">
        <f>AND('Planilla_General_29-11-2012_10_'!N985,"AAAAAF/fXmY=")</f>
        <v>#VALUE!</v>
      </c>
      <c r="CZ66" t="e">
        <f>AND('Planilla_General_29-11-2012_10_'!O985,"AAAAAF/fXmc=")</f>
        <v>#VALUE!</v>
      </c>
      <c r="DA66" t="e">
        <f>AND('Planilla_General_29-11-2012_10_'!P985,"AAAAAF/fXmg=")</f>
        <v>#VALUE!</v>
      </c>
      <c r="DB66">
        <f>IF('Planilla_General_29-11-2012_10_'!986:986,"AAAAAF/fXmk=",0)</f>
        <v>0</v>
      </c>
      <c r="DC66" t="e">
        <f>AND('Planilla_General_29-11-2012_10_'!A986,"AAAAAF/fXmo=")</f>
        <v>#VALUE!</v>
      </c>
      <c r="DD66" t="e">
        <f>AND('Planilla_General_29-11-2012_10_'!B986,"AAAAAF/fXms=")</f>
        <v>#VALUE!</v>
      </c>
      <c r="DE66" t="e">
        <f>AND('Planilla_General_29-11-2012_10_'!C986,"AAAAAF/fXmw=")</f>
        <v>#VALUE!</v>
      </c>
      <c r="DF66" t="e">
        <f>AND('Planilla_General_29-11-2012_10_'!D986,"AAAAAF/fXm0=")</f>
        <v>#VALUE!</v>
      </c>
      <c r="DG66" t="e">
        <f>AND('Planilla_General_29-11-2012_10_'!E986,"AAAAAF/fXm4=")</f>
        <v>#VALUE!</v>
      </c>
      <c r="DH66" t="e">
        <f>AND('Planilla_General_29-11-2012_10_'!F986,"AAAAAF/fXm8=")</f>
        <v>#VALUE!</v>
      </c>
      <c r="DI66" t="e">
        <f>AND('Planilla_General_29-11-2012_10_'!G986,"AAAAAF/fXnA=")</f>
        <v>#VALUE!</v>
      </c>
      <c r="DJ66" t="e">
        <f>AND('Planilla_General_29-11-2012_10_'!H986,"AAAAAF/fXnE=")</f>
        <v>#VALUE!</v>
      </c>
      <c r="DK66" t="e">
        <f>AND('Planilla_General_29-11-2012_10_'!I986,"AAAAAF/fXnI=")</f>
        <v>#VALUE!</v>
      </c>
      <c r="DL66" t="e">
        <f>AND('Planilla_General_29-11-2012_10_'!J986,"AAAAAF/fXnM=")</f>
        <v>#VALUE!</v>
      </c>
      <c r="DM66" t="e">
        <f>AND('Planilla_General_29-11-2012_10_'!K986,"AAAAAF/fXnQ=")</f>
        <v>#VALUE!</v>
      </c>
      <c r="DN66" t="e">
        <f>AND('Planilla_General_29-11-2012_10_'!L986,"AAAAAF/fXnU=")</f>
        <v>#VALUE!</v>
      </c>
      <c r="DO66" t="e">
        <f>AND('Planilla_General_29-11-2012_10_'!M986,"AAAAAF/fXnY=")</f>
        <v>#VALUE!</v>
      </c>
      <c r="DP66" t="e">
        <f>AND('Planilla_General_29-11-2012_10_'!N986,"AAAAAF/fXnc=")</f>
        <v>#VALUE!</v>
      </c>
      <c r="DQ66" t="e">
        <f>AND('Planilla_General_29-11-2012_10_'!O986,"AAAAAF/fXng=")</f>
        <v>#VALUE!</v>
      </c>
      <c r="DR66" t="e">
        <f>AND('Planilla_General_29-11-2012_10_'!P986,"AAAAAF/fXnk=")</f>
        <v>#VALUE!</v>
      </c>
      <c r="DS66">
        <f>IF('Planilla_General_29-11-2012_10_'!987:987,"AAAAAF/fXno=",0)</f>
        <v>0</v>
      </c>
      <c r="DT66" t="e">
        <f>AND('Planilla_General_29-11-2012_10_'!A987,"AAAAAF/fXns=")</f>
        <v>#VALUE!</v>
      </c>
      <c r="DU66" t="e">
        <f>AND('Planilla_General_29-11-2012_10_'!B987,"AAAAAF/fXnw=")</f>
        <v>#VALUE!</v>
      </c>
      <c r="DV66" t="e">
        <f>AND('Planilla_General_29-11-2012_10_'!C987,"AAAAAF/fXn0=")</f>
        <v>#VALUE!</v>
      </c>
      <c r="DW66" t="e">
        <f>AND('Planilla_General_29-11-2012_10_'!D987,"AAAAAF/fXn4=")</f>
        <v>#VALUE!</v>
      </c>
      <c r="DX66" t="e">
        <f>AND('Planilla_General_29-11-2012_10_'!E987,"AAAAAF/fXn8=")</f>
        <v>#VALUE!</v>
      </c>
      <c r="DY66" t="e">
        <f>AND('Planilla_General_29-11-2012_10_'!F987,"AAAAAF/fXoA=")</f>
        <v>#VALUE!</v>
      </c>
      <c r="DZ66" t="e">
        <f>AND('Planilla_General_29-11-2012_10_'!G987,"AAAAAF/fXoE=")</f>
        <v>#VALUE!</v>
      </c>
      <c r="EA66" t="e">
        <f>AND('Planilla_General_29-11-2012_10_'!H987,"AAAAAF/fXoI=")</f>
        <v>#VALUE!</v>
      </c>
      <c r="EB66" t="e">
        <f>AND('Planilla_General_29-11-2012_10_'!I987,"AAAAAF/fXoM=")</f>
        <v>#VALUE!</v>
      </c>
      <c r="EC66" t="e">
        <f>AND('Planilla_General_29-11-2012_10_'!J987,"AAAAAF/fXoQ=")</f>
        <v>#VALUE!</v>
      </c>
      <c r="ED66" t="e">
        <f>AND('Planilla_General_29-11-2012_10_'!K987,"AAAAAF/fXoU=")</f>
        <v>#VALUE!</v>
      </c>
      <c r="EE66" t="e">
        <f>AND('Planilla_General_29-11-2012_10_'!L987,"AAAAAF/fXoY=")</f>
        <v>#VALUE!</v>
      </c>
      <c r="EF66" t="e">
        <f>AND('Planilla_General_29-11-2012_10_'!M987,"AAAAAF/fXoc=")</f>
        <v>#VALUE!</v>
      </c>
      <c r="EG66" t="e">
        <f>AND('Planilla_General_29-11-2012_10_'!N987,"AAAAAF/fXog=")</f>
        <v>#VALUE!</v>
      </c>
      <c r="EH66" t="e">
        <f>AND('Planilla_General_29-11-2012_10_'!O987,"AAAAAF/fXok=")</f>
        <v>#VALUE!</v>
      </c>
      <c r="EI66" t="e">
        <f>AND('Planilla_General_29-11-2012_10_'!P987,"AAAAAF/fXoo=")</f>
        <v>#VALUE!</v>
      </c>
      <c r="EJ66">
        <f>IF('Planilla_General_29-11-2012_10_'!988:988,"AAAAAF/fXos=",0)</f>
        <v>0</v>
      </c>
      <c r="EK66" t="e">
        <f>AND('Planilla_General_29-11-2012_10_'!A988,"AAAAAF/fXow=")</f>
        <v>#VALUE!</v>
      </c>
      <c r="EL66" t="e">
        <f>AND('Planilla_General_29-11-2012_10_'!B988,"AAAAAF/fXo0=")</f>
        <v>#VALUE!</v>
      </c>
      <c r="EM66" t="e">
        <f>AND('Planilla_General_29-11-2012_10_'!C988,"AAAAAF/fXo4=")</f>
        <v>#VALUE!</v>
      </c>
      <c r="EN66" t="e">
        <f>AND('Planilla_General_29-11-2012_10_'!D988,"AAAAAF/fXo8=")</f>
        <v>#VALUE!</v>
      </c>
      <c r="EO66" t="e">
        <f>AND('Planilla_General_29-11-2012_10_'!E988,"AAAAAF/fXpA=")</f>
        <v>#VALUE!</v>
      </c>
      <c r="EP66" t="e">
        <f>AND('Planilla_General_29-11-2012_10_'!F988,"AAAAAF/fXpE=")</f>
        <v>#VALUE!</v>
      </c>
      <c r="EQ66" t="e">
        <f>AND('Planilla_General_29-11-2012_10_'!G988,"AAAAAF/fXpI=")</f>
        <v>#VALUE!</v>
      </c>
      <c r="ER66" t="e">
        <f>AND('Planilla_General_29-11-2012_10_'!H988,"AAAAAF/fXpM=")</f>
        <v>#VALUE!</v>
      </c>
      <c r="ES66" t="e">
        <f>AND('Planilla_General_29-11-2012_10_'!I988,"AAAAAF/fXpQ=")</f>
        <v>#VALUE!</v>
      </c>
      <c r="ET66" t="e">
        <f>AND('Planilla_General_29-11-2012_10_'!J988,"AAAAAF/fXpU=")</f>
        <v>#VALUE!</v>
      </c>
      <c r="EU66" t="e">
        <f>AND('Planilla_General_29-11-2012_10_'!K988,"AAAAAF/fXpY=")</f>
        <v>#VALUE!</v>
      </c>
      <c r="EV66" t="e">
        <f>AND('Planilla_General_29-11-2012_10_'!L988,"AAAAAF/fXpc=")</f>
        <v>#VALUE!</v>
      </c>
      <c r="EW66" t="e">
        <f>AND('Planilla_General_29-11-2012_10_'!M988,"AAAAAF/fXpg=")</f>
        <v>#VALUE!</v>
      </c>
      <c r="EX66" t="e">
        <f>AND('Planilla_General_29-11-2012_10_'!N988,"AAAAAF/fXpk=")</f>
        <v>#VALUE!</v>
      </c>
      <c r="EY66" t="e">
        <f>AND('Planilla_General_29-11-2012_10_'!O988,"AAAAAF/fXpo=")</f>
        <v>#VALUE!</v>
      </c>
      <c r="EZ66" t="e">
        <f>AND('Planilla_General_29-11-2012_10_'!P988,"AAAAAF/fXps=")</f>
        <v>#VALUE!</v>
      </c>
      <c r="FA66">
        <f>IF('Planilla_General_29-11-2012_10_'!989:989,"AAAAAF/fXpw=",0)</f>
        <v>0</v>
      </c>
      <c r="FB66" t="e">
        <f>AND('Planilla_General_29-11-2012_10_'!A989,"AAAAAF/fXp0=")</f>
        <v>#VALUE!</v>
      </c>
      <c r="FC66" t="e">
        <f>AND('Planilla_General_29-11-2012_10_'!B989,"AAAAAF/fXp4=")</f>
        <v>#VALUE!</v>
      </c>
      <c r="FD66" t="e">
        <f>AND('Planilla_General_29-11-2012_10_'!C989,"AAAAAF/fXp8=")</f>
        <v>#VALUE!</v>
      </c>
      <c r="FE66" t="e">
        <f>AND('Planilla_General_29-11-2012_10_'!D989,"AAAAAF/fXqA=")</f>
        <v>#VALUE!</v>
      </c>
      <c r="FF66" t="e">
        <f>AND('Planilla_General_29-11-2012_10_'!E989,"AAAAAF/fXqE=")</f>
        <v>#VALUE!</v>
      </c>
      <c r="FG66" t="e">
        <f>AND('Planilla_General_29-11-2012_10_'!F989,"AAAAAF/fXqI=")</f>
        <v>#VALUE!</v>
      </c>
      <c r="FH66" t="e">
        <f>AND('Planilla_General_29-11-2012_10_'!G989,"AAAAAF/fXqM=")</f>
        <v>#VALUE!</v>
      </c>
      <c r="FI66" t="e">
        <f>AND('Planilla_General_29-11-2012_10_'!H989,"AAAAAF/fXqQ=")</f>
        <v>#VALUE!</v>
      </c>
      <c r="FJ66" t="e">
        <f>AND('Planilla_General_29-11-2012_10_'!I989,"AAAAAF/fXqU=")</f>
        <v>#VALUE!</v>
      </c>
      <c r="FK66" t="e">
        <f>AND('Planilla_General_29-11-2012_10_'!J989,"AAAAAF/fXqY=")</f>
        <v>#VALUE!</v>
      </c>
      <c r="FL66" t="e">
        <f>AND('Planilla_General_29-11-2012_10_'!K989,"AAAAAF/fXqc=")</f>
        <v>#VALUE!</v>
      </c>
      <c r="FM66" t="e">
        <f>AND('Planilla_General_29-11-2012_10_'!L989,"AAAAAF/fXqg=")</f>
        <v>#VALUE!</v>
      </c>
      <c r="FN66" t="e">
        <f>AND('Planilla_General_29-11-2012_10_'!M989,"AAAAAF/fXqk=")</f>
        <v>#VALUE!</v>
      </c>
      <c r="FO66" t="e">
        <f>AND('Planilla_General_29-11-2012_10_'!N989,"AAAAAF/fXqo=")</f>
        <v>#VALUE!</v>
      </c>
      <c r="FP66" t="e">
        <f>AND('Planilla_General_29-11-2012_10_'!O989,"AAAAAF/fXqs=")</f>
        <v>#VALUE!</v>
      </c>
      <c r="FQ66" t="e">
        <f>AND('Planilla_General_29-11-2012_10_'!P989,"AAAAAF/fXqw=")</f>
        <v>#VALUE!</v>
      </c>
      <c r="FR66">
        <f>IF('Planilla_General_29-11-2012_10_'!990:990,"AAAAAF/fXq0=",0)</f>
        <v>0</v>
      </c>
      <c r="FS66" t="e">
        <f>AND('Planilla_General_29-11-2012_10_'!A990,"AAAAAF/fXq4=")</f>
        <v>#VALUE!</v>
      </c>
      <c r="FT66" t="e">
        <f>AND('Planilla_General_29-11-2012_10_'!B990,"AAAAAF/fXq8=")</f>
        <v>#VALUE!</v>
      </c>
      <c r="FU66" t="e">
        <f>AND('Planilla_General_29-11-2012_10_'!C990,"AAAAAF/fXrA=")</f>
        <v>#VALUE!</v>
      </c>
      <c r="FV66" t="e">
        <f>AND('Planilla_General_29-11-2012_10_'!D990,"AAAAAF/fXrE=")</f>
        <v>#VALUE!</v>
      </c>
      <c r="FW66" t="e">
        <f>AND('Planilla_General_29-11-2012_10_'!E990,"AAAAAF/fXrI=")</f>
        <v>#VALUE!</v>
      </c>
      <c r="FX66" t="e">
        <f>AND('Planilla_General_29-11-2012_10_'!F990,"AAAAAF/fXrM=")</f>
        <v>#VALUE!</v>
      </c>
      <c r="FY66" t="e">
        <f>AND('Planilla_General_29-11-2012_10_'!G990,"AAAAAF/fXrQ=")</f>
        <v>#VALUE!</v>
      </c>
      <c r="FZ66" t="e">
        <f>AND('Planilla_General_29-11-2012_10_'!H990,"AAAAAF/fXrU=")</f>
        <v>#VALUE!</v>
      </c>
      <c r="GA66" t="e">
        <f>AND('Planilla_General_29-11-2012_10_'!I990,"AAAAAF/fXrY=")</f>
        <v>#VALUE!</v>
      </c>
      <c r="GB66" t="e">
        <f>AND('Planilla_General_29-11-2012_10_'!J990,"AAAAAF/fXrc=")</f>
        <v>#VALUE!</v>
      </c>
      <c r="GC66" t="e">
        <f>AND('Planilla_General_29-11-2012_10_'!K990,"AAAAAF/fXrg=")</f>
        <v>#VALUE!</v>
      </c>
      <c r="GD66" t="e">
        <f>AND('Planilla_General_29-11-2012_10_'!L990,"AAAAAF/fXrk=")</f>
        <v>#VALUE!</v>
      </c>
      <c r="GE66" t="e">
        <f>AND('Planilla_General_29-11-2012_10_'!M990,"AAAAAF/fXro=")</f>
        <v>#VALUE!</v>
      </c>
      <c r="GF66" t="e">
        <f>AND('Planilla_General_29-11-2012_10_'!N990,"AAAAAF/fXrs=")</f>
        <v>#VALUE!</v>
      </c>
      <c r="GG66" t="e">
        <f>AND('Planilla_General_29-11-2012_10_'!O990,"AAAAAF/fXrw=")</f>
        <v>#VALUE!</v>
      </c>
      <c r="GH66" t="e">
        <f>AND('Planilla_General_29-11-2012_10_'!P990,"AAAAAF/fXr0=")</f>
        <v>#VALUE!</v>
      </c>
      <c r="GI66">
        <f>IF('Planilla_General_29-11-2012_10_'!991:991,"AAAAAF/fXr4=",0)</f>
        <v>0</v>
      </c>
      <c r="GJ66" t="e">
        <f>AND('Planilla_General_29-11-2012_10_'!A991,"AAAAAF/fXr8=")</f>
        <v>#VALUE!</v>
      </c>
      <c r="GK66" t="e">
        <f>AND('Planilla_General_29-11-2012_10_'!B991,"AAAAAF/fXsA=")</f>
        <v>#VALUE!</v>
      </c>
      <c r="GL66" t="e">
        <f>AND('Planilla_General_29-11-2012_10_'!C991,"AAAAAF/fXsE=")</f>
        <v>#VALUE!</v>
      </c>
      <c r="GM66" t="e">
        <f>AND('Planilla_General_29-11-2012_10_'!D991,"AAAAAF/fXsI=")</f>
        <v>#VALUE!</v>
      </c>
      <c r="GN66" t="e">
        <f>AND('Planilla_General_29-11-2012_10_'!E991,"AAAAAF/fXsM=")</f>
        <v>#VALUE!</v>
      </c>
      <c r="GO66" t="e">
        <f>AND('Planilla_General_29-11-2012_10_'!F991,"AAAAAF/fXsQ=")</f>
        <v>#VALUE!</v>
      </c>
      <c r="GP66" t="e">
        <f>AND('Planilla_General_29-11-2012_10_'!G991,"AAAAAF/fXsU=")</f>
        <v>#VALUE!</v>
      </c>
      <c r="GQ66" t="e">
        <f>AND('Planilla_General_29-11-2012_10_'!H991,"AAAAAF/fXsY=")</f>
        <v>#VALUE!</v>
      </c>
      <c r="GR66" t="e">
        <f>AND('Planilla_General_29-11-2012_10_'!I991,"AAAAAF/fXsc=")</f>
        <v>#VALUE!</v>
      </c>
      <c r="GS66" t="e">
        <f>AND('Planilla_General_29-11-2012_10_'!J991,"AAAAAF/fXsg=")</f>
        <v>#VALUE!</v>
      </c>
      <c r="GT66" t="e">
        <f>AND('Planilla_General_29-11-2012_10_'!K991,"AAAAAF/fXsk=")</f>
        <v>#VALUE!</v>
      </c>
      <c r="GU66" t="e">
        <f>AND('Planilla_General_29-11-2012_10_'!L991,"AAAAAF/fXso=")</f>
        <v>#VALUE!</v>
      </c>
      <c r="GV66" t="e">
        <f>AND('Planilla_General_29-11-2012_10_'!M991,"AAAAAF/fXss=")</f>
        <v>#VALUE!</v>
      </c>
      <c r="GW66" t="e">
        <f>AND('Planilla_General_29-11-2012_10_'!N991,"AAAAAF/fXsw=")</f>
        <v>#VALUE!</v>
      </c>
      <c r="GX66" t="e">
        <f>AND('Planilla_General_29-11-2012_10_'!O991,"AAAAAF/fXs0=")</f>
        <v>#VALUE!</v>
      </c>
      <c r="GY66" t="e">
        <f>AND('Planilla_General_29-11-2012_10_'!P991,"AAAAAF/fXs4=")</f>
        <v>#VALUE!</v>
      </c>
      <c r="GZ66">
        <f>IF('Planilla_General_29-11-2012_10_'!992:992,"AAAAAF/fXs8=",0)</f>
        <v>0</v>
      </c>
      <c r="HA66" t="e">
        <f>AND('Planilla_General_29-11-2012_10_'!A992,"AAAAAF/fXtA=")</f>
        <v>#VALUE!</v>
      </c>
      <c r="HB66" t="e">
        <f>AND('Planilla_General_29-11-2012_10_'!B992,"AAAAAF/fXtE=")</f>
        <v>#VALUE!</v>
      </c>
      <c r="HC66" t="e">
        <f>AND('Planilla_General_29-11-2012_10_'!C992,"AAAAAF/fXtI=")</f>
        <v>#VALUE!</v>
      </c>
      <c r="HD66" t="e">
        <f>AND('Planilla_General_29-11-2012_10_'!D992,"AAAAAF/fXtM=")</f>
        <v>#VALUE!</v>
      </c>
      <c r="HE66" t="e">
        <f>AND('Planilla_General_29-11-2012_10_'!E992,"AAAAAF/fXtQ=")</f>
        <v>#VALUE!</v>
      </c>
      <c r="HF66" t="e">
        <f>AND('Planilla_General_29-11-2012_10_'!F992,"AAAAAF/fXtU=")</f>
        <v>#VALUE!</v>
      </c>
      <c r="HG66" t="e">
        <f>AND('Planilla_General_29-11-2012_10_'!G992,"AAAAAF/fXtY=")</f>
        <v>#VALUE!</v>
      </c>
      <c r="HH66" t="e">
        <f>AND('Planilla_General_29-11-2012_10_'!H992,"AAAAAF/fXtc=")</f>
        <v>#VALUE!</v>
      </c>
      <c r="HI66" t="e">
        <f>AND('Planilla_General_29-11-2012_10_'!I992,"AAAAAF/fXtg=")</f>
        <v>#VALUE!</v>
      </c>
      <c r="HJ66" t="e">
        <f>AND('Planilla_General_29-11-2012_10_'!J992,"AAAAAF/fXtk=")</f>
        <v>#VALUE!</v>
      </c>
      <c r="HK66" t="e">
        <f>AND('Planilla_General_29-11-2012_10_'!K992,"AAAAAF/fXto=")</f>
        <v>#VALUE!</v>
      </c>
      <c r="HL66" t="e">
        <f>AND('Planilla_General_29-11-2012_10_'!L992,"AAAAAF/fXts=")</f>
        <v>#VALUE!</v>
      </c>
      <c r="HM66" t="e">
        <f>AND('Planilla_General_29-11-2012_10_'!M992,"AAAAAF/fXtw=")</f>
        <v>#VALUE!</v>
      </c>
      <c r="HN66" t="e">
        <f>AND('Planilla_General_29-11-2012_10_'!N992,"AAAAAF/fXt0=")</f>
        <v>#VALUE!</v>
      </c>
      <c r="HO66" t="e">
        <f>AND('Planilla_General_29-11-2012_10_'!O992,"AAAAAF/fXt4=")</f>
        <v>#VALUE!</v>
      </c>
      <c r="HP66" t="e">
        <f>AND('Planilla_General_29-11-2012_10_'!P992,"AAAAAF/fXt8=")</f>
        <v>#VALUE!</v>
      </c>
      <c r="HQ66">
        <f>IF('Planilla_General_29-11-2012_10_'!993:993,"AAAAAF/fXuA=",0)</f>
        <v>0</v>
      </c>
      <c r="HR66" t="e">
        <f>AND('Planilla_General_29-11-2012_10_'!A993,"AAAAAF/fXuE=")</f>
        <v>#VALUE!</v>
      </c>
      <c r="HS66" t="e">
        <f>AND('Planilla_General_29-11-2012_10_'!B993,"AAAAAF/fXuI=")</f>
        <v>#VALUE!</v>
      </c>
      <c r="HT66" t="e">
        <f>AND('Planilla_General_29-11-2012_10_'!C993,"AAAAAF/fXuM=")</f>
        <v>#VALUE!</v>
      </c>
      <c r="HU66" t="e">
        <f>AND('Planilla_General_29-11-2012_10_'!D993,"AAAAAF/fXuQ=")</f>
        <v>#VALUE!</v>
      </c>
      <c r="HV66" t="e">
        <f>AND('Planilla_General_29-11-2012_10_'!E993,"AAAAAF/fXuU=")</f>
        <v>#VALUE!</v>
      </c>
      <c r="HW66" t="e">
        <f>AND('Planilla_General_29-11-2012_10_'!F993,"AAAAAF/fXuY=")</f>
        <v>#VALUE!</v>
      </c>
      <c r="HX66" t="e">
        <f>AND('Planilla_General_29-11-2012_10_'!G993,"AAAAAF/fXuc=")</f>
        <v>#VALUE!</v>
      </c>
      <c r="HY66" t="e">
        <f>AND('Planilla_General_29-11-2012_10_'!H993,"AAAAAF/fXug=")</f>
        <v>#VALUE!</v>
      </c>
      <c r="HZ66" t="e">
        <f>AND('Planilla_General_29-11-2012_10_'!I993,"AAAAAF/fXuk=")</f>
        <v>#VALUE!</v>
      </c>
      <c r="IA66" t="e">
        <f>AND('Planilla_General_29-11-2012_10_'!J993,"AAAAAF/fXuo=")</f>
        <v>#VALUE!</v>
      </c>
      <c r="IB66" t="e">
        <f>AND('Planilla_General_29-11-2012_10_'!K993,"AAAAAF/fXus=")</f>
        <v>#VALUE!</v>
      </c>
      <c r="IC66" t="e">
        <f>AND('Planilla_General_29-11-2012_10_'!L993,"AAAAAF/fXuw=")</f>
        <v>#VALUE!</v>
      </c>
      <c r="ID66" t="e">
        <f>AND('Planilla_General_29-11-2012_10_'!M993,"AAAAAF/fXu0=")</f>
        <v>#VALUE!</v>
      </c>
      <c r="IE66" t="e">
        <f>AND('Planilla_General_29-11-2012_10_'!N993,"AAAAAF/fXu4=")</f>
        <v>#VALUE!</v>
      </c>
      <c r="IF66" t="e">
        <f>AND('Planilla_General_29-11-2012_10_'!O993,"AAAAAF/fXu8=")</f>
        <v>#VALUE!</v>
      </c>
      <c r="IG66" t="e">
        <f>AND('Planilla_General_29-11-2012_10_'!P993,"AAAAAF/fXvA=")</f>
        <v>#VALUE!</v>
      </c>
      <c r="IH66">
        <f>IF('Planilla_General_29-11-2012_10_'!994:994,"AAAAAF/fXvE=",0)</f>
        <v>0</v>
      </c>
      <c r="II66" t="e">
        <f>AND('Planilla_General_29-11-2012_10_'!A994,"AAAAAF/fXvI=")</f>
        <v>#VALUE!</v>
      </c>
      <c r="IJ66" t="e">
        <f>AND('Planilla_General_29-11-2012_10_'!B994,"AAAAAF/fXvM=")</f>
        <v>#VALUE!</v>
      </c>
      <c r="IK66" t="e">
        <f>AND('Planilla_General_29-11-2012_10_'!C994,"AAAAAF/fXvQ=")</f>
        <v>#VALUE!</v>
      </c>
      <c r="IL66" t="e">
        <f>AND('Planilla_General_29-11-2012_10_'!D994,"AAAAAF/fXvU=")</f>
        <v>#VALUE!</v>
      </c>
      <c r="IM66" t="e">
        <f>AND('Planilla_General_29-11-2012_10_'!E994,"AAAAAF/fXvY=")</f>
        <v>#VALUE!</v>
      </c>
      <c r="IN66" t="e">
        <f>AND('Planilla_General_29-11-2012_10_'!F994,"AAAAAF/fXvc=")</f>
        <v>#VALUE!</v>
      </c>
      <c r="IO66" t="e">
        <f>AND('Planilla_General_29-11-2012_10_'!G994,"AAAAAF/fXvg=")</f>
        <v>#VALUE!</v>
      </c>
      <c r="IP66" t="e">
        <f>AND('Planilla_General_29-11-2012_10_'!H994,"AAAAAF/fXvk=")</f>
        <v>#VALUE!</v>
      </c>
      <c r="IQ66" t="e">
        <f>AND('Planilla_General_29-11-2012_10_'!I994,"AAAAAF/fXvo=")</f>
        <v>#VALUE!</v>
      </c>
      <c r="IR66" t="e">
        <f>AND('Planilla_General_29-11-2012_10_'!J994,"AAAAAF/fXvs=")</f>
        <v>#VALUE!</v>
      </c>
      <c r="IS66" t="e">
        <f>AND('Planilla_General_29-11-2012_10_'!K994,"AAAAAF/fXvw=")</f>
        <v>#VALUE!</v>
      </c>
      <c r="IT66" t="e">
        <f>AND('Planilla_General_29-11-2012_10_'!L994,"AAAAAF/fXv0=")</f>
        <v>#VALUE!</v>
      </c>
      <c r="IU66" t="e">
        <f>AND('Planilla_General_29-11-2012_10_'!M994,"AAAAAF/fXv4=")</f>
        <v>#VALUE!</v>
      </c>
      <c r="IV66" t="e">
        <f>AND('Planilla_General_29-11-2012_10_'!N994,"AAAAAF/fXv8=")</f>
        <v>#VALUE!</v>
      </c>
    </row>
    <row r="67" spans="1:256" x14ac:dyDescent="0.25">
      <c r="A67" t="e">
        <f>AND('Planilla_General_29-11-2012_10_'!O994,"AAAAAH2y0AA=")</f>
        <v>#VALUE!</v>
      </c>
      <c r="B67" t="e">
        <f>AND('Planilla_General_29-11-2012_10_'!P994,"AAAAAH2y0AE=")</f>
        <v>#VALUE!</v>
      </c>
      <c r="C67" t="str">
        <f>IF('Planilla_General_29-11-2012_10_'!995:995,"AAAAAH2y0AI=",0)</f>
        <v>AAAAAH2y0AI=</v>
      </c>
      <c r="D67" t="e">
        <f>AND('Planilla_General_29-11-2012_10_'!A995,"AAAAAH2y0AM=")</f>
        <v>#VALUE!</v>
      </c>
      <c r="E67" t="e">
        <f>AND('Planilla_General_29-11-2012_10_'!B995,"AAAAAH2y0AQ=")</f>
        <v>#VALUE!</v>
      </c>
      <c r="F67" t="e">
        <f>AND('Planilla_General_29-11-2012_10_'!C995,"AAAAAH2y0AU=")</f>
        <v>#VALUE!</v>
      </c>
      <c r="G67" t="e">
        <f>AND('Planilla_General_29-11-2012_10_'!D995,"AAAAAH2y0AY=")</f>
        <v>#VALUE!</v>
      </c>
      <c r="H67" t="e">
        <f>AND('Planilla_General_29-11-2012_10_'!E995,"AAAAAH2y0Ac=")</f>
        <v>#VALUE!</v>
      </c>
      <c r="I67" t="e">
        <f>AND('Planilla_General_29-11-2012_10_'!F995,"AAAAAH2y0Ag=")</f>
        <v>#VALUE!</v>
      </c>
      <c r="J67" t="e">
        <f>AND('Planilla_General_29-11-2012_10_'!G995,"AAAAAH2y0Ak=")</f>
        <v>#VALUE!</v>
      </c>
      <c r="K67" t="e">
        <f>AND('Planilla_General_29-11-2012_10_'!H995,"AAAAAH2y0Ao=")</f>
        <v>#VALUE!</v>
      </c>
      <c r="L67" t="e">
        <f>AND('Planilla_General_29-11-2012_10_'!I995,"AAAAAH2y0As=")</f>
        <v>#VALUE!</v>
      </c>
      <c r="M67" t="e">
        <f>AND('Planilla_General_29-11-2012_10_'!J995,"AAAAAH2y0Aw=")</f>
        <v>#VALUE!</v>
      </c>
      <c r="N67" t="e">
        <f>AND('Planilla_General_29-11-2012_10_'!K995,"AAAAAH2y0A0=")</f>
        <v>#VALUE!</v>
      </c>
      <c r="O67" t="e">
        <f>AND('Planilla_General_29-11-2012_10_'!L995,"AAAAAH2y0A4=")</f>
        <v>#VALUE!</v>
      </c>
      <c r="P67" t="e">
        <f>AND('Planilla_General_29-11-2012_10_'!M995,"AAAAAH2y0A8=")</f>
        <v>#VALUE!</v>
      </c>
      <c r="Q67" t="e">
        <f>AND('Planilla_General_29-11-2012_10_'!N995,"AAAAAH2y0BA=")</f>
        <v>#VALUE!</v>
      </c>
      <c r="R67" t="e">
        <f>AND('Planilla_General_29-11-2012_10_'!O995,"AAAAAH2y0BE=")</f>
        <v>#VALUE!</v>
      </c>
      <c r="S67" t="e">
        <f>AND('Planilla_General_29-11-2012_10_'!P995,"AAAAAH2y0BI=")</f>
        <v>#VALUE!</v>
      </c>
      <c r="T67">
        <f>IF('Planilla_General_29-11-2012_10_'!996:996,"AAAAAH2y0BM=",0)</f>
        <v>0</v>
      </c>
      <c r="U67" t="e">
        <f>AND('Planilla_General_29-11-2012_10_'!A996,"AAAAAH2y0BQ=")</f>
        <v>#VALUE!</v>
      </c>
      <c r="V67" t="e">
        <f>AND('Planilla_General_29-11-2012_10_'!B996,"AAAAAH2y0BU=")</f>
        <v>#VALUE!</v>
      </c>
      <c r="W67" t="e">
        <f>AND('Planilla_General_29-11-2012_10_'!C996,"AAAAAH2y0BY=")</f>
        <v>#VALUE!</v>
      </c>
      <c r="X67" t="e">
        <f>AND('Planilla_General_29-11-2012_10_'!D996,"AAAAAH2y0Bc=")</f>
        <v>#VALUE!</v>
      </c>
      <c r="Y67" t="e">
        <f>AND('Planilla_General_29-11-2012_10_'!E996,"AAAAAH2y0Bg=")</f>
        <v>#VALUE!</v>
      </c>
      <c r="Z67" t="e">
        <f>AND('Planilla_General_29-11-2012_10_'!F996,"AAAAAH2y0Bk=")</f>
        <v>#VALUE!</v>
      </c>
      <c r="AA67" t="e">
        <f>AND('Planilla_General_29-11-2012_10_'!G996,"AAAAAH2y0Bo=")</f>
        <v>#VALUE!</v>
      </c>
      <c r="AB67" t="e">
        <f>AND('Planilla_General_29-11-2012_10_'!H996,"AAAAAH2y0Bs=")</f>
        <v>#VALUE!</v>
      </c>
      <c r="AC67" t="e">
        <f>AND('Planilla_General_29-11-2012_10_'!I996,"AAAAAH2y0Bw=")</f>
        <v>#VALUE!</v>
      </c>
      <c r="AD67" t="e">
        <f>AND('Planilla_General_29-11-2012_10_'!J996,"AAAAAH2y0B0=")</f>
        <v>#VALUE!</v>
      </c>
      <c r="AE67" t="e">
        <f>AND('Planilla_General_29-11-2012_10_'!K996,"AAAAAH2y0B4=")</f>
        <v>#VALUE!</v>
      </c>
      <c r="AF67" t="e">
        <f>AND('Planilla_General_29-11-2012_10_'!L996,"AAAAAH2y0B8=")</f>
        <v>#VALUE!</v>
      </c>
      <c r="AG67" t="e">
        <f>AND('Planilla_General_29-11-2012_10_'!M996,"AAAAAH2y0CA=")</f>
        <v>#VALUE!</v>
      </c>
      <c r="AH67" t="e">
        <f>AND('Planilla_General_29-11-2012_10_'!N996,"AAAAAH2y0CE=")</f>
        <v>#VALUE!</v>
      </c>
      <c r="AI67" t="e">
        <f>AND('Planilla_General_29-11-2012_10_'!O996,"AAAAAH2y0CI=")</f>
        <v>#VALUE!</v>
      </c>
      <c r="AJ67" t="e">
        <f>AND('Planilla_General_29-11-2012_10_'!P996,"AAAAAH2y0CM=")</f>
        <v>#VALUE!</v>
      </c>
      <c r="AK67">
        <f>IF('Planilla_General_29-11-2012_10_'!997:997,"AAAAAH2y0CQ=",0)</f>
        <v>0</v>
      </c>
      <c r="AL67" t="e">
        <f>AND('Planilla_General_29-11-2012_10_'!A997,"AAAAAH2y0CU=")</f>
        <v>#VALUE!</v>
      </c>
      <c r="AM67" t="e">
        <f>AND('Planilla_General_29-11-2012_10_'!B997,"AAAAAH2y0CY=")</f>
        <v>#VALUE!</v>
      </c>
      <c r="AN67" t="e">
        <f>AND('Planilla_General_29-11-2012_10_'!C997,"AAAAAH2y0Cc=")</f>
        <v>#VALUE!</v>
      </c>
      <c r="AO67" t="e">
        <f>AND('Planilla_General_29-11-2012_10_'!D997,"AAAAAH2y0Cg=")</f>
        <v>#VALUE!</v>
      </c>
      <c r="AP67" t="e">
        <f>AND('Planilla_General_29-11-2012_10_'!E997,"AAAAAH2y0Ck=")</f>
        <v>#VALUE!</v>
      </c>
      <c r="AQ67" t="e">
        <f>AND('Planilla_General_29-11-2012_10_'!F997,"AAAAAH2y0Co=")</f>
        <v>#VALUE!</v>
      </c>
      <c r="AR67" t="e">
        <f>AND('Planilla_General_29-11-2012_10_'!G997,"AAAAAH2y0Cs=")</f>
        <v>#VALUE!</v>
      </c>
      <c r="AS67" t="e">
        <f>AND('Planilla_General_29-11-2012_10_'!H997,"AAAAAH2y0Cw=")</f>
        <v>#VALUE!</v>
      </c>
      <c r="AT67" t="e">
        <f>AND('Planilla_General_29-11-2012_10_'!I997,"AAAAAH2y0C0=")</f>
        <v>#VALUE!</v>
      </c>
      <c r="AU67" t="e">
        <f>AND('Planilla_General_29-11-2012_10_'!J997,"AAAAAH2y0C4=")</f>
        <v>#VALUE!</v>
      </c>
      <c r="AV67" t="e">
        <f>AND('Planilla_General_29-11-2012_10_'!K997,"AAAAAH2y0C8=")</f>
        <v>#VALUE!</v>
      </c>
      <c r="AW67" t="e">
        <f>AND('Planilla_General_29-11-2012_10_'!L997,"AAAAAH2y0DA=")</f>
        <v>#VALUE!</v>
      </c>
      <c r="AX67" t="e">
        <f>AND('Planilla_General_29-11-2012_10_'!M997,"AAAAAH2y0DE=")</f>
        <v>#VALUE!</v>
      </c>
      <c r="AY67" t="e">
        <f>AND('Planilla_General_29-11-2012_10_'!N997,"AAAAAH2y0DI=")</f>
        <v>#VALUE!</v>
      </c>
      <c r="AZ67" t="e">
        <f>AND('Planilla_General_29-11-2012_10_'!O997,"AAAAAH2y0DM=")</f>
        <v>#VALUE!</v>
      </c>
      <c r="BA67" t="e">
        <f>AND('Planilla_General_29-11-2012_10_'!P997,"AAAAAH2y0DQ=")</f>
        <v>#VALUE!</v>
      </c>
      <c r="BB67">
        <f>IF('Planilla_General_29-11-2012_10_'!998:998,"AAAAAH2y0DU=",0)</f>
        <v>0</v>
      </c>
      <c r="BC67" t="e">
        <f>AND('Planilla_General_29-11-2012_10_'!A998,"AAAAAH2y0DY=")</f>
        <v>#VALUE!</v>
      </c>
      <c r="BD67" t="e">
        <f>AND('Planilla_General_29-11-2012_10_'!B998,"AAAAAH2y0Dc=")</f>
        <v>#VALUE!</v>
      </c>
      <c r="BE67" t="e">
        <f>AND('Planilla_General_29-11-2012_10_'!C998,"AAAAAH2y0Dg=")</f>
        <v>#VALUE!</v>
      </c>
      <c r="BF67" t="e">
        <f>AND('Planilla_General_29-11-2012_10_'!D998,"AAAAAH2y0Dk=")</f>
        <v>#VALUE!</v>
      </c>
      <c r="BG67" t="e">
        <f>AND('Planilla_General_29-11-2012_10_'!E998,"AAAAAH2y0Do=")</f>
        <v>#VALUE!</v>
      </c>
      <c r="BH67" t="e">
        <f>AND('Planilla_General_29-11-2012_10_'!F998,"AAAAAH2y0Ds=")</f>
        <v>#VALUE!</v>
      </c>
      <c r="BI67" t="e">
        <f>AND('Planilla_General_29-11-2012_10_'!G998,"AAAAAH2y0Dw=")</f>
        <v>#VALUE!</v>
      </c>
      <c r="BJ67" t="e">
        <f>AND('Planilla_General_29-11-2012_10_'!H998,"AAAAAH2y0D0=")</f>
        <v>#VALUE!</v>
      </c>
      <c r="BK67" t="e">
        <f>AND('Planilla_General_29-11-2012_10_'!I998,"AAAAAH2y0D4=")</f>
        <v>#VALUE!</v>
      </c>
      <c r="BL67" t="e">
        <f>AND('Planilla_General_29-11-2012_10_'!J998,"AAAAAH2y0D8=")</f>
        <v>#VALUE!</v>
      </c>
      <c r="BM67" t="e">
        <f>AND('Planilla_General_29-11-2012_10_'!K998,"AAAAAH2y0EA=")</f>
        <v>#VALUE!</v>
      </c>
      <c r="BN67" t="e">
        <f>AND('Planilla_General_29-11-2012_10_'!L998,"AAAAAH2y0EE=")</f>
        <v>#VALUE!</v>
      </c>
      <c r="BO67" t="e">
        <f>AND('Planilla_General_29-11-2012_10_'!M998,"AAAAAH2y0EI=")</f>
        <v>#VALUE!</v>
      </c>
      <c r="BP67" t="e">
        <f>AND('Planilla_General_29-11-2012_10_'!N998,"AAAAAH2y0EM=")</f>
        <v>#VALUE!</v>
      </c>
      <c r="BQ67" t="e">
        <f>AND('Planilla_General_29-11-2012_10_'!O998,"AAAAAH2y0EQ=")</f>
        <v>#VALUE!</v>
      </c>
      <c r="BR67" t="e">
        <f>AND('Planilla_General_29-11-2012_10_'!P998,"AAAAAH2y0EU=")</f>
        <v>#VALUE!</v>
      </c>
      <c r="BS67">
        <f>IF('Planilla_General_29-11-2012_10_'!999:999,"AAAAAH2y0EY=",0)</f>
        <v>0</v>
      </c>
      <c r="BT67" t="e">
        <f>AND('Planilla_General_29-11-2012_10_'!A999,"AAAAAH2y0Ec=")</f>
        <v>#VALUE!</v>
      </c>
      <c r="BU67" t="e">
        <f>AND('Planilla_General_29-11-2012_10_'!B999,"AAAAAH2y0Eg=")</f>
        <v>#VALUE!</v>
      </c>
      <c r="BV67" t="e">
        <f>AND('Planilla_General_29-11-2012_10_'!C999,"AAAAAH2y0Ek=")</f>
        <v>#VALUE!</v>
      </c>
      <c r="BW67" t="e">
        <f>AND('Planilla_General_29-11-2012_10_'!D999,"AAAAAH2y0Eo=")</f>
        <v>#VALUE!</v>
      </c>
      <c r="BX67" t="e">
        <f>AND('Planilla_General_29-11-2012_10_'!E999,"AAAAAH2y0Es=")</f>
        <v>#VALUE!</v>
      </c>
      <c r="BY67" t="e">
        <f>AND('Planilla_General_29-11-2012_10_'!F999,"AAAAAH2y0Ew=")</f>
        <v>#VALUE!</v>
      </c>
      <c r="BZ67" t="e">
        <f>AND('Planilla_General_29-11-2012_10_'!G999,"AAAAAH2y0E0=")</f>
        <v>#VALUE!</v>
      </c>
      <c r="CA67" t="e">
        <f>AND('Planilla_General_29-11-2012_10_'!H999,"AAAAAH2y0E4=")</f>
        <v>#VALUE!</v>
      </c>
      <c r="CB67" t="e">
        <f>AND('Planilla_General_29-11-2012_10_'!I999,"AAAAAH2y0E8=")</f>
        <v>#VALUE!</v>
      </c>
      <c r="CC67" t="e">
        <f>AND('Planilla_General_29-11-2012_10_'!J999,"AAAAAH2y0FA=")</f>
        <v>#VALUE!</v>
      </c>
      <c r="CD67" t="e">
        <f>AND('Planilla_General_29-11-2012_10_'!K999,"AAAAAH2y0FE=")</f>
        <v>#VALUE!</v>
      </c>
      <c r="CE67" t="e">
        <f>AND('Planilla_General_29-11-2012_10_'!L999,"AAAAAH2y0FI=")</f>
        <v>#VALUE!</v>
      </c>
      <c r="CF67" t="e">
        <f>AND('Planilla_General_29-11-2012_10_'!M999,"AAAAAH2y0FM=")</f>
        <v>#VALUE!</v>
      </c>
      <c r="CG67" t="e">
        <f>AND('Planilla_General_29-11-2012_10_'!N999,"AAAAAH2y0FQ=")</f>
        <v>#VALUE!</v>
      </c>
      <c r="CH67" t="e">
        <f>AND('Planilla_General_29-11-2012_10_'!O999,"AAAAAH2y0FU=")</f>
        <v>#VALUE!</v>
      </c>
      <c r="CI67" t="e">
        <f>AND('Planilla_General_29-11-2012_10_'!P999,"AAAAAH2y0FY=")</f>
        <v>#VALUE!</v>
      </c>
      <c r="CJ67">
        <f>IF('Planilla_General_29-11-2012_10_'!1000:1000,"AAAAAH2y0Fc=",0)</f>
        <v>0</v>
      </c>
      <c r="CK67" t="e">
        <f>AND('Planilla_General_29-11-2012_10_'!A1000,"AAAAAH2y0Fg=")</f>
        <v>#VALUE!</v>
      </c>
      <c r="CL67" t="e">
        <f>AND('Planilla_General_29-11-2012_10_'!B1000,"AAAAAH2y0Fk=")</f>
        <v>#VALUE!</v>
      </c>
      <c r="CM67" t="e">
        <f>AND('Planilla_General_29-11-2012_10_'!C1000,"AAAAAH2y0Fo=")</f>
        <v>#VALUE!</v>
      </c>
      <c r="CN67" t="e">
        <f>AND('Planilla_General_29-11-2012_10_'!D1000,"AAAAAH2y0Fs=")</f>
        <v>#VALUE!</v>
      </c>
      <c r="CO67" t="e">
        <f>AND('Planilla_General_29-11-2012_10_'!E1000,"AAAAAH2y0Fw=")</f>
        <v>#VALUE!</v>
      </c>
      <c r="CP67" t="e">
        <f>AND('Planilla_General_29-11-2012_10_'!F1000,"AAAAAH2y0F0=")</f>
        <v>#VALUE!</v>
      </c>
      <c r="CQ67" t="e">
        <f>AND('Planilla_General_29-11-2012_10_'!G1000,"AAAAAH2y0F4=")</f>
        <v>#VALUE!</v>
      </c>
      <c r="CR67" t="e">
        <f>AND('Planilla_General_29-11-2012_10_'!H1000,"AAAAAH2y0F8=")</f>
        <v>#VALUE!</v>
      </c>
      <c r="CS67" t="e">
        <f>AND('Planilla_General_29-11-2012_10_'!I1000,"AAAAAH2y0GA=")</f>
        <v>#VALUE!</v>
      </c>
      <c r="CT67" t="e">
        <f>AND('Planilla_General_29-11-2012_10_'!J1000,"AAAAAH2y0GE=")</f>
        <v>#VALUE!</v>
      </c>
      <c r="CU67" t="e">
        <f>AND('Planilla_General_29-11-2012_10_'!K1000,"AAAAAH2y0GI=")</f>
        <v>#VALUE!</v>
      </c>
      <c r="CV67" t="e">
        <f>AND('Planilla_General_29-11-2012_10_'!L1000,"AAAAAH2y0GM=")</f>
        <v>#VALUE!</v>
      </c>
      <c r="CW67" t="e">
        <f>AND('Planilla_General_29-11-2012_10_'!M1000,"AAAAAH2y0GQ=")</f>
        <v>#VALUE!</v>
      </c>
      <c r="CX67" t="e">
        <f>AND('Planilla_General_29-11-2012_10_'!N1000,"AAAAAH2y0GU=")</f>
        <v>#VALUE!</v>
      </c>
      <c r="CY67" t="e">
        <f>AND('Planilla_General_29-11-2012_10_'!O1000,"AAAAAH2y0GY=")</f>
        <v>#VALUE!</v>
      </c>
      <c r="CZ67" t="e">
        <f>AND('Planilla_General_29-11-2012_10_'!P1000,"AAAAAH2y0Gc=")</f>
        <v>#VALUE!</v>
      </c>
      <c r="DA67">
        <f>IF('Planilla_General_29-11-2012_10_'!1001:1001,"AAAAAH2y0Gg=",0)</f>
        <v>0</v>
      </c>
      <c r="DB67" t="e">
        <f>AND('Planilla_General_29-11-2012_10_'!A1001,"AAAAAH2y0Gk=")</f>
        <v>#VALUE!</v>
      </c>
      <c r="DC67" t="e">
        <f>AND('Planilla_General_29-11-2012_10_'!B1001,"AAAAAH2y0Go=")</f>
        <v>#VALUE!</v>
      </c>
      <c r="DD67" t="e">
        <f>AND('Planilla_General_29-11-2012_10_'!C1001,"AAAAAH2y0Gs=")</f>
        <v>#VALUE!</v>
      </c>
      <c r="DE67" t="e">
        <f>AND('Planilla_General_29-11-2012_10_'!D1001,"AAAAAH2y0Gw=")</f>
        <v>#VALUE!</v>
      </c>
      <c r="DF67" t="e">
        <f>AND('Planilla_General_29-11-2012_10_'!E1001,"AAAAAH2y0G0=")</f>
        <v>#VALUE!</v>
      </c>
      <c r="DG67" t="e">
        <f>AND('Planilla_General_29-11-2012_10_'!F1001,"AAAAAH2y0G4=")</f>
        <v>#VALUE!</v>
      </c>
      <c r="DH67" t="e">
        <f>AND('Planilla_General_29-11-2012_10_'!G1001,"AAAAAH2y0G8=")</f>
        <v>#VALUE!</v>
      </c>
      <c r="DI67" t="e">
        <f>AND('Planilla_General_29-11-2012_10_'!H1001,"AAAAAH2y0HA=")</f>
        <v>#VALUE!</v>
      </c>
      <c r="DJ67" t="e">
        <f>AND('Planilla_General_29-11-2012_10_'!I1001,"AAAAAH2y0HE=")</f>
        <v>#VALUE!</v>
      </c>
      <c r="DK67" t="e">
        <f>AND('Planilla_General_29-11-2012_10_'!J1001,"AAAAAH2y0HI=")</f>
        <v>#VALUE!</v>
      </c>
      <c r="DL67" t="e">
        <f>AND('Planilla_General_29-11-2012_10_'!K1001,"AAAAAH2y0HM=")</f>
        <v>#VALUE!</v>
      </c>
      <c r="DM67" t="e">
        <f>AND('Planilla_General_29-11-2012_10_'!L1001,"AAAAAH2y0HQ=")</f>
        <v>#VALUE!</v>
      </c>
      <c r="DN67" t="e">
        <f>AND('Planilla_General_29-11-2012_10_'!M1001,"AAAAAH2y0HU=")</f>
        <v>#VALUE!</v>
      </c>
      <c r="DO67" t="e">
        <f>AND('Planilla_General_29-11-2012_10_'!N1001,"AAAAAH2y0HY=")</f>
        <v>#VALUE!</v>
      </c>
      <c r="DP67" t="e">
        <f>AND('Planilla_General_29-11-2012_10_'!O1001,"AAAAAH2y0Hc=")</f>
        <v>#VALUE!</v>
      </c>
      <c r="DQ67" t="e">
        <f>AND('Planilla_General_29-11-2012_10_'!P1001,"AAAAAH2y0Hg=")</f>
        <v>#VALUE!</v>
      </c>
      <c r="DR67">
        <f>IF('Planilla_General_29-11-2012_10_'!1002:1002,"AAAAAH2y0Hk=",0)</f>
        <v>0</v>
      </c>
      <c r="DS67" t="e">
        <f>AND('Planilla_General_29-11-2012_10_'!A1002,"AAAAAH2y0Ho=")</f>
        <v>#VALUE!</v>
      </c>
      <c r="DT67" t="e">
        <f>AND('Planilla_General_29-11-2012_10_'!B1002,"AAAAAH2y0Hs=")</f>
        <v>#VALUE!</v>
      </c>
      <c r="DU67" t="e">
        <f>AND('Planilla_General_29-11-2012_10_'!C1002,"AAAAAH2y0Hw=")</f>
        <v>#VALUE!</v>
      </c>
      <c r="DV67" t="e">
        <f>AND('Planilla_General_29-11-2012_10_'!D1002,"AAAAAH2y0H0=")</f>
        <v>#VALUE!</v>
      </c>
      <c r="DW67" t="e">
        <f>AND('Planilla_General_29-11-2012_10_'!E1002,"AAAAAH2y0H4=")</f>
        <v>#VALUE!</v>
      </c>
      <c r="DX67" t="e">
        <f>AND('Planilla_General_29-11-2012_10_'!F1002,"AAAAAH2y0H8=")</f>
        <v>#VALUE!</v>
      </c>
      <c r="DY67" t="e">
        <f>AND('Planilla_General_29-11-2012_10_'!G1002,"AAAAAH2y0IA=")</f>
        <v>#VALUE!</v>
      </c>
      <c r="DZ67" t="e">
        <f>AND('Planilla_General_29-11-2012_10_'!H1002,"AAAAAH2y0IE=")</f>
        <v>#VALUE!</v>
      </c>
      <c r="EA67" t="e">
        <f>AND('Planilla_General_29-11-2012_10_'!I1002,"AAAAAH2y0II=")</f>
        <v>#VALUE!</v>
      </c>
      <c r="EB67" t="e">
        <f>AND('Planilla_General_29-11-2012_10_'!J1002,"AAAAAH2y0IM=")</f>
        <v>#VALUE!</v>
      </c>
      <c r="EC67" t="e">
        <f>AND('Planilla_General_29-11-2012_10_'!K1002,"AAAAAH2y0IQ=")</f>
        <v>#VALUE!</v>
      </c>
      <c r="ED67" t="e">
        <f>AND('Planilla_General_29-11-2012_10_'!L1002,"AAAAAH2y0IU=")</f>
        <v>#VALUE!</v>
      </c>
      <c r="EE67" t="e">
        <f>AND('Planilla_General_29-11-2012_10_'!M1002,"AAAAAH2y0IY=")</f>
        <v>#VALUE!</v>
      </c>
      <c r="EF67" t="e">
        <f>AND('Planilla_General_29-11-2012_10_'!N1002,"AAAAAH2y0Ic=")</f>
        <v>#VALUE!</v>
      </c>
      <c r="EG67" t="e">
        <f>AND('Planilla_General_29-11-2012_10_'!O1002,"AAAAAH2y0Ig=")</f>
        <v>#VALUE!</v>
      </c>
      <c r="EH67" t="e">
        <f>AND('Planilla_General_29-11-2012_10_'!P1002,"AAAAAH2y0Ik=")</f>
        <v>#VALUE!</v>
      </c>
      <c r="EI67">
        <f>IF('Planilla_General_29-11-2012_10_'!1003:1003,"AAAAAH2y0Io=",0)</f>
        <v>0</v>
      </c>
      <c r="EJ67" t="e">
        <f>AND('Planilla_General_29-11-2012_10_'!A1003,"AAAAAH2y0Is=")</f>
        <v>#VALUE!</v>
      </c>
      <c r="EK67" t="e">
        <f>AND('Planilla_General_29-11-2012_10_'!B1003,"AAAAAH2y0Iw=")</f>
        <v>#VALUE!</v>
      </c>
      <c r="EL67" t="e">
        <f>AND('Planilla_General_29-11-2012_10_'!C1003,"AAAAAH2y0I0=")</f>
        <v>#VALUE!</v>
      </c>
      <c r="EM67" t="e">
        <f>AND('Planilla_General_29-11-2012_10_'!D1003,"AAAAAH2y0I4=")</f>
        <v>#VALUE!</v>
      </c>
      <c r="EN67" t="e">
        <f>AND('Planilla_General_29-11-2012_10_'!E1003,"AAAAAH2y0I8=")</f>
        <v>#VALUE!</v>
      </c>
      <c r="EO67" t="e">
        <f>AND('Planilla_General_29-11-2012_10_'!F1003,"AAAAAH2y0JA=")</f>
        <v>#VALUE!</v>
      </c>
      <c r="EP67" t="e">
        <f>AND('Planilla_General_29-11-2012_10_'!G1003,"AAAAAH2y0JE=")</f>
        <v>#VALUE!</v>
      </c>
      <c r="EQ67" t="e">
        <f>AND('Planilla_General_29-11-2012_10_'!H1003,"AAAAAH2y0JI=")</f>
        <v>#VALUE!</v>
      </c>
      <c r="ER67" t="e">
        <f>AND('Planilla_General_29-11-2012_10_'!I1003,"AAAAAH2y0JM=")</f>
        <v>#VALUE!</v>
      </c>
      <c r="ES67" t="e">
        <f>AND('Planilla_General_29-11-2012_10_'!J1003,"AAAAAH2y0JQ=")</f>
        <v>#VALUE!</v>
      </c>
      <c r="ET67" t="e">
        <f>AND('Planilla_General_29-11-2012_10_'!K1003,"AAAAAH2y0JU=")</f>
        <v>#VALUE!</v>
      </c>
      <c r="EU67" t="e">
        <f>AND('Planilla_General_29-11-2012_10_'!L1003,"AAAAAH2y0JY=")</f>
        <v>#VALUE!</v>
      </c>
      <c r="EV67" t="e">
        <f>AND('Planilla_General_29-11-2012_10_'!M1003,"AAAAAH2y0Jc=")</f>
        <v>#VALUE!</v>
      </c>
      <c r="EW67" t="e">
        <f>AND('Planilla_General_29-11-2012_10_'!N1003,"AAAAAH2y0Jg=")</f>
        <v>#VALUE!</v>
      </c>
      <c r="EX67" t="e">
        <f>AND('Planilla_General_29-11-2012_10_'!O1003,"AAAAAH2y0Jk=")</f>
        <v>#VALUE!</v>
      </c>
      <c r="EY67" t="e">
        <f>AND('Planilla_General_29-11-2012_10_'!P1003,"AAAAAH2y0Jo=")</f>
        <v>#VALUE!</v>
      </c>
      <c r="EZ67">
        <f>IF('Planilla_General_29-11-2012_10_'!1004:1004,"AAAAAH2y0Js=",0)</f>
        <v>0</v>
      </c>
      <c r="FA67" t="e">
        <f>AND('Planilla_General_29-11-2012_10_'!A1004,"AAAAAH2y0Jw=")</f>
        <v>#VALUE!</v>
      </c>
      <c r="FB67" t="e">
        <f>AND('Planilla_General_29-11-2012_10_'!B1004,"AAAAAH2y0J0=")</f>
        <v>#VALUE!</v>
      </c>
      <c r="FC67" t="e">
        <f>AND('Planilla_General_29-11-2012_10_'!C1004,"AAAAAH2y0J4=")</f>
        <v>#VALUE!</v>
      </c>
      <c r="FD67" t="e">
        <f>AND('Planilla_General_29-11-2012_10_'!D1004,"AAAAAH2y0J8=")</f>
        <v>#VALUE!</v>
      </c>
      <c r="FE67" t="e">
        <f>AND('Planilla_General_29-11-2012_10_'!E1004,"AAAAAH2y0KA=")</f>
        <v>#VALUE!</v>
      </c>
      <c r="FF67" t="e">
        <f>AND('Planilla_General_29-11-2012_10_'!F1004,"AAAAAH2y0KE=")</f>
        <v>#VALUE!</v>
      </c>
      <c r="FG67" t="e">
        <f>AND('Planilla_General_29-11-2012_10_'!G1004,"AAAAAH2y0KI=")</f>
        <v>#VALUE!</v>
      </c>
      <c r="FH67" t="e">
        <f>AND('Planilla_General_29-11-2012_10_'!H1004,"AAAAAH2y0KM=")</f>
        <v>#VALUE!</v>
      </c>
      <c r="FI67" t="e">
        <f>AND('Planilla_General_29-11-2012_10_'!I1004,"AAAAAH2y0KQ=")</f>
        <v>#VALUE!</v>
      </c>
      <c r="FJ67" t="e">
        <f>AND('Planilla_General_29-11-2012_10_'!J1004,"AAAAAH2y0KU=")</f>
        <v>#VALUE!</v>
      </c>
      <c r="FK67" t="e">
        <f>AND('Planilla_General_29-11-2012_10_'!K1004,"AAAAAH2y0KY=")</f>
        <v>#VALUE!</v>
      </c>
      <c r="FL67" t="e">
        <f>AND('Planilla_General_29-11-2012_10_'!L1004,"AAAAAH2y0Kc=")</f>
        <v>#VALUE!</v>
      </c>
      <c r="FM67" t="e">
        <f>AND('Planilla_General_29-11-2012_10_'!M1004,"AAAAAH2y0Kg=")</f>
        <v>#VALUE!</v>
      </c>
      <c r="FN67" t="e">
        <f>AND('Planilla_General_29-11-2012_10_'!N1004,"AAAAAH2y0Kk=")</f>
        <v>#VALUE!</v>
      </c>
      <c r="FO67" t="e">
        <f>AND('Planilla_General_29-11-2012_10_'!O1004,"AAAAAH2y0Ko=")</f>
        <v>#VALUE!</v>
      </c>
      <c r="FP67" t="e">
        <f>AND('Planilla_General_29-11-2012_10_'!P1004,"AAAAAH2y0Ks=")</f>
        <v>#VALUE!</v>
      </c>
      <c r="FQ67">
        <f>IF('Planilla_General_29-11-2012_10_'!1005:1005,"AAAAAH2y0Kw=",0)</f>
        <v>0</v>
      </c>
      <c r="FR67" t="e">
        <f>AND('Planilla_General_29-11-2012_10_'!A1005,"AAAAAH2y0K0=")</f>
        <v>#VALUE!</v>
      </c>
      <c r="FS67" t="e">
        <f>AND('Planilla_General_29-11-2012_10_'!B1005,"AAAAAH2y0K4=")</f>
        <v>#VALUE!</v>
      </c>
      <c r="FT67" t="e">
        <f>AND('Planilla_General_29-11-2012_10_'!C1005,"AAAAAH2y0K8=")</f>
        <v>#VALUE!</v>
      </c>
      <c r="FU67" t="e">
        <f>AND('Planilla_General_29-11-2012_10_'!D1005,"AAAAAH2y0LA=")</f>
        <v>#VALUE!</v>
      </c>
      <c r="FV67" t="e">
        <f>AND('Planilla_General_29-11-2012_10_'!E1005,"AAAAAH2y0LE=")</f>
        <v>#VALUE!</v>
      </c>
      <c r="FW67" t="e">
        <f>AND('Planilla_General_29-11-2012_10_'!F1005,"AAAAAH2y0LI=")</f>
        <v>#VALUE!</v>
      </c>
      <c r="FX67" t="e">
        <f>AND('Planilla_General_29-11-2012_10_'!G1005,"AAAAAH2y0LM=")</f>
        <v>#VALUE!</v>
      </c>
      <c r="FY67" t="e">
        <f>AND('Planilla_General_29-11-2012_10_'!H1005,"AAAAAH2y0LQ=")</f>
        <v>#VALUE!</v>
      </c>
      <c r="FZ67" t="e">
        <f>AND('Planilla_General_29-11-2012_10_'!I1005,"AAAAAH2y0LU=")</f>
        <v>#VALUE!</v>
      </c>
      <c r="GA67" t="e">
        <f>AND('Planilla_General_29-11-2012_10_'!J1005,"AAAAAH2y0LY=")</f>
        <v>#VALUE!</v>
      </c>
      <c r="GB67" t="e">
        <f>AND('Planilla_General_29-11-2012_10_'!K1005,"AAAAAH2y0Lc=")</f>
        <v>#VALUE!</v>
      </c>
      <c r="GC67" t="e">
        <f>AND('Planilla_General_29-11-2012_10_'!L1005,"AAAAAH2y0Lg=")</f>
        <v>#VALUE!</v>
      </c>
      <c r="GD67" t="e">
        <f>AND('Planilla_General_29-11-2012_10_'!M1005,"AAAAAH2y0Lk=")</f>
        <v>#VALUE!</v>
      </c>
      <c r="GE67" t="e">
        <f>AND('Planilla_General_29-11-2012_10_'!N1005,"AAAAAH2y0Lo=")</f>
        <v>#VALUE!</v>
      </c>
      <c r="GF67" t="e">
        <f>AND('Planilla_General_29-11-2012_10_'!O1005,"AAAAAH2y0Ls=")</f>
        <v>#VALUE!</v>
      </c>
      <c r="GG67" t="e">
        <f>AND('Planilla_General_29-11-2012_10_'!P1005,"AAAAAH2y0Lw=")</f>
        <v>#VALUE!</v>
      </c>
      <c r="GH67">
        <f>IF('Planilla_General_29-11-2012_10_'!1006:1006,"AAAAAH2y0L0=",0)</f>
        <v>0</v>
      </c>
      <c r="GI67" t="e">
        <f>AND('Planilla_General_29-11-2012_10_'!A1006,"AAAAAH2y0L4=")</f>
        <v>#VALUE!</v>
      </c>
      <c r="GJ67" t="e">
        <f>AND('Planilla_General_29-11-2012_10_'!B1006,"AAAAAH2y0L8=")</f>
        <v>#VALUE!</v>
      </c>
      <c r="GK67" t="e">
        <f>AND('Planilla_General_29-11-2012_10_'!C1006,"AAAAAH2y0MA=")</f>
        <v>#VALUE!</v>
      </c>
      <c r="GL67" t="e">
        <f>AND('Planilla_General_29-11-2012_10_'!D1006,"AAAAAH2y0ME=")</f>
        <v>#VALUE!</v>
      </c>
      <c r="GM67" t="e">
        <f>AND('Planilla_General_29-11-2012_10_'!E1006,"AAAAAH2y0MI=")</f>
        <v>#VALUE!</v>
      </c>
      <c r="GN67" t="e">
        <f>AND('Planilla_General_29-11-2012_10_'!F1006,"AAAAAH2y0MM=")</f>
        <v>#VALUE!</v>
      </c>
      <c r="GO67" t="e">
        <f>AND('Planilla_General_29-11-2012_10_'!G1006,"AAAAAH2y0MQ=")</f>
        <v>#VALUE!</v>
      </c>
      <c r="GP67" t="e">
        <f>AND('Planilla_General_29-11-2012_10_'!H1006,"AAAAAH2y0MU=")</f>
        <v>#VALUE!</v>
      </c>
      <c r="GQ67" t="e">
        <f>AND('Planilla_General_29-11-2012_10_'!I1006,"AAAAAH2y0MY=")</f>
        <v>#VALUE!</v>
      </c>
      <c r="GR67" t="e">
        <f>AND('Planilla_General_29-11-2012_10_'!J1006,"AAAAAH2y0Mc=")</f>
        <v>#VALUE!</v>
      </c>
      <c r="GS67" t="e">
        <f>AND('Planilla_General_29-11-2012_10_'!K1006,"AAAAAH2y0Mg=")</f>
        <v>#VALUE!</v>
      </c>
      <c r="GT67" t="e">
        <f>AND('Planilla_General_29-11-2012_10_'!L1006,"AAAAAH2y0Mk=")</f>
        <v>#VALUE!</v>
      </c>
      <c r="GU67" t="e">
        <f>AND('Planilla_General_29-11-2012_10_'!M1006,"AAAAAH2y0Mo=")</f>
        <v>#VALUE!</v>
      </c>
      <c r="GV67" t="e">
        <f>AND('Planilla_General_29-11-2012_10_'!N1006,"AAAAAH2y0Ms=")</f>
        <v>#VALUE!</v>
      </c>
      <c r="GW67" t="e">
        <f>AND('Planilla_General_29-11-2012_10_'!O1006,"AAAAAH2y0Mw=")</f>
        <v>#VALUE!</v>
      </c>
      <c r="GX67" t="e">
        <f>AND('Planilla_General_29-11-2012_10_'!P1006,"AAAAAH2y0M0=")</f>
        <v>#VALUE!</v>
      </c>
      <c r="GY67">
        <f>IF('Planilla_General_29-11-2012_10_'!1007:1007,"AAAAAH2y0M4=",0)</f>
        <v>0</v>
      </c>
      <c r="GZ67" t="e">
        <f>AND('Planilla_General_29-11-2012_10_'!A1007,"AAAAAH2y0M8=")</f>
        <v>#VALUE!</v>
      </c>
      <c r="HA67" t="e">
        <f>AND('Planilla_General_29-11-2012_10_'!B1007,"AAAAAH2y0NA=")</f>
        <v>#VALUE!</v>
      </c>
      <c r="HB67" t="e">
        <f>AND('Planilla_General_29-11-2012_10_'!C1007,"AAAAAH2y0NE=")</f>
        <v>#VALUE!</v>
      </c>
      <c r="HC67" t="e">
        <f>AND('Planilla_General_29-11-2012_10_'!D1007,"AAAAAH2y0NI=")</f>
        <v>#VALUE!</v>
      </c>
      <c r="HD67" t="e">
        <f>AND('Planilla_General_29-11-2012_10_'!E1007,"AAAAAH2y0NM=")</f>
        <v>#VALUE!</v>
      </c>
      <c r="HE67" t="e">
        <f>AND('Planilla_General_29-11-2012_10_'!F1007,"AAAAAH2y0NQ=")</f>
        <v>#VALUE!</v>
      </c>
      <c r="HF67" t="e">
        <f>AND('Planilla_General_29-11-2012_10_'!G1007,"AAAAAH2y0NU=")</f>
        <v>#VALUE!</v>
      </c>
      <c r="HG67" t="e">
        <f>AND('Planilla_General_29-11-2012_10_'!H1007,"AAAAAH2y0NY=")</f>
        <v>#VALUE!</v>
      </c>
      <c r="HH67" t="e">
        <f>AND('Planilla_General_29-11-2012_10_'!I1007,"AAAAAH2y0Nc=")</f>
        <v>#VALUE!</v>
      </c>
      <c r="HI67" t="e">
        <f>AND('Planilla_General_29-11-2012_10_'!J1007,"AAAAAH2y0Ng=")</f>
        <v>#VALUE!</v>
      </c>
      <c r="HJ67" t="e">
        <f>AND('Planilla_General_29-11-2012_10_'!K1007,"AAAAAH2y0Nk=")</f>
        <v>#VALUE!</v>
      </c>
      <c r="HK67" t="e">
        <f>AND('Planilla_General_29-11-2012_10_'!L1007,"AAAAAH2y0No=")</f>
        <v>#VALUE!</v>
      </c>
      <c r="HL67" t="e">
        <f>AND('Planilla_General_29-11-2012_10_'!M1007,"AAAAAH2y0Ns=")</f>
        <v>#VALUE!</v>
      </c>
      <c r="HM67" t="e">
        <f>AND('Planilla_General_29-11-2012_10_'!N1007,"AAAAAH2y0Nw=")</f>
        <v>#VALUE!</v>
      </c>
      <c r="HN67" t="e">
        <f>AND('Planilla_General_29-11-2012_10_'!O1007,"AAAAAH2y0N0=")</f>
        <v>#VALUE!</v>
      </c>
      <c r="HO67" t="e">
        <f>AND('Planilla_General_29-11-2012_10_'!P1007,"AAAAAH2y0N4=")</f>
        <v>#VALUE!</v>
      </c>
      <c r="HP67">
        <f>IF('Planilla_General_29-11-2012_10_'!1008:1008,"AAAAAH2y0N8=",0)</f>
        <v>0</v>
      </c>
      <c r="HQ67" t="e">
        <f>AND('Planilla_General_29-11-2012_10_'!A1008,"AAAAAH2y0OA=")</f>
        <v>#VALUE!</v>
      </c>
      <c r="HR67" t="e">
        <f>AND('Planilla_General_29-11-2012_10_'!B1008,"AAAAAH2y0OE=")</f>
        <v>#VALUE!</v>
      </c>
      <c r="HS67" t="e">
        <f>AND('Planilla_General_29-11-2012_10_'!C1008,"AAAAAH2y0OI=")</f>
        <v>#VALUE!</v>
      </c>
      <c r="HT67" t="e">
        <f>AND('Planilla_General_29-11-2012_10_'!D1008,"AAAAAH2y0OM=")</f>
        <v>#VALUE!</v>
      </c>
      <c r="HU67" t="e">
        <f>AND('Planilla_General_29-11-2012_10_'!E1008,"AAAAAH2y0OQ=")</f>
        <v>#VALUE!</v>
      </c>
      <c r="HV67" t="e">
        <f>AND('Planilla_General_29-11-2012_10_'!F1008,"AAAAAH2y0OU=")</f>
        <v>#VALUE!</v>
      </c>
      <c r="HW67" t="e">
        <f>AND('Planilla_General_29-11-2012_10_'!G1008,"AAAAAH2y0OY=")</f>
        <v>#VALUE!</v>
      </c>
      <c r="HX67" t="e">
        <f>AND('Planilla_General_29-11-2012_10_'!H1008,"AAAAAH2y0Oc=")</f>
        <v>#VALUE!</v>
      </c>
      <c r="HY67" t="e">
        <f>AND('Planilla_General_29-11-2012_10_'!I1008,"AAAAAH2y0Og=")</f>
        <v>#VALUE!</v>
      </c>
      <c r="HZ67" t="e">
        <f>AND('Planilla_General_29-11-2012_10_'!J1008,"AAAAAH2y0Ok=")</f>
        <v>#VALUE!</v>
      </c>
      <c r="IA67" t="e">
        <f>AND('Planilla_General_29-11-2012_10_'!K1008,"AAAAAH2y0Oo=")</f>
        <v>#VALUE!</v>
      </c>
      <c r="IB67" t="e">
        <f>AND('Planilla_General_29-11-2012_10_'!L1008,"AAAAAH2y0Os=")</f>
        <v>#VALUE!</v>
      </c>
      <c r="IC67" t="e">
        <f>AND('Planilla_General_29-11-2012_10_'!M1008,"AAAAAH2y0Ow=")</f>
        <v>#VALUE!</v>
      </c>
      <c r="ID67" t="e">
        <f>AND('Planilla_General_29-11-2012_10_'!N1008,"AAAAAH2y0O0=")</f>
        <v>#VALUE!</v>
      </c>
      <c r="IE67" t="e">
        <f>AND('Planilla_General_29-11-2012_10_'!O1008,"AAAAAH2y0O4=")</f>
        <v>#VALUE!</v>
      </c>
      <c r="IF67" t="e">
        <f>AND('Planilla_General_29-11-2012_10_'!P1008,"AAAAAH2y0O8=")</f>
        <v>#VALUE!</v>
      </c>
      <c r="IG67">
        <f>IF('Planilla_General_29-11-2012_10_'!1009:1009,"AAAAAH2y0PA=",0)</f>
        <v>0</v>
      </c>
      <c r="IH67" t="e">
        <f>AND('Planilla_General_29-11-2012_10_'!A1009,"AAAAAH2y0PE=")</f>
        <v>#VALUE!</v>
      </c>
      <c r="II67" t="e">
        <f>AND('Planilla_General_29-11-2012_10_'!B1009,"AAAAAH2y0PI=")</f>
        <v>#VALUE!</v>
      </c>
      <c r="IJ67" t="e">
        <f>AND('Planilla_General_29-11-2012_10_'!C1009,"AAAAAH2y0PM=")</f>
        <v>#VALUE!</v>
      </c>
      <c r="IK67" t="e">
        <f>AND('Planilla_General_29-11-2012_10_'!D1009,"AAAAAH2y0PQ=")</f>
        <v>#VALUE!</v>
      </c>
      <c r="IL67" t="e">
        <f>AND('Planilla_General_29-11-2012_10_'!E1009,"AAAAAH2y0PU=")</f>
        <v>#VALUE!</v>
      </c>
      <c r="IM67" t="e">
        <f>AND('Planilla_General_29-11-2012_10_'!F1009,"AAAAAH2y0PY=")</f>
        <v>#VALUE!</v>
      </c>
      <c r="IN67" t="e">
        <f>AND('Planilla_General_29-11-2012_10_'!G1009,"AAAAAH2y0Pc=")</f>
        <v>#VALUE!</v>
      </c>
      <c r="IO67" t="e">
        <f>AND('Planilla_General_29-11-2012_10_'!H1009,"AAAAAH2y0Pg=")</f>
        <v>#VALUE!</v>
      </c>
      <c r="IP67" t="e">
        <f>AND('Planilla_General_29-11-2012_10_'!I1009,"AAAAAH2y0Pk=")</f>
        <v>#VALUE!</v>
      </c>
      <c r="IQ67" t="e">
        <f>AND('Planilla_General_29-11-2012_10_'!J1009,"AAAAAH2y0Po=")</f>
        <v>#VALUE!</v>
      </c>
      <c r="IR67" t="e">
        <f>AND('Planilla_General_29-11-2012_10_'!K1009,"AAAAAH2y0Ps=")</f>
        <v>#VALUE!</v>
      </c>
      <c r="IS67" t="e">
        <f>AND('Planilla_General_29-11-2012_10_'!L1009,"AAAAAH2y0Pw=")</f>
        <v>#VALUE!</v>
      </c>
      <c r="IT67" t="e">
        <f>AND('Planilla_General_29-11-2012_10_'!M1009,"AAAAAH2y0P0=")</f>
        <v>#VALUE!</v>
      </c>
      <c r="IU67" t="e">
        <f>AND('Planilla_General_29-11-2012_10_'!N1009,"AAAAAH2y0P4=")</f>
        <v>#VALUE!</v>
      </c>
      <c r="IV67" t="e">
        <f>AND('Planilla_General_29-11-2012_10_'!O1009,"AAAAAH2y0P8=")</f>
        <v>#VALUE!</v>
      </c>
    </row>
    <row r="68" spans="1:256" x14ac:dyDescent="0.25">
      <c r="A68" t="e">
        <f>AND('Planilla_General_29-11-2012_10_'!P1009,"AAAAAHP79wA=")</f>
        <v>#VALUE!</v>
      </c>
      <c r="B68" t="e">
        <f>IF('Planilla_General_29-11-2012_10_'!1010:1010,"AAAAAHP79wE=",0)</f>
        <v>#VALUE!</v>
      </c>
      <c r="C68" t="e">
        <f>AND('Planilla_General_29-11-2012_10_'!A1010,"AAAAAHP79wI=")</f>
        <v>#VALUE!</v>
      </c>
      <c r="D68" t="e">
        <f>AND('Planilla_General_29-11-2012_10_'!B1010,"AAAAAHP79wM=")</f>
        <v>#VALUE!</v>
      </c>
      <c r="E68" t="e">
        <f>AND('Planilla_General_29-11-2012_10_'!C1010,"AAAAAHP79wQ=")</f>
        <v>#VALUE!</v>
      </c>
      <c r="F68" t="e">
        <f>AND('Planilla_General_29-11-2012_10_'!D1010,"AAAAAHP79wU=")</f>
        <v>#VALUE!</v>
      </c>
      <c r="G68" t="e">
        <f>AND('Planilla_General_29-11-2012_10_'!E1010,"AAAAAHP79wY=")</f>
        <v>#VALUE!</v>
      </c>
      <c r="H68" t="e">
        <f>AND('Planilla_General_29-11-2012_10_'!F1010,"AAAAAHP79wc=")</f>
        <v>#VALUE!</v>
      </c>
      <c r="I68" t="e">
        <f>AND('Planilla_General_29-11-2012_10_'!G1010,"AAAAAHP79wg=")</f>
        <v>#VALUE!</v>
      </c>
      <c r="J68" t="e">
        <f>AND('Planilla_General_29-11-2012_10_'!H1010,"AAAAAHP79wk=")</f>
        <v>#VALUE!</v>
      </c>
      <c r="K68" t="e">
        <f>AND('Planilla_General_29-11-2012_10_'!I1010,"AAAAAHP79wo=")</f>
        <v>#VALUE!</v>
      </c>
      <c r="L68" t="e">
        <f>AND('Planilla_General_29-11-2012_10_'!J1010,"AAAAAHP79ws=")</f>
        <v>#VALUE!</v>
      </c>
      <c r="M68" t="e">
        <f>AND('Planilla_General_29-11-2012_10_'!K1010,"AAAAAHP79ww=")</f>
        <v>#VALUE!</v>
      </c>
      <c r="N68" t="e">
        <f>AND('Planilla_General_29-11-2012_10_'!L1010,"AAAAAHP79w0=")</f>
        <v>#VALUE!</v>
      </c>
      <c r="O68" t="e">
        <f>AND('Planilla_General_29-11-2012_10_'!M1010,"AAAAAHP79w4=")</f>
        <v>#VALUE!</v>
      </c>
      <c r="P68" t="e">
        <f>AND('Planilla_General_29-11-2012_10_'!N1010,"AAAAAHP79w8=")</f>
        <v>#VALUE!</v>
      </c>
      <c r="Q68" t="e">
        <f>AND('Planilla_General_29-11-2012_10_'!O1010,"AAAAAHP79xA=")</f>
        <v>#VALUE!</v>
      </c>
      <c r="R68" t="e">
        <f>AND('Planilla_General_29-11-2012_10_'!P1010,"AAAAAHP79xE=")</f>
        <v>#VALUE!</v>
      </c>
      <c r="S68">
        <f>IF('Planilla_General_29-11-2012_10_'!1011:1011,"AAAAAHP79xI=",0)</f>
        <v>0</v>
      </c>
      <c r="T68" t="e">
        <f>AND('Planilla_General_29-11-2012_10_'!A1011,"AAAAAHP79xM=")</f>
        <v>#VALUE!</v>
      </c>
      <c r="U68" t="e">
        <f>AND('Planilla_General_29-11-2012_10_'!B1011,"AAAAAHP79xQ=")</f>
        <v>#VALUE!</v>
      </c>
      <c r="V68" t="e">
        <f>AND('Planilla_General_29-11-2012_10_'!C1011,"AAAAAHP79xU=")</f>
        <v>#VALUE!</v>
      </c>
      <c r="W68" t="e">
        <f>AND('Planilla_General_29-11-2012_10_'!D1011,"AAAAAHP79xY=")</f>
        <v>#VALUE!</v>
      </c>
      <c r="X68" t="e">
        <f>AND('Planilla_General_29-11-2012_10_'!E1011,"AAAAAHP79xc=")</f>
        <v>#VALUE!</v>
      </c>
      <c r="Y68" t="e">
        <f>AND('Planilla_General_29-11-2012_10_'!F1011,"AAAAAHP79xg=")</f>
        <v>#VALUE!</v>
      </c>
      <c r="Z68" t="e">
        <f>AND('Planilla_General_29-11-2012_10_'!G1011,"AAAAAHP79xk=")</f>
        <v>#VALUE!</v>
      </c>
      <c r="AA68" t="e">
        <f>AND('Planilla_General_29-11-2012_10_'!H1011,"AAAAAHP79xo=")</f>
        <v>#VALUE!</v>
      </c>
      <c r="AB68" t="e">
        <f>AND('Planilla_General_29-11-2012_10_'!I1011,"AAAAAHP79xs=")</f>
        <v>#VALUE!</v>
      </c>
      <c r="AC68" t="e">
        <f>AND('Planilla_General_29-11-2012_10_'!J1011,"AAAAAHP79xw=")</f>
        <v>#VALUE!</v>
      </c>
      <c r="AD68" t="e">
        <f>AND('Planilla_General_29-11-2012_10_'!K1011,"AAAAAHP79x0=")</f>
        <v>#VALUE!</v>
      </c>
      <c r="AE68" t="e">
        <f>AND('Planilla_General_29-11-2012_10_'!L1011,"AAAAAHP79x4=")</f>
        <v>#VALUE!</v>
      </c>
      <c r="AF68" t="e">
        <f>AND('Planilla_General_29-11-2012_10_'!M1011,"AAAAAHP79x8=")</f>
        <v>#VALUE!</v>
      </c>
      <c r="AG68" t="e">
        <f>AND('Planilla_General_29-11-2012_10_'!N1011,"AAAAAHP79yA=")</f>
        <v>#VALUE!</v>
      </c>
      <c r="AH68" t="e">
        <f>AND('Planilla_General_29-11-2012_10_'!O1011,"AAAAAHP79yE=")</f>
        <v>#VALUE!</v>
      </c>
      <c r="AI68" t="e">
        <f>AND('Planilla_General_29-11-2012_10_'!P1011,"AAAAAHP79yI=")</f>
        <v>#VALUE!</v>
      </c>
      <c r="AJ68">
        <f>IF('Planilla_General_29-11-2012_10_'!1012:1012,"AAAAAHP79yM=",0)</f>
        <v>0</v>
      </c>
      <c r="AK68" t="e">
        <f>AND('Planilla_General_29-11-2012_10_'!A1012,"AAAAAHP79yQ=")</f>
        <v>#VALUE!</v>
      </c>
      <c r="AL68" t="e">
        <f>AND('Planilla_General_29-11-2012_10_'!B1012,"AAAAAHP79yU=")</f>
        <v>#VALUE!</v>
      </c>
      <c r="AM68" t="e">
        <f>AND('Planilla_General_29-11-2012_10_'!C1012,"AAAAAHP79yY=")</f>
        <v>#VALUE!</v>
      </c>
      <c r="AN68" t="e">
        <f>AND('Planilla_General_29-11-2012_10_'!D1012,"AAAAAHP79yc=")</f>
        <v>#VALUE!</v>
      </c>
      <c r="AO68" t="e">
        <f>AND('Planilla_General_29-11-2012_10_'!E1012,"AAAAAHP79yg=")</f>
        <v>#VALUE!</v>
      </c>
      <c r="AP68" t="e">
        <f>AND('Planilla_General_29-11-2012_10_'!F1012,"AAAAAHP79yk=")</f>
        <v>#VALUE!</v>
      </c>
      <c r="AQ68" t="e">
        <f>AND('Planilla_General_29-11-2012_10_'!G1012,"AAAAAHP79yo=")</f>
        <v>#VALUE!</v>
      </c>
      <c r="AR68" t="e">
        <f>AND('Planilla_General_29-11-2012_10_'!H1012,"AAAAAHP79ys=")</f>
        <v>#VALUE!</v>
      </c>
      <c r="AS68" t="e">
        <f>AND('Planilla_General_29-11-2012_10_'!I1012,"AAAAAHP79yw=")</f>
        <v>#VALUE!</v>
      </c>
      <c r="AT68" t="e">
        <f>AND('Planilla_General_29-11-2012_10_'!J1012,"AAAAAHP79y0=")</f>
        <v>#VALUE!</v>
      </c>
      <c r="AU68" t="e">
        <f>AND('Planilla_General_29-11-2012_10_'!K1012,"AAAAAHP79y4=")</f>
        <v>#VALUE!</v>
      </c>
      <c r="AV68" t="e">
        <f>AND('Planilla_General_29-11-2012_10_'!L1012,"AAAAAHP79y8=")</f>
        <v>#VALUE!</v>
      </c>
      <c r="AW68" t="e">
        <f>AND('Planilla_General_29-11-2012_10_'!M1012,"AAAAAHP79zA=")</f>
        <v>#VALUE!</v>
      </c>
      <c r="AX68" t="e">
        <f>AND('Planilla_General_29-11-2012_10_'!N1012,"AAAAAHP79zE=")</f>
        <v>#VALUE!</v>
      </c>
      <c r="AY68" t="e">
        <f>AND('Planilla_General_29-11-2012_10_'!O1012,"AAAAAHP79zI=")</f>
        <v>#VALUE!</v>
      </c>
      <c r="AZ68" t="e">
        <f>AND('Planilla_General_29-11-2012_10_'!P1012,"AAAAAHP79zM=")</f>
        <v>#VALUE!</v>
      </c>
      <c r="BA68">
        <f>IF('Planilla_General_29-11-2012_10_'!1013:1013,"AAAAAHP79zQ=",0)</f>
        <v>0</v>
      </c>
      <c r="BB68" t="e">
        <f>AND('Planilla_General_29-11-2012_10_'!A1013,"AAAAAHP79zU=")</f>
        <v>#VALUE!</v>
      </c>
      <c r="BC68" t="e">
        <f>AND('Planilla_General_29-11-2012_10_'!B1013,"AAAAAHP79zY=")</f>
        <v>#VALUE!</v>
      </c>
      <c r="BD68" t="e">
        <f>AND('Planilla_General_29-11-2012_10_'!C1013,"AAAAAHP79zc=")</f>
        <v>#VALUE!</v>
      </c>
      <c r="BE68" t="e">
        <f>AND('Planilla_General_29-11-2012_10_'!D1013,"AAAAAHP79zg=")</f>
        <v>#VALUE!</v>
      </c>
      <c r="BF68" t="e">
        <f>AND('Planilla_General_29-11-2012_10_'!E1013,"AAAAAHP79zk=")</f>
        <v>#VALUE!</v>
      </c>
      <c r="BG68" t="e">
        <f>AND('Planilla_General_29-11-2012_10_'!F1013,"AAAAAHP79zo=")</f>
        <v>#VALUE!</v>
      </c>
      <c r="BH68" t="e">
        <f>AND('Planilla_General_29-11-2012_10_'!G1013,"AAAAAHP79zs=")</f>
        <v>#VALUE!</v>
      </c>
      <c r="BI68" t="e">
        <f>AND('Planilla_General_29-11-2012_10_'!H1013,"AAAAAHP79zw=")</f>
        <v>#VALUE!</v>
      </c>
      <c r="BJ68" t="e">
        <f>AND('Planilla_General_29-11-2012_10_'!I1013,"AAAAAHP79z0=")</f>
        <v>#VALUE!</v>
      </c>
      <c r="BK68" t="e">
        <f>AND('Planilla_General_29-11-2012_10_'!J1013,"AAAAAHP79z4=")</f>
        <v>#VALUE!</v>
      </c>
      <c r="BL68" t="e">
        <f>AND('Planilla_General_29-11-2012_10_'!K1013,"AAAAAHP79z8=")</f>
        <v>#VALUE!</v>
      </c>
      <c r="BM68" t="e">
        <f>AND('Planilla_General_29-11-2012_10_'!L1013,"AAAAAHP790A=")</f>
        <v>#VALUE!</v>
      </c>
      <c r="BN68" t="e">
        <f>AND('Planilla_General_29-11-2012_10_'!M1013,"AAAAAHP790E=")</f>
        <v>#VALUE!</v>
      </c>
      <c r="BO68" t="e">
        <f>AND('Planilla_General_29-11-2012_10_'!N1013,"AAAAAHP790I=")</f>
        <v>#VALUE!</v>
      </c>
      <c r="BP68" t="e">
        <f>AND('Planilla_General_29-11-2012_10_'!O1013,"AAAAAHP790M=")</f>
        <v>#VALUE!</v>
      </c>
      <c r="BQ68" t="e">
        <f>AND('Planilla_General_29-11-2012_10_'!P1013,"AAAAAHP790Q=")</f>
        <v>#VALUE!</v>
      </c>
      <c r="BR68">
        <f>IF('Planilla_General_29-11-2012_10_'!1014:1014,"AAAAAHP790U=",0)</f>
        <v>0</v>
      </c>
      <c r="BS68" t="e">
        <f>AND('Planilla_General_29-11-2012_10_'!A1014,"AAAAAHP790Y=")</f>
        <v>#VALUE!</v>
      </c>
      <c r="BT68" t="e">
        <f>AND('Planilla_General_29-11-2012_10_'!B1014,"AAAAAHP790c=")</f>
        <v>#VALUE!</v>
      </c>
      <c r="BU68" t="e">
        <f>AND('Planilla_General_29-11-2012_10_'!C1014,"AAAAAHP790g=")</f>
        <v>#VALUE!</v>
      </c>
      <c r="BV68" t="e">
        <f>AND('Planilla_General_29-11-2012_10_'!D1014,"AAAAAHP790k=")</f>
        <v>#VALUE!</v>
      </c>
      <c r="BW68" t="e">
        <f>AND('Planilla_General_29-11-2012_10_'!E1014,"AAAAAHP790o=")</f>
        <v>#VALUE!</v>
      </c>
      <c r="BX68" t="e">
        <f>AND('Planilla_General_29-11-2012_10_'!F1014,"AAAAAHP790s=")</f>
        <v>#VALUE!</v>
      </c>
      <c r="BY68" t="e">
        <f>AND('Planilla_General_29-11-2012_10_'!G1014,"AAAAAHP790w=")</f>
        <v>#VALUE!</v>
      </c>
      <c r="BZ68" t="e">
        <f>AND('Planilla_General_29-11-2012_10_'!H1014,"AAAAAHP7900=")</f>
        <v>#VALUE!</v>
      </c>
      <c r="CA68" t="e">
        <f>AND('Planilla_General_29-11-2012_10_'!I1014,"AAAAAHP7904=")</f>
        <v>#VALUE!</v>
      </c>
      <c r="CB68" t="e">
        <f>AND('Planilla_General_29-11-2012_10_'!J1014,"AAAAAHP7908=")</f>
        <v>#VALUE!</v>
      </c>
      <c r="CC68" t="e">
        <f>AND('Planilla_General_29-11-2012_10_'!K1014,"AAAAAHP791A=")</f>
        <v>#VALUE!</v>
      </c>
      <c r="CD68" t="e">
        <f>AND('Planilla_General_29-11-2012_10_'!L1014,"AAAAAHP791E=")</f>
        <v>#VALUE!</v>
      </c>
      <c r="CE68" t="e">
        <f>AND('Planilla_General_29-11-2012_10_'!M1014,"AAAAAHP791I=")</f>
        <v>#VALUE!</v>
      </c>
      <c r="CF68" t="e">
        <f>AND('Planilla_General_29-11-2012_10_'!N1014,"AAAAAHP791M=")</f>
        <v>#VALUE!</v>
      </c>
      <c r="CG68" t="e">
        <f>AND('Planilla_General_29-11-2012_10_'!O1014,"AAAAAHP791Q=")</f>
        <v>#VALUE!</v>
      </c>
      <c r="CH68" t="e">
        <f>AND('Planilla_General_29-11-2012_10_'!P1014,"AAAAAHP791U=")</f>
        <v>#VALUE!</v>
      </c>
      <c r="CI68">
        <f>IF('Planilla_General_29-11-2012_10_'!1015:1015,"AAAAAHP791Y=",0)</f>
        <v>0</v>
      </c>
      <c r="CJ68" t="e">
        <f>AND('Planilla_General_29-11-2012_10_'!A1015,"AAAAAHP791c=")</f>
        <v>#VALUE!</v>
      </c>
      <c r="CK68" t="e">
        <f>AND('Planilla_General_29-11-2012_10_'!B1015,"AAAAAHP791g=")</f>
        <v>#VALUE!</v>
      </c>
      <c r="CL68" t="e">
        <f>AND('Planilla_General_29-11-2012_10_'!C1015,"AAAAAHP791k=")</f>
        <v>#VALUE!</v>
      </c>
      <c r="CM68" t="e">
        <f>AND('Planilla_General_29-11-2012_10_'!D1015,"AAAAAHP791o=")</f>
        <v>#VALUE!</v>
      </c>
      <c r="CN68" t="e">
        <f>AND('Planilla_General_29-11-2012_10_'!E1015,"AAAAAHP791s=")</f>
        <v>#VALUE!</v>
      </c>
      <c r="CO68" t="e">
        <f>AND('Planilla_General_29-11-2012_10_'!F1015,"AAAAAHP791w=")</f>
        <v>#VALUE!</v>
      </c>
      <c r="CP68" t="e">
        <f>AND('Planilla_General_29-11-2012_10_'!G1015,"AAAAAHP7910=")</f>
        <v>#VALUE!</v>
      </c>
      <c r="CQ68" t="e">
        <f>AND('Planilla_General_29-11-2012_10_'!H1015,"AAAAAHP7914=")</f>
        <v>#VALUE!</v>
      </c>
      <c r="CR68" t="e">
        <f>AND('Planilla_General_29-11-2012_10_'!I1015,"AAAAAHP7918=")</f>
        <v>#VALUE!</v>
      </c>
      <c r="CS68" t="e">
        <f>AND('Planilla_General_29-11-2012_10_'!J1015,"AAAAAHP792A=")</f>
        <v>#VALUE!</v>
      </c>
      <c r="CT68" t="e">
        <f>AND('Planilla_General_29-11-2012_10_'!K1015,"AAAAAHP792E=")</f>
        <v>#VALUE!</v>
      </c>
      <c r="CU68" t="e">
        <f>AND('Planilla_General_29-11-2012_10_'!L1015,"AAAAAHP792I=")</f>
        <v>#VALUE!</v>
      </c>
      <c r="CV68" t="e">
        <f>AND('Planilla_General_29-11-2012_10_'!M1015,"AAAAAHP792M=")</f>
        <v>#VALUE!</v>
      </c>
      <c r="CW68" t="e">
        <f>AND('Planilla_General_29-11-2012_10_'!N1015,"AAAAAHP792Q=")</f>
        <v>#VALUE!</v>
      </c>
      <c r="CX68" t="e">
        <f>AND('Planilla_General_29-11-2012_10_'!O1015,"AAAAAHP792U=")</f>
        <v>#VALUE!</v>
      </c>
      <c r="CY68" t="e">
        <f>AND('Planilla_General_29-11-2012_10_'!P1015,"AAAAAHP792Y=")</f>
        <v>#VALUE!</v>
      </c>
      <c r="CZ68">
        <f>IF('Planilla_General_29-11-2012_10_'!1016:1016,"AAAAAHP792c=",0)</f>
        <v>0</v>
      </c>
      <c r="DA68" t="e">
        <f>AND('Planilla_General_29-11-2012_10_'!A1016,"AAAAAHP792g=")</f>
        <v>#VALUE!</v>
      </c>
      <c r="DB68" t="e">
        <f>AND('Planilla_General_29-11-2012_10_'!B1016,"AAAAAHP792k=")</f>
        <v>#VALUE!</v>
      </c>
      <c r="DC68" t="e">
        <f>AND('Planilla_General_29-11-2012_10_'!C1016,"AAAAAHP792o=")</f>
        <v>#VALUE!</v>
      </c>
      <c r="DD68" t="e">
        <f>AND('Planilla_General_29-11-2012_10_'!D1016,"AAAAAHP792s=")</f>
        <v>#VALUE!</v>
      </c>
      <c r="DE68" t="e">
        <f>AND('Planilla_General_29-11-2012_10_'!E1016,"AAAAAHP792w=")</f>
        <v>#VALUE!</v>
      </c>
      <c r="DF68" t="e">
        <f>AND('Planilla_General_29-11-2012_10_'!F1016,"AAAAAHP7920=")</f>
        <v>#VALUE!</v>
      </c>
      <c r="DG68" t="e">
        <f>AND('Planilla_General_29-11-2012_10_'!G1016,"AAAAAHP7924=")</f>
        <v>#VALUE!</v>
      </c>
      <c r="DH68" t="e">
        <f>AND('Planilla_General_29-11-2012_10_'!H1016,"AAAAAHP7928=")</f>
        <v>#VALUE!</v>
      </c>
      <c r="DI68" t="e">
        <f>AND('Planilla_General_29-11-2012_10_'!I1016,"AAAAAHP793A=")</f>
        <v>#VALUE!</v>
      </c>
      <c r="DJ68" t="e">
        <f>AND('Planilla_General_29-11-2012_10_'!J1016,"AAAAAHP793E=")</f>
        <v>#VALUE!</v>
      </c>
      <c r="DK68" t="e">
        <f>AND('Planilla_General_29-11-2012_10_'!K1016,"AAAAAHP793I=")</f>
        <v>#VALUE!</v>
      </c>
      <c r="DL68" t="e">
        <f>AND('Planilla_General_29-11-2012_10_'!L1016,"AAAAAHP793M=")</f>
        <v>#VALUE!</v>
      </c>
      <c r="DM68" t="e">
        <f>AND('Planilla_General_29-11-2012_10_'!M1016,"AAAAAHP793Q=")</f>
        <v>#VALUE!</v>
      </c>
      <c r="DN68" t="e">
        <f>AND('Planilla_General_29-11-2012_10_'!N1016,"AAAAAHP793U=")</f>
        <v>#VALUE!</v>
      </c>
      <c r="DO68" t="e">
        <f>AND('Planilla_General_29-11-2012_10_'!O1016,"AAAAAHP793Y=")</f>
        <v>#VALUE!</v>
      </c>
      <c r="DP68" t="e">
        <f>AND('Planilla_General_29-11-2012_10_'!P1016,"AAAAAHP793c=")</f>
        <v>#VALUE!</v>
      </c>
      <c r="DQ68">
        <f>IF('Planilla_General_29-11-2012_10_'!1017:1017,"AAAAAHP793g=",0)</f>
        <v>0</v>
      </c>
      <c r="DR68" t="e">
        <f>AND('Planilla_General_29-11-2012_10_'!A1017,"AAAAAHP793k=")</f>
        <v>#VALUE!</v>
      </c>
      <c r="DS68" t="e">
        <f>AND('Planilla_General_29-11-2012_10_'!B1017,"AAAAAHP793o=")</f>
        <v>#VALUE!</v>
      </c>
      <c r="DT68" t="e">
        <f>AND('Planilla_General_29-11-2012_10_'!C1017,"AAAAAHP793s=")</f>
        <v>#VALUE!</v>
      </c>
      <c r="DU68" t="e">
        <f>AND('Planilla_General_29-11-2012_10_'!D1017,"AAAAAHP793w=")</f>
        <v>#VALUE!</v>
      </c>
      <c r="DV68" t="e">
        <f>AND('Planilla_General_29-11-2012_10_'!E1017,"AAAAAHP7930=")</f>
        <v>#VALUE!</v>
      </c>
      <c r="DW68" t="e">
        <f>AND('Planilla_General_29-11-2012_10_'!F1017,"AAAAAHP7934=")</f>
        <v>#VALUE!</v>
      </c>
      <c r="DX68" t="e">
        <f>AND('Planilla_General_29-11-2012_10_'!G1017,"AAAAAHP7938=")</f>
        <v>#VALUE!</v>
      </c>
      <c r="DY68" t="e">
        <f>AND('Planilla_General_29-11-2012_10_'!H1017,"AAAAAHP794A=")</f>
        <v>#VALUE!</v>
      </c>
      <c r="DZ68" t="e">
        <f>AND('Planilla_General_29-11-2012_10_'!I1017,"AAAAAHP794E=")</f>
        <v>#VALUE!</v>
      </c>
      <c r="EA68" t="e">
        <f>AND('Planilla_General_29-11-2012_10_'!J1017,"AAAAAHP794I=")</f>
        <v>#VALUE!</v>
      </c>
      <c r="EB68" t="e">
        <f>AND('Planilla_General_29-11-2012_10_'!K1017,"AAAAAHP794M=")</f>
        <v>#VALUE!</v>
      </c>
      <c r="EC68" t="e">
        <f>AND('Planilla_General_29-11-2012_10_'!L1017,"AAAAAHP794Q=")</f>
        <v>#VALUE!</v>
      </c>
      <c r="ED68" t="e">
        <f>AND('Planilla_General_29-11-2012_10_'!M1017,"AAAAAHP794U=")</f>
        <v>#VALUE!</v>
      </c>
      <c r="EE68" t="e">
        <f>AND('Planilla_General_29-11-2012_10_'!N1017,"AAAAAHP794Y=")</f>
        <v>#VALUE!</v>
      </c>
      <c r="EF68" t="e">
        <f>AND('Planilla_General_29-11-2012_10_'!O1017,"AAAAAHP794c=")</f>
        <v>#VALUE!</v>
      </c>
      <c r="EG68" t="e">
        <f>AND('Planilla_General_29-11-2012_10_'!P1017,"AAAAAHP794g=")</f>
        <v>#VALUE!</v>
      </c>
      <c r="EH68">
        <f>IF('Planilla_General_29-11-2012_10_'!1018:1018,"AAAAAHP794k=",0)</f>
        <v>0</v>
      </c>
      <c r="EI68" t="e">
        <f>AND('Planilla_General_29-11-2012_10_'!A1018,"AAAAAHP794o=")</f>
        <v>#VALUE!</v>
      </c>
      <c r="EJ68" t="e">
        <f>AND('Planilla_General_29-11-2012_10_'!B1018,"AAAAAHP794s=")</f>
        <v>#VALUE!</v>
      </c>
      <c r="EK68" t="e">
        <f>AND('Planilla_General_29-11-2012_10_'!C1018,"AAAAAHP794w=")</f>
        <v>#VALUE!</v>
      </c>
      <c r="EL68" t="e">
        <f>AND('Planilla_General_29-11-2012_10_'!D1018,"AAAAAHP7940=")</f>
        <v>#VALUE!</v>
      </c>
      <c r="EM68" t="e">
        <f>AND('Planilla_General_29-11-2012_10_'!E1018,"AAAAAHP7944=")</f>
        <v>#VALUE!</v>
      </c>
      <c r="EN68" t="e">
        <f>AND('Planilla_General_29-11-2012_10_'!F1018,"AAAAAHP7948=")</f>
        <v>#VALUE!</v>
      </c>
      <c r="EO68" t="e">
        <f>AND('Planilla_General_29-11-2012_10_'!G1018,"AAAAAHP795A=")</f>
        <v>#VALUE!</v>
      </c>
      <c r="EP68" t="e">
        <f>AND('Planilla_General_29-11-2012_10_'!H1018,"AAAAAHP795E=")</f>
        <v>#VALUE!</v>
      </c>
      <c r="EQ68" t="e">
        <f>AND('Planilla_General_29-11-2012_10_'!I1018,"AAAAAHP795I=")</f>
        <v>#VALUE!</v>
      </c>
      <c r="ER68" t="e">
        <f>AND('Planilla_General_29-11-2012_10_'!J1018,"AAAAAHP795M=")</f>
        <v>#VALUE!</v>
      </c>
      <c r="ES68" t="e">
        <f>AND('Planilla_General_29-11-2012_10_'!K1018,"AAAAAHP795Q=")</f>
        <v>#VALUE!</v>
      </c>
      <c r="ET68" t="e">
        <f>AND('Planilla_General_29-11-2012_10_'!L1018,"AAAAAHP795U=")</f>
        <v>#VALUE!</v>
      </c>
      <c r="EU68" t="e">
        <f>AND('Planilla_General_29-11-2012_10_'!M1018,"AAAAAHP795Y=")</f>
        <v>#VALUE!</v>
      </c>
      <c r="EV68" t="e">
        <f>AND('Planilla_General_29-11-2012_10_'!N1018,"AAAAAHP795c=")</f>
        <v>#VALUE!</v>
      </c>
      <c r="EW68" t="e">
        <f>AND('Planilla_General_29-11-2012_10_'!O1018,"AAAAAHP795g=")</f>
        <v>#VALUE!</v>
      </c>
      <c r="EX68" t="e">
        <f>AND('Planilla_General_29-11-2012_10_'!P1018,"AAAAAHP795k=")</f>
        <v>#VALUE!</v>
      </c>
      <c r="EY68">
        <f>IF('Planilla_General_29-11-2012_10_'!1019:1019,"AAAAAHP795o=",0)</f>
        <v>0</v>
      </c>
      <c r="EZ68" t="e">
        <f>AND('Planilla_General_29-11-2012_10_'!A1019,"AAAAAHP795s=")</f>
        <v>#VALUE!</v>
      </c>
      <c r="FA68" t="e">
        <f>AND('Planilla_General_29-11-2012_10_'!B1019,"AAAAAHP795w=")</f>
        <v>#VALUE!</v>
      </c>
      <c r="FB68" t="e">
        <f>AND('Planilla_General_29-11-2012_10_'!C1019,"AAAAAHP7950=")</f>
        <v>#VALUE!</v>
      </c>
      <c r="FC68" t="e">
        <f>AND('Planilla_General_29-11-2012_10_'!D1019,"AAAAAHP7954=")</f>
        <v>#VALUE!</v>
      </c>
      <c r="FD68" t="e">
        <f>AND('Planilla_General_29-11-2012_10_'!E1019,"AAAAAHP7958=")</f>
        <v>#VALUE!</v>
      </c>
      <c r="FE68" t="e">
        <f>AND('Planilla_General_29-11-2012_10_'!F1019,"AAAAAHP796A=")</f>
        <v>#VALUE!</v>
      </c>
      <c r="FF68" t="e">
        <f>AND('Planilla_General_29-11-2012_10_'!G1019,"AAAAAHP796E=")</f>
        <v>#VALUE!</v>
      </c>
      <c r="FG68" t="e">
        <f>AND('Planilla_General_29-11-2012_10_'!H1019,"AAAAAHP796I=")</f>
        <v>#VALUE!</v>
      </c>
      <c r="FH68" t="e">
        <f>AND('Planilla_General_29-11-2012_10_'!I1019,"AAAAAHP796M=")</f>
        <v>#VALUE!</v>
      </c>
      <c r="FI68" t="e">
        <f>AND('Planilla_General_29-11-2012_10_'!J1019,"AAAAAHP796Q=")</f>
        <v>#VALUE!</v>
      </c>
      <c r="FJ68" t="e">
        <f>AND('Planilla_General_29-11-2012_10_'!K1019,"AAAAAHP796U=")</f>
        <v>#VALUE!</v>
      </c>
      <c r="FK68" t="e">
        <f>AND('Planilla_General_29-11-2012_10_'!L1019,"AAAAAHP796Y=")</f>
        <v>#VALUE!</v>
      </c>
      <c r="FL68" t="e">
        <f>AND('Planilla_General_29-11-2012_10_'!M1019,"AAAAAHP796c=")</f>
        <v>#VALUE!</v>
      </c>
      <c r="FM68" t="e">
        <f>AND('Planilla_General_29-11-2012_10_'!N1019,"AAAAAHP796g=")</f>
        <v>#VALUE!</v>
      </c>
      <c r="FN68" t="e">
        <f>AND('Planilla_General_29-11-2012_10_'!O1019,"AAAAAHP796k=")</f>
        <v>#VALUE!</v>
      </c>
      <c r="FO68" t="e">
        <f>AND('Planilla_General_29-11-2012_10_'!P1019,"AAAAAHP796o=")</f>
        <v>#VALUE!</v>
      </c>
      <c r="FP68">
        <f>IF('Planilla_General_29-11-2012_10_'!1020:1020,"AAAAAHP796s=",0)</f>
        <v>0</v>
      </c>
      <c r="FQ68" t="e">
        <f>AND('Planilla_General_29-11-2012_10_'!A1020,"AAAAAHP796w=")</f>
        <v>#VALUE!</v>
      </c>
      <c r="FR68" t="e">
        <f>AND('Planilla_General_29-11-2012_10_'!B1020,"AAAAAHP7960=")</f>
        <v>#VALUE!</v>
      </c>
      <c r="FS68" t="e">
        <f>AND('Planilla_General_29-11-2012_10_'!C1020,"AAAAAHP7964=")</f>
        <v>#VALUE!</v>
      </c>
      <c r="FT68" t="e">
        <f>AND('Planilla_General_29-11-2012_10_'!D1020,"AAAAAHP7968=")</f>
        <v>#VALUE!</v>
      </c>
      <c r="FU68" t="e">
        <f>AND('Planilla_General_29-11-2012_10_'!E1020,"AAAAAHP797A=")</f>
        <v>#VALUE!</v>
      </c>
      <c r="FV68" t="e">
        <f>AND('Planilla_General_29-11-2012_10_'!F1020,"AAAAAHP797E=")</f>
        <v>#VALUE!</v>
      </c>
      <c r="FW68" t="e">
        <f>AND('Planilla_General_29-11-2012_10_'!G1020,"AAAAAHP797I=")</f>
        <v>#VALUE!</v>
      </c>
      <c r="FX68" t="e">
        <f>AND('Planilla_General_29-11-2012_10_'!H1020,"AAAAAHP797M=")</f>
        <v>#VALUE!</v>
      </c>
      <c r="FY68" t="e">
        <f>AND('Planilla_General_29-11-2012_10_'!I1020,"AAAAAHP797Q=")</f>
        <v>#VALUE!</v>
      </c>
      <c r="FZ68" t="e">
        <f>AND('Planilla_General_29-11-2012_10_'!J1020,"AAAAAHP797U=")</f>
        <v>#VALUE!</v>
      </c>
      <c r="GA68" t="e">
        <f>AND('Planilla_General_29-11-2012_10_'!K1020,"AAAAAHP797Y=")</f>
        <v>#VALUE!</v>
      </c>
      <c r="GB68" t="e">
        <f>AND('Planilla_General_29-11-2012_10_'!L1020,"AAAAAHP797c=")</f>
        <v>#VALUE!</v>
      </c>
      <c r="GC68" t="e">
        <f>AND('Planilla_General_29-11-2012_10_'!M1020,"AAAAAHP797g=")</f>
        <v>#VALUE!</v>
      </c>
      <c r="GD68" t="e">
        <f>AND('Planilla_General_29-11-2012_10_'!N1020,"AAAAAHP797k=")</f>
        <v>#VALUE!</v>
      </c>
      <c r="GE68" t="e">
        <f>AND('Planilla_General_29-11-2012_10_'!O1020,"AAAAAHP797o=")</f>
        <v>#VALUE!</v>
      </c>
      <c r="GF68" t="e">
        <f>AND('Planilla_General_29-11-2012_10_'!P1020,"AAAAAHP797s=")</f>
        <v>#VALUE!</v>
      </c>
      <c r="GG68">
        <f>IF('Planilla_General_29-11-2012_10_'!1021:1021,"AAAAAHP797w=",0)</f>
        <v>0</v>
      </c>
      <c r="GH68" t="e">
        <f>AND('Planilla_General_29-11-2012_10_'!A1021,"AAAAAHP7970=")</f>
        <v>#VALUE!</v>
      </c>
      <c r="GI68" t="e">
        <f>AND('Planilla_General_29-11-2012_10_'!B1021,"AAAAAHP7974=")</f>
        <v>#VALUE!</v>
      </c>
      <c r="GJ68" t="e">
        <f>AND('Planilla_General_29-11-2012_10_'!C1021,"AAAAAHP7978=")</f>
        <v>#VALUE!</v>
      </c>
      <c r="GK68" t="e">
        <f>AND('Planilla_General_29-11-2012_10_'!D1021,"AAAAAHP798A=")</f>
        <v>#VALUE!</v>
      </c>
      <c r="GL68" t="e">
        <f>AND('Planilla_General_29-11-2012_10_'!E1021,"AAAAAHP798E=")</f>
        <v>#VALUE!</v>
      </c>
      <c r="GM68" t="e">
        <f>AND('Planilla_General_29-11-2012_10_'!F1021,"AAAAAHP798I=")</f>
        <v>#VALUE!</v>
      </c>
      <c r="GN68" t="e">
        <f>AND('Planilla_General_29-11-2012_10_'!G1021,"AAAAAHP798M=")</f>
        <v>#VALUE!</v>
      </c>
      <c r="GO68" t="e">
        <f>AND('Planilla_General_29-11-2012_10_'!H1021,"AAAAAHP798Q=")</f>
        <v>#VALUE!</v>
      </c>
      <c r="GP68" t="e">
        <f>AND('Planilla_General_29-11-2012_10_'!I1021,"AAAAAHP798U=")</f>
        <v>#VALUE!</v>
      </c>
      <c r="GQ68" t="e">
        <f>AND('Planilla_General_29-11-2012_10_'!J1021,"AAAAAHP798Y=")</f>
        <v>#VALUE!</v>
      </c>
      <c r="GR68" t="e">
        <f>AND('Planilla_General_29-11-2012_10_'!K1021,"AAAAAHP798c=")</f>
        <v>#VALUE!</v>
      </c>
      <c r="GS68" t="e">
        <f>AND('Planilla_General_29-11-2012_10_'!L1021,"AAAAAHP798g=")</f>
        <v>#VALUE!</v>
      </c>
      <c r="GT68" t="e">
        <f>AND('Planilla_General_29-11-2012_10_'!M1021,"AAAAAHP798k=")</f>
        <v>#VALUE!</v>
      </c>
      <c r="GU68" t="e">
        <f>AND('Planilla_General_29-11-2012_10_'!N1021,"AAAAAHP798o=")</f>
        <v>#VALUE!</v>
      </c>
      <c r="GV68" t="e">
        <f>AND('Planilla_General_29-11-2012_10_'!O1021,"AAAAAHP798s=")</f>
        <v>#VALUE!</v>
      </c>
      <c r="GW68" t="e">
        <f>AND('Planilla_General_29-11-2012_10_'!P1021,"AAAAAHP798w=")</f>
        <v>#VALUE!</v>
      </c>
      <c r="GX68">
        <f>IF('Planilla_General_29-11-2012_10_'!1022:1022,"AAAAAHP7980=",0)</f>
        <v>0</v>
      </c>
      <c r="GY68" t="e">
        <f>AND('Planilla_General_29-11-2012_10_'!A1022,"AAAAAHP7984=")</f>
        <v>#VALUE!</v>
      </c>
      <c r="GZ68" t="e">
        <f>AND('Planilla_General_29-11-2012_10_'!B1022,"AAAAAHP7988=")</f>
        <v>#VALUE!</v>
      </c>
      <c r="HA68" t="e">
        <f>AND('Planilla_General_29-11-2012_10_'!C1022,"AAAAAHP799A=")</f>
        <v>#VALUE!</v>
      </c>
      <c r="HB68" t="e">
        <f>AND('Planilla_General_29-11-2012_10_'!D1022,"AAAAAHP799E=")</f>
        <v>#VALUE!</v>
      </c>
      <c r="HC68" t="e">
        <f>AND('Planilla_General_29-11-2012_10_'!E1022,"AAAAAHP799I=")</f>
        <v>#VALUE!</v>
      </c>
      <c r="HD68" t="e">
        <f>AND('Planilla_General_29-11-2012_10_'!F1022,"AAAAAHP799M=")</f>
        <v>#VALUE!</v>
      </c>
      <c r="HE68" t="e">
        <f>AND('Planilla_General_29-11-2012_10_'!G1022,"AAAAAHP799Q=")</f>
        <v>#VALUE!</v>
      </c>
      <c r="HF68" t="e">
        <f>AND('Planilla_General_29-11-2012_10_'!H1022,"AAAAAHP799U=")</f>
        <v>#VALUE!</v>
      </c>
      <c r="HG68" t="e">
        <f>AND('Planilla_General_29-11-2012_10_'!I1022,"AAAAAHP799Y=")</f>
        <v>#VALUE!</v>
      </c>
      <c r="HH68" t="e">
        <f>AND('Planilla_General_29-11-2012_10_'!J1022,"AAAAAHP799c=")</f>
        <v>#VALUE!</v>
      </c>
      <c r="HI68" t="e">
        <f>AND('Planilla_General_29-11-2012_10_'!K1022,"AAAAAHP799g=")</f>
        <v>#VALUE!</v>
      </c>
      <c r="HJ68" t="e">
        <f>AND('Planilla_General_29-11-2012_10_'!L1022,"AAAAAHP799k=")</f>
        <v>#VALUE!</v>
      </c>
      <c r="HK68" t="e">
        <f>AND('Planilla_General_29-11-2012_10_'!M1022,"AAAAAHP799o=")</f>
        <v>#VALUE!</v>
      </c>
      <c r="HL68" t="e">
        <f>AND('Planilla_General_29-11-2012_10_'!N1022,"AAAAAHP799s=")</f>
        <v>#VALUE!</v>
      </c>
      <c r="HM68" t="e">
        <f>AND('Planilla_General_29-11-2012_10_'!O1022,"AAAAAHP799w=")</f>
        <v>#VALUE!</v>
      </c>
      <c r="HN68" t="e">
        <f>AND('Planilla_General_29-11-2012_10_'!P1022,"AAAAAHP7990=")</f>
        <v>#VALUE!</v>
      </c>
      <c r="HO68">
        <f>IF('Planilla_General_29-11-2012_10_'!1023:1023,"AAAAAHP7994=",0)</f>
        <v>0</v>
      </c>
      <c r="HP68" t="e">
        <f>AND('Planilla_General_29-11-2012_10_'!A1023,"AAAAAHP7998=")</f>
        <v>#VALUE!</v>
      </c>
      <c r="HQ68" t="e">
        <f>AND('Planilla_General_29-11-2012_10_'!B1023,"AAAAAHP79+A=")</f>
        <v>#VALUE!</v>
      </c>
      <c r="HR68" t="e">
        <f>AND('Planilla_General_29-11-2012_10_'!C1023,"AAAAAHP79+E=")</f>
        <v>#VALUE!</v>
      </c>
      <c r="HS68" t="e">
        <f>AND('Planilla_General_29-11-2012_10_'!D1023,"AAAAAHP79+I=")</f>
        <v>#VALUE!</v>
      </c>
      <c r="HT68" t="e">
        <f>AND('Planilla_General_29-11-2012_10_'!E1023,"AAAAAHP79+M=")</f>
        <v>#VALUE!</v>
      </c>
      <c r="HU68" t="e">
        <f>AND('Planilla_General_29-11-2012_10_'!F1023,"AAAAAHP79+Q=")</f>
        <v>#VALUE!</v>
      </c>
      <c r="HV68" t="e">
        <f>AND('Planilla_General_29-11-2012_10_'!G1023,"AAAAAHP79+U=")</f>
        <v>#VALUE!</v>
      </c>
      <c r="HW68" t="e">
        <f>AND('Planilla_General_29-11-2012_10_'!H1023,"AAAAAHP79+Y=")</f>
        <v>#VALUE!</v>
      </c>
      <c r="HX68" t="e">
        <f>AND('Planilla_General_29-11-2012_10_'!I1023,"AAAAAHP79+c=")</f>
        <v>#VALUE!</v>
      </c>
      <c r="HY68" t="e">
        <f>AND('Planilla_General_29-11-2012_10_'!J1023,"AAAAAHP79+g=")</f>
        <v>#VALUE!</v>
      </c>
      <c r="HZ68" t="e">
        <f>AND('Planilla_General_29-11-2012_10_'!K1023,"AAAAAHP79+k=")</f>
        <v>#VALUE!</v>
      </c>
      <c r="IA68" t="e">
        <f>AND('Planilla_General_29-11-2012_10_'!L1023,"AAAAAHP79+o=")</f>
        <v>#VALUE!</v>
      </c>
      <c r="IB68" t="e">
        <f>AND('Planilla_General_29-11-2012_10_'!M1023,"AAAAAHP79+s=")</f>
        <v>#VALUE!</v>
      </c>
      <c r="IC68" t="e">
        <f>AND('Planilla_General_29-11-2012_10_'!N1023,"AAAAAHP79+w=")</f>
        <v>#VALUE!</v>
      </c>
      <c r="ID68" t="e">
        <f>AND('Planilla_General_29-11-2012_10_'!O1023,"AAAAAHP79+0=")</f>
        <v>#VALUE!</v>
      </c>
      <c r="IE68" t="e">
        <f>AND('Planilla_General_29-11-2012_10_'!P1023,"AAAAAHP79+4=")</f>
        <v>#VALUE!</v>
      </c>
      <c r="IF68">
        <f>IF('Planilla_General_29-11-2012_10_'!1024:1024,"AAAAAHP79+8=",0)</f>
        <v>0</v>
      </c>
      <c r="IG68" t="e">
        <f>AND('Planilla_General_29-11-2012_10_'!A1024,"AAAAAHP79/A=")</f>
        <v>#VALUE!</v>
      </c>
      <c r="IH68" t="e">
        <f>AND('Planilla_General_29-11-2012_10_'!B1024,"AAAAAHP79/E=")</f>
        <v>#VALUE!</v>
      </c>
      <c r="II68" t="e">
        <f>AND('Planilla_General_29-11-2012_10_'!C1024,"AAAAAHP79/I=")</f>
        <v>#VALUE!</v>
      </c>
      <c r="IJ68" t="e">
        <f>AND('Planilla_General_29-11-2012_10_'!D1024,"AAAAAHP79/M=")</f>
        <v>#VALUE!</v>
      </c>
      <c r="IK68" t="e">
        <f>AND('Planilla_General_29-11-2012_10_'!E1024,"AAAAAHP79/Q=")</f>
        <v>#VALUE!</v>
      </c>
      <c r="IL68" t="e">
        <f>AND('Planilla_General_29-11-2012_10_'!F1024,"AAAAAHP79/U=")</f>
        <v>#VALUE!</v>
      </c>
      <c r="IM68" t="e">
        <f>AND('Planilla_General_29-11-2012_10_'!G1024,"AAAAAHP79/Y=")</f>
        <v>#VALUE!</v>
      </c>
      <c r="IN68" t="e">
        <f>AND('Planilla_General_29-11-2012_10_'!H1024,"AAAAAHP79/c=")</f>
        <v>#VALUE!</v>
      </c>
      <c r="IO68" t="e">
        <f>AND('Planilla_General_29-11-2012_10_'!I1024,"AAAAAHP79/g=")</f>
        <v>#VALUE!</v>
      </c>
      <c r="IP68" t="e">
        <f>AND('Planilla_General_29-11-2012_10_'!J1024,"AAAAAHP79/k=")</f>
        <v>#VALUE!</v>
      </c>
      <c r="IQ68" t="e">
        <f>AND('Planilla_General_29-11-2012_10_'!K1024,"AAAAAHP79/o=")</f>
        <v>#VALUE!</v>
      </c>
      <c r="IR68" t="e">
        <f>AND('Planilla_General_29-11-2012_10_'!L1024,"AAAAAHP79/s=")</f>
        <v>#VALUE!</v>
      </c>
      <c r="IS68" t="e">
        <f>AND('Planilla_General_29-11-2012_10_'!M1024,"AAAAAHP79/w=")</f>
        <v>#VALUE!</v>
      </c>
      <c r="IT68" t="e">
        <f>AND('Planilla_General_29-11-2012_10_'!N1024,"AAAAAHP79/0=")</f>
        <v>#VALUE!</v>
      </c>
      <c r="IU68" t="e">
        <f>AND('Planilla_General_29-11-2012_10_'!O1024,"AAAAAHP79/4=")</f>
        <v>#VALUE!</v>
      </c>
      <c r="IV68" t="e">
        <f>AND('Planilla_General_29-11-2012_10_'!P1024,"AAAAAHP79/8=")</f>
        <v>#VALUE!</v>
      </c>
    </row>
    <row r="69" spans="1:256" x14ac:dyDescent="0.25">
      <c r="A69" t="e">
        <f>IF('Planilla_General_29-11-2012_10_'!1025:1025,"AAAAAHm42QA=",0)</f>
        <v>#VALUE!</v>
      </c>
      <c r="B69" t="e">
        <f>AND('Planilla_General_29-11-2012_10_'!A1025,"AAAAAHm42QE=")</f>
        <v>#VALUE!</v>
      </c>
      <c r="C69" t="e">
        <f>AND('Planilla_General_29-11-2012_10_'!B1025,"AAAAAHm42QI=")</f>
        <v>#VALUE!</v>
      </c>
      <c r="D69" t="e">
        <f>AND('Planilla_General_29-11-2012_10_'!C1025,"AAAAAHm42QM=")</f>
        <v>#VALUE!</v>
      </c>
      <c r="E69" t="e">
        <f>AND('Planilla_General_29-11-2012_10_'!D1025,"AAAAAHm42QQ=")</f>
        <v>#VALUE!</v>
      </c>
      <c r="F69" t="e">
        <f>AND('Planilla_General_29-11-2012_10_'!E1025,"AAAAAHm42QU=")</f>
        <v>#VALUE!</v>
      </c>
      <c r="G69" t="e">
        <f>AND('Planilla_General_29-11-2012_10_'!F1025,"AAAAAHm42QY=")</f>
        <v>#VALUE!</v>
      </c>
      <c r="H69" t="e">
        <f>AND('Planilla_General_29-11-2012_10_'!G1025,"AAAAAHm42Qc=")</f>
        <v>#VALUE!</v>
      </c>
      <c r="I69" t="e">
        <f>AND('Planilla_General_29-11-2012_10_'!H1025,"AAAAAHm42Qg=")</f>
        <v>#VALUE!</v>
      </c>
      <c r="J69" t="e">
        <f>AND('Planilla_General_29-11-2012_10_'!I1025,"AAAAAHm42Qk=")</f>
        <v>#VALUE!</v>
      </c>
      <c r="K69" t="e">
        <f>AND('Planilla_General_29-11-2012_10_'!J1025,"AAAAAHm42Qo=")</f>
        <v>#VALUE!</v>
      </c>
      <c r="L69" t="e">
        <f>AND('Planilla_General_29-11-2012_10_'!K1025,"AAAAAHm42Qs=")</f>
        <v>#VALUE!</v>
      </c>
      <c r="M69" t="e">
        <f>AND('Planilla_General_29-11-2012_10_'!L1025,"AAAAAHm42Qw=")</f>
        <v>#VALUE!</v>
      </c>
      <c r="N69" t="e">
        <f>AND('Planilla_General_29-11-2012_10_'!M1025,"AAAAAHm42Q0=")</f>
        <v>#VALUE!</v>
      </c>
      <c r="O69" t="e">
        <f>AND('Planilla_General_29-11-2012_10_'!N1025,"AAAAAHm42Q4=")</f>
        <v>#VALUE!</v>
      </c>
      <c r="P69" t="e">
        <f>AND('Planilla_General_29-11-2012_10_'!O1025,"AAAAAHm42Q8=")</f>
        <v>#VALUE!</v>
      </c>
      <c r="Q69" t="e">
        <f>AND('Planilla_General_29-11-2012_10_'!P1025,"AAAAAHm42RA=")</f>
        <v>#VALUE!</v>
      </c>
      <c r="R69">
        <f>IF('Planilla_General_29-11-2012_10_'!1026:1026,"AAAAAHm42RE=",0)</f>
        <v>0</v>
      </c>
      <c r="S69" t="e">
        <f>AND('Planilla_General_29-11-2012_10_'!A1026,"AAAAAHm42RI=")</f>
        <v>#VALUE!</v>
      </c>
      <c r="T69" t="e">
        <f>AND('Planilla_General_29-11-2012_10_'!B1026,"AAAAAHm42RM=")</f>
        <v>#VALUE!</v>
      </c>
      <c r="U69" t="e">
        <f>AND('Planilla_General_29-11-2012_10_'!C1026,"AAAAAHm42RQ=")</f>
        <v>#VALUE!</v>
      </c>
      <c r="V69" t="e">
        <f>AND('Planilla_General_29-11-2012_10_'!D1026,"AAAAAHm42RU=")</f>
        <v>#VALUE!</v>
      </c>
      <c r="W69" t="e">
        <f>AND('Planilla_General_29-11-2012_10_'!E1026,"AAAAAHm42RY=")</f>
        <v>#VALUE!</v>
      </c>
      <c r="X69" t="e">
        <f>AND('Planilla_General_29-11-2012_10_'!F1026,"AAAAAHm42Rc=")</f>
        <v>#VALUE!</v>
      </c>
      <c r="Y69" t="e">
        <f>AND('Planilla_General_29-11-2012_10_'!G1026,"AAAAAHm42Rg=")</f>
        <v>#VALUE!</v>
      </c>
      <c r="Z69" t="e">
        <f>AND('Planilla_General_29-11-2012_10_'!H1026,"AAAAAHm42Rk=")</f>
        <v>#VALUE!</v>
      </c>
      <c r="AA69" t="e">
        <f>AND('Planilla_General_29-11-2012_10_'!I1026,"AAAAAHm42Ro=")</f>
        <v>#VALUE!</v>
      </c>
      <c r="AB69" t="e">
        <f>AND('Planilla_General_29-11-2012_10_'!J1026,"AAAAAHm42Rs=")</f>
        <v>#VALUE!</v>
      </c>
      <c r="AC69" t="e">
        <f>AND('Planilla_General_29-11-2012_10_'!K1026,"AAAAAHm42Rw=")</f>
        <v>#VALUE!</v>
      </c>
      <c r="AD69" t="e">
        <f>AND('Planilla_General_29-11-2012_10_'!L1026,"AAAAAHm42R0=")</f>
        <v>#VALUE!</v>
      </c>
      <c r="AE69" t="e">
        <f>AND('Planilla_General_29-11-2012_10_'!M1026,"AAAAAHm42R4=")</f>
        <v>#VALUE!</v>
      </c>
      <c r="AF69" t="e">
        <f>AND('Planilla_General_29-11-2012_10_'!N1026,"AAAAAHm42R8=")</f>
        <v>#VALUE!</v>
      </c>
      <c r="AG69" t="e">
        <f>AND('Planilla_General_29-11-2012_10_'!O1026,"AAAAAHm42SA=")</f>
        <v>#VALUE!</v>
      </c>
      <c r="AH69" t="e">
        <f>AND('Planilla_General_29-11-2012_10_'!P1026,"AAAAAHm42SE=")</f>
        <v>#VALUE!</v>
      </c>
      <c r="AI69">
        <f>IF('Planilla_General_29-11-2012_10_'!1027:1027,"AAAAAHm42SI=",0)</f>
        <v>0</v>
      </c>
      <c r="AJ69" t="e">
        <f>AND('Planilla_General_29-11-2012_10_'!A1027,"AAAAAHm42SM=")</f>
        <v>#VALUE!</v>
      </c>
      <c r="AK69" t="e">
        <f>AND('Planilla_General_29-11-2012_10_'!B1027,"AAAAAHm42SQ=")</f>
        <v>#VALUE!</v>
      </c>
      <c r="AL69" t="e">
        <f>AND('Planilla_General_29-11-2012_10_'!C1027,"AAAAAHm42SU=")</f>
        <v>#VALUE!</v>
      </c>
      <c r="AM69" t="e">
        <f>AND('Planilla_General_29-11-2012_10_'!D1027,"AAAAAHm42SY=")</f>
        <v>#VALUE!</v>
      </c>
      <c r="AN69" t="e">
        <f>AND('Planilla_General_29-11-2012_10_'!E1027,"AAAAAHm42Sc=")</f>
        <v>#VALUE!</v>
      </c>
      <c r="AO69" t="e">
        <f>AND('Planilla_General_29-11-2012_10_'!F1027,"AAAAAHm42Sg=")</f>
        <v>#VALUE!</v>
      </c>
      <c r="AP69" t="e">
        <f>AND('Planilla_General_29-11-2012_10_'!G1027,"AAAAAHm42Sk=")</f>
        <v>#VALUE!</v>
      </c>
      <c r="AQ69" t="e">
        <f>AND('Planilla_General_29-11-2012_10_'!H1027,"AAAAAHm42So=")</f>
        <v>#VALUE!</v>
      </c>
      <c r="AR69" t="e">
        <f>AND('Planilla_General_29-11-2012_10_'!I1027,"AAAAAHm42Ss=")</f>
        <v>#VALUE!</v>
      </c>
      <c r="AS69" t="e">
        <f>AND('Planilla_General_29-11-2012_10_'!J1027,"AAAAAHm42Sw=")</f>
        <v>#VALUE!</v>
      </c>
      <c r="AT69" t="e">
        <f>AND('Planilla_General_29-11-2012_10_'!K1027,"AAAAAHm42S0=")</f>
        <v>#VALUE!</v>
      </c>
      <c r="AU69" t="e">
        <f>AND('Planilla_General_29-11-2012_10_'!L1027,"AAAAAHm42S4=")</f>
        <v>#VALUE!</v>
      </c>
      <c r="AV69" t="e">
        <f>AND('Planilla_General_29-11-2012_10_'!M1027,"AAAAAHm42S8=")</f>
        <v>#VALUE!</v>
      </c>
      <c r="AW69" t="e">
        <f>AND('Planilla_General_29-11-2012_10_'!N1027,"AAAAAHm42TA=")</f>
        <v>#VALUE!</v>
      </c>
      <c r="AX69" t="e">
        <f>AND('Planilla_General_29-11-2012_10_'!O1027,"AAAAAHm42TE=")</f>
        <v>#VALUE!</v>
      </c>
      <c r="AY69" t="e">
        <f>AND('Planilla_General_29-11-2012_10_'!P1027,"AAAAAHm42TI=")</f>
        <v>#VALUE!</v>
      </c>
      <c r="AZ69">
        <f>IF('Planilla_General_29-11-2012_10_'!1028:1028,"AAAAAHm42TM=",0)</f>
        <v>0</v>
      </c>
      <c r="BA69" t="e">
        <f>AND('Planilla_General_29-11-2012_10_'!A1028,"AAAAAHm42TQ=")</f>
        <v>#VALUE!</v>
      </c>
      <c r="BB69" t="e">
        <f>AND('Planilla_General_29-11-2012_10_'!B1028,"AAAAAHm42TU=")</f>
        <v>#VALUE!</v>
      </c>
      <c r="BC69" t="e">
        <f>AND('Planilla_General_29-11-2012_10_'!C1028,"AAAAAHm42TY=")</f>
        <v>#VALUE!</v>
      </c>
      <c r="BD69" t="e">
        <f>AND('Planilla_General_29-11-2012_10_'!D1028,"AAAAAHm42Tc=")</f>
        <v>#VALUE!</v>
      </c>
      <c r="BE69" t="e">
        <f>AND('Planilla_General_29-11-2012_10_'!E1028,"AAAAAHm42Tg=")</f>
        <v>#VALUE!</v>
      </c>
      <c r="BF69" t="e">
        <f>AND('Planilla_General_29-11-2012_10_'!F1028,"AAAAAHm42Tk=")</f>
        <v>#VALUE!</v>
      </c>
      <c r="BG69" t="e">
        <f>AND('Planilla_General_29-11-2012_10_'!G1028,"AAAAAHm42To=")</f>
        <v>#VALUE!</v>
      </c>
      <c r="BH69" t="e">
        <f>AND('Planilla_General_29-11-2012_10_'!H1028,"AAAAAHm42Ts=")</f>
        <v>#VALUE!</v>
      </c>
      <c r="BI69" t="e">
        <f>AND('Planilla_General_29-11-2012_10_'!I1028,"AAAAAHm42Tw=")</f>
        <v>#VALUE!</v>
      </c>
      <c r="BJ69" t="e">
        <f>AND('Planilla_General_29-11-2012_10_'!J1028,"AAAAAHm42T0=")</f>
        <v>#VALUE!</v>
      </c>
      <c r="BK69" t="e">
        <f>AND('Planilla_General_29-11-2012_10_'!K1028,"AAAAAHm42T4=")</f>
        <v>#VALUE!</v>
      </c>
      <c r="BL69" t="e">
        <f>AND('Planilla_General_29-11-2012_10_'!L1028,"AAAAAHm42T8=")</f>
        <v>#VALUE!</v>
      </c>
      <c r="BM69" t="e">
        <f>AND('Planilla_General_29-11-2012_10_'!M1028,"AAAAAHm42UA=")</f>
        <v>#VALUE!</v>
      </c>
      <c r="BN69" t="e">
        <f>AND('Planilla_General_29-11-2012_10_'!N1028,"AAAAAHm42UE=")</f>
        <v>#VALUE!</v>
      </c>
      <c r="BO69" t="e">
        <f>AND('Planilla_General_29-11-2012_10_'!O1028,"AAAAAHm42UI=")</f>
        <v>#VALUE!</v>
      </c>
      <c r="BP69" t="e">
        <f>AND('Planilla_General_29-11-2012_10_'!P1028,"AAAAAHm42UM=")</f>
        <v>#VALUE!</v>
      </c>
      <c r="BQ69">
        <f>IF('Planilla_General_29-11-2012_10_'!1029:1029,"AAAAAHm42UQ=",0)</f>
        <v>0</v>
      </c>
      <c r="BR69" t="e">
        <f>AND('Planilla_General_29-11-2012_10_'!A1029,"AAAAAHm42UU=")</f>
        <v>#VALUE!</v>
      </c>
      <c r="BS69" t="e">
        <f>AND('Planilla_General_29-11-2012_10_'!B1029,"AAAAAHm42UY=")</f>
        <v>#VALUE!</v>
      </c>
      <c r="BT69" t="e">
        <f>AND('Planilla_General_29-11-2012_10_'!C1029,"AAAAAHm42Uc=")</f>
        <v>#VALUE!</v>
      </c>
      <c r="BU69" t="e">
        <f>AND('Planilla_General_29-11-2012_10_'!D1029,"AAAAAHm42Ug=")</f>
        <v>#VALUE!</v>
      </c>
      <c r="BV69" t="e">
        <f>AND('Planilla_General_29-11-2012_10_'!E1029,"AAAAAHm42Uk=")</f>
        <v>#VALUE!</v>
      </c>
      <c r="BW69" t="e">
        <f>AND('Planilla_General_29-11-2012_10_'!F1029,"AAAAAHm42Uo=")</f>
        <v>#VALUE!</v>
      </c>
      <c r="BX69" t="e">
        <f>AND('Planilla_General_29-11-2012_10_'!G1029,"AAAAAHm42Us=")</f>
        <v>#VALUE!</v>
      </c>
      <c r="BY69" t="e">
        <f>AND('Planilla_General_29-11-2012_10_'!H1029,"AAAAAHm42Uw=")</f>
        <v>#VALUE!</v>
      </c>
      <c r="BZ69" t="e">
        <f>AND('Planilla_General_29-11-2012_10_'!I1029,"AAAAAHm42U0=")</f>
        <v>#VALUE!</v>
      </c>
      <c r="CA69" t="e">
        <f>AND('Planilla_General_29-11-2012_10_'!J1029,"AAAAAHm42U4=")</f>
        <v>#VALUE!</v>
      </c>
      <c r="CB69" t="e">
        <f>AND('Planilla_General_29-11-2012_10_'!K1029,"AAAAAHm42U8=")</f>
        <v>#VALUE!</v>
      </c>
      <c r="CC69" t="e">
        <f>AND('Planilla_General_29-11-2012_10_'!L1029,"AAAAAHm42VA=")</f>
        <v>#VALUE!</v>
      </c>
      <c r="CD69" t="e">
        <f>AND('Planilla_General_29-11-2012_10_'!M1029,"AAAAAHm42VE=")</f>
        <v>#VALUE!</v>
      </c>
      <c r="CE69" t="e">
        <f>AND('Planilla_General_29-11-2012_10_'!N1029,"AAAAAHm42VI=")</f>
        <v>#VALUE!</v>
      </c>
      <c r="CF69" t="e">
        <f>AND('Planilla_General_29-11-2012_10_'!O1029,"AAAAAHm42VM=")</f>
        <v>#VALUE!</v>
      </c>
      <c r="CG69" t="e">
        <f>AND('Planilla_General_29-11-2012_10_'!P1029,"AAAAAHm42VQ=")</f>
        <v>#VALUE!</v>
      </c>
      <c r="CH69">
        <f>IF('Planilla_General_29-11-2012_10_'!1030:1030,"AAAAAHm42VU=",0)</f>
        <v>0</v>
      </c>
      <c r="CI69" t="e">
        <f>AND('Planilla_General_29-11-2012_10_'!A1030,"AAAAAHm42VY=")</f>
        <v>#VALUE!</v>
      </c>
      <c r="CJ69" t="e">
        <f>AND('Planilla_General_29-11-2012_10_'!B1030,"AAAAAHm42Vc=")</f>
        <v>#VALUE!</v>
      </c>
      <c r="CK69" t="e">
        <f>AND('Planilla_General_29-11-2012_10_'!C1030,"AAAAAHm42Vg=")</f>
        <v>#VALUE!</v>
      </c>
      <c r="CL69" t="e">
        <f>AND('Planilla_General_29-11-2012_10_'!D1030,"AAAAAHm42Vk=")</f>
        <v>#VALUE!</v>
      </c>
      <c r="CM69" t="e">
        <f>AND('Planilla_General_29-11-2012_10_'!E1030,"AAAAAHm42Vo=")</f>
        <v>#VALUE!</v>
      </c>
      <c r="CN69" t="e">
        <f>AND('Planilla_General_29-11-2012_10_'!F1030,"AAAAAHm42Vs=")</f>
        <v>#VALUE!</v>
      </c>
      <c r="CO69" t="e">
        <f>AND('Planilla_General_29-11-2012_10_'!G1030,"AAAAAHm42Vw=")</f>
        <v>#VALUE!</v>
      </c>
      <c r="CP69" t="e">
        <f>AND('Planilla_General_29-11-2012_10_'!H1030,"AAAAAHm42V0=")</f>
        <v>#VALUE!</v>
      </c>
      <c r="CQ69" t="e">
        <f>AND('Planilla_General_29-11-2012_10_'!I1030,"AAAAAHm42V4=")</f>
        <v>#VALUE!</v>
      </c>
      <c r="CR69" t="e">
        <f>AND('Planilla_General_29-11-2012_10_'!J1030,"AAAAAHm42V8=")</f>
        <v>#VALUE!</v>
      </c>
      <c r="CS69" t="e">
        <f>AND('Planilla_General_29-11-2012_10_'!K1030,"AAAAAHm42WA=")</f>
        <v>#VALUE!</v>
      </c>
      <c r="CT69" t="e">
        <f>AND('Planilla_General_29-11-2012_10_'!L1030,"AAAAAHm42WE=")</f>
        <v>#VALUE!</v>
      </c>
      <c r="CU69" t="e">
        <f>AND('Planilla_General_29-11-2012_10_'!M1030,"AAAAAHm42WI=")</f>
        <v>#VALUE!</v>
      </c>
      <c r="CV69" t="e">
        <f>AND('Planilla_General_29-11-2012_10_'!N1030,"AAAAAHm42WM=")</f>
        <v>#VALUE!</v>
      </c>
      <c r="CW69" t="e">
        <f>AND('Planilla_General_29-11-2012_10_'!O1030,"AAAAAHm42WQ=")</f>
        <v>#VALUE!</v>
      </c>
      <c r="CX69" t="e">
        <f>AND('Planilla_General_29-11-2012_10_'!P1030,"AAAAAHm42WU=")</f>
        <v>#VALUE!</v>
      </c>
      <c r="CY69">
        <f>IF('Planilla_General_29-11-2012_10_'!1031:1031,"AAAAAHm42WY=",0)</f>
        <v>0</v>
      </c>
      <c r="CZ69" t="e">
        <f>AND('Planilla_General_29-11-2012_10_'!A1031,"AAAAAHm42Wc=")</f>
        <v>#VALUE!</v>
      </c>
      <c r="DA69" t="e">
        <f>AND('Planilla_General_29-11-2012_10_'!B1031,"AAAAAHm42Wg=")</f>
        <v>#VALUE!</v>
      </c>
      <c r="DB69" t="e">
        <f>AND('Planilla_General_29-11-2012_10_'!C1031,"AAAAAHm42Wk=")</f>
        <v>#VALUE!</v>
      </c>
      <c r="DC69" t="e">
        <f>AND('Planilla_General_29-11-2012_10_'!D1031,"AAAAAHm42Wo=")</f>
        <v>#VALUE!</v>
      </c>
      <c r="DD69" t="e">
        <f>AND('Planilla_General_29-11-2012_10_'!E1031,"AAAAAHm42Ws=")</f>
        <v>#VALUE!</v>
      </c>
      <c r="DE69" t="e">
        <f>AND('Planilla_General_29-11-2012_10_'!F1031,"AAAAAHm42Ww=")</f>
        <v>#VALUE!</v>
      </c>
      <c r="DF69" t="e">
        <f>AND('Planilla_General_29-11-2012_10_'!G1031,"AAAAAHm42W0=")</f>
        <v>#VALUE!</v>
      </c>
      <c r="DG69" t="e">
        <f>AND('Planilla_General_29-11-2012_10_'!H1031,"AAAAAHm42W4=")</f>
        <v>#VALUE!</v>
      </c>
      <c r="DH69" t="e">
        <f>AND('Planilla_General_29-11-2012_10_'!I1031,"AAAAAHm42W8=")</f>
        <v>#VALUE!</v>
      </c>
      <c r="DI69" t="e">
        <f>AND('Planilla_General_29-11-2012_10_'!J1031,"AAAAAHm42XA=")</f>
        <v>#VALUE!</v>
      </c>
      <c r="DJ69" t="e">
        <f>AND('Planilla_General_29-11-2012_10_'!K1031,"AAAAAHm42XE=")</f>
        <v>#VALUE!</v>
      </c>
      <c r="DK69" t="e">
        <f>AND('Planilla_General_29-11-2012_10_'!L1031,"AAAAAHm42XI=")</f>
        <v>#VALUE!</v>
      </c>
      <c r="DL69" t="e">
        <f>AND('Planilla_General_29-11-2012_10_'!M1031,"AAAAAHm42XM=")</f>
        <v>#VALUE!</v>
      </c>
      <c r="DM69" t="e">
        <f>AND('Planilla_General_29-11-2012_10_'!N1031,"AAAAAHm42XQ=")</f>
        <v>#VALUE!</v>
      </c>
      <c r="DN69" t="e">
        <f>AND('Planilla_General_29-11-2012_10_'!O1031,"AAAAAHm42XU=")</f>
        <v>#VALUE!</v>
      </c>
      <c r="DO69" t="e">
        <f>AND('Planilla_General_29-11-2012_10_'!P1031,"AAAAAHm42XY=")</f>
        <v>#VALUE!</v>
      </c>
      <c r="DP69">
        <f>IF('Planilla_General_29-11-2012_10_'!1032:1032,"AAAAAHm42Xc=",0)</f>
        <v>0</v>
      </c>
      <c r="DQ69" t="e">
        <f>AND('Planilla_General_29-11-2012_10_'!A1032,"AAAAAHm42Xg=")</f>
        <v>#VALUE!</v>
      </c>
      <c r="DR69" t="e">
        <f>AND('Planilla_General_29-11-2012_10_'!B1032,"AAAAAHm42Xk=")</f>
        <v>#VALUE!</v>
      </c>
      <c r="DS69" t="e">
        <f>AND('Planilla_General_29-11-2012_10_'!C1032,"AAAAAHm42Xo=")</f>
        <v>#VALUE!</v>
      </c>
      <c r="DT69" t="e">
        <f>AND('Planilla_General_29-11-2012_10_'!D1032,"AAAAAHm42Xs=")</f>
        <v>#VALUE!</v>
      </c>
      <c r="DU69" t="e">
        <f>AND('Planilla_General_29-11-2012_10_'!E1032,"AAAAAHm42Xw=")</f>
        <v>#VALUE!</v>
      </c>
      <c r="DV69" t="e">
        <f>AND('Planilla_General_29-11-2012_10_'!F1032,"AAAAAHm42X0=")</f>
        <v>#VALUE!</v>
      </c>
      <c r="DW69" t="e">
        <f>AND('Planilla_General_29-11-2012_10_'!G1032,"AAAAAHm42X4=")</f>
        <v>#VALUE!</v>
      </c>
      <c r="DX69" t="e">
        <f>AND('Planilla_General_29-11-2012_10_'!H1032,"AAAAAHm42X8=")</f>
        <v>#VALUE!</v>
      </c>
      <c r="DY69" t="e">
        <f>AND('Planilla_General_29-11-2012_10_'!I1032,"AAAAAHm42YA=")</f>
        <v>#VALUE!</v>
      </c>
      <c r="DZ69" t="e">
        <f>AND('Planilla_General_29-11-2012_10_'!J1032,"AAAAAHm42YE=")</f>
        <v>#VALUE!</v>
      </c>
      <c r="EA69" t="e">
        <f>AND('Planilla_General_29-11-2012_10_'!K1032,"AAAAAHm42YI=")</f>
        <v>#VALUE!</v>
      </c>
      <c r="EB69" t="e">
        <f>AND('Planilla_General_29-11-2012_10_'!L1032,"AAAAAHm42YM=")</f>
        <v>#VALUE!</v>
      </c>
      <c r="EC69" t="e">
        <f>AND('Planilla_General_29-11-2012_10_'!M1032,"AAAAAHm42YQ=")</f>
        <v>#VALUE!</v>
      </c>
      <c r="ED69" t="e">
        <f>AND('Planilla_General_29-11-2012_10_'!N1032,"AAAAAHm42YU=")</f>
        <v>#VALUE!</v>
      </c>
      <c r="EE69" t="e">
        <f>AND('Planilla_General_29-11-2012_10_'!O1032,"AAAAAHm42YY=")</f>
        <v>#VALUE!</v>
      </c>
      <c r="EF69" t="e">
        <f>AND('Planilla_General_29-11-2012_10_'!P1032,"AAAAAHm42Yc=")</f>
        <v>#VALUE!</v>
      </c>
      <c r="EG69">
        <f>IF('Planilla_General_29-11-2012_10_'!1033:1033,"AAAAAHm42Yg=",0)</f>
        <v>0</v>
      </c>
      <c r="EH69" t="e">
        <f>AND('Planilla_General_29-11-2012_10_'!A1033,"AAAAAHm42Yk=")</f>
        <v>#VALUE!</v>
      </c>
      <c r="EI69" t="e">
        <f>AND('Planilla_General_29-11-2012_10_'!B1033,"AAAAAHm42Yo=")</f>
        <v>#VALUE!</v>
      </c>
      <c r="EJ69" t="e">
        <f>AND('Planilla_General_29-11-2012_10_'!C1033,"AAAAAHm42Ys=")</f>
        <v>#VALUE!</v>
      </c>
      <c r="EK69" t="e">
        <f>AND('Planilla_General_29-11-2012_10_'!D1033,"AAAAAHm42Yw=")</f>
        <v>#VALUE!</v>
      </c>
      <c r="EL69" t="e">
        <f>AND('Planilla_General_29-11-2012_10_'!E1033,"AAAAAHm42Y0=")</f>
        <v>#VALUE!</v>
      </c>
      <c r="EM69" t="e">
        <f>AND('Planilla_General_29-11-2012_10_'!F1033,"AAAAAHm42Y4=")</f>
        <v>#VALUE!</v>
      </c>
      <c r="EN69" t="e">
        <f>AND('Planilla_General_29-11-2012_10_'!G1033,"AAAAAHm42Y8=")</f>
        <v>#VALUE!</v>
      </c>
      <c r="EO69" t="e">
        <f>AND('Planilla_General_29-11-2012_10_'!H1033,"AAAAAHm42ZA=")</f>
        <v>#VALUE!</v>
      </c>
      <c r="EP69" t="e">
        <f>AND('Planilla_General_29-11-2012_10_'!I1033,"AAAAAHm42ZE=")</f>
        <v>#VALUE!</v>
      </c>
      <c r="EQ69" t="e">
        <f>AND('Planilla_General_29-11-2012_10_'!J1033,"AAAAAHm42ZI=")</f>
        <v>#VALUE!</v>
      </c>
      <c r="ER69" t="e">
        <f>AND('Planilla_General_29-11-2012_10_'!K1033,"AAAAAHm42ZM=")</f>
        <v>#VALUE!</v>
      </c>
      <c r="ES69" t="e">
        <f>AND('Planilla_General_29-11-2012_10_'!L1033,"AAAAAHm42ZQ=")</f>
        <v>#VALUE!</v>
      </c>
      <c r="ET69" t="e">
        <f>AND('Planilla_General_29-11-2012_10_'!M1033,"AAAAAHm42ZU=")</f>
        <v>#VALUE!</v>
      </c>
      <c r="EU69" t="e">
        <f>AND('Planilla_General_29-11-2012_10_'!N1033,"AAAAAHm42ZY=")</f>
        <v>#VALUE!</v>
      </c>
      <c r="EV69" t="e">
        <f>AND('Planilla_General_29-11-2012_10_'!O1033,"AAAAAHm42Zc=")</f>
        <v>#VALUE!</v>
      </c>
      <c r="EW69" t="e">
        <f>AND('Planilla_General_29-11-2012_10_'!P1033,"AAAAAHm42Zg=")</f>
        <v>#VALUE!</v>
      </c>
      <c r="EX69">
        <f>IF('Planilla_General_29-11-2012_10_'!1034:1034,"AAAAAHm42Zk=",0)</f>
        <v>0</v>
      </c>
      <c r="EY69" t="e">
        <f>AND('Planilla_General_29-11-2012_10_'!A1034,"AAAAAHm42Zo=")</f>
        <v>#VALUE!</v>
      </c>
      <c r="EZ69" t="e">
        <f>AND('Planilla_General_29-11-2012_10_'!B1034,"AAAAAHm42Zs=")</f>
        <v>#VALUE!</v>
      </c>
      <c r="FA69" t="e">
        <f>AND('Planilla_General_29-11-2012_10_'!C1034,"AAAAAHm42Zw=")</f>
        <v>#VALUE!</v>
      </c>
      <c r="FB69" t="e">
        <f>AND('Planilla_General_29-11-2012_10_'!D1034,"AAAAAHm42Z0=")</f>
        <v>#VALUE!</v>
      </c>
      <c r="FC69" t="e">
        <f>AND('Planilla_General_29-11-2012_10_'!E1034,"AAAAAHm42Z4=")</f>
        <v>#VALUE!</v>
      </c>
      <c r="FD69" t="e">
        <f>AND('Planilla_General_29-11-2012_10_'!F1034,"AAAAAHm42Z8=")</f>
        <v>#VALUE!</v>
      </c>
      <c r="FE69" t="e">
        <f>AND('Planilla_General_29-11-2012_10_'!G1034,"AAAAAHm42aA=")</f>
        <v>#VALUE!</v>
      </c>
      <c r="FF69" t="e">
        <f>AND('Planilla_General_29-11-2012_10_'!H1034,"AAAAAHm42aE=")</f>
        <v>#VALUE!</v>
      </c>
      <c r="FG69" t="e">
        <f>AND('Planilla_General_29-11-2012_10_'!I1034,"AAAAAHm42aI=")</f>
        <v>#VALUE!</v>
      </c>
      <c r="FH69" t="e">
        <f>AND('Planilla_General_29-11-2012_10_'!J1034,"AAAAAHm42aM=")</f>
        <v>#VALUE!</v>
      </c>
      <c r="FI69" t="e">
        <f>AND('Planilla_General_29-11-2012_10_'!K1034,"AAAAAHm42aQ=")</f>
        <v>#VALUE!</v>
      </c>
      <c r="FJ69" t="e">
        <f>AND('Planilla_General_29-11-2012_10_'!L1034,"AAAAAHm42aU=")</f>
        <v>#VALUE!</v>
      </c>
      <c r="FK69" t="e">
        <f>AND('Planilla_General_29-11-2012_10_'!M1034,"AAAAAHm42aY=")</f>
        <v>#VALUE!</v>
      </c>
      <c r="FL69" t="e">
        <f>AND('Planilla_General_29-11-2012_10_'!N1034,"AAAAAHm42ac=")</f>
        <v>#VALUE!</v>
      </c>
      <c r="FM69" t="e">
        <f>AND('Planilla_General_29-11-2012_10_'!O1034,"AAAAAHm42ag=")</f>
        <v>#VALUE!</v>
      </c>
      <c r="FN69" t="e">
        <f>AND('Planilla_General_29-11-2012_10_'!P1034,"AAAAAHm42ak=")</f>
        <v>#VALUE!</v>
      </c>
      <c r="FO69">
        <f>IF('Planilla_General_29-11-2012_10_'!1035:1035,"AAAAAHm42ao=",0)</f>
        <v>0</v>
      </c>
      <c r="FP69" t="e">
        <f>AND('Planilla_General_29-11-2012_10_'!A1035,"AAAAAHm42as=")</f>
        <v>#VALUE!</v>
      </c>
      <c r="FQ69" t="e">
        <f>AND('Planilla_General_29-11-2012_10_'!B1035,"AAAAAHm42aw=")</f>
        <v>#VALUE!</v>
      </c>
      <c r="FR69" t="e">
        <f>AND('Planilla_General_29-11-2012_10_'!C1035,"AAAAAHm42a0=")</f>
        <v>#VALUE!</v>
      </c>
      <c r="FS69" t="e">
        <f>AND('Planilla_General_29-11-2012_10_'!D1035,"AAAAAHm42a4=")</f>
        <v>#VALUE!</v>
      </c>
      <c r="FT69" t="e">
        <f>AND('Planilla_General_29-11-2012_10_'!E1035,"AAAAAHm42a8=")</f>
        <v>#VALUE!</v>
      </c>
      <c r="FU69" t="e">
        <f>AND('Planilla_General_29-11-2012_10_'!F1035,"AAAAAHm42bA=")</f>
        <v>#VALUE!</v>
      </c>
      <c r="FV69" t="e">
        <f>AND('Planilla_General_29-11-2012_10_'!G1035,"AAAAAHm42bE=")</f>
        <v>#VALUE!</v>
      </c>
      <c r="FW69" t="e">
        <f>AND('Planilla_General_29-11-2012_10_'!H1035,"AAAAAHm42bI=")</f>
        <v>#VALUE!</v>
      </c>
      <c r="FX69" t="e">
        <f>AND('Planilla_General_29-11-2012_10_'!I1035,"AAAAAHm42bM=")</f>
        <v>#VALUE!</v>
      </c>
      <c r="FY69" t="e">
        <f>AND('Planilla_General_29-11-2012_10_'!J1035,"AAAAAHm42bQ=")</f>
        <v>#VALUE!</v>
      </c>
      <c r="FZ69" t="e">
        <f>AND('Planilla_General_29-11-2012_10_'!K1035,"AAAAAHm42bU=")</f>
        <v>#VALUE!</v>
      </c>
      <c r="GA69" t="e">
        <f>AND('Planilla_General_29-11-2012_10_'!L1035,"AAAAAHm42bY=")</f>
        <v>#VALUE!</v>
      </c>
      <c r="GB69" t="e">
        <f>AND('Planilla_General_29-11-2012_10_'!M1035,"AAAAAHm42bc=")</f>
        <v>#VALUE!</v>
      </c>
      <c r="GC69" t="e">
        <f>AND('Planilla_General_29-11-2012_10_'!N1035,"AAAAAHm42bg=")</f>
        <v>#VALUE!</v>
      </c>
      <c r="GD69" t="e">
        <f>AND('Planilla_General_29-11-2012_10_'!O1035,"AAAAAHm42bk=")</f>
        <v>#VALUE!</v>
      </c>
      <c r="GE69" t="e">
        <f>AND('Planilla_General_29-11-2012_10_'!P1035,"AAAAAHm42bo=")</f>
        <v>#VALUE!</v>
      </c>
      <c r="GF69">
        <f>IF('Planilla_General_29-11-2012_10_'!1036:1036,"AAAAAHm42bs=",0)</f>
        <v>0</v>
      </c>
      <c r="GG69" t="e">
        <f>AND('Planilla_General_29-11-2012_10_'!A1036,"AAAAAHm42bw=")</f>
        <v>#VALUE!</v>
      </c>
      <c r="GH69" t="e">
        <f>AND('Planilla_General_29-11-2012_10_'!B1036,"AAAAAHm42b0=")</f>
        <v>#VALUE!</v>
      </c>
      <c r="GI69" t="e">
        <f>AND('Planilla_General_29-11-2012_10_'!C1036,"AAAAAHm42b4=")</f>
        <v>#VALUE!</v>
      </c>
      <c r="GJ69" t="e">
        <f>AND('Planilla_General_29-11-2012_10_'!D1036,"AAAAAHm42b8=")</f>
        <v>#VALUE!</v>
      </c>
      <c r="GK69" t="e">
        <f>AND('Planilla_General_29-11-2012_10_'!E1036,"AAAAAHm42cA=")</f>
        <v>#VALUE!</v>
      </c>
      <c r="GL69" t="e">
        <f>AND('Planilla_General_29-11-2012_10_'!F1036,"AAAAAHm42cE=")</f>
        <v>#VALUE!</v>
      </c>
      <c r="GM69" t="e">
        <f>AND('Planilla_General_29-11-2012_10_'!G1036,"AAAAAHm42cI=")</f>
        <v>#VALUE!</v>
      </c>
      <c r="GN69" t="e">
        <f>AND('Planilla_General_29-11-2012_10_'!H1036,"AAAAAHm42cM=")</f>
        <v>#VALUE!</v>
      </c>
      <c r="GO69" t="e">
        <f>AND('Planilla_General_29-11-2012_10_'!I1036,"AAAAAHm42cQ=")</f>
        <v>#VALUE!</v>
      </c>
      <c r="GP69" t="e">
        <f>AND('Planilla_General_29-11-2012_10_'!J1036,"AAAAAHm42cU=")</f>
        <v>#VALUE!</v>
      </c>
      <c r="GQ69" t="e">
        <f>AND('Planilla_General_29-11-2012_10_'!K1036,"AAAAAHm42cY=")</f>
        <v>#VALUE!</v>
      </c>
      <c r="GR69" t="e">
        <f>AND('Planilla_General_29-11-2012_10_'!L1036,"AAAAAHm42cc=")</f>
        <v>#VALUE!</v>
      </c>
      <c r="GS69" t="e">
        <f>AND('Planilla_General_29-11-2012_10_'!M1036,"AAAAAHm42cg=")</f>
        <v>#VALUE!</v>
      </c>
      <c r="GT69" t="e">
        <f>AND('Planilla_General_29-11-2012_10_'!N1036,"AAAAAHm42ck=")</f>
        <v>#VALUE!</v>
      </c>
      <c r="GU69" t="e">
        <f>AND('Planilla_General_29-11-2012_10_'!O1036,"AAAAAHm42co=")</f>
        <v>#VALUE!</v>
      </c>
      <c r="GV69" t="e">
        <f>AND('Planilla_General_29-11-2012_10_'!P1036,"AAAAAHm42cs=")</f>
        <v>#VALUE!</v>
      </c>
      <c r="GW69">
        <f>IF('Planilla_General_29-11-2012_10_'!1037:1037,"AAAAAHm42cw=",0)</f>
        <v>0</v>
      </c>
      <c r="GX69" t="e">
        <f>AND('Planilla_General_29-11-2012_10_'!A1037,"AAAAAHm42c0=")</f>
        <v>#VALUE!</v>
      </c>
      <c r="GY69" t="e">
        <f>AND('Planilla_General_29-11-2012_10_'!B1037,"AAAAAHm42c4=")</f>
        <v>#VALUE!</v>
      </c>
      <c r="GZ69" t="e">
        <f>AND('Planilla_General_29-11-2012_10_'!C1037,"AAAAAHm42c8=")</f>
        <v>#VALUE!</v>
      </c>
      <c r="HA69" t="e">
        <f>AND('Planilla_General_29-11-2012_10_'!D1037,"AAAAAHm42dA=")</f>
        <v>#VALUE!</v>
      </c>
      <c r="HB69" t="e">
        <f>AND('Planilla_General_29-11-2012_10_'!E1037,"AAAAAHm42dE=")</f>
        <v>#VALUE!</v>
      </c>
      <c r="HC69" t="e">
        <f>AND('Planilla_General_29-11-2012_10_'!F1037,"AAAAAHm42dI=")</f>
        <v>#VALUE!</v>
      </c>
      <c r="HD69" t="e">
        <f>AND('Planilla_General_29-11-2012_10_'!G1037,"AAAAAHm42dM=")</f>
        <v>#VALUE!</v>
      </c>
      <c r="HE69" t="e">
        <f>AND('Planilla_General_29-11-2012_10_'!H1037,"AAAAAHm42dQ=")</f>
        <v>#VALUE!</v>
      </c>
      <c r="HF69" t="e">
        <f>AND('Planilla_General_29-11-2012_10_'!I1037,"AAAAAHm42dU=")</f>
        <v>#VALUE!</v>
      </c>
      <c r="HG69" t="e">
        <f>AND('Planilla_General_29-11-2012_10_'!J1037,"AAAAAHm42dY=")</f>
        <v>#VALUE!</v>
      </c>
      <c r="HH69" t="e">
        <f>AND('Planilla_General_29-11-2012_10_'!K1037,"AAAAAHm42dc=")</f>
        <v>#VALUE!</v>
      </c>
      <c r="HI69" t="e">
        <f>AND('Planilla_General_29-11-2012_10_'!L1037,"AAAAAHm42dg=")</f>
        <v>#VALUE!</v>
      </c>
      <c r="HJ69" t="e">
        <f>AND('Planilla_General_29-11-2012_10_'!M1037,"AAAAAHm42dk=")</f>
        <v>#VALUE!</v>
      </c>
      <c r="HK69" t="e">
        <f>AND('Planilla_General_29-11-2012_10_'!N1037,"AAAAAHm42do=")</f>
        <v>#VALUE!</v>
      </c>
      <c r="HL69" t="e">
        <f>AND('Planilla_General_29-11-2012_10_'!O1037,"AAAAAHm42ds=")</f>
        <v>#VALUE!</v>
      </c>
      <c r="HM69" t="e">
        <f>AND('Planilla_General_29-11-2012_10_'!P1037,"AAAAAHm42dw=")</f>
        <v>#VALUE!</v>
      </c>
      <c r="HN69">
        <f>IF('Planilla_General_29-11-2012_10_'!1038:1038,"AAAAAHm42d0=",0)</f>
        <v>0</v>
      </c>
      <c r="HO69" t="e">
        <f>AND('Planilla_General_29-11-2012_10_'!A1038,"AAAAAHm42d4=")</f>
        <v>#VALUE!</v>
      </c>
      <c r="HP69" t="e">
        <f>AND('Planilla_General_29-11-2012_10_'!B1038,"AAAAAHm42d8=")</f>
        <v>#VALUE!</v>
      </c>
      <c r="HQ69" t="e">
        <f>AND('Planilla_General_29-11-2012_10_'!C1038,"AAAAAHm42eA=")</f>
        <v>#VALUE!</v>
      </c>
      <c r="HR69" t="e">
        <f>AND('Planilla_General_29-11-2012_10_'!D1038,"AAAAAHm42eE=")</f>
        <v>#VALUE!</v>
      </c>
      <c r="HS69" t="e">
        <f>AND('Planilla_General_29-11-2012_10_'!E1038,"AAAAAHm42eI=")</f>
        <v>#VALUE!</v>
      </c>
      <c r="HT69" t="e">
        <f>AND('Planilla_General_29-11-2012_10_'!F1038,"AAAAAHm42eM=")</f>
        <v>#VALUE!</v>
      </c>
      <c r="HU69" t="e">
        <f>AND('Planilla_General_29-11-2012_10_'!G1038,"AAAAAHm42eQ=")</f>
        <v>#VALUE!</v>
      </c>
      <c r="HV69" t="e">
        <f>AND('Planilla_General_29-11-2012_10_'!H1038,"AAAAAHm42eU=")</f>
        <v>#VALUE!</v>
      </c>
      <c r="HW69" t="e">
        <f>AND('Planilla_General_29-11-2012_10_'!I1038,"AAAAAHm42eY=")</f>
        <v>#VALUE!</v>
      </c>
      <c r="HX69" t="e">
        <f>AND('Planilla_General_29-11-2012_10_'!J1038,"AAAAAHm42ec=")</f>
        <v>#VALUE!</v>
      </c>
      <c r="HY69" t="e">
        <f>AND('Planilla_General_29-11-2012_10_'!K1038,"AAAAAHm42eg=")</f>
        <v>#VALUE!</v>
      </c>
      <c r="HZ69" t="e">
        <f>AND('Planilla_General_29-11-2012_10_'!L1038,"AAAAAHm42ek=")</f>
        <v>#VALUE!</v>
      </c>
      <c r="IA69" t="e">
        <f>AND('Planilla_General_29-11-2012_10_'!M1038,"AAAAAHm42eo=")</f>
        <v>#VALUE!</v>
      </c>
      <c r="IB69" t="e">
        <f>AND('Planilla_General_29-11-2012_10_'!N1038,"AAAAAHm42es=")</f>
        <v>#VALUE!</v>
      </c>
      <c r="IC69" t="e">
        <f>AND('Planilla_General_29-11-2012_10_'!O1038,"AAAAAHm42ew=")</f>
        <v>#VALUE!</v>
      </c>
      <c r="ID69" t="e">
        <f>AND('Planilla_General_29-11-2012_10_'!P1038,"AAAAAHm42e0=")</f>
        <v>#VALUE!</v>
      </c>
      <c r="IE69">
        <f>IF('Planilla_General_29-11-2012_10_'!1039:1039,"AAAAAHm42e4=",0)</f>
        <v>0</v>
      </c>
      <c r="IF69" t="e">
        <f>AND('Planilla_General_29-11-2012_10_'!A1039,"AAAAAHm42e8=")</f>
        <v>#VALUE!</v>
      </c>
      <c r="IG69" t="e">
        <f>AND('Planilla_General_29-11-2012_10_'!B1039,"AAAAAHm42fA=")</f>
        <v>#VALUE!</v>
      </c>
      <c r="IH69" t="e">
        <f>AND('Planilla_General_29-11-2012_10_'!C1039,"AAAAAHm42fE=")</f>
        <v>#VALUE!</v>
      </c>
      <c r="II69" t="e">
        <f>AND('Planilla_General_29-11-2012_10_'!D1039,"AAAAAHm42fI=")</f>
        <v>#VALUE!</v>
      </c>
      <c r="IJ69" t="e">
        <f>AND('Planilla_General_29-11-2012_10_'!E1039,"AAAAAHm42fM=")</f>
        <v>#VALUE!</v>
      </c>
      <c r="IK69" t="e">
        <f>AND('Planilla_General_29-11-2012_10_'!F1039,"AAAAAHm42fQ=")</f>
        <v>#VALUE!</v>
      </c>
      <c r="IL69" t="e">
        <f>AND('Planilla_General_29-11-2012_10_'!G1039,"AAAAAHm42fU=")</f>
        <v>#VALUE!</v>
      </c>
      <c r="IM69" t="e">
        <f>AND('Planilla_General_29-11-2012_10_'!H1039,"AAAAAHm42fY=")</f>
        <v>#VALUE!</v>
      </c>
      <c r="IN69" t="e">
        <f>AND('Planilla_General_29-11-2012_10_'!I1039,"AAAAAHm42fc=")</f>
        <v>#VALUE!</v>
      </c>
      <c r="IO69" t="e">
        <f>AND('Planilla_General_29-11-2012_10_'!J1039,"AAAAAHm42fg=")</f>
        <v>#VALUE!</v>
      </c>
      <c r="IP69" t="e">
        <f>AND('Planilla_General_29-11-2012_10_'!K1039,"AAAAAHm42fk=")</f>
        <v>#VALUE!</v>
      </c>
      <c r="IQ69" t="e">
        <f>AND('Planilla_General_29-11-2012_10_'!L1039,"AAAAAHm42fo=")</f>
        <v>#VALUE!</v>
      </c>
      <c r="IR69" t="e">
        <f>AND('Planilla_General_29-11-2012_10_'!M1039,"AAAAAHm42fs=")</f>
        <v>#VALUE!</v>
      </c>
      <c r="IS69" t="e">
        <f>AND('Planilla_General_29-11-2012_10_'!N1039,"AAAAAHm42fw=")</f>
        <v>#VALUE!</v>
      </c>
      <c r="IT69" t="e">
        <f>AND('Planilla_General_29-11-2012_10_'!O1039,"AAAAAHm42f0=")</f>
        <v>#VALUE!</v>
      </c>
      <c r="IU69" t="e">
        <f>AND('Planilla_General_29-11-2012_10_'!P1039,"AAAAAHm42f4=")</f>
        <v>#VALUE!</v>
      </c>
      <c r="IV69">
        <f>IF('Planilla_General_29-11-2012_10_'!1040:1040,"AAAAAHm42f8=",0)</f>
        <v>0</v>
      </c>
    </row>
    <row r="70" spans="1:256" x14ac:dyDescent="0.25">
      <c r="A70" t="e">
        <f>AND('Planilla_General_29-11-2012_10_'!A1040,"AAAAADV9vAA=")</f>
        <v>#VALUE!</v>
      </c>
      <c r="B70" t="e">
        <f>AND('Planilla_General_29-11-2012_10_'!B1040,"AAAAADV9vAE=")</f>
        <v>#VALUE!</v>
      </c>
      <c r="C70" t="e">
        <f>AND('Planilla_General_29-11-2012_10_'!C1040,"AAAAADV9vAI=")</f>
        <v>#VALUE!</v>
      </c>
      <c r="D70" t="e">
        <f>AND('Planilla_General_29-11-2012_10_'!D1040,"AAAAADV9vAM=")</f>
        <v>#VALUE!</v>
      </c>
      <c r="E70" t="e">
        <f>AND('Planilla_General_29-11-2012_10_'!E1040,"AAAAADV9vAQ=")</f>
        <v>#VALUE!</v>
      </c>
      <c r="F70" t="e">
        <f>AND('Planilla_General_29-11-2012_10_'!F1040,"AAAAADV9vAU=")</f>
        <v>#VALUE!</v>
      </c>
      <c r="G70" t="e">
        <f>AND('Planilla_General_29-11-2012_10_'!G1040,"AAAAADV9vAY=")</f>
        <v>#VALUE!</v>
      </c>
      <c r="H70" t="e">
        <f>AND('Planilla_General_29-11-2012_10_'!H1040,"AAAAADV9vAc=")</f>
        <v>#VALUE!</v>
      </c>
      <c r="I70" t="e">
        <f>AND('Planilla_General_29-11-2012_10_'!I1040,"AAAAADV9vAg=")</f>
        <v>#VALUE!</v>
      </c>
      <c r="J70" t="e">
        <f>AND('Planilla_General_29-11-2012_10_'!J1040,"AAAAADV9vAk=")</f>
        <v>#VALUE!</v>
      </c>
      <c r="K70" t="e">
        <f>AND('Planilla_General_29-11-2012_10_'!K1040,"AAAAADV9vAo=")</f>
        <v>#VALUE!</v>
      </c>
      <c r="L70" t="e">
        <f>AND('Planilla_General_29-11-2012_10_'!L1040,"AAAAADV9vAs=")</f>
        <v>#VALUE!</v>
      </c>
      <c r="M70" t="e">
        <f>AND('Planilla_General_29-11-2012_10_'!M1040,"AAAAADV9vAw=")</f>
        <v>#VALUE!</v>
      </c>
      <c r="N70" t="e">
        <f>AND('Planilla_General_29-11-2012_10_'!N1040,"AAAAADV9vA0=")</f>
        <v>#VALUE!</v>
      </c>
      <c r="O70" t="e">
        <f>AND('Planilla_General_29-11-2012_10_'!O1040,"AAAAADV9vA4=")</f>
        <v>#VALUE!</v>
      </c>
      <c r="P70" t="e">
        <f>AND('Planilla_General_29-11-2012_10_'!P1040,"AAAAADV9vA8=")</f>
        <v>#VALUE!</v>
      </c>
      <c r="Q70">
        <f>IF('Planilla_General_29-11-2012_10_'!1041:1041,"AAAAADV9vBA=",0)</f>
        <v>0</v>
      </c>
      <c r="R70" t="e">
        <f>AND('Planilla_General_29-11-2012_10_'!A1041,"AAAAADV9vBE=")</f>
        <v>#VALUE!</v>
      </c>
      <c r="S70" t="e">
        <f>AND('Planilla_General_29-11-2012_10_'!B1041,"AAAAADV9vBI=")</f>
        <v>#VALUE!</v>
      </c>
      <c r="T70" t="e">
        <f>AND('Planilla_General_29-11-2012_10_'!C1041,"AAAAADV9vBM=")</f>
        <v>#VALUE!</v>
      </c>
      <c r="U70" t="e">
        <f>AND('Planilla_General_29-11-2012_10_'!D1041,"AAAAADV9vBQ=")</f>
        <v>#VALUE!</v>
      </c>
      <c r="V70" t="e">
        <f>AND('Planilla_General_29-11-2012_10_'!E1041,"AAAAADV9vBU=")</f>
        <v>#VALUE!</v>
      </c>
      <c r="W70" t="e">
        <f>AND('Planilla_General_29-11-2012_10_'!F1041,"AAAAADV9vBY=")</f>
        <v>#VALUE!</v>
      </c>
      <c r="X70" t="e">
        <f>AND('Planilla_General_29-11-2012_10_'!G1041,"AAAAADV9vBc=")</f>
        <v>#VALUE!</v>
      </c>
      <c r="Y70" t="e">
        <f>AND('Planilla_General_29-11-2012_10_'!H1041,"AAAAADV9vBg=")</f>
        <v>#VALUE!</v>
      </c>
      <c r="Z70" t="e">
        <f>AND('Planilla_General_29-11-2012_10_'!I1041,"AAAAADV9vBk=")</f>
        <v>#VALUE!</v>
      </c>
      <c r="AA70" t="e">
        <f>AND('Planilla_General_29-11-2012_10_'!J1041,"AAAAADV9vBo=")</f>
        <v>#VALUE!</v>
      </c>
      <c r="AB70" t="e">
        <f>AND('Planilla_General_29-11-2012_10_'!K1041,"AAAAADV9vBs=")</f>
        <v>#VALUE!</v>
      </c>
      <c r="AC70" t="e">
        <f>AND('Planilla_General_29-11-2012_10_'!L1041,"AAAAADV9vBw=")</f>
        <v>#VALUE!</v>
      </c>
      <c r="AD70" t="e">
        <f>AND('Planilla_General_29-11-2012_10_'!M1041,"AAAAADV9vB0=")</f>
        <v>#VALUE!</v>
      </c>
      <c r="AE70" t="e">
        <f>AND('Planilla_General_29-11-2012_10_'!N1041,"AAAAADV9vB4=")</f>
        <v>#VALUE!</v>
      </c>
      <c r="AF70" t="e">
        <f>AND('Planilla_General_29-11-2012_10_'!O1041,"AAAAADV9vB8=")</f>
        <v>#VALUE!</v>
      </c>
      <c r="AG70" t="e">
        <f>AND('Planilla_General_29-11-2012_10_'!P1041,"AAAAADV9vCA=")</f>
        <v>#VALUE!</v>
      </c>
      <c r="AH70">
        <f>IF('Planilla_General_29-11-2012_10_'!1042:1042,"AAAAADV9vCE=",0)</f>
        <v>0</v>
      </c>
      <c r="AI70" t="e">
        <f>AND('Planilla_General_29-11-2012_10_'!A1042,"AAAAADV9vCI=")</f>
        <v>#VALUE!</v>
      </c>
      <c r="AJ70" t="e">
        <f>AND('Planilla_General_29-11-2012_10_'!B1042,"AAAAADV9vCM=")</f>
        <v>#VALUE!</v>
      </c>
      <c r="AK70" t="e">
        <f>AND('Planilla_General_29-11-2012_10_'!C1042,"AAAAADV9vCQ=")</f>
        <v>#VALUE!</v>
      </c>
      <c r="AL70" t="e">
        <f>AND('Planilla_General_29-11-2012_10_'!D1042,"AAAAADV9vCU=")</f>
        <v>#VALUE!</v>
      </c>
      <c r="AM70" t="e">
        <f>AND('Planilla_General_29-11-2012_10_'!E1042,"AAAAADV9vCY=")</f>
        <v>#VALUE!</v>
      </c>
      <c r="AN70" t="e">
        <f>AND('Planilla_General_29-11-2012_10_'!F1042,"AAAAADV9vCc=")</f>
        <v>#VALUE!</v>
      </c>
      <c r="AO70" t="e">
        <f>AND('Planilla_General_29-11-2012_10_'!G1042,"AAAAADV9vCg=")</f>
        <v>#VALUE!</v>
      </c>
      <c r="AP70" t="e">
        <f>AND('Planilla_General_29-11-2012_10_'!H1042,"AAAAADV9vCk=")</f>
        <v>#VALUE!</v>
      </c>
      <c r="AQ70" t="e">
        <f>AND('Planilla_General_29-11-2012_10_'!I1042,"AAAAADV9vCo=")</f>
        <v>#VALUE!</v>
      </c>
      <c r="AR70" t="e">
        <f>AND('Planilla_General_29-11-2012_10_'!J1042,"AAAAADV9vCs=")</f>
        <v>#VALUE!</v>
      </c>
      <c r="AS70" t="e">
        <f>AND('Planilla_General_29-11-2012_10_'!K1042,"AAAAADV9vCw=")</f>
        <v>#VALUE!</v>
      </c>
      <c r="AT70" t="e">
        <f>AND('Planilla_General_29-11-2012_10_'!L1042,"AAAAADV9vC0=")</f>
        <v>#VALUE!</v>
      </c>
      <c r="AU70" t="e">
        <f>AND('Planilla_General_29-11-2012_10_'!M1042,"AAAAADV9vC4=")</f>
        <v>#VALUE!</v>
      </c>
      <c r="AV70" t="e">
        <f>AND('Planilla_General_29-11-2012_10_'!N1042,"AAAAADV9vC8=")</f>
        <v>#VALUE!</v>
      </c>
      <c r="AW70" t="e">
        <f>AND('Planilla_General_29-11-2012_10_'!O1042,"AAAAADV9vDA=")</f>
        <v>#VALUE!</v>
      </c>
      <c r="AX70" t="e">
        <f>AND('Planilla_General_29-11-2012_10_'!P1042,"AAAAADV9vDE=")</f>
        <v>#VALUE!</v>
      </c>
      <c r="AY70">
        <f>IF('Planilla_General_29-11-2012_10_'!1043:1043,"AAAAADV9vDI=",0)</f>
        <v>0</v>
      </c>
      <c r="AZ70" t="e">
        <f>AND('Planilla_General_29-11-2012_10_'!A1043,"AAAAADV9vDM=")</f>
        <v>#VALUE!</v>
      </c>
      <c r="BA70" t="e">
        <f>AND('Planilla_General_29-11-2012_10_'!B1043,"AAAAADV9vDQ=")</f>
        <v>#VALUE!</v>
      </c>
      <c r="BB70" t="e">
        <f>AND('Planilla_General_29-11-2012_10_'!C1043,"AAAAADV9vDU=")</f>
        <v>#VALUE!</v>
      </c>
      <c r="BC70" t="e">
        <f>AND('Planilla_General_29-11-2012_10_'!D1043,"AAAAADV9vDY=")</f>
        <v>#VALUE!</v>
      </c>
      <c r="BD70" t="e">
        <f>AND('Planilla_General_29-11-2012_10_'!E1043,"AAAAADV9vDc=")</f>
        <v>#VALUE!</v>
      </c>
      <c r="BE70" t="e">
        <f>AND('Planilla_General_29-11-2012_10_'!F1043,"AAAAADV9vDg=")</f>
        <v>#VALUE!</v>
      </c>
      <c r="BF70" t="e">
        <f>AND('Planilla_General_29-11-2012_10_'!G1043,"AAAAADV9vDk=")</f>
        <v>#VALUE!</v>
      </c>
      <c r="BG70" t="e">
        <f>AND('Planilla_General_29-11-2012_10_'!H1043,"AAAAADV9vDo=")</f>
        <v>#VALUE!</v>
      </c>
      <c r="BH70" t="e">
        <f>AND('Planilla_General_29-11-2012_10_'!I1043,"AAAAADV9vDs=")</f>
        <v>#VALUE!</v>
      </c>
      <c r="BI70" t="e">
        <f>AND('Planilla_General_29-11-2012_10_'!J1043,"AAAAADV9vDw=")</f>
        <v>#VALUE!</v>
      </c>
      <c r="BJ70" t="e">
        <f>AND('Planilla_General_29-11-2012_10_'!K1043,"AAAAADV9vD0=")</f>
        <v>#VALUE!</v>
      </c>
      <c r="BK70" t="e">
        <f>AND('Planilla_General_29-11-2012_10_'!L1043,"AAAAADV9vD4=")</f>
        <v>#VALUE!</v>
      </c>
      <c r="BL70" t="e">
        <f>AND('Planilla_General_29-11-2012_10_'!M1043,"AAAAADV9vD8=")</f>
        <v>#VALUE!</v>
      </c>
      <c r="BM70" t="e">
        <f>AND('Planilla_General_29-11-2012_10_'!N1043,"AAAAADV9vEA=")</f>
        <v>#VALUE!</v>
      </c>
      <c r="BN70" t="e">
        <f>AND('Planilla_General_29-11-2012_10_'!O1043,"AAAAADV9vEE=")</f>
        <v>#VALUE!</v>
      </c>
      <c r="BO70" t="e">
        <f>AND('Planilla_General_29-11-2012_10_'!P1043,"AAAAADV9vEI=")</f>
        <v>#VALUE!</v>
      </c>
      <c r="BP70">
        <f>IF('Planilla_General_29-11-2012_10_'!1044:1044,"AAAAADV9vEM=",0)</f>
        <v>0</v>
      </c>
      <c r="BQ70" t="e">
        <f>AND('Planilla_General_29-11-2012_10_'!A1044,"AAAAADV9vEQ=")</f>
        <v>#VALUE!</v>
      </c>
      <c r="BR70" t="e">
        <f>AND('Planilla_General_29-11-2012_10_'!B1044,"AAAAADV9vEU=")</f>
        <v>#VALUE!</v>
      </c>
      <c r="BS70" t="e">
        <f>AND('Planilla_General_29-11-2012_10_'!C1044,"AAAAADV9vEY=")</f>
        <v>#VALUE!</v>
      </c>
      <c r="BT70" t="e">
        <f>AND('Planilla_General_29-11-2012_10_'!D1044,"AAAAADV9vEc=")</f>
        <v>#VALUE!</v>
      </c>
      <c r="BU70" t="e">
        <f>AND('Planilla_General_29-11-2012_10_'!E1044,"AAAAADV9vEg=")</f>
        <v>#VALUE!</v>
      </c>
      <c r="BV70" t="e">
        <f>AND('Planilla_General_29-11-2012_10_'!F1044,"AAAAADV9vEk=")</f>
        <v>#VALUE!</v>
      </c>
      <c r="BW70" t="e">
        <f>AND('Planilla_General_29-11-2012_10_'!G1044,"AAAAADV9vEo=")</f>
        <v>#VALUE!</v>
      </c>
      <c r="BX70" t="e">
        <f>AND('Planilla_General_29-11-2012_10_'!H1044,"AAAAADV9vEs=")</f>
        <v>#VALUE!</v>
      </c>
      <c r="BY70" t="e">
        <f>AND('Planilla_General_29-11-2012_10_'!I1044,"AAAAADV9vEw=")</f>
        <v>#VALUE!</v>
      </c>
      <c r="BZ70" t="e">
        <f>AND('Planilla_General_29-11-2012_10_'!J1044,"AAAAADV9vE0=")</f>
        <v>#VALUE!</v>
      </c>
      <c r="CA70" t="e">
        <f>AND('Planilla_General_29-11-2012_10_'!K1044,"AAAAADV9vE4=")</f>
        <v>#VALUE!</v>
      </c>
      <c r="CB70" t="e">
        <f>AND('Planilla_General_29-11-2012_10_'!L1044,"AAAAADV9vE8=")</f>
        <v>#VALUE!</v>
      </c>
      <c r="CC70" t="e">
        <f>AND('Planilla_General_29-11-2012_10_'!M1044,"AAAAADV9vFA=")</f>
        <v>#VALUE!</v>
      </c>
      <c r="CD70" t="e">
        <f>AND('Planilla_General_29-11-2012_10_'!N1044,"AAAAADV9vFE=")</f>
        <v>#VALUE!</v>
      </c>
      <c r="CE70" t="e">
        <f>AND('Planilla_General_29-11-2012_10_'!O1044,"AAAAADV9vFI=")</f>
        <v>#VALUE!</v>
      </c>
      <c r="CF70" t="e">
        <f>AND('Planilla_General_29-11-2012_10_'!P1044,"AAAAADV9vFM=")</f>
        <v>#VALUE!</v>
      </c>
      <c r="CG70">
        <f>IF('Planilla_General_29-11-2012_10_'!1045:1045,"AAAAADV9vFQ=",0)</f>
        <v>0</v>
      </c>
      <c r="CH70" t="e">
        <f>AND('Planilla_General_29-11-2012_10_'!A1045,"AAAAADV9vFU=")</f>
        <v>#VALUE!</v>
      </c>
      <c r="CI70" t="e">
        <f>AND('Planilla_General_29-11-2012_10_'!B1045,"AAAAADV9vFY=")</f>
        <v>#VALUE!</v>
      </c>
      <c r="CJ70" t="e">
        <f>AND('Planilla_General_29-11-2012_10_'!C1045,"AAAAADV9vFc=")</f>
        <v>#VALUE!</v>
      </c>
      <c r="CK70" t="e">
        <f>AND('Planilla_General_29-11-2012_10_'!D1045,"AAAAADV9vFg=")</f>
        <v>#VALUE!</v>
      </c>
      <c r="CL70" t="e">
        <f>AND('Planilla_General_29-11-2012_10_'!E1045,"AAAAADV9vFk=")</f>
        <v>#VALUE!</v>
      </c>
      <c r="CM70" t="e">
        <f>AND('Planilla_General_29-11-2012_10_'!F1045,"AAAAADV9vFo=")</f>
        <v>#VALUE!</v>
      </c>
      <c r="CN70" t="e">
        <f>AND('Planilla_General_29-11-2012_10_'!G1045,"AAAAADV9vFs=")</f>
        <v>#VALUE!</v>
      </c>
      <c r="CO70" t="e">
        <f>AND('Planilla_General_29-11-2012_10_'!H1045,"AAAAADV9vFw=")</f>
        <v>#VALUE!</v>
      </c>
      <c r="CP70" t="e">
        <f>AND('Planilla_General_29-11-2012_10_'!I1045,"AAAAADV9vF0=")</f>
        <v>#VALUE!</v>
      </c>
      <c r="CQ70" t="e">
        <f>AND('Planilla_General_29-11-2012_10_'!J1045,"AAAAADV9vF4=")</f>
        <v>#VALUE!</v>
      </c>
      <c r="CR70" t="e">
        <f>AND('Planilla_General_29-11-2012_10_'!K1045,"AAAAADV9vF8=")</f>
        <v>#VALUE!</v>
      </c>
      <c r="CS70" t="e">
        <f>AND('Planilla_General_29-11-2012_10_'!L1045,"AAAAADV9vGA=")</f>
        <v>#VALUE!</v>
      </c>
      <c r="CT70" t="e">
        <f>AND('Planilla_General_29-11-2012_10_'!M1045,"AAAAADV9vGE=")</f>
        <v>#VALUE!</v>
      </c>
      <c r="CU70" t="e">
        <f>AND('Planilla_General_29-11-2012_10_'!N1045,"AAAAADV9vGI=")</f>
        <v>#VALUE!</v>
      </c>
      <c r="CV70" t="e">
        <f>AND('Planilla_General_29-11-2012_10_'!O1045,"AAAAADV9vGM=")</f>
        <v>#VALUE!</v>
      </c>
      <c r="CW70" t="e">
        <f>AND('Planilla_General_29-11-2012_10_'!P1045,"AAAAADV9vGQ=")</f>
        <v>#VALUE!</v>
      </c>
      <c r="CX70">
        <f>IF('Planilla_General_29-11-2012_10_'!1046:1046,"AAAAADV9vGU=",0)</f>
        <v>0</v>
      </c>
      <c r="CY70" t="e">
        <f>AND('Planilla_General_29-11-2012_10_'!A1046,"AAAAADV9vGY=")</f>
        <v>#VALUE!</v>
      </c>
      <c r="CZ70" t="e">
        <f>AND('Planilla_General_29-11-2012_10_'!B1046,"AAAAADV9vGc=")</f>
        <v>#VALUE!</v>
      </c>
      <c r="DA70" t="e">
        <f>AND('Planilla_General_29-11-2012_10_'!C1046,"AAAAADV9vGg=")</f>
        <v>#VALUE!</v>
      </c>
      <c r="DB70" t="e">
        <f>AND('Planilla_General_29-11-2012_10_'!D1046,"AAAAADV9vGk=")</f>
        <v>#VALUE!</v>
      </c>
      <c r="DC70" t="e">
        <f>AND('Planilla_General_29-11-2012_10_'!E1046,"AAAAADV9vGo=")</f>
        <v>#VALUE!</v>
      </c>
      <c r="DD70" t="e">
        <f>AND('Planilla_General_29-11-2012_10_'!F1046,"AAAAADV9vGs=")</f>
        <v>#VALUE!</v>
      </c>
      <c r="DE70" t="e">
        <f>AND('Planilla_General_29-11-2012_10_'!G1046,"AAAAADV9vGw=")</f>
        <v>#VALUE!</v>
      </c>
      <c r="DF70" t="e">
        <f>AND('Planilla_General_29-11-2012_10_'!H1046,"AAAAADV9vG0=")</f>
        <v>#VALUE!</v>
      </c>
      <c r="DG70" t="e">
        <f>AND('Planilla_General_29-11-2012_10_'!I1046,"AAAAADV9vG4=")</f>
        <v>#VALUE!</v>
      </c>
      <c r="DH70" t="e">
        <f>AND('Planilla_General_29-11-2012_10_'!J1046,"AAAAADV9vG8=")</f>
        <v>#VALUE!</v>
      </c>
      <c r="DI70" t="e">
        <f>AND('Planilla_General_29-11-2012_10_'!K1046,"AAAAADV9vHA=")</f>
        <v>#VALUE!</v>
      </c>
      <c r="DJ70" t="e">
        <f>AND('Planilla_General_29-11-2012_10_'!L1046,"AAAAADV9vHE=")</f>
        <v>#VALUE!</v>
      </c>
      <c r="DK70" t="e">
        <f>AND('Planilla_General_29-11-2012_10_'!M1046,"AAAAADV9vHI=")</f>
        <v>#VALUE!</v>
      </c>
      <c r="DL70" t="e">
        <f>AND('Planilla_General_29-11-2012_10_'!N1046,"AAAAADV9vHM=")</f>
        <v>#VALUE!</v>
      </c>
      <c r="DM70" t="e">
        <f>AND('Planilla_General_29-11-2012_10_'!O1046,"AAAAADV9vHQ=")</f>
        <v>#VALUE!</v>
      </c>
      <c r="DN70" t="e">
        <f>AND('Planilla_General_29-11-2012_10_'!P1046,"AAAAADV9vHU=")</f>
        <v>#VALUE!</v>
      </c>
      <c r="DO70">
        <f>IF('Planilla_General_29-11-2012_10_'!1047:1047,"AAAAADV9vHY=",0)</f>
        <v>0</v>
      </c>
      <c r="DP70" t="e">
        <f>AND('Planilla_General_29-11-2012_10_'!A1047,"AAAAADV9vHc=")</f>
        <v>#VALUE!</v>
      </c>
      <c r="DQ70" t="e">
        <f>AND('Planilla_General_29-11-2012_10_'!B1047,"AAAAADV9vHg=")</f>
        <v>#VALUE!</v>
      </c>
      <c r="DR70" t="e">
        <f>AND('Planilla_General_29-11-2012_10_'!C1047,"AAAAADV9vHk=")</f>
        <v>#VALUE!</v>
      </c>
      <c r="DS70" t="e">
        <f>AND('Planilla_General_29-11-2012_10_'!D1047,"AAAAADV9vHo=")</f>
        <v>#VALUE!</v>
      </c>
      <c r="DT70" t="e">
        <f>AND('Planilla_General_29-11-2012_10_'!E1047,"AAAAADV9vHs=")</f>
        <v>#VALUE!</v>
      </c>
      <c r="DU70" t="e">
        <f>AND('Planilla_General_29-11-2012_10_'!F1047,"AAAAADV9vHw=")</f>
        <v>#VALUE!</v>
      </c>
      <c r="DV70" t="e">
        <f>AND('Planilla_General_29-11-2012_10_'!G1047,"AAAAADV9vH0=")</f>
        <v>#VALUE!</v>
      </c>
      <c r="DW70" t="e">
        <f>AND('Planilla_General_29-11-2012_10_'!H1047,"AAAAADV9vH4=")</f>
        <v>#VALUE!</v>
      </c>
      <c r="DX70" t="e">
        <f>AND('Planilla_General_29-11-2012_10_'!I1047,"AAAAADV9vH8=")</f>
        <v>#VALUE!</v>
      </c>
      <c r="DY70" t="e">
        <f>AND('Planilla_General_29-11-2012_10_'!J1047,"AAAAADV9vIA=")</f>
        <v>#VALUE!</v>
      </c>
      <c r="DZ70" t="e">
        <f>AND('Planilla_General_29-11-2012_10_'!K1047,"AAAAADV9vIE=")</f>
        <v>#VALUE!</v>
      </c>
      <c r="EA70" t="e">
        <f>AND('Planilla_General_29-11-2012_10_'!L1047,"AAAAADV9vII=")</f>
        <v>#VALUE!</v>
      </c>
      <c r="EB70" t="e">
        <f>AND('Planilla_General_29-11-2012_10_'!M1047,"AAAAADV9vIM=")</f>
        <v>#VALUE!</v>
      </c>
      <c r="EC70" t="e">
        <f>AND('Planilla_General_29-11-2012_10_'!N1047,"AAAAADV9vIQ=")</f>
        <v>#VALUE!</v>
      </c>
      <c r="ED70" t="e">
        <f>AND('Planilla_General_29-11-2012_10_'!O1047,"AAAAADV9vIU=")</f>
        <v>#VALUE!</v>
      </c>
      <c r="EE70" t="e">
        <f>AND('Planilla_General_29-11-2012_10_'!P1047,"AAAAADV9vIY=")</f>
        <v>#VALUE!</v>
      </c>
      <c r="EF70">
        <f>IF('Planilla_General_29-11-2012_10_'!1048:1048,"AAAAADV9vIc=",0)</f>
        <v>0</v>
      </c>
      <c r="EG70" t="e">
        <f>AND('Planilla_General_29-11-2012_10_'!A1048,"AAAAADV9vIg=")</f>
        <v>#VALUE!</v>
      </c>
      <c r="EH70" t="e">
        <f>AND('Planilla_General_29-11-2012_10_'!B1048,"AAAAADV9vIk=")</f>
        <v>#VALUE!</v>
      </c>
      <c r="EI70" t="e">
        <f>AND('Planilla_General_29-11-2012_10_'!C1048,"AAAAADV9vIo=")</f>
        <v>#VALUE!</v>
      </c>
      <c r="EJ70" t="e">
        <f>AND('Planilla_General_29-11-2012_10_'!D1048,"AAAAADV9vIs=")</f>
        <v>#VALUE!</v>
      </c>
      <c r="EK70" t="e">
        <f>AND('Planilla_General_29-11-2012_10_'!E1048,"AAAAADV9vIw=")</f>
        <v>#VALUE!</v>
      </c>
      <c r="EL70" t="e">
        <f>AND('Planilla_General_29-11-2012_10_'!F1048,"AAAAADV9vI0=")</f>
        <v>#VALUE!</v>
      </c>
      <c r="EM70" t="e">
        <f>AND('Planilla_General_29-11-2012_10_'!G1048,"AAAAADV9vI4=")</f>
        <v>#VALUE!</v>
      </c>
      <c r="EN70" t="e">
        <f>AND('Planilla_General_29-11-2012_10_'!H1048,"AAAAADV9vI8=")</f>
        <v>#VALUE!</v>
      </c>
      <c r="EO70" t="e">
        <f>AND('Planilla_General_29-11-2012_10_'!I1048,"AAAAADV9vJA=")</f>
        <v>#VALUE!</v>
      </c>
      <c r="EP70" t="e">
        <f>AND('Planilla_General_29-11-2012_10_'!J1048,"AAAAADV9vJE=")</f>
        <v>#VALUE!</v>
      </c>
      <c r="EQ70" t="e">
        <f>AND('Planilla_General_29-11-2012_10_'!K1048,"AAAAADV9vJI=")</f>
        <v>#VALUE!</v>
      </c>
      <c r="ER70" t="e">
        <f>AND('Planilla_General_29-11-2012_10_'!L1048,"AAAAADV9vJM=")</f>
        <v>#VALUE!</v>
      </c>
      <c r="ES70" t="e">
        <f>AND('Planilla_General_29-11-2012_10_'!M1048,"AAAAADV9vJQ=")</f>
        <v>#VALUE!</v>
      </c>
      <c r="ET70" t="e">
        <f>AND('Planilla_General_29-11-2012_10_'!N1048,"AAAAADV9vJU=")</f>
        <v>#VALUE!</v>
      </c>
      <c r="EU70" t="e">
        <f>AND('Planilla_General_29-11-2012_10_'!O1048,"AAAAADV9vJY=")</f>
        <v>#VALUE!</v>
      </c>
      <c r="EV70" t="e">
        <f>AND('Planilla_General_29-11-2012_10_'!P1048,"AAAAADV9vJc=")</f>
        <v>#VALUE!</v>
      </c>
      <c r="EW70">
        <f>IF('Planilla_General_29-11-2012_10_'!1049:1049,"AAAAADV9vJg=",0)</f>
        <v>0</v>
      </c>
      <c r="EX70" t="e">
        <f>AND('Planilla_General_29-11-2012_10_'!A1049,"AAAAADV9vJk=")</f>
        <v>#VALUE!</v>
      </c>
      <c r="EY70" t="e">
        <f>AND('Planilla_General_29-11-2012_10_'!B1049,"AAAAADV9vJo=")</f>
        <v>#VALUE!</v>
      </c>
      <c r="EZ70" t="e">
        <f>AND('Planilla_General_29-11-2012_10_'!C1049,"AAAAADV9vJs=")</f>
        <v>#VALUE!</v>
      </c>
      <c r="FA70" t="e">
        <f>AND('Planilla_General_29-11-2012_10_'!D1049,"AAAAADV9vJw=")</f>
        <v>#VALUE!</v>
      </c>
      <c r="FB70" t="e">
        <f>AND('Planilla_General_29-11-2012_10_'!E1049,"AAAAADV9vJ0=")</f>
        <v>#VALUE!</v>
      </c>
      <c r="FC70" t="e">
        <f>AND('Planilla_General_29-11-2012_10_'!F1049,"AAAAADV9vJ4=")</f>
        <v>#VALUE!</v>
      </c>
      <c r="FD70" t="e">
        <f>AND('Planilla_General_29-11-2012_10_'!G1049,"AAAAADV9vJ8=")</f>
        <v>#VALUE!</v>
      </c>
      <c r="FE70" t="e">
        <f>AND('Planilla_General_29-11-2012_10_'!H1049,"AAAAADV9vKA=")</f>
        <v>#VALUE!</v>
      </c>
      <c r="FF70" t="e">
        <f>AND('Planilla_General_29-11-2012_10_'!I1049,"AAAAADV9vKE=")</f>
        <v>#VALUE!</v>
      </c>
      <c r="FG70" t="e">
        <f>AND('Planilla_General_29-11-2012_10_'!J1049,"AAAAADV9vKI=")</f>
        <v>#VALUE!</v>
      </c>
      <c r="FH70" t="e">
        <f>AND('Planilla_General_29-11-2012_10_'!K1049,"AAAAADV9vKM=")</f>
        <v>#VALUE!</v>
      </c>
      <c r="FI70" t="e">
        <f>AND('Planilla_General_29-11-2012_10_'!L1049,"AAAAADV9vKQ=")</f>
        <v>#VALUE!</v>
      </c>
      <c r="FJ70" t="e">
        <f>AND('Planilla_General_29-11-2012_10_'!M1049,"AAAAADV9vKU=")</f>
        <v>#VALUE!</v>
      </c>
      <c r="FK70" t="e">
        <f>AND('Planilla_General_29-11-2012_10_'!N1049,"AAAAADV9vKY=")</f>
        <v>#VALUE!</v>
      </c>
      <c r="FL70" t="e">
        <f>AND('Planilla_General_29-11-2012_10_'!O1049,"AAAAADV9vKc=")</f>
        <v>#VALUE!</v>
      </c>
      <c r="FM70" t="e">
        <f>AND('Planilla_General_29-11-2012_10_'!P1049,"AAAAADV9vKg=")</f>
        <v>#VALUE!</v>
      </c>
      <c r="FN70">
        <f>IF('Planilla_General_29-11-2012_10_'!1050:1050,"AAAAADV9vKk=",0)</f>
        <v>0</v>
      </c>
      <c r="FO70" t="e">
        <f>AND('Planilla_General_29-11-2012_10_'!A1050,"AAAAADV9vKo=")</f>
        <v>#VALUE!</v>
      </c>
      <c r="FP70" t="e">
        <f>AND('Planilla_General_29-11-2012_10_'!B1050,"AAAAADV9vKs=")</f>
        <v>#VALUE!</v>
      </c>
      <c r="FQ70" t="e">
        <f>AND('Planilla_General_29-11-2012_10_'!C1050,"AAAAADV9vKw=")</f>
        <v>#VALUE!</v>
      </c>
      <c r="FR70" t="e">
        <f>AND('Planilla_General_29-11-2012_10_'!D1050,"AAAAADV9vK0=")</f>
        <v>#VALUE!</v>
      </c>
      <c r="FS70" t="e">
        <f>AND('Planilla_General_29-11-2012_10_'!E1050,"AAAAADV9vK4=")</f>
        <v>#VALUE!</v>
      </c>
      <c r="FT70" t="e">
        <f>AND('Planilla_General_29-11-2012_10_'!F1050,"AAAAADV9vK8=")</f>
        <v>#VALUE!</v>
      </c>
      <c r="FU70" t="e">
        <f>AND('Planilla_General_29-11-2012_10_'!G1050,"AAAAADV9vLA=")</f>
        <v>#VALUE!</v>
      </c>
      <c r="FV70" t="e">
        <f>AND('Planilla_General_29-11-2012_10_'!H1050,"AAAAADV9vLE=")</f>
        <v>#VALUE!</v>
      </c>
      <c r="FW70" t="e">
        <f>AND('Planilla_General_29-11-2012_10_'!I1050,"AAAAADV9vLI=")</f>
        <v>#VALUE!</v>
      </c>
      <c r="FX70" t="e">
        <f>AND('Planilla_General_29-11-2012_10_'!J1050,"AAAAADV9vLM=")</f>
        <v>#VALUE!</v>
      </c>
      <c r="FY70" t="e">
        <f>AND('Planilla_General_29-11-2012_10_'!K1050,"AAAAADV9vLQ=")</f>
        <v>#VALUE!</v>
      </c>
      <c r="FZ70" t="e">
        <f>AND('Planilla_General_29-11-2012_10_'!L1050,"AAAAADV9vLU=")</f>
        <v>#VALUE!</v>
      </c>
      <c r="GA70" t="e">
        <f>AND('Planilla_General_29-11-2012_10_'!M1050,"AAAAADV9vLY=")</f>
        <v>#VALUE!</v>
      </c>
      <c r="GB70" t="e">
        <f>AND('Planilla_General_29-11-2012_10_'!N1050,"AAAAADV9vLc=")</f>
        <v>#VALUE!</v>
      </c>
      <c r="GC70" t="e">
        <f>AND('Planilla_General_29-11-2012_10_'!O1050,"AAAAADV9vLg=")</f>
        <v>#VALUE!</v>
      </c>
      <c r="GD70" t="e">
        <f>AND('Planilla_General_29-11-2012_10_'!P1050,"AAAAADV9vLk=")</f>
        <v>#VALUE!</v>
      </c>
      <c r="GE70">
        <f>IF('Planilla_General_29-11-2012_10_'!1051:1051,"AAAAADV9vLo=",0)</f>
        <v>0</v>
      </c>
      <c r="GF70" t="e">
        <f>AND('Planilla_General_29-11-2012_10_'!A1051,"AAAAADV9vLs=")</f>
        <v>#VALUE!</v>
      </c>
      <c r="GG70" t="e">
        <f>AND('Planilla_General_29-11-2012_10_'!B1051,"AAAAADV9vLw=")</f>
        <v>#VALUE!</v>
      </c>
      <c r="GH70" t="e">
        <f>AND('Planilla_General_29-11-2012_10_'!C1051,"AAAAADV9vL0=")</f>
        <v>#VALUE!</v>
      </c>
      <c r="GI70" t="e">
        <f>AND('Planilla_General_29-11-2012_10_'!D1051,"AAAAADV9vL4=")</f>
        <v>#VALUE!</v>
      </c>
      <c r="GJ70" t="e">
        <f>AND('Planilla_General_29-11-2012_10_'!E1051,"AAAAADV9vL8=")</f>
        <v>#VALUE!</v>
      </c>
      <c r="GK70" t="e">
        <f>AND('Planilla_General_29-11-2012_10_'!F1051,"AAAAADV9vMA=")</f>
        <v>#VALUE!</v>
      </c>
      <c r="GL70" t="e">
        <f>AND('Planilla_General_29-11-2012_10_'!G1051,"AAAAADV9vME=")</f>
        <v>#VALUE!</v>
      </c>
      <c r="GM70" t="e">
        <f>AND('Planilla_General_29-11-2012_10_'!H1051,"AAAAADV9vMI=")</f>
        <v>#VALUE!</v>
      </c>
      <c r="GN70" t="e">
        <f>AND('Planilla_General_29-11-2012_10_'!I1051,"AAAAADV9vMM=")</f>
        <v>#VALUE!</v>
      </c>
      <c r="GO70" t="e">
        <f>AND('Planilla_General_29-11-2012_10_'!J1051,"AAAAADV9vMQ=")</f>
        <v>#VALUE!</v>
      </c>
      <c r="GP70" t="e">
        <f>AND('Planilla_General_29-11-2012_10_'!K1051,"AAAAADV9vMU=")</f>
        <v>#VALUE!</v>
      </c>
      <c r="GQ70" t="e">
        <f>AND('Planilla_General_29-11-2012_10_'!L1051,"AAAAADV9vMY=")</f>
        <v>#VALUE!</v>
      </c>
      <c r="GR70" t="e">
        <f>AND('Planilla_General_29-11-2012_10_'!M1051,"AAAAADV9vMc=")</f>
        <v>#VALUE!</v>
      </c>
      <c r="GS70" t="e">
        <f>AND('Planilla_General_29-11-2012_10_'!N1051,"AAAAADV9vMg=")</f>
        <v>#VALUE!</v>
      </c>
      <c r="GT70" t="e">
        <f>AND('Planilla_General_29-11-2012_10_'!O1051,"AAAAADV9vMk=")</f>
        <v>#VALUE!</v>
      </c>
      <c r="GU70" t="e">
        <f>AND('Planilla_General_29-11-2012_10_'!P1051,"AAAAADV9vMo=")</f>
        <v>#VALUE!</v>
      </c>
      <c r="GV70">
        <f>IF('Planilla_General_29-11-2012_10_'!1052:1052,"AAAAADV9vMs=",0)</f>
        <v>0</v>
      </c>
      <c r="GW70" t="e">
        <f>AND('Planilla_General_29-11-2012_10_'!A1052,"AAAAADV9vMw=")</f>
        <v>#VALUE!</v>
      </c>
      <c r="GX70" t="e">
        <f>AND('Planilla_General_29-11-2012_10_'!B1052,"AAAAADV9vM0=")</f>
        <v>#VALUE!</v>
      </c>
      <c r="GY70" t="e">
        <f>AND('Planilla_General_29-11-2012_10_'!C1052,"AAAAADV9vM4=")</f>
        <v>#VALUE!</v>
      </c>
      <c r="GZ70" t="e">
        <f>AND('Planilla_General_29-11-2012_10_'!D1052,"AAAAADV9vM8=")</f>
        <v>#VALUE!</v>
      </c>
      <c r="HA70" t="e">
        <f>AND('Planilla_General_29-11-2012_10_'!E1052,"AAAAADV9vNA=")</f>
        <v>#VALUE!</v>
      </c>
      <c r="HB70" t="e">
        <f>AND('Planilla_General_29-11-2012_10_'!F1052,"AAAAADV9vNE=")</f>
        <v>#VALUE!</v>
      </c>
      <c r="HC70" t="e">
        <f>AND('Planilla_General_29-11-2012_10_'!G1052,"AAAAADV9vNI=")</f>
        <v>#VALUE!</v>
      </c>
      <c r="HD70" t="e">
        <f>AND('Planilla_General_29-11-2012_10_'!H1052,"AAAAADV9vNM=")</f>
        <v>#VALUE!</v>
      </c>
      <c r="HE70" t="e">
        <f>AND('Planilla_General_29-11-2012_10_'!I1052,"AAAAADV9vNQ=")</f>
        <v>#VALUE!</v>
      </c>
      <c r="HF70" t="e">
        <f>AND('Planilla_General_29-11-2012_10_'!J1052,"AAAAADV9vNU=")</f>
        <v>#VALUE!</v>
      </c>
      <c r="HG70" t="e">
        <f>AND('Planilla_General_29-11-2012_10_'!K1052,"AAAAADV9vNY=")</f>
        <v>#VALUE!</v>
      </c>
      <c r="HH70" t="e">
        <f>AND('Planilla_General_29-11-2012_10_'!L1052,"AAAAADV9vNc=")</f>
        <v>#VALUE!</v>
      </c>
      <c r="HI70" t="e">
        <f>AND('Planilla_General_29-11-2012_10_'!M1052,"AAAAADV9vNg=")</f>
        <v>#VALUE!</v>
      </c>
      <c r="HJ70" t="e">
        <f>AND('Planilla_General_29-11-2012_10_'!N1052,"AAAAADV9vNk=")</f>
        <v>#VALUE!</v>
      </c>
      <c r="HK70" t="e">
        <f>AND('Planilla_General_29-11-2012_10_'!O1052,"AAAAADV9vNo=")</f>
        <v>#VALUE!</v>
      </c>
      <c r="HL70" t="e">
        <f>AND('Planilla_General_29-11-2012_10_'!P1052,"AAAAADV9vNs=")</f>
        <v>#VALUE!</v>
      </c>
      <c r="HM70">
        <f>IF('Planilla_General_29-11-2012_10_'!1053:1053,"AAAAADV9vNw=",0)</f>
        <v>0</v>
      </c>
      <c r="HN70" t="e">
        <f>AND('Planilla_General_29-11-2012_10_'!A1053,"AAAAADV9vN0=")</f>
        <v>#VALUE!</v>
      </c>
      <c r="HO70" t="e">
        <f>AND('Planilla_General_29-11-2012_10_'!B1053,"AAAAADV9vN4=")</f>
        <v>#VALUE!</v>
      </c>
      <c r="HP70" t="e">
        <f>AND('Planilla_General_29-11-2012_10_'!C1053,"AAAAADV9vN8=")</f>
        <v>#VALUE!</v>
      </c>
      <c r="HQ70" t="e">
        <f>AND('Planilla_General_29-11-2012_10_'!D1053,"AAAAADV9vOA=")</f>
        <v>#VALUE!</v>
      </c>
      <c r="HR70" t="e">
        <f>AND('Planilla_General_29-11-2012_10_'!E1053,"AAAAADV9vOE=")</f>
        <v>#VALUE!</v>
      </c>
      <c r="HS70" t="e">
        <f>AND('Planilla_General_29-11-2012_10_'!F1053,"AAAAADV9vOI=")</f>
        <v>#VALUE!</v>
      </c>
      <c r="HT70" t="e">
        <f>AND('Planilla_General_29-11-2012_10_'!G1053,"AAAAADV9vOM=")</f>
        <v>#VALUE!</v>
      </c>
      <c r="HU70" t="e">
        <f>AND('Planilla_General_29-11-2012_10_'!H1053,"AAAAADV9vOQ=")</f>
        <v>#VALUE!</v>
      </c>
      <c r="HV70" t="e">
        <f>AND('Planilla_General_29-11-2012_10_'!I1053,"AAAAADV9vOU=")</f>
        <v>#VALUE!</v>
      </c>
      <c r="HW70" t="e">
        <f>AND('Planilla_General_29-11-2012_10_'!J1053,"AAAAADV9vOY=")</f>
        <v>#VALUE!</v>
      </c>
      <c r="HX70" t="e">
        <f>AND('Planilla_General_29-11-2012_10_'!K1053,"AAAAADV9vOc=")</f>
        <v>#VALUE!</v>
      </c>
      <c r="HY70" t="e">
        <f>AND('Planilla_General_29-11-2012_10_'!L1053,"AAAAADV9vOg=")</f>
        <v>#VALUE!</v>
      </c>
      <c r="HZ70" t="e">
        <f>AND('Planilla_General_29-11-2012_10_'!M1053,"AAAAADV9vOk=")</f>
        <v>#VALUE!</v>
      </c>
      <c r="IA70" t="e">
        <f>AND('Planilla_General_29-11-2012_10_'!N1053,"AAAAADV9vOo=")</f>
        <v>#VALUE!</v>
      </c>
      <c r="IB70" t="e">
        <f>AND('Planilla_General_29-11-2012_10_'!O1053,"AAAAADV9vOs=")</f>
        <v>#VALUE!</v>
      </c>
      <c r="IC70" t="e">
        <f>AND('Planilla_General_29-11-2012_10_'!P1053,"AAAAADV9vOw=")</f>
        <v>#VALUE!</v>
      </c>
      <c r="ID70">
        <f>IF('Planilla_General_29-11-2012_10_'!1054:1054,"AAAAADV9vO0=",0)</f>
        <v>0</v>
      </c>
      <c r="IE70" t="e">
        <f>AND('Planilla_General_29-11-2012_10_'!A1054,"AAAAADV9vO4=")</f>
        <v>#VALUE!</v>
      </c>
      <c r="IF70" t="e">
        <f>AND('Planilla_General_29-11-2012_10_'!B1054,"AAAAADV9vO8=")</f>
        <v>#VALUE!</v>
      </c>
      <c r="IG70" t="e">
        <f>AND('Planilla_General_29-11-2012_10_'!C1054,"AAAAADV9vPA=")</f>
        <v>#VALUE!</v>
      </c>
      <c r="IH70" t="e">
        <f>AND('Planilla_General_29-11-2012_10_'!D1054,"AAAAADV9vPE=")</f>
        <v>#VALUE!</v>
      </c>
      <c r="II70" t="e">
        <f>AND('Planilla_General_29-11-2012_10_'!E1054,"AAAAADV9vPI=")</f>
        <v>#VALUE!</v>
      </c>
      <c r="IJ70" t="e">
        <f>AND('Planilla_General_29-11-2012_10_'!F1054,"AAAAADV9vPM=")</f>
        <v>#VALUE!</v>
      </c>
      <c r="IK70" t="e">
        <f>AND('Planilla_General_29-11-2012_10_'!G1054,"AAAAADV9vPQ=")</f>
        <v>#VALUE!</v>
      </c>
      <c r="IL70" t="e">
        <f>AND('Planilla_General_29-11-2012_10_'!H1054,"AAAAADV9vPU=")</f>
        <v>#VALUE!</v>
      </c>
      <c r="IM70" t="e">
        <f>AND('Planilla_General_29-11-2012_10_'!I1054,"AAAAADV9vPY=")</f>
        <v>#VALUE!</v>
      </c>
      <c r="IN70" t="e">
        <f>AND('Planilla_General_29-11-2012_10_'!J1054,"AAAAADV9vPc=")</f>
        <v>#VALUE!</v>
      </c>
      <c r="IO70" t="e">
        <f>AND('Planilla_General_29-11-2012_10_'!K1054,"AAAAADV9vPg=")</f>
        <v>#VALUE!</v>
      </c>
      <c r="IP70" t="e">
        <f>AND('Planilla_General_29-11-2012_10_'!L1054,"AAAAADV9vPk=")</f>
        <v>#VALUE!</v>
      </c>
      <c r="IQ70" t="e">
        <f>AND('Planilla_General_29-11-2012_10_'!M1054,"AAAAADV9vPo=")</f>
        <v>#VALUE!</v>
      </c>
      <c r="IR70" t="e">
        <f>AND('Planilla_General_29-11-2012_10_'!N1054,"AAAAADV9vPs=")</f>
        <v>#VALUE!</v>
      </c>
      <c r="IS70" t="e">
        <f>AND('Planilla_General_29-11-2012_10_'!O1054,"AAAAADV9vPw=")</f>
        <v>#VALUE!</v>
      </c>
      <c r="IT70" t="e">
        <f>AND('Planilla_General_29-11-2012_10_'!P1054,"AAAAADV9vP0=")</f>
        <v>#VALUE!</v>
      </c>
      <c r="IU70">
        <f>IF('Planilla_General_29-11-2012_10_'!1055:1055,"AAAAADV9vP4=",0)</f>
        <v>0</v>
      </c>
      <c r="IV70" t="e">
        <f>AND('Planilla_General_29-11-2012_10_'!A1055,"AAAAADV9vP8=")</f>
        <v>#VALUE!</v>
      </c>
    </row>
    <row r="71" spans="1:256" x14ac:dyDescent="0.25">
      <c r="A71" t="e">
        <f>AND('Planilla_General_29-11-2012_10_'!B1055,"AAAAAH3f/gA=")</f>
        <v>#VALUE!</v>
      </c>
      <c r="B71" t="e">
        <f>AND('Planilla_General_29-11-2012_10_'!C1055,"AAAAAH3f/gE=")</f>
        <v>#VALUE!</v>
      </c>
      <c r="C71" t="e">
        <f>AND('Planilla_General_29-11-2012_10_'!D1055,"AAAAAH3f/gI=")</f>
        <v>#VALUE!</v>
      </c>
      <c r="D71" t="e">
        <f>AND('Planilla_General_29-11-2012_10_'!E1055,"AAAAAH3f/gM=")</f>
        <v>#VALUE!</v>
      </c>
      <c r="E71" t="e">
        <f>AND('Planilla_General_29-11-2012_10_'!F1055,"AAAAAH3f/gQ=")</f>
        <v>#VALUE!</v>
      </c>
      <c r="F71" t="e">
        <f>AND('Planilla_General_29-11-2012_10_'!G1055,"AAAAAH3f/gU=")</f>
        <v>#VALUE!</v>
      </c>
      <c r="G71" t="e">
        <f>AND('Planilla_General_29-11-2012_10_'!H1055,"AAAAAH3f/gY=")</f>
        <v>#VALUE!</v>
      </c>
      <c r="H71" t="e">
        <f>AND('Planilla_General_29-11-2012_10_'!I1055,"AAAAAH3f/gc=")</f>
        <v>#VALUE!</v>
      </c>
      <c r="I71" t="e">
        <f>AND('Planilla_General_29-11-2012_10_'!J1055,"AAAAAH3f/gg=")</f>
        <v>#VALUE!</v>
      </c>
      <c r="J71" t="e">
        <f>AND('Planilla_General_29-11-2012_10_'!K1055,"AAAAAH3f/gk=")</f>
        <v>#VALUE!</v>
      </c>
      <c r="K71" t="e">
        <f>AND('Planilla_General_29-11-2012_10_'!L1055,"AAAAAH3f/go=")</f>
        <v>#VALUE!</v>
      </c>
      <c r="L71" t="e">
        <f>AND('Planilla_General_29-11-2012_10_'!M1055,"AAAAAH3f/gs=")</f>
        <v>#VALUE!</v>
      </c>
      <c r="M71" t="e">
        <f>AND('Planilla_General_29-11-2012_10_'!N1055,"AAAAAH3f/gw=")</f>
        <v>#VALUE!</v>
      </c>
      <c r="N71" t="e">
        <f>AND('Planilla_General_29-11-2012_10_'!O1055,"AAAAAH3f/g0=")</f>
        <v>#VALUE!</v>
      </c>
      <c r="O71" t="e">
        <f>AND('Planilla_General_29-11-2012_10_'!P1055,"AAAAAH3f/g4=")</f>
        <v>#VALUE!</v>
      </c>
      <c r="P71">
        <f>IF('Planilla_General_29-11-2012_10_'!1056:1056,"AAAAAH3f/g8=",0)</f>
        <v>0</v>
      </c>
      <c r="Q71" t="e">
        <f>AND('Planilla_General_29-11-2012_10_'!A1056,"AAAAAH3f/hA=")</f>
        <v>#VALUE!</v>
      </c>
      <c r="R71" t="e">
        <f>AND('Planilla_General_29-11-2012_10_'!B1056,"AAAAAH3f/hE=")</f>
        <v>#VALUE!</v>
      </c>
      <c r="S71" t="e">
        <f>AND('Planilla_General_29-11-2012_10_'!C1056,"AAAAAH3f/hI=")</f>
        <v>#VALUE!</v>
      </c>
      <c r="T71" t="e">
        <f>AND('Planilla_General_29-11-2012_10_'!D1056,"AAAAAH3f/hM=")</f>
        <v>#VALUE!</v>
      </c>
      <c r="U71" t="e">
        <f>AND('Planilla_General_29-11-2012_10_'!E1056,"AAAAAH3f/hQ=")</f>
        <v>#VALUE!</v>
      </c>
      <c r="V71" t="e">
        <f>AND('Planilla_General_29-11-2012_10_'!F1056,"AAAAAH3f/hU=")</f>
        <v>#VALUE!</v>
      </c>
      <c r="W71" t="e">
        <f>AND('Planilla_General_29-11-2012_10_'!G1056,"AAAAAH3f/hY=")</f>
        <v>#VALUE!</v>
      </c>
      <c r="X71" t="e">
        <f>AND('Planilla_General_29-11-2012_10_'!H1056,"AAAAAH3f/hc=")</f>
        <v>#VALUE!</v>
      </c>
      <c r="Y71" t="e">
        <f>AND('Planilla_General_29-11-2012_10_'!I1056,"AAAAAH3f/hg=")</f>
        <v>#VALUE!</v>
      </c>
      <c r="Z71" t="e">
        <f>AND('Planilla_General_29-11-2012_10_'!J1056,"AAAAAH3f/hk=")</f>
        <v>#VALUE!</v>
      </c>
      <c r="AA71" t="e">
        <f>AND('Planilla_General_29-11-2012_10_'!K1056,"AAAAAH3f/ho=")</f>
        <v>#VALUE!</v>
      </c>
      <c r="AB71" t="e">
        <f>AND('Planilla_General_29-11-2012_10_'!L1056,"AAAAAH3f/hs=")</f>
        <v>#VALUE!</v>
      </c>
      <c r="AC71" t="e">
        <f>AND('Planilla_General_29-11-2012_10_'!M1056,"AAAAAH3f/hw=")</f>
        <v>#VALUE!</v>
      </c>
      <c r="AD71" t="e">
        <f>AND('Planilla_General_29-11-2012_10_'!N1056,"AAAAAH3f/h0=")</f>
        <v>#VALUE!</v>
      </c>
      <c r="AE71" t="e">
        <f>AND('Planilla_General_29-11-2012_10_'!O1056,"AAAAAH3f/h4=")</f>
        <v>#VALUE!</v>
      </c>
      <c r="AF71" t="e">
        <f>AND('Planilla_General_29-11-2012_10_'!P1056,"AAAAAH3f/h8=")</f>
        <v>#VALUE!</v>
      </c>
      <c r="AG71">
        <f>IF('Planilla_General_29-11-2012_10_'!1057:1057,"AAAAAH3f/iA=",0)</f>
        <v>0</v>
      </c>
      <c r="AH71" t="e">
        <f>AND('Planilla_General_29-11-2012_10_'!A1057,"AAAAAH3f/iE=")</f>
        <v>#VALUE!</v>
      </c>
      <c r="AI71" t="e">
        <f>AND('Planilla_General_29-11-2012_10_'!B1057,"AAAAAH3f/iI=")</f>
        <v>#VALUE!</v>
      </c>
      <c r="AJ71" t="e">
        <f>AND('Planilla_General_29-11-2012_10_'!C1057,"AAAAAH3f/iM=")</f>
        <v>#VALUE!</v>
      </c>
      <c r="AK71" t="e">
        <f>AND('Planilla_General_29-11-2012_10_'!D1057,"AAAAAH3f/iQ=")</f>
        <v>#VALUE!</v>
      </c>
      <c r="AL71" t="e">
        <f>AND('Planilla_General_29-11-2012_10_'!E1057,"AAAAAH3f/iU=")</f>
        <v>#VALUE!</v>
      </c>
      <c r="AM71" t="e">
        <f>AND('Planilla_General_29-11-2012_10_'!F1057,"AAAAAH3f/iY=")</f>
        <v>#VALUE!</v>
      </c>
      <c r="AN71" t="e">
        <f>AND('Planilla_General_29-11-2012_10_'!G1057,"AAAAAH3f/ic=")</f>
        <v>#VALUE!</v>
      </c>
      <c r="AO71" t="e">
        <f>AND('Planilla_General_29-11-2012_10_'!H1057,"AAAAAH3f/ig=")</f>
        <v>#VALUE!</v>
      </c>
      <c r="AP71" t="e">
        <f>AND('Planilla_General_29-11-2012_10_'!I1057,"AAAAAH3f/ik=")</f>
        <v>#VALUE!</v>
      </c>
      <c r="AQ71" t="e">
        <f>AND('Planilla_General_29-11-2012_10_'!J1057,"AAAAAH3f/io=")</f>
        <v>#VALUE!</v>
      </c>
      <c r="AR71" t="e">
        <f>AND('Planilla_General_29-11-2012_10_'!K1057,"AAAAAH3f/is=")</f>
        <v>#VALUE!</v>
      </c>
      <c r="AS71" t="e">
        <f>AND('Planilla_General_29-11-2012_10_'!L1057,"AAAAAH3f/iw=")</f>
        <v>#VALUE!</v>
      </c>
      <c r="AT71" t="e">
        <f>AND('Planilla_General_29-11-2012_10_'!M1057,"AAAAAH3f/i0=")</f>
        <v>#VALUE!</v>
      </c>
      <c r="AU71" t="e">
        <f>AND('Planilla_General_29-11-2012_10_'!N1057,"AAAAAH3f/i4=")</f>
        <v>#VALUE!</v>
      </c>
      <c r="AV71" t="e">
        <f>AND('Planilla_General_29-11-2012_10_'!O1057,"AAAAAH3f/i8=")</f>
        <v>#VALUE!</v>
      </c>
      <c r="AW71" t="e">
        <f>AND('Planilla_General_29-11-2012_10_'!P1057,"AAAAAH3f/jA=")</f>
        <v>#VALUE!</v>
      </c>
      <c r="AX71">
        <f>IF('Planilla_General_29-11-2012_10_'!1058:1058,"AAAAAH3f/jE=",0)</f>
        <v>0</v>
      </c>
      <c r="AY71" t="e">
        <f>AND('Planilla_General_29-11-2012_10_'!A1058,"AAAAAH3f/jI=")</f>
        <v>#VALUE!</v>
      </c>
      <c r="AZ71" t="e">
        <f>AND('Planilla_General_29-11-2012_10_'!B1058,"AAAAAH3f/jM=")</f>
        <v>#VALUE!</v>
      </c>
      <c r="BA71" t="e">
        <f>AND('Planilla_General_29-11-2012_10_'!C1058,"AAAAAH3f/jQ=")</f>
        <v>#VALUE!</v>
      </c>
      <c r="BB71" t="e">
        <f>AND('Planilla_General_29-11-2012_10_'!D1058,"AAAAAH3f/jU=")</f>
        <v>#VALUE!</v>
      </c>
      <c r="BC71" t="e">
        <f>AND('Planilla_General_29-11-2012_10_'!E1058,"AAAAAH3f/jY=")</f>
        <v>#VALUE!</v>
      </c>
      <c r="BD71" t="e">
        <f>AND('Planilla_General_29-11-2012_10_'!F1058,"AAAAAH3f/jc=")</f>
        <v>#VALUE!</v>
      </c>
      <c r="BE71" t="e">
        <f>AND('Planilla_General_29-11-2012_10_'!G1058,"AAAAAH3f/jg=")</f>
        <v>#VALUE!</v>
      </c>
      <c r="BF71" t="e">
        <f>AND('Planilla_General_29-11-2012_10_'!H1058,"AAAAAH3f/jk=")</f>
        <v>#VALUE!</v>
      </c>
      <c r="BG71" t="e">
        <f>AND('Planilla_General_29-11-2012_10_'!I1058,"AAAAAH3f/jo=")</f>
        <v>#VALUE!</v>
      </c>
      <c r="BH71" t="e">
        <f>AND('Planilla_General_29-11-2012_10_'!J1058,"AAAAAH3f/js=")</f>
        <v>#VALUE!</v>
      </c>
      <c r="BI71" t="e">
        <f>AND('Planilla_General_29-11-2012_10_'!K1058,"AAAAAH3f/jw=")</f>
        <v>#VALUE!</v>
      </c>
      <c r="BJ71" t="e">
        <f>AND('Planilla_General_29-11-2012_10_'!L1058,"AAAAAH3f/j0=")</f>
        <v>#VALUE!</v>
      </c>
      <c r="BK71" t="e">
        <f>AND('Planilla_General_29-11-2012_10_'!M1058,"AAAAAH3f/j4=")</f>
        <v>#VALUE!</v>
      </c>
      <c r="BL71" t="e">
        <f>AND('Planilla_General_29-11-2012_10_'!N1058,"AAAAAH3f/j8=")</f>
        <v>#VALUE!</v>
      </c>
      <c r="BM71" t="e">
        <f>AND('Planilla_General_29-11-2012_10_'!O1058,"AAAAAH3f/kA=")</f>
        <v>#VALUE!</v>
      </c>
      <c r="BN71" t="e">
        <f>AND('Planilla_General_29-11-2012_10_'!P1058,"AAAAAH3f/kE=")</f>
        <v>#VALUE!</v>
      </c>
      <c r="BO71">
        <f>IF('Planilla_General_29-11-2012_10_'!1059:1059,"AAAAAH3f/kI=",0)</f>
        <v>0</v>
      </c>
      <c r="BP71" t="e">
        <f>AND('Planilla_General_29-11-2012_10_'!A1059,"AAAAAH3f/kM=")</f>
        <v>#VALUE!</v>
      </c>
      <c r="BQ71" t="e">
        <f>AND('Planilla_General_29-11-2012_10_'!B1059,"AAAAAH3f/kQ=")</f>
        <v>#VALUE!</v>
      </c>
      <c r="BR71" t="e">
        <f>AND('Planilla_General_29-11-2012_10_'!C1059,"AAAAAH3f/kU=")</f>
        <v>#VALUE!</v>
      </c>
      <c r="BS71" t="e">
        <f>AND('Planilla_General_29-11-2012_10_'!D1059,"AAAAAH3f/kY=")</f>
        <v>#VALUE!</v>
      </c>
      <c r="BT71" t="e">
        <f>AND('Planilla_General_29-11-2012_10_'!E1059,"AAAAAH3f/kc=")</f>
        <v>#VALUE!</v>
      </c>
      <c r="BU71" t="e">
        <f>AND('Planilla_General_29-11-2012_10_'!F1059,"AAAAAH3f/kg=")</f>
        <v>#VALUE!</v>
      </c>
      <c r="BV71" t="e">
        <f>AND('Planilla_General_29-11-2012_10_'!G1059,"AAAAAH3f/kk=")</f>
        <v>#VALUE!</v>
      </c>
      <c r="BW71" t="e">
        <f>AND('Planilla_General_29-11-2012_10_'!H1059,"AAAAAH3f/ko=")</f>
        <v>#VALUE!</v>
      </c>
      <c r="BX71" t="e">
        <f>AND('Planilla_General_29-11-2012_10_'!I1059,"AAAAAH3f/ks=")</f>
        <v>#VALUE!</v>
      </c>
      <c r="BY71" t="e">
        <f>AND('Planilla_General_29-11-2012_10_'!J1059,"AAAAAH3f/kw=")</f>
        <v>#VALUE!</v>
      </c>
      <c r="BZ71" t="e">
        <f>AND('Planilla_General_29-11-2012_10_'!K1059,"AAAAAH3f/k0=")</f>
        <v>#VALUE!</v>
      </c>
      <c r="CA71" t="e">
        <f>AND('Planilla_General_29-11-2012_10_'!L1059,"AAAAAH3f/k4=")</f>
        <v>#VALUE!</v>
      </c>
      <c r="CB71" t="e">
        <f>AND('Planilla_General_29-11-2012_10_'!M1059,"AAAAAH3f/k8=")</f>
        <v>#VALUE!</v>
      </c>
      <c r="CC71" t="e">
        <f>AND('Planilla_General_29-11-2012_10_'!N1059,"AAAAAH3f/lA=")</f>
        <v>#VALUE!</v>
      </c>
      <c r="CD71" t="e">
        <f>AND('Planilla_General_29-11-2012_10_'!O1059,"AAAAAH3f/lE=")</f>
        <v>#VALUE!</v>
      </c>
      <c r="CE71" t="e">
        <f>AND('Planilla_General_29-11-2012_10_'!P1059,"AAAAAH3f/lI=")</f>
        <v>#VALUE!</v>
      </c>
      <c r="CF71">
        <f>IF('Planilla_General_29-11-2012_10_'!1060:1060,"AAAAAH3f/lM=",0)</f>
        <v>0</v>
      </c>
      <c r="CG71" t="e">
        <f>AND('Planilla_General_29-11-2012_10_'!A1060,"AAAAAH3f/lQ=")</f>
        <v>#VALUE!</v>
      </c>
      <c r="CH71" t="e">
        <f>AND('Planilla_General_29-11-2012_10_'!B1060,"AAAAAH3f/lU=")</f>
        <v>#VALUE!</v>
      </c>
      <c r="CI71" t="e">
        <f>AND('Planilla_General_29-11-2012_10_'!C1060,"AAAAAH3f/lY=")</f>
        <v>#VALUE!</v>
      </c>
      <c r="CJ71" t="e">
        <f>AND('Planilla_General_29-11-2012_10_'!D1060,"AAAAAH3f/lc=")</f>
        <v>#VALUE!</v>
      </c>
      <c r="CK71" t="e">
        <f>AND('Planilla_General_29-11-2012_10_'!E1060,"AAAAAH3f/lg=")</f>
        <v>#VALUE!</v>
      </c>
      <c r="CL71" t="e">
        <f>AND('Planilla_General_29-11-2012_10_'!F1060,"AAAAAH3f/lk=")</f>
        <v>#VALUE!</v>
      </c>
      <c r="CM71" t="e">
        <f>AND('Planilla_General_29-11-2012_10_'!G1060,"AAAAAH3f/lo=")</f>
        <v>#VALUE!</v>
      </c>
      <c r="CN71" t="e">
        <f>AND('Planilla_General_29-11-2012_10_'!H1060,"AAAAAH3f/ls=")</f>
        <v>#VALUE!</v>
      </c>
      <c r="CO71" t="e">
        <f>AND('Planilla_General_29-11-2012_10_'!I1060,"AAAAAH3f/lw=")</f>
        <v>#VALUE!</v>
      </c>
      <c r="CP71" t="e">
        <f>AND('Planilla_General_29-11-2012_10_'!J1060,"AAAAAH3f/l0=")</f>
        <v>#VALUE!</v>
      </c>
      <c r="CQ71" t="e">
        <f>AND('Planilla_General_29-11-2012_10_'!K1060,"AAAAAH3f/l4=")</f>
        <v>#VALUE!</v>
      </c>
      <c r="CR71" t="e">
        <f>AND('Planilla_General_29-11-2012_10_'!L1060,"AAAAAH3f/l8=")</f>
        <v>#VALUE!</v>
      </c>
      <c r="CS71" t="e">
        <f>AND('Planilla_General_29-11-2012_10_'!M1060,"AAAAAH3f/mA=")</f>
        <v>#VALUE!</v>
      </c>
      <c r="CT71" t="e">
        <f>AND('Planilla_General_29-11-2012_10_'!N1060,"AAAAAH3f/mE=")</f>
        <v>#VALUE!</v>
      </c>
      <c r="CU71" t="e">
        <f>AND('Planilla_General_29-11-2012_10_'!O1060,"AAAAAH3f/mI=")</f>
        <v>#VALUE!</v>
      </c>
      <c r="CV71" t="e">
        <f>AND('Planilla_General_29-11-2012_10_'!P1060,"AAAAAH3f/mM=")</f>
        <v>#VALUE!</v>
      </c>
      <c r="CW71">
        <f>IF('Planilla_General_29-11-2012_10_'!1061:1061,"AAAAAH3f/mQ=",0)</f>
        <v>0</v>
      </c>
      <c r="CX71" t="e">
        <f>AND('Planilla_General_29-11-2012_10_'!A1061,"AAAAAH3f/mU=")</f>
        <v>#VALUE!</v>
      </c>
      <c r="CY71" t="e">
        <f>AND('Planilla_General_29-11-2012_10_'!B1061,"AAAAAH3f/mY=")</f>
        <v>#VALUE!</v>
      </c>
      <c r="CZ71" t="e">
        <f>AND('Planilla_General_29-11-2012_10_'!C1061,"AAAAAH3f/mc=")</f>
        <v>#VALUE!</v>
      </c>
      <c r="DA71" t="e">
        <f>AND('Planilla_General_29-11-2012_10_'!D1061,"AAAAAH3f/mg=")</f>
        <v>#VALUE!</v>
      </c>
      <c r="DB71" t="e">
        <f>AND('Planilla_General_29-11-2012_10_'!E1061,"AAAAAH3f/mk=")</f>
        <v>#VALUE!</v>
      </c>
      <c r="DC71" t="e">
        <f>AND('Planilla_General_29-11-2012_10_'!F1061,"AAAAAH3f/mo=")</f>
        <v>#VALUE!</v>
      </c>
      <c r="DD71" t="e">
        <f>AND('Planilla_General_29-11-2012_10_'!G1061,"AAAAAH3f/ms=")</f>
        <v>#VALUE!</v>
      </c>
      <c r="DE71" t="e">
        <f>AND('Planilla_General_29-11-2012_10_'!H1061,"AAAAAH3f/mw=")</f>
        <v>#VALUE!</v>
      </c>
      <c r="DF71" t="e">
        <f>AND('Planilla_General_29-11-2012_10_'!I1061,"AAAAAH3f/m0=")</f>
        <v>#VALUE!</v>
      </c>
      <c r="DG71" t="e">
        <f>AND('Planilla_General_29-11-2012_10_'!J1061,"AAAAAH3f/m4=")</f>
        <v>#VALUE!</v>
      </c>
      <c r="DH71" t="e">
        <f>AND('Planilla_General_29-11-2012_10_'!K1061,"AAAAAH3f/m8=")</f>
        <v>#VALUE!</v>
      </c>
      <c r="DI71" t="e">
        <f>AND('Planilla_General_29-11-2012_10_'!L1061,"AAAAAH3f/nA=")</f>
        <v>#VALUE!</v>
      </c>
      <c r="DJ71" t="e">
        <f>AND('Planilla_General_29-11-2012_10_'!M1061,"AAAAAH3f/nE=")</f>
        <v>#VALUE!</v>
      </c>
      <c r="DK71" t="e">
        <f>AND('Planilla_General_29-11-2012_10_'!N1061,"AAAAAH3f/nI=")</f>
        <v>#VALUE!</v>
      </c>
      <c r="DL71" t="e">
        <f>AND('Planilla_General_29-11-2012_10_'!O1061,"AAAAAH3f/nM=")</f>
        <v>#VALUE!</v>
      </c>
      <c r="DM71" t="e">
        <f>AND('Planilla_General_29-11-2012_10_'!P1061,"AAAAAH3f/nQ=")</f>
        <v>#VALUE!</v>
      </c>
      <c r="DN71">
        <f>IF('Planilla_General_29-11-2012_10_'!1062:1062,"AAAAAH3f/nU=",0)</f>
        <v>0</v>
      </c>
      <c r="DO71" t="e">
        <f>AND('Planilla_General_29-11-2012_10_'!A1062,"AAAAAH3f/nY=")</f>
        <v>#VALUE!</v>
      </c>
      <c r="DP71" t="e">
        <f>AND('Planilla_General_29-11-2012_10_'!B1062,"AAAAAH3f/nc=")</f>
        <v>#VALUE!</v>
      </c>
      <c r="DQ71" t="e">
        <f>AND('Planilla_General_29-11-2012_10_'!C1062,"AAAAAH3f/ng=")</f>
        <v>#VALUE!</v>
      </c>
      <c r="DR71" t="e">
        <f>AND('Planilla_General_29-11-2012_10_'!D1062,"AAAAAH3f/nk=")</f>
        <v>#VALUE!</v>
      </c>
      <c r="DS71" t="e">
        <f>AND('Planilla_General_29-11-2012_10_'!E1062,"AAAAAH3f/no=")</f>
        <v>#VALUE!</v>
      </c>
      <c r="DT71" t="e">
        <f>AND('Planilla_General_29-11-2012_10_'!F1062,"AAAAAH3f/ns=")</f>
        <v>#VALUE!</v>
      </c>
      <c r="DU71" t="e">
        <f>AND('Planilla_General_29-11-2012_10_'!G1062,"AAAAAH3f/nw=")</f>
        <v>#VALUE!</v>
      </c>
      <c r="DV71" t="e">
        <f>AND('Planilla_General_29-11-2012_10_'!H1062,"AAAAAH3f/n0=")</f>
        <v>#VALUE!</v>
      </c>
      <c r="DW71" t="e">
        <f>AND('Planilla_General_29-11-2012_10_'!I1062,"AAAAAH3f/n4=")</f>
        <v>#VALUE!</v>
      </c>
      <c r="DX71" t="e">
        <f>AND('Planilla_General_29-11-2012_10_'!J1062,"AAAAAH3f/n8=")</f>
        <v>#VALUE!</v>
      </c>
      <c r="DY71" t="e">
        <f>AND('Planilla_General_29-11-2012_10_'!K1062,"AAAAAH3f/oA=")</f>
        <v>#VALUE!</v>
      </c>
      <c r="DZ71" t="e">
        <f>AND('Planilla_General_29-11-2012_10_'!L1062,"AAAAAH3f/oE=")</f>
        <v>#VALUE!</v>
      </c>
      <c r="EA71" t="e">
        <f>AND('Planilla_General_29-11-2012_10_'!M1062,"AAAAAH3f/oI=")</f>
        <v>#VALUE!</v>
      </c>
      <c r="EB71" t="e">
        <f>AND('Planilla_General_29-11-2012_10_'!N1062,"AAAAAH3f/oM=")</f>
        <v>#VALUE!</v>
      </c>
      <c r="EC71" t="e">
        <f>AND('Planilla_General_29-11-2012_10_'!O1062,"AAAAAH3f/oQ=")</f>
        <v>#VALUE!</v>
      </c>
      <c r="ED71" t="e">
        <f>AND('Planilla_General_29-11-2012_10_'!P1062,"AAAAAH3f/oU=")</f>
        <v>#VALUE!</v>
      </c>
      <c r="EE71">
        <f>IF('Planilla_General_29-11-2012_10_'!1063:1063,"AAAAAH3f/oY=",0)</f>
        <v>0</v>
      </c>
      <c r="EF71" t="e">
        <f>AND('Planilla_General_29-11-2012_10_'!A1063,"AAAAAH3f/oc=")</f>
        <v>#VALUE!</v>
      </c>
      <c r="EG71" t="e">
        <f>AND('Planilla_General_29-11-2012_10_'!B1063,"AAAAAH3f/og=")</f>
        <v>#VALUE!</v>
      </c>
      <c r="EH71" t="e">
        <f>AND('Planilla_General_29-11-2012_10_'!C1063,"AAAAAH3f/ok=")</f>
        <v>#VALUE!</v>
      </c>
      <c r="EI71" t="e">
        <f>AND('Planilla_General_29-11-2012_10_'!D1063,"AAAAAH3f/oo=")</f>
        <v>#VALUE!</v>
      </c>
      <c r="EJ71" t="e">
        <f>AND('Planilla_General_29-11-2012_10_'!E1063,"AAAAAH3f/os=")</f>
        <v>#VALUE!</v>
      </c>
      <c r="EK71" t="e">
        <f>AND('Planilla_General_29-11-2012_10_'!F1063,"AAAAAH3f/ow=")</f>
        <v>#VALUE!</v>
      </c>
      <c r="EL71" t="e">
        <f>AND('Planilla_General_29-11-2012_10_'!G1063,"AAAAAH3f/o0=")</f>
        <v>#VALUE!</v>
      </c>
      <c r="EM71" t="e">
        <f>AND('Planilla_General_29-11-2012_10_'!H1063,"AAAAAH3f/o4=")</f>
        <v>#VALUE!</v>
      </c>
      <c r="EN71" t="e">
        <f>AND('Planilla_General_29-11-2012_10_'!I1063,"AAAAAH3f/o8=")</f>
        <v>#VALUE!</v>
      </c>
      <c r="EO71" t="e">
        <f>AND('Planilla_General_29-11-2012_10_'!J1063,"AAAAAH3f/pA=")</f>
        <v>#VALUE!</v>
      </c>
      <c r="EP71" t="e">
        <f>AND('Planilla_General_29-11-2012_10_'!K1063,"AAAAAH3f/pE=")</f>
        <v>#VALUE!</v>
      </c>
      <c r="EQ71" t="e">
        <f>AND('Planilla_General_29-11-2012_10_'!L1063,"AAAAAH3f/pI=")</f>
        <v>#VALUE!</v>
      </c>
      <c r="ER71" t="e">
        <f>AND('Planilla_General_29-11-2012_10_'!M1063,"AAAAAH3f/pM=")</f>
        <v>#VALUE!</v>
      </c>
      <c r="ES71" t="e">
        <f>AND('Planilla_General_29-11-2012_10_'!N1063,"AAAAAH3f/pQ=")</f>
        <v>#VALUE!</v>
      </c>
      <c r="ET71" t="e">
        <f>AND('Planilla_General_29-11-2012_10_'!O1063,"AAAAAH3f/pU=")</f>
        <v>#VALUE!</v>
      </c>
      <c r="EU71" t="e">
        <f>AND('Planilla_General_29-11-2012_10_'!P1063,"AAAAAH3f/pY=")</f>
        <v>#VALUE!</v>
      </c>
      <c r="EV71">
        <f>IF('Planilla_General_29-11-2012_10_'!1064:1064,"AAAAAH3f/pc=",0)</f>
        <v>0</v>
      </c>
      <c r="EW71" t="e">
        <f>AND('Planilla_General_29-11-2012_10_'!A1064,"AAAAAH3f/pg=")</f>
        <v>#VALUE!</v>
      </c>
      <c r="EX71" t="e">
        <f>AND('Planilla_General_29-11-2012_10_'!B1064,"AAAAAH3f/pk=")</f>
        <v>#VALUE!</v>
      </c>
      <c r="EY71" t="e">
        <f>AND('Planilla_General_29-11-2012_10_'!C1064,"AAAAAH3f/po=")</f>
        <v>#VALUE!</v>
      </c>
      <c r="EZ71" t="e">
        <f>AND('Planilla_General_29-11-2012_10_'!D1064,"AAAAAH3f/ps=")</f>
        <v>#VALUE!</v>
      </c>
      <c r="FA71" t="e">
        <f>AND('Planilla_General_29-11-2012_10_'!E1064,"AAAAAH3f/pw=")</f>
        <v>#VALUE!</v>
      </c>
      <c r="FB71" t="e">
        <f>AND('Planilla_General_29-11-2012_10_'!F1064,"AAAAAH3f/p0=")</f>
        <v>#VALUE!</v>
      </c>
      <c r="FC71" t="e">
        <f>AND('Planilla_General_29-11-2012_10_'!G1064,"AAAAAH3f/p4=")</f>
        <v>#VALUE!</v>
      </c>
      <c r="FD71" t="e">
        <f>AND('Planilla_General_29-11-2012_10_'!H1064,"AAAAAH3f/p8=")</f>
        <v>#VALUE!</v>
      </c>
      <c r="FE71" t="e">
        <f>AND('Planilla_General_29-11-2012_10_'!I1064,"AAAAAH3f/qA=")</f>
        <v>#VALUE!</v>
      </c>
      <c r="FF71" t="e">
        <f>AND('Planilla_General_29-11-2012_10_'!J1064,"AAAAAH3f/qE=")</f>
        <v>#VALUE!</v>
      </c>
      <c r="FG71" t="e">
        <f>AND('Planilla_General_29-11-2012_10_'!K1064,"AAAAAH3f/qI=")</f>
        <v>#VALUE!</v>
      </c>
      <c r="FH71" t="e">
        <f>AND('Planilla_General_29-11-2012_10_'!L1064,"AAAAAH3f/qM=")</f>
        <v>#VALUE!</v>
      </c>
      <c r="FI71" t="e">
        <f>AND('Planilla_General_29-11-2012_10_'!M1064,"AAAAAH3f/qQ=")</f>
        <v>#VALUE!</v>
      </c>
      <c r="FJ71" t="e">
        <f>AND('Planilla_General_29-11-2012_10_'!N1064,"AAAAAH3f/qU=")</f>
        <v>#VALUE!</v>
      </c>
      <c r="FK71" t="e">
        <f>AND('Planilla_General_29-11-2012_10_'!O1064,"AAAAAH3f/qY=")</f>
        <v>#VALUE!</v>
      </c>
      <c r="FL71" t="e">
        <f>AND('Planilla_General_29-11-2012_10_'!P1064,"AAAAAH3f/qc=")</f>
        <v>#VALUE!</v>
      </c>
      <c r="FM71">
        <f>IF('Planilla_General_29-11-2012_10_'!1065:1065,"AAAAAH3f/qg=",0)</f>
        <v>0</v>
      </c>
      <c r="FN71" t="e">
        <f>AND('Planilla_General_29-11-2012_10_'!A1065,"AAAAAH3f/qk=")</f>
        <v>#VALUE!</v>
      </c>
      <c r="FO71" t="e">
        <f>AND('Planilla_General_29-11-2012_10_'!B1065,"AAAAAH3f/qo=")</f>
        <v>#VALUE!</v>
      </c>
      <c r="FP71" t="e">
        <f>AND('Planilla_General_29-11-2012_10_'!C1065,"AAAAAH3f/qs=")</f>
        <v>#VALUE!</v>
      </c>
      <c r="FQ71" t="e">
        <f>AND('Planilla_General_29-11-2012_10_'!D1065,"AAAAAH3f/qw=")</f>
        <v>#VALUE!</v>
      </c>
      <c r="FR71" t="e">
        <f>AND('Planilla_General_29-11-2012_10_'!E1065,"AAAAAH3f/q0=")</f>
        <v>#VALUE!</v>
      </c>
      <c r="FS71" t="e">
        <f>AND('Planilla_General_29-11-2012_10_'!F1065,"AAAAAH3f/q4=")</f>
        <v>#VALUE!</v>
      </c>
      <c r="FT71" t="e">
        <f>AND('Planilla_General_29-11-2012_10_'!G1065,"AAAAAH3f/q8=")</f>
        <v>#VALUE!</v>
      </c>
      <c r="FU71" t="e">
        <f>AND('Planilla_General_29-11-2012_10_'!H1065,"AAAAAH3f/rA=")</f>
        <v>#VALUE!</v>
      </c>
      <c r="FV71" t="e">
        <f>AND('Planilla_General_29-11-2012_10_'!I1065,"AAAAAH3f/rE=")</f>
        <v>#VALUE!</v>
      </c>
      <c r="FW71" t="e">
        <f>AND('Planilla_General_29-11-2012_10_'!J1065,"AAAAAH3f/rI=")</f>
        <v>#VALUE!</v>
      </c>
      <c r="FX71" t="e">
        <f>AND('Planilla_General_29-11-2012_10_'!K1065,"AAAAAH3f/rM=")</f>
        <v>#VALUE!</v>
      </c>
      <c r="FY71" t="e">
        <f>AND('Planilla_General_29-11-2012_10_'!L1065,"AAAAAH3f/rQ=")</f>
        <v>#VALUE!</v>
      </c>
      <c r="FZ71" t="e">
        <f>AND('Planilla_General_29-11-2012_10_'!M1065,"AAAAAH3f/rU=")</f>
        <v>#VALUE!</v>
      </c>
      <c r="GA71" t="e">
        <f>AND('Planilla_General_29-11-2012_10_'!N1065,"AAAAAH3f/rY=")</f>
        <v>#VALUE!</v>
      </c>
      <c r="GB71" t="e">
        <f>AND('Planilla_General_29-11-2012_10_'!O1065,"AAAAAH3f/rc=")</f>
        <v>#VALUE!</v>
      </c>
      <c r="GC71" t="e">
        <f>AND('Planilla_General_29-11-2012_10_'!P1065,"AAAAAH3f/rg=")</f>
        <v>#VALUE!</v>
      </c>
      <c r="GD71">
        <f>IF('Planilla_General_29-11-2012_10_'!1066:1066,"AAAAAH3f/rk=",0)</f>
        <v>0</v>
      </c>
      <c r="GE71" t="e">
        <f>AND('Planilla_General_29-11-2012_10_'!A1066,"AAAAAH3f/ro=")</f>
        <v>#VALUE!</v>
      </c>
      <c r="GF71" t="e">
        <f>AND('Planilla_General_29-11-2012_10_'!B1066,"AAAAAH3f/rs=")</f>
        <v>#VALUE!</v>
      </c>
      <c r="GG71" t="e">
        <f>AND('Planilla_General_29-11-2012_10_'!C1066,"AAAAAH3f/rw=")</f>
        <v>#VALUE!</v>
      </c>
      <c r="GH71" t="e">
        <f>AND('Planilla_General_29-11-2012_10_'!D1066,"AAAAAH3f/r0=")</f>
        <v>#VALUE!</v>
      </c>
      <c r="GI71" t="e">
        <f>AND('Planilla_General_29-11-2012_10_'!E1066,"AAAAAH3f/r4=")</f>
        <v>#VALUE!</v>
      </c>
      <c r="GJ71" t="e">
        <f>AND('Planilla_General_29-11-2012_10_'!F1066,"AAAAAH3f/r8=")</f>
        <v>#VALUE!</v>
      </c>
      <c r="GK71" t="e">
        <f>AND('Planilla_General_29-11-2012_10_'!G1066,"AAAAAH3f/sA=")</f>
        <v>#VALUE!</v>
      </c>
      <c r="GL71" t="e">
        <f>AND('Planilla_General_29-11-2012_10_'!H1066,"AAAAAH3f/sE=")</f>
        <v>#VALUE!</v>
      </c>
      <c r="GM71" t="e">
        <f>AND('Planilla_General_29-11-2012_10_'!I1066,"AAAAAH3f/sI=")</f>
        <v>#VALUE!</v>
      </c>
      <c r="GN71" t="e">
        <f>AND('Planilla_General_29-11-2012_10_'!J1066,"AAAAAH3f/sM=")</f>
        <v>#VALUE!</v>
      </c>
      <c r="GO71" t="e">
        <f>AND('Planilla_General_29-11-2012_10_'!K1066,"AAAAAH3f/sQ=")</f>
        <v>#VALUE!</v>
      </c>
      <c r="GP71" t="e">
        <f>AND('Planilla_General_29-11-2012_10_'!L1066,"AAAAAH3f/sU=")</f>
        <v>#VALUE!</v>
      </c>
      <c r="GQ71" t="e">
        <f>AND('Planilla_General_29-11-2012_10_'!M1066,"AAAAAH3f/sY=")</f>
        <v>#VALUE!</v>
      </c>
      <c r="GR71" t="e">
        <f>AND('Planilla_General_29-11-2012_10_'!N1066,"AAAAAH3f/sc=")</f>
        <v>#VALUE!</v>
      </c>
      <c r="GS71" t="e">
        <f>AND('Planilla_General_29-11-2012_10_'!O1066,"AAAAAH3f/sg=")</f>
        <v>#VALUE!</v>
      </c>
      <c r="GT71" t="e">
        <f>AND('Planilla_General_29-11-2012_10_'!P1066,"AAAAAH3f/sk=")</f>
        <v>#VALUE!</v>
      </c>
      <c r="GU71">
        <f>IF('Planilla_General_29-11-2012_10_'!1067:1067,"AAAAAH3f/so=",0)</f>
        <v>0</v>
      </c>
      <c r="GV71" t="e">
        <f>AND('Planilla_General_29-11-2012_10_'!A1067,"AAAAAH3f/ss=")</f>
        <v>#VALUE!</v>
      </c>
      <c r="GW71" t="e">
        <f>AND('Planilla_General_29-11-2012_10_'!B1067,"AAAAAH3f/sw=")</f>
        <v>#VALUE!</v>
      </c>
      <c r="GX71" t="e">
        <f>AND('Planilla_General_29-11-2012_10_'!C1067,"AAAAAH3f/s0=")</f>
        <v>#VALUE!</v>
      </c>
      <c r="GY71" t="e">
        <f>AND('Planilla_General_29-11-2012_10_'!D1067,"AAAAAH3f/s4=")</f>
        <v>#VALUE!</v>
      </c>
      <c r="GZ71" t="e">
        <f>AND('Planilla_General_29-11-2012_10_'!E1067,"AAAAAH3f/s8=")</f>
        <v>#VALUE!</v>
      </c>
      <c r="HA71" t="e">
        <f>AND('Planilla_General_29-11-2012_10_'!F1067,"AAAAAH3f/tA=")</f>
        <v>#VALUE!</v>
      </c>
      <c r="HB71" t="e">
        <f>AND('Planilla_General_29-11-2012_10_'!G1067,"AAAAAH3f/tE=")</f>
        <v>#VALUE!</v>
      </c>
      <c r="HC71" t="e">
        <f>AND('Planilla_General_29-11-2012_10_'!H1067,"AAAAAH3f/tI=")</f>
        <v>#VALUE!</v>
      </c>
      <c r="HD71" t="e">
        <f>AND('Planilla_General_29-11-2012_10_'!I1067,"AAAAAH3f/tM=")</f>
        <v>#VALUE!</v>
      </c>
      <c r="HE71" t="e">
        <f>AND('Planilla_General_29-11-2012_10_'!J1067,"AAAAAH3f/tQ=")</f>
        <v>#VALUE!</v>
      </c>
      <c r="HF71" t="e">
        <f>AND('Planilla_General_29-11-2012_10_'!K1067,"AAAAAH3f/tU=")</f>
        <v>#VALUE!</v>
      </c>
      <c r="HG71" t="e">
        <f>AND('Planilla_General_29-11-2012_10_'!L1067,"AAAAAH3f/tY=")</f>
        <v>#VALUE!</v>
      </c>
      <c r="HH71" t="e">
        <f>AND('Planilla_General_29-11-2012_10_'!M1067,"AAAAAH3f/tc=")</f>
        <v>#VALUE!</v>
      </c>
      <c r="HI71" t="e">
        <f>AND('Planilla_General_29-11-2012_10_'!N1067,"AAAAAH3f/tg=")</f>
        <v>#VALUE!</v>
      </c>
      <c r="HJ71" t="e">
        <f>AND('Planilla_General_29-11-2012_10_'!O1067,"AAAAAH3f/tk=")</f>
        <v>#VALUE!</v>
      </c>
      <c r="HK71" t="e">
        <f>AND('Planilla_General_29-11-2012_10_'!P1067,"AAAAAH3f/to=")</f>
        <v>#VALUE!</v>
      </c>
      <c r="HL71">
        <f>IF('Planilla_General_29-11-2012_10_'!1068:1068,"AAAAAH3f/ts=",0)</f>
        <v>0</v>
      </c>
      <c r="HM71" t="e">
        <f>AND('Planilla_General_29-11-2012_10_'!A1068,"AAAAAH3f/tw=")</f>
        <v>#VALUE!</v>
      </c>
      <c r="HN71" t="e">
        <f>AND('Planilla_General_29-11-2012_10_'!B1068,"AAAAAH3f/t0=")</f>
        <v>#VALUE!</v>
      </c>
      <c r="HO71" t="e">
        <f>AND('Planilla_General_29-11-2012_10_'!C1068,"AAAAAH3f/t4=")</f>
        <v>#VALUE!</v>
      </c>
      <c r="HP71" t="e">
        <f>AND('Planilla_General_29-11-2012_10_'!D1068,"AAAAAH3f/t8=")</f>
        <v>#VALUE!</v>
      </c>
      <c r="HQ71" t="e">
        <f>AND('Planilla_General_29-11-2012_10_'!E1068,"AAAAAH3f/uA=")</f>
        <v>#VALUE!</v>
      </c>
      <c r="HR71" t="e">
        <f>AND('Planilla_General_29-11-2012_10_'!F1068,"AAAAAH3f/uE=")</f>
        <v>#VALUE!</v>
      </c>
      <c r="HS71" t="e">
        <f>AND('Planilla_General_29-11-2012_10_'!G1068,"AAAAAH3f/uI=")</f>
        <v>#VALUE!</v>
      </c>
      <c r="HT71" t="e">
        <f>AND('Planilla_General_29-11-2012_10_'!H1068,"AAAAAH3f/uM=")</f>
        <v>#VALUE!</v>
      </c>
      <c r="HU71" t="e">
        <f>AND('Planilla_General_29-11-2012_10_'!I1068,"AAAAAH3f/uQ=")</f>
        <v>#VALUE!</v>
      </c>
      <c r="HV71" t="e">
        <f>AND('Planilla_General_29-11-2012_10_'!J1068,"AAAAAH3f/uU=")</f>
        <v>#VALUE!</v>
      </c>
      <c r="HW71" t="e">
        <f>AND('Planilla_General_29-11-2012_10_'!K1068,"AAAAAH3f/uY=")</f>
        <v>#VALUE!</v>
      </c>
      <c r="HX71" t="e">
        <f>AND('Planilla_General_29-11-2012_10_'!L1068,"AAAAAH3f/uc=")</f>
        <v>#VALUE!</v>
      </c>
      <c r="HY71" t="e">
        <f>AND('Planilla_General_29-11-2012_10_'!M1068,"AAAAAH3f/ug=")</f>
        <v>#VALUE!</v>
      </c>
      <c r="HZ71" t="e">
        <f>AND('Planilla_General_29-11-2012_10_'!N1068,"AAAAAH3f/uk=")</f>
        <v>#VALUE!</v>
      </c>
      <c r="IA71" t="e">
        <f>AND('Planilla_General_29-11-2012_10_'!O1068,"AAAAAH3f/uo=")</f>
        <v>#VALUE!</v>
      </c>
      <c r="IB71" t="e">
        <f>AND('Planilla_General_29-11-2012_10_'!P1068,"AAAAAH3f/us=")</f>
        <v>#VALUE!</v>
      </c>
      <c r="IC71">
        <f>IF('Planilla_General_29-11-2012_10_'!1069:1069,"AAAAAH3f/uw=",0)</f>
        <v>0</v>
      </c>
      <c r="ID71" t="e">
        <f>AND('Planilla_General_29-11-2012_10_'!A1069,"AAAAAH3f/u0=")</f>
        <v>#VALUE!</v>
      </c>
      <c r="IE71" t="e">
        <f>AND('Planilla_General_29-11-2012_10_'!B1069,"AAAAAH3f/u4=")</f>
        <v>#VALUE!</v>
      </c>
      <c r="IF71" t="e">
        <f>AND('Planilla_General_29-11-2012_10_'!C1069,"AAAAAH3f/u8=")</f>
        <v>#VALUE!</v>
      </c>
      <c r="IG71" t="e">
        <f>AND('Planilla_General_29-11-2012_10_'!D1069,"AAAAAH3f/vA=")</f>
        <v>#VALUE!</v>
      </c>
      <c r="IH71" t="e">
        <f>AND('Planilla_General_29-11-2012_10_'!E1069,"AAAAAH3f/vE=")</f>
        <v>#VALUE!</v>
      </c>
      <c r="II71" t="e">
        <f>AND('Planilla_General_29-11-2012_10_'!F1069,"AAAAAH3f/vI=")</f>
        <v>#VALUE!</v>
      </c>
      <c r="IJ71" t="e">
        <f>AND('Planilla_General_29-11-2012_10_'!G1069,"AAAAAH3f/vM=")</f>
        <v>#VALUE!</v>
      </c>
      <c r="IK71" t="e">
        <f>AND('Planilla_General_29-11-2012_10_'!H1069,"AAAAAH3f/vQ=")</f>
        <v>#VALUE!</v>
      </c>
      <c r="IL71" t="e">
        <f>AND('Planilla_General_29-11-2012_10_'!I1069,"AAAAAH3f/vU=")</f>
        <v>#VALUE!</v>
      </c>
      <c r="IM71" t="e">
        <f>AND('Planilla_General_29-11-2012_10_'!J1069,"AAAAAH3f/vY=")</f>
        <v>#VALUE!</v>
      </c>
      <c r="IN71" t="e">
        <f>AND('Planilla_General_29-11-2012_10_'!K1069,"AAAAAH3f/vc=")</f>
        <v>#VALUE!</v>
      </c>
      <c r="IO71" t="e">
        <f>AND('Planilla_General_29-11-2012_10_'!L1069,"AAAAAH3f/vg=")</f>
        <v>#VALUE!</v>
      </c>
      <c r="IP71" t="e">
        <f>AND('Planilla_General_29-11-2012_10_'!M1069,"AAAAAH3f/vk=")</f>
        <v>#VALUE!</v>
      </c>
      <c r="IQ71" t="e">
        <f>AND('Planilla_General_29-11-2012_10_'!N1069,"AAAAAH3f/vo=")</f>
        <v>#VALUE!</v>
      </c>
      <c r="IR71" t="e">
        <f>AND('Planilla_General_29-11-2012_10_'!O1069,"AAAAAH3f/vs=")</f>
        <v>#VALUE!</v>
      </c>
      <c r="IS71" t="e">
        <f>AND('Planilla_General_29-11-2012_10_'!P1069,"AAAAAH3f/vw=")</f>
        <v>#VALUE!</v>
      </c>
      <c r="IT71">
        <f>IF('Planilla_General_29-11-2012_10_'!1070:1070,"AAAAAH3f/v0=",0)</f>
        <v>0</v>
      </c>
      <c r="IU71" t="e">
        <f>AND('Planilla_General_29-11-2012_10_'!A1070,"AAAAAH3f/v4=")</f>
        <v>#VALUE!</v>
      </c>
      <c r="IV71" t="e">
        <f>AND('Planilla_General_29-11-2012_10_'!B1070,"AAAAAH3f/v8=")</f>
        <v>#VALUE!</v>
      </c>
    </row>
    <row r="72" spans="1:256" x14ac:dyDescent="0.25">
      <c r="A72" t="e">
        <f>AND('Planilla_General_29-11-2012_10_'!C1070,"AAAAACO1rgA=")</f>
        <v>#VALUE!</v>
      </c>
      <c r="B72" t="e">
        <f>AND('Planilla_General_29-11-2012_10_'!D1070,"AAAAACO1rgE=")</f>
        <v>#VALUE!</v>
      </c>
      <c r="C72" t="e">
        <f>AND('Planilla_General_29-11-2012_10_'!E1070,"AAAAACO1rgI=")</f>
        <v>#VALUE!</v>
      </c>
      <c r="D72" t="e">
        <f>AND('Planilla_General_29-11-2012_10_'!F1070,"AAAAACO1rgM=")</f>
        <v>#VALUE!</v>
      </c>
      <c r="E72" t="e">
        <f>AND('Planilla_General_29-11-2012_10_'!G1070,"AAAAACO1rgQ=")</f>
        <v>#VALUE!</v>
      </c>
      <c r="F72" t="e">
        <f>AND('Planilla_General_29-11-2012_10_'!H1070,"AAAAACO1rgU=")</f>
        <v>#VALUE!</v>
      </c>
      <c r="G72" t="e">
        <f>AND('Planilla_General_29-11-2012_10_'!I1070,"AAAAACO1rgY=")</f>
        <v>#VALUE!</v>
      </c>
      <c r="H72" t="e">
        <f>AND('Planilla_General_29-11-2012_10_'!J1070,"AAAAACO1rgc=")</f>
        <v>#VALUE!</v>
      </c>
      <c r="I72" t="e">
        <f>AND('Planilla_General_29-11-2012_10_'!K1070,"AAAAACO1rgg=")</f>
        <v>#VALUE!</v>
      </c>
      <c r="J72" t="e">
        <f>AND('Planilla_General_29-11-2012_10_'!L1070,"AAAAACO1rgk=")</f>
        <v>#VALUE!</v>
      </c>
      <c r="K72" t="e">
        <f>AND('Planilla_General_29-11-2012_10_'!M1070,"AAAAACO1rgo=")</f>
        <v>#VALUE!</v>
      </c>
      <c r="L72" t="e">
        <f>AND('Planilla_General_29-11-2012_10_'!N1070,"AAAAACO1rgs=")</f>
        <v>#VALUE!</v>
      </c>
      <c r="M72" t="e">
        <f>AND('Planilla_General_29-11-2012_10_'!O1070,"AAAAACO1rgw=")</f>
        <v>#VALUE!</v>
      </c>
      <c r="N72" t="e">
        <f>AND('Planilla_General_29-11-2012_10_'!P1070,"AAAAACO1rg0=")</f>
        <v>#VALUE!</v>
      </c>
      <c r="O72" t="str">
        <f>IF('Planilla_General_29-11-2012_10_'!1071:1071,"AAAAACO1rg4=",0)</f>
        <v>AAAAACO1rg4=</v>
      </c>
      <c r="P72" t="e">
        <f>AND('Planilla_General_29-11-2012_10_'!A1071,"AAAAACO1rg8=")</f>
        <v>#VALUE!</v>
      </c>
      <c r="Q72" t="e">
        <f>AND('Planilla_General_29-11-2012_10_'!B1071,"AAAAACO1rhA=")</f>
        <v>#VALUE!</v>
      </c>
      <c r="R72" t="e">
        <f>AND('Planilla_General_29-11-2012_10_'!C1071,"AAAAACO1rhE=")</f>
        <v>#VALUE!</v>
      </c>
      <c r="S72" t="e">
        <f>AND('Planilla_General_29-11-2012_10_'!D1071,"AAAAACO1rhI=")</f>
        <v>#VALUE!</v>
      </c>
      <c r="T72" t="e">
        <f>AND('Planilla_General_29-11-2012_10_'!E1071,"AAAAACO1rhM=")</f>
        <v>#VALUE!</v>
      </c>
      <c r="U72" t="e">
        <f>AND('Planilla_General_29-11-2012_10_'!F1071,"AAAAACO1rhQ=")</f>
        <v>#VALUE!</v>
      </c>
      <c r="V72" t="e">
        <f>AND('Planilla_General_29-11-2012_10_'!G1071,"AAAAACO1rhU=")</f>
        <v>#VALUE!</v>
      </c>
      <c r="W72" t="e">
        <f>AND('Planilla_General_29-11-2012_10_'!H1071,"AAAAACO1rhY=")</f>
        <v>#VALUE!</v>
      </c>
      <c r="X72" t="e">
        <f>AND('Planilla_General_29-11-2012_10_'!I1071,"AAAAACO1rhc=")</f>
        <v>#VALUE!</v>
      </c>
      <c r="Y72" t="e">
        <f>AND('Planilla_General_29-11-2012_10_'!J1071,"AAAAACO1rhg=")</f>
        <v>#VALUE!</v>
      </c>
      <c r="Z72" t="e">
        <f>AND('Planilla_General_29-11-2012_10_'!K1071,"AAAAACO1rhk=")</f>
        <v>#VALUE!</v>
      </c>
      <c r="AA72" t="e">
        <f>AND('Planilla_General_29-11-2012_10_'!L1071,"AAAAACO1rho=")</f>
        <v>#VALUE!</v>
      </c>
      <c r="AB72" t="e">
        <f>AND('Planilla_General_29-11-2012_10_'!M1071,"AAAAACO1rhs=")</f>
        <v>#VALUE!</v>
      </c>
      <c r="AC72" t="e">
        <f>AND('Planilla_General_29-11-2012_10_'!N1071,"AAAAACO1rhw=")</f>
        <v>#VALUE!</v>
      </c>
      <c r="AD72" t="e">
        <f>AND('Planilla_General_29-11-2012_10_'!O1071,"AAAAACO1rh0=")</f>
        <v>#VALUE!</v>
      </c>
      <c r="AE72" t="e">
        <f>AND('Planilla_General_29-11-2012_10_'!P1071,"AAAAACO1rh4=")</f>
        <v>#VALUE!</v>
      </c>
      <c r="AF72">
        <f>IF('Planilla_General_29-11-2012_10_'!1072:1072,"AAAAACO1rh8=",0)</f>
        <v>0</v>
      </c>
      <c r="AG72" t="e">
        <f>AND('Planilla_General_29-11-2012_10_'!A1072,"AAAAACO1riA=")</f>
        <v>#VALUE!</v>
      </c>
      <c r="AH72" t="e">
        <f>AND('Planilla_General_29-11-2012_10_'!B1072,"AAAAACO1riE=")</f>
        <v>#VALUE!</v>
      </c>
      <c r="AI72" t="e">
        <f>AND('Planilla_General_29-11-2012_10_'!C1072,"AAAAACO1riI=")</f>
        <v>#VALUE!</v>
      </c>
      <c r="AJ72" t="e">
        <f>AND('Planilla_General_29-11-2012_10_'!D1072,"AAAAACO1riM=")</f>
        <v>#VALUE!</v>
      </c>
      <c r="AK72" t="e">
        <f>AND('Planilla_General_29-11-2012_10_'!E1072,"AAAAACO1riQ=")</f>
        <v>#VALUE!</v>
      </c>
      <c r="AL72" t="e">
        <f>AND('Planilla_General_29-11-2012_10_'!F1072,"AAAAACO1riU=")</f>
        <v>#VALUE!</v>
      </c>
      <c r="AM72" t="e">
        <f>AND('Planilla_General_29-11-2012_10_'!G1072,"AAAAACO1riY=")</f>
        <v>#VALUE!</v>
      </c>
      <c r="AN72" t="e">
        <f>AND('Planilla_General_29-11-2012_10_'!H1072,"AAAAACO1ric=")</f>
        <v>#VALUE!</v>
      </c>
      <c r="AO72" t="e">
        <f>AND('Planilla_General_29-11-2012_10_'!I1072,"AAAAACO1rig=")</f>
        <v>#VALUE!</v>
      </c>
      <c r="AP72" t="e">
        <f>AND('Planilla_General_29-11-2012_10_'!J1072,"AAAAACO1rik=")</f>
        <v>#VALUE!</v>
      </c>
      <c r="AQ72" t="e">
        <f>AND('Planilla_General_29-11-2012_10_'!K1072,"AAAAACO1rio=")</f>
        <v>#VALUE!</v>
      </c>
      <c r="AR72" t="e">
        <f>AND('Planilla_General_29-11-2012_10_'!L1072,"AAAAACO1ris=")</f>
        <v>#VALUE!</v>
      </c>
      <c r="AS72" t="e">
        <f>AND('Planilla_General_29-11-2012_10_'!M1072,"AAAAACO1riw=")</f>
        <v>#VALUE!</v>
      </c>
      <c r="AT72" t="e">
        <f>AND('Planilla_General_29-11-2012_10_'!N1072,"AAAAACO1ri0=")</f>
        <v>#VALUE!</v>
      </c>
      <c r="AU72" t="e">
        <f>AND('Planilla_General_29-11-2012_10_'!O1072,"AAAAACO1ri4=")</f>
        <v>#VALUE!</v>
      </c>
      <c r="AV72" t="e">
        <f>AND('Planilla_General_29-11-2012_10_'!P1072,"AAAAACO1ri8=")</f>
        <v>#VALUE!</v>
      </c>
      <c r="AW72">
        <f>IF('Planilla_General_29-11-2012_10_'!1073:1073,"AAAAACO1rjA=",0)</f>
        <v>0</v>
      </c>
      <c r="AX72" t="e">
        <f>AND('Planilla_General_29-11-2012_10_'!A1073,"AAAAACO1rjE=")</f>
        <v>#VALUE!</v>
      </c>
      <c r="AY72" t="e">
        <f>AND('Planilla_General_29-11-2012_10_'!B1073,"AAAAACO1rjI=")</f>
        <v>#VALUE!</v>
      </c>
      <c r="AZ72" t="e">
        <f>AND('Planilla_General_29-11-2012_10_'!C1073,"AAAAACO1rjM=")</f>
        <v>#VALUE!</v>
      </c>
      <c r="BA72" t="e">
        <f>AND('Planilla_General_29-11-2012_10_'!D1073,"AAAAACO1rjQ=")</f>
        <v>#VALUE!</v>
      </c>
      <c r="BB72" t="e">
        <f>AND('Planilla_General_29-11-2012_10_'!E1073,"AAAAACO1rjU=")</f>
        <v>#VALUE!</v>
      </c>
      <c r="BC72" t="e">
        <f>AND('Planilla_General_29-11-2012_10_'!F1073,"AAAAACO1rjY=")</f>
        <v>#VALUE!</v>
      </c>
      <c r="BD72" t="e">
        <f>AND('Planilla_General_29-11-2012_10_'!G1073,"AAAAACO1rjc=")</f>
        <v>#VALUE!</v>
      </c>
      <c r="BE72" t="e">
        <f>AND('Planilla_General_29-11-2012_10_'!H1073,"AAAAACO1rjg=")</f>
        <v>#VALUE!</v>
      </c>
      <c r="BF72" t="e">
        <f>AND('Planilla_General_29-11-2012_10_'!I1073,"AAAAACO1rjk=")</f>
        <v>#VALUE!</v>
      </c>
      <c r="BG72" t="e">
        <f>AND('Planilla_General_29-11-2012_10_'!J1073,"AAAAACO1rjo=")</f>
        <v>#VALUE!</v>
      </c>
      <c r="BH72" t="e">
        <f>AND('Planilla_General_29-11-2012_10_'!K1073,"AAAAACO1rjs=")</f>
        <v>#VALUE!</v>
      </c>
      <c r="BI72" t="e">
        <f>AND('Planilla_General_29-11-2012_10_'!L1073,"AAAAACO1rjw=")</f>
        <v>#VALUE!</v>
      </c>
      <c r="BJ72" t="e">
        <f>AND('Planilla_General_29-11-2012_10_'!M1073,"AAAAACO1rj0=")</f>
        <v>#VALUE!</v>
      </c>
      <c r="BK72" t="e">
        <f>AND('Planilla_General_29-11-2012_10_'!N1073,"AAAAACO1rj4=")</f>
        <v>#VALUE!</v>
      </c>
      <c r="BL72" t="e">
        <f>AND('Planilla_General_29-11-2012_10_'!O1073,"AAAAACO1rj8=")</f>
        <v>#VALUE!</v>
      </c>
      <c r="BM72" t="e">
        <f>AND('Planilla_General_29-11-2012_10_'!P1073,"AAAAACO1rkA=")</f>
        <v>#VALUE!</v>
      </c>
      <c r="BN72">
        <f>IF('Planilla_General_29-11-2012_10_'!1074:1074,"AAAAACO1rkE=",0)</f>
        <v>0</v>
      </c>
      <c r="BO72" t="e">
        <f>AND('Planilla_General_29-11-2012_10_'!A1074,"AAAAACO1rkI=")</f>
        <v>#VALUE!</v>
      </c>
      <c r="BP72" t="e">
        <f>AND('Planilla_General_29-11-2012_10_'!B1074,"AAAAACO1rkM=")</f>
        <v>#VALUE!</v>
      </c>
      <c r="BQ72" t="e">
        <f>AND('Planilla_General_29-11-2012_10_'!C1074,"AAAAACO1rkQ=")</f>
        <v>#VALUE!</v>
      </c>
      <c r="BR72" t="e">
        <f>AND('Planilla_General_29-11-2012_10_'!D1074,"AAAAACO1rkU=")</f>
        <v>#VALUE!</v>
      </c>
      <c r="BS72" t="e">
        <f>AND('Planilla_General_29-11-2012_10_'!E1074,"AAAAACO1rkY=")</f>
        <v>#VALUE!</v>
      </c>
      <c r="BT72" t="e">
        <f>AND('Planilla_General_29-11-2012_10_'!F1074,"AAAAACO1rkc=")</f>
        <v>#VALUE!</v>
      </c>
      <c r="BU72" t="e">
        <f>AND('Planilla_General_29-11-2012_10_'!G1074,"AAAAACO1rkg=")</f>
        <v>#VALUE!</v>
      </c>
      <c r="BV72" t="e">
        <f>AND('Planilla_General_29-11-2012_10_'!H1074,"AAAAACO1rkk=")</f>
        <v>#VALUE!</v>
      </c>
      <c r="BW72" t="e">
        <f>AND('Planilla_General_29-11-2012_10_'!I1074,"AAAAACO1rko=")</f>
        <v>#VALUE!</v>
      </c>
      <c r="BX72" t="e">
        <f>AND('Planilla_General_29-11-2012_10_'!J1074,"AAAAACO1rks=")</f>
        <v>#VALUE!</v>
      </c>
      <c r="BY72" t="e">
        <f>AND('Planilla_General_29-11-2012_10_'!K1074,"AAAAACO1rkw=")</f>
        <v>#VALUE!</v>
      </c>
      <c r="BZ72" t="e">
        <f>AND('Planilla_General_29-11-2012_10_'!L1074,"AAAAACO1rk0=")</f>
        <v>#VALUE!</v>
      </c>
      <c r="CA72" t="e">
        <f>AND('Planilla_General_29-11-2012_10_'!M1074,"AAAAACO1rk4=")</f>
        <v>#VALUE!</v>
      </c>
      <c r="CB72" t="e">
        <f>AND('Planilla_General_29-11-2012_10_'!N1074,"AAAAACO1rk8=")</f>
        <v>#VALUE!</v>
      </c>
      <c r="CC72" t="e">
        <f>AND('Planilla_General_29-11-2012_10_'!O1074,"AAAAACO1rlA=")</f>
        <v>#VALUE!</v>
      </c>
      <c r="CD72" t="e">
        <f>AND('Planilla_General_29-11-2012_10_'!P1074,"AAAAACO1rlE=")</f>
        <v>#VALUE!</v>
      </c>
      <c r="CE72">
        <f>IF('Planilla_General_29-11-2012_10_'!1075:1075,"AAAAACO1rlI=",0)</f>
        <v>0</v>
      </c>
      <c r="CF72" t="e">
        <f>AND('Planilla_General_29-11-2012_10_'!A1075,"AAAAACO1rlM=")</f>
        <v>#VALUE!</v>
      </c>
      <c r="CG72" t="e">
        <f>AND('Planilla_General_29-11-2012_10_'!B1075,"AAAAACO1rlQ=")</f>
        <v>#VALUE!</v>
      </c>
      <c r="CH72" t="e">
        <f>AND('Planilla_General_29-11-2012_10_'!C1075,"AAAAACO1rlU=")</f>
        <v>#VALUE!</v>
      </c>
      <c r="CI72" t="e">
        <f>AND('Planilla_General_29-11-2012_10_'!D1075,"AAAAACO1rlY=")</f>
        <v>#VALUE!</v>
      </c>
      <c r="CJ72" t="e">
        <f>AND('Planilla_General_29-11-2012_10_'!E1075,"AAAAACO1rlc=")</f>
        <v>#VALUE!</v>
      </c>
      <c r="CK72" t="e">
        <f>AND('Planilla_General_29-11-2012_10_'!F1075,"AAAAACO1rlg=")</f>
        <v>#VALUE!</v>
      </c>
      <c r="CL72" t="e">
        <f>AND('Planilla_General_29-11-2012_10_'!G1075,"AAAAACO1rlk=")</f>
        <v>#VALUE!</v>
      </c>
      <c r="CM72" t="e">
        <f>AND('Planilla_General_29-11-2012_10_'!H1075,"AAAAACO1rlo=")</f>
        <v>#VALUE!</v>
      </c>
      <c r="CN72" t="e">
        <f>AND('Planilla_General_29-11-2012_10_'!I1075,"AAAAACO1rls=")</f>
        <v>#VALUE!</v>
      </c>
      <c r="CO72" t="e">
        <f>AND('Planilla_General_29-11-2012_10_'!J1075,"AAAAACO1rlw=")</f>
        <v>#VALUE!</v>
      </c>
      <c r="CP72" t="e">
        <f>AND('Planilla_General_29-11-2012_10_'!K1075,"AAAAACO1rl0=")</f>
        <v>#VALUE!</v>
      </c>
      <c r="CQ72" t="e">
        <f>AND('Planilla_General_29-11-2012_10_'!L1075,"AAAAACO1rl4=")</f>
        <v>#VALUE!</v>
      </c>
      <c r="CR72" t="e">
        <f>AND('Planilla_General_29-11-2012_10_'!M1075,"AAAAACO1rl8=")</f>
        <v>#VALUE!</v>
      </c>
      <c r="CS72" t="e">
        <f>AND('Planilla_General_29-11-2012_10_'!N1075,"AAAAACO1rmA=")</f>
        <v>#VALUE!</v>
      </c>
      <c r="CT72" t="e">
        <f>AND('Planilla_General_29-11-2012_10_'!O1075,"AAAAACO1rmE=")</f>
        <v>#VALUE!</v>
      </c>
      <c r="CU72" t="e">
        <f>AND('Planilla_General_29-11-2012_10_'!P1075,"AAAAACO1rmI=")</f>
        <v>#VALUE!</v>
      </c>
      <c r="CV72">
        <f>IF('Planilla_General_29-11-2012_10_'!1076:1076,"AAAAACO1rmM=",0)</f>
        <v>0</v>
      </c>
      <c r="CW72" t="e">
        <f>AND('Planilla_General_29-11-2012_10_'!A1076,"AAAAACO1rmQ=")</f>
        <v>#VALUE!</v>
      </c>
      <c r="CX72" t="e">
        <f>AND('Planilla_General_29-11-2012_10_'!B1076,"AAAAACO1rmU=")</f>
        <v>#VALUE!</v>
      </c>
      <c r="CY72" t="e">
        <f>AND('Planilla_General_29-11-2012_10_'!C1076,"AAAAACO1rmY=")</f>
        <v>#VALUE!</v>
      </c>
      <c r="CZ72" t="e">
        <f>AND('Planilla_General_29-11-2012_10_'!D1076,"AAAAACO1rmc=")</f>
        <v>#VALUE!</v>
      </c>
      <c r="DA72" t="e">
        <f>AND('Planilla_General_29-11-2012_10_'!E1076,"AAAAACO1rmg=")</f>
        <v>#VALUE!</v>
      </c>
      <c r="DB72" t="e">
        <f>AND('Planilla_General_29-11-2012_10_'!F1076,"AAAAACO1rmk=")</f>
        <v>#VALUE!</v>
      </c>
      <c r="DC72" t="e">
        <f>AND('Planilla_General_29-11-2012_10_'!G1076,"AAAAACO1rmo=")</f>
        <v>#VALUE!</v>
      </c>
      <c r="DD72" t="e">
        <f>AND('Planilla_General_29-11-2012_10_'!H1076,"AAAAACO1rms=")</f>
        <v>#VALUE!</v>
      </c>
      <c r="DE72" t="e">
        <f>AND('Planilla_General_29-11-2012_10_'!I1076,"AAAAACO1rmw=")</f>
        <v>#VALUE!</v>
      </c>
      <c r="DF72" t="e">
        <f>AND('Planilla_General_29-11-2012_10_'!J1076,"AAAAACO1rm0=")</f>
        <v>#VALUE!</v>
      </c>
      <c r="DG72" t="e">
        <f>AND('Planilla_General_29-11-2012_10_'!K1076,"AAAAACO1rm4=")</f>
        <v>#VALUE!</v>
      </c>
      <c r="DH72" t="e">
        <f>AND('Planilla_General_29-11-2012_10_'!L1076,"AAAAACO1rm8=")</f>
        <v>#VALUE!</v>
      </c>
      <c r="DI72" t="e">
        <f>AND('Planilla_General_29-11-2012_10_'!M1076,"AAAAACO1rnA=")</f>
        <v>#VALUE!</v>
      </c>
      <c r="DJ72" t="e">
        <f>AND('Planilla_General_29-11-2012_10_'!N1076,"AAAAACO1rnE=")</f>
        <v>#VALUE!</v>
      </c>
      <c r="DK72" t="e">
        <f>AND('Planilla_General_29-11-2012_10_'!O1076,"AAAAACO1rnI=")</f>
        <v>#VALUE!</v>
      </c>
      <c r="DL72" t="e">
        <f>AND('Planilla_General_29-11-2012_10_'!P1076,"AAAAACO1rnM=")</f>
        <v>#VALUE!</v>
      </c>
      <c r="DM72">
        <f>IF('Planilla_General_29-11-2012_10_'!1077:1077,"AAAAACO1rnQ=",0)</f>
        <v>0</v>
      </c>
      <c r="DN72" t="e">
        <f>AND('Planilla_General_29-11-2012_10_'!A1077,"AAAAACO1rnU=")</f>
        <v>#VALUE!</v>
      </c>
      <c r="DO72" t="e">
        <f>AND('Planilla_General_29-11-2012_10_'!B1077,"AAAAACO1rnY=")</f>
        <v>#VALUE!</v>
      </c>
      <c r="DP72" t="e">
        <f>AND('Planilla_General_29-11-2012_10_'!C1077,"AAAAACO1rnc=")</f>
        <v>#VALUE!</v>
      </c>
      <c r="DQ72" t="e">
        <f>AND('Planilla_General_29-11-2012_10_'!D1077,"AAAAACO1rng=")</f>
        <v>#VALUE!</v>
      </c>
      <c r="DR72" t="e">
        <f>AND('Planilla_General_29-11-2012_10_'!E1077,"AAAAACO1rnk=")</f>
        <v>#VALUE!</v>
      </c>
      <c r="DS72" t="e">
        <f>AND('Planilla_General_29-11-2012_10_'!F1077,"AAAAACO1rno=")</f>
        <v>#VALUE!</v>
      </c>
      <c r="DT72" t="e">
        <f>AND('Planilla_General_29-11-2012_10_'!G1077,"AAAAACO1rns=")</f>
        <v>#VALUE!</v>
      </c>
      <c r="DU72" t="e">
        <f>AND('Planilla_General_29-11-2012_10_'!H1077,"AAAAACO1rnw=")</f>
        <v>#VALUE!</v>
      </c>
      <c r="DV72" t="e">
        <f>AND('Planilla_General_29-11-2012_10_'!I1077,"AAAAACO1rn0=")</f>
        <v>#VALUE!</v>
      </c>
      <c r="DW72" t="e">
        <f>AND('Planilla_General_29-11-2012_10_'!J1077,"AAAAACO1rn4=")</f>
        <v>#VALUE!</v>
      </c>
      <c r="DX72" t="e">
        <f>AND('Planilla_General_29-11-2012_10_'!K1077,"AAAAACO1rn8=")</f>
        <v>#VALUE!</v>
      </c>
      <c r="DY72" t="e">
        <f>AND('Planilla_General_29-11-2012_10_'!L1077,"AAAAACO1roA=")</f>
        <v>#VALUE!</v>
      </c>
      <c r="DZ72" t="e">
        <f>AND('Planilla_General_29-11-2012_10_'!M1077,"AAAAACO1roE=")</f>
        <v>#VALUE!</v>
      </c>
      <c r="EA72" t="e">
        <f>AND('Planilla_General_29-11-2012_10_'!N1077,"AAAAACO1roI=")</f>
        <v>#VALUE!</v>
      </c>
      <c r="EB72" t="e">
        <f>AND('Planilla_General_29-11-2012_10_'!O1077,"AAAAACO1roM=")</f>
        <v>#VALUE!</v>
      </c>
      <c r="EC72" t="e">
        <f>AND('Planilla_General_29-11-2012_10_'!P1077,"AAAAACO1roQ=")</f>
        <v>#VALUE!</v>
      </c>
      <c r="ED72">
        <f>IF('Planilla_General_29-11-2012_10_'!1078:1078,"AAAAACO1roU=",0)</f>
        <v>0</v>
      </c>
      <c r="EE72" t="e">
        <f>AND('Planilla_General_29-11-2012_10_'!A1078,"AAAAACO1roY=")</f>
        <v>#VALUE!</v>
      </c>
      <c r="EF72" t="e">
        <f>AND('Planilla_General_29-11-2012_10_'!B1078,"AAAAACO1roc=")</f>
        <v>#VALUE!</v>
      </c>
      <c r="EG72" t="e">
        <f>AND('Planilla_General_29-11-2012_10_'!C1078,"AAAAACO1rog=")</f>
        <v>#VALUE!</v>
      </c>
      <c r="EH72" t="e">
        <f>AND('Planilla_General_29-11-2012_10_'!D1078,"AAAAACO1rok=")</f>
        <v>#VALUE!</v>
      </c>
      <c r="EI72" t="e">
        <f>AND('Planilla_General_29-11-2012_10_'!E1078,"AAAAACO1roo=")</f>
        <v>#VALUE!</v>
      </c>
      <c r="EJ72" t="e">
        <f>AND('Planilla_General_29-11-2012_10_'!F1078,"AAAAACO1ros=")</f>
        <v>#VALUE!</v>
      </c>
      <c r="EK72" t="e">
        <f>AND('Planilla_General_29-11-2012_10_'!G1078,"AAAAACO1row=")</f>
        <v>#VALUE!</v>
      </c>
      <c r="EL72" t="e">
        <f>AND('Planilla_General_29-11-2012_10_'!H1078,"AAAAACO1ro0=")</f>
        <v>#VALUE!</v>
      </c>
      <c r="EM72" t="e">
        <f>AND('Planilla_General_29-11-2012_10_'!I1078,"AAAAACO1ro4=")</f>
        <v>#VALUE!</v>
      </c>
      <c r="EN72" t="e">
        <f>AND('Planilla_General_29-11-2012_10_'!J1078,"AAAAACO1ro8=")</f>
        <v>#VALUE!</v>
      </c>
      <c r="EO72" t="e">
        <f>AND('Planilla_General_29-11-2012_10_'!K1078,"AAAAACO1rpA=")</f>
        <v>#VALUE!</v>
      </c>
      <c r="EP72" t="e">
        <f>AND('Planilla_General_29-11-2012_10_'!L1078,"AAAAACO1rpE=")</f>
        <v>#VALUE!</v>
      </c>
      <c r="EQ72" t="e">
        <f>AND('Planilla_General_29-11-2012_10_'!M1078,"AAAAACO1rpI=")</f>
        <v>#VALUE!</v>
      </c>
      <c r="ER72" t="e">
        <f>AND('Planilla_General_29-11-2012_10_'!N1078,"AAAAACO1rpM=")</f>
        <v>#VALUE!</v>
      </c>
      <c r="ES72" t="e">
        <f>AND('Planilla_General_29-11-2012_10_'!O1078,"AAAAACO1rpQ=")</f>
        <v>#VALUE!</v>
      </c>
      <c r="ET72" t="e">
        <f>AND('Planilla_General_29-11-2012_10_'!P1078,"AAAAACO1rpU=")</f>
        <v>#VALUE!</v>
      </c>
      <c r="EU72">
        <f>IF('Planilla_General_29-11-2012_10_'!1079:1079,"AAAAACO1rpY=",0)</f>
        <v>0</v>
      </c>
      <c r="EV72" t="e">
        <f>AND('Planilla_General_29-11-2012_10_'!A1079,"AAAAACO1rpc=")</f>
        <v>#VALUE!</v>
      </c>
      <c r="EW72" t="e">
        <f>AND('Planilla_General_29-11-2012_10_'!B1079,"AAAAACO1rpg=")</f>
        <v>#VALUE!</v>
      </c>
      <c r="EX72" t="e">
        <f>AND('Planilla_General_29-11-2012_10_'!C1079,"AAAAACO1rpk=")</f>
        <v>#VALUE!</v>
      </c>
      <c r="EY72" t="e">
        <f>AND('Planilla_General_29-11-2012_10_'!D1079,"AAAAACO1rpo=")</f>
        <v>#VALUE!</v>
      </c>
      <c r="EZ72" t="e">
        <f>AND('Planilla_General_29-11-2012_10_'!E1079,"AAAAACO1rps=")</f>
        <v>#VALUE!</v>
      </c>
      <c r="FA72" t="e">
        <f>AND('Planilla_General_29-11-2012_10_'!F1079,"AAAAACO1rpw=")</f>
        <v>#VALUE!</v>
      </c>
      <c r="FB72" t="e">
        <f>AND('Planilla_General_29-11-2012_10_'!G1079,"AAAAACO1rp0=")</f>
        <v>#VALUE!</v>
      </c>
      <c r="FC72" t="e">
        <f>AND('Planilla_General_29-11-2012_10_'!H1079,"AAAAACO1rp4=")</f>
        <v>#VALUE!</v>
      </c>
      <c r="FD72" t="e">
        <f>AND('Planilla_General_29-11-2012_10_'!I1079,"AAAAACO1rp8=")</f>
        <v>#VALUE!</v>
      </c>
      <c r="FE72" t="e">
        <f>AND('Planilla_General_29-11-2012_10_'!J1079,"AAAAACO1rqA=")</f>
        <v>#VALUE!</v>
      </c>
      <c r="FF72" t="e">
        <f>AND('Planilla_General_29-11-2012_10_'!K1079,"AAAAACO1rqE=")</f>
        <v>#VALUE!</v>
      </c>
      <c r="FG72" t="e">
        <f>AND('Planilla_General_29-11-2012_10_'!L1079,"AAAAACO1rqI=")</f>
        <v>#VALUE!</v>
      </c>
      <c r="FH72" t="e">
        <f>AND('Planilla_General_29-11-2012_10_'!M1079,"AAAAACO1rqM=")</f>
        <v>#VALUE!</v>
      </c>
      <c r="FI72" t="e">
        <f>AND('Planilla_General_29-11-2012_10_'!N1079,"AAAAACO1rqQ=")</f>
        <v>#VALUE!</v>
      </c>
      <c r="FJ72" t="e">
        <f>AND('Planilla_General_29-11-2012_10_'!O1079,"AAAAACO1rqU=")</f>
        <v>#VALUE!</v>
      </c>
      <c r="FK72" t="e">
        <f>AND('Planilla_General_29-11-2012_10_'!P1079,"AAAAACO1rqY=")</f>
        <v>#VALUE!</v>
      </c>
      <c r="FL72">
        <f>IF('Planilla_General_29-11-2012_10_'!1080:1080,"AAAAACO1rqc=",0)</f>
        <v>0</v>
      </c>
      <c r="FM72" t="e">
        <f>AND('Planilla_General_29-11-2012_10_'!A1080,"AAAAACO1rqg=")</f>
        <v>#VALUE!</v>
      </c>
      <c r="FN72" t="e">
        <f>AND('Planilla_General_29-11-2012_10_'!B1080,"AAAAACO1rqk=")</f>
        <v>#VALUE!</v>
      </c>
      <c r="FO72" t="e">
        <f>AND('Planilla_General_29-11-2012_10_'!C1080,"AAAAACO1rqo=")</f>
        <v>#VALUE!</v>
      </c>
      <c r="FP72" t="e">
        <f>AND('Planilla_General_29-11-2012_10_'!D1080,"AAAAACO1rqs=")</f>
        <v>#VALUE!</v>
      </c>
      <c r="FQ72" t="e">
        <f>AND('Planilla_General_29-11-2012_10_'!E1080,"AAAAACO1rqw=")</f>
        <v>#VALUE!</v>
      </c>
      <c r="FR72" t="e">
        <f>AND('Planilla_General_29-11-2012_10_'!F1080,"AAAAACO1rq0=")</f>
        <v>#VALUE!</v>
      </c>
      <c r="FS72" t="e">
        <f>AND('Planilla_General_29-11-2012_10_'!G1080,"AAAAACO1rq4=")</f>
        <v>#VALUE!</v>
      </c>
      <c r="FT72" t="e">
        <f>AND('Planilla_General_29-11-2012_10_'!H1080,"AAAAACO1rq8=")</f>
        <v>#VALUE!</v>
      </c>
      <c r="FU72" t="e">
        <f>AND('Planilla_General_29-11-2012_10_'!I1080,"AAAAACO1rrA=")</f>
        <v>#VALUE!</v>
      </c>
      <c r="FV72" t="e">
        <f>AND('Planilla_General_29-11-2012_10_'!J1080,"AAAAACO1rrE=")</f>
        <v>#VALUE!</v>
      </c>
      <c r="FW72" t="e">
        <f>AND('Planilla_General_29-11-2012_10_'!K1080,"AAAAACO1rrI=")</f>
        <v>#VALUE!</v>
      </c>
      <c r="FX72" t="e">
        <f>AND('Planilla_General_29-11-2012_10_'!L1080,"AAAAACO1rrM=")</f>
        <v>#VALUE!</v>
      </c>
      <c r="FY72" t="e">
        <f>AND('Planilla_General_29-11-2012_10_'!M1080,"AAAAACO1rrQ=")</f>
        <v>#VALUE!</v>
      </c>
      <c r="FZ72" t="e">
        <f>AND('Planilla_General_29-11-2012_10_'!N1080,"AAAAACO1rrU=")</f>
        <v>#VALUE!</v>
      </c>
      <c r="GA72" t="e">
        <f>AND('Planilla_General_29-11-2012_10_'!O1080,"AAAAACO1rrY=")</f>
        <v>#VALUE!</v>
      </c>
      <c r="GB72" t="e">
        <f>AND('Planilla_General_29-11-2012_10_'!P1080,"AAAAACO1rrc=")</f>
        <v>#VALUE!</v>
      </c>
      <c r="GC72">
        <f>IF('Planilla_General_29-11-2012_10_'!1081:1081,"AAAAACO1rrg=",0)</f>
        <v>0</v>
      </c>
      <c r="GD72" t="e">
        <f>AND('Planilla_General_29-11-2012_10_'!A1081,"AAAAACO1rrk=")</f>
        <v>#VALUE!</v>
      </c>
      <c r="GE72" t="e">
        <f>AND('Planilla_General_29-11-2012_10_'!B1081,"AAAAACO1rro=")</f>
        <v>#VALUE!</v>
      </c>
      <c r="GF72" t="e">
        <f>AND('Planilla_General_29-11-2012_10_'!C1081,"AAAAACO1rrs=")</f>
        <v>#VALUE!</v>
      </c>
      <c r="GG72" t="e">
        <f>AND('Planilla_General_29-11-2012_10_'!D1081,"AAAAACO1rrw=")</f>
        <v>#VALUE!</v>
      </c>
      <c r="GH72" t="e">
        <f>AND('Planilla_General_29-11-2012_10_'!E1081,"AAAAACO1rr0=")</f>
        <v>#VALUE!</v>
      </c>
      <c r="GI72" t="e">
        <f>AND('Planilla_General_29-11-2012_10_'!F1081,"AAAAACO1rr4=")</f>
        <v>#VALUE!</v>
      </c>
      <c r="GJ72" t="e">
        <f>AND('Planilla_General_29-11-2012_10_'!G1081,"AAAAACO1rr8=")</f>
        <v>#VALUE!</v>
      </c>
      <c r="GK72" t="e">
        <f>AND('Planilla_General_29-11-2012_10_'!H1081,"AAAAACO1rsA=")</f>
        <v>#VALUE!</v>
      </c>
      <c r="GL72" t="e">
        <f>AND('Planilla_General_29-11-2012_10_'!I1081,"AAAAACO1rsE=")</f>
        <v>#VALUE!</v>
      </c>
      <c r="GM72" t="e">
        <f>AND('Planilla_General_29-11-2012_10_'!J1081,"AAAAACO1rsI=")</f>
        <v>#VALUE!</v>
      </c>
      <c r="GN72" t="e">
        <f>AND('Planilla_General_29-11-2012_10_'!K1081,"AAAAACO1rsM=")</f>
        <v>#VALUE!</v>
      </c>
      <c r="GO72" t="e">
        <f>AND('Planilla_General_29-11-2012_10_'!L1081,"AAAAACO1rsQ=")</f>
        <v>#VALUE!</v>
      </c>
      <c r="GP72" t="e">
        <f>AND('Planilla_General_29-11-2012_10_'!M1081,"AAAAACO1rsU=")</f>
        <v>#VALUE!</v>
      </c>
      <c r="GQ72" t="e">
        <f>AND('Planilla_General_29-11-2012_10_'!N1081,"AAAAACO1rsY=")</f>
        <v>#VALUE!</v>
      </c>
      <c r="GR72" t="e">
        <f>AND('Planilla_General_29-11-2012_10_'!O1081,"AAAAACO1rsc=")</f>
        <v>#VALUE!</v>
      </c>
      <c r="GS72" t="e">
        <f>AND('Planilla_General_29-11-2012_10_'!P1081,"AAAAACO1rsg=")</f>
        <v>#VALUE!</v>
      </c>
      <c r="GT72">
        <f>IF('Planilla_General_29-11-2012_10_'!1082:1082,"AAAAACO1rsk=",0)</f>
        <v>0</v>
      </c>
      <c r="GU72" t="e">
        <f>AND('Planilla_General_29-11-2012_10_'!A1082,"AAAAACO1rso=")</f>
        <v>#VALUE!</v>
      </c>
      <c r="GV72" t="e">
        <f>AND('Planilla_General_29-11-2012_10_'!B1082,"AAAAACO1rss=")</f>
        <v>#VALUE!</v>
      </c>
      <c r="GW72" t="e">
        <f>AND('Planilla_General_29-11-2012_10_'!C1082,"AAAAACO1rsw=")</f>
        <v>#VALUE!</v>
      </c>
      <c r="GX72" t="e">
        <f>AND('Planilla_General_29-11-2012_10_'!D1082,"AAAAACO1rs0=")</f>
        <v>#VALUE!</v>
      </c>
      <c r="GY72" t="e">
        <f>AND('Planilla_General_29-11-2012_10_'!E1082,"AAAAACO1rs4=")</f>
        <v>#VALUE!</v>
      </c>
      <c r="GZ72" t="e">
        <f>AND('Planilla_General_29-11-2012_10_'!F1082,"AAAAACO1rs8=")</f>
        <v>#VALUE!</v>
      </c>
      <c r="HA72" t="e">
        <f>AND('Planilla_General_29-11-2012_10_'!G1082,"AAAAACO1rtA=")</f>
        <v>#VALUE!</v>
      </c>
      <c r="HB72" t="e">
        <f>AND('Planilla_General_29-11-2012_10_'!H1082,"AAAAACO1rtE=")</f>
        <v>#VALUE!</v>
      </c>
      <c r="HC72" t="e">
        <f>AND('Planilla_General_29-11-2012_10_'!I1082,"AAAAACO1rtI=")</f>
        <v>#VALUE!</v>
      </c>
      <c r="HD72" t="e">
        <f>AND('Planilla_General_29-11-2012_10_'!J1082,"AAAAACO1rtM=")</f>
        <v>#VALUE!</v>
      </c>
      <c r="HE72" t="e">
        <f>AND('Planilla_General_29-11-2012_10_'!K1082,"AAAAACO1rtQ=")</f>
        <v>#VALUE!</v>
      </c>
      <c r="HF72" t="e">
        <f>AND('Planilla_General_29-11-2012_10_'!L1082,"AAAAACO1rtU=")</f>
        <v>#VALUE!</v>
      </c>
      <c r="HG72" t="e">
        <f>AND('Planilla_General_29-11-2012_10_'!M1082,"AAAAACO1rtY=")</f>
        <v>#VALUE!</v>
      </c>
      <c r="HH72" t="e">
        <f>AND('Planilla_General_29-11-2012_10_'!N1082,"AAAAACO1rtc=")</f>
        <v>#VALUE!</v>
      </c>
      <c r="HI72" t="e">
        <f>AND('Planilla_General_29-11-2012_10_'!O1082,"AAAAACO1rtg=")</f>
        <v>#VALUE!</v>
      </c>
      <c r="HJ72" t="e">
        <f>AND('Planilla_General_29-11-2012_10_'!P1082,"AAAAACO1rtk=")</f>
        <v>#VALUE!</v>
      </c>
      <c r="HK72">
        <f>IF('Planilla_General_29-11-2012_10_'!1083:1083,"AAAAACO1rto=",0)</f>
        <v>0</v>
      </c>
      <c r="HL72" t="e">
        <f>AND('Planilla_General_29-11-2012_10_'!A1083,"AAAAACO1rts=")</f>
        <v>#VALUE!</v>
      </c>
      <c r="HM72" t="e">
        <f>AND('Planilla_General_29-11-2012_10_'!B1083,"AAAAACO1rtw=")</f>
        <v>#VALUE!</v>
      </c>
      <c r="HN72" t="e">
        <f>AND('Planilla_General_29-11-2012_10_'!C1083,"AAAAACO1rt0=")</f>
        <v>#VALUE!</v>
      </c>
      <c r="HO72" t="e">
        <f>AND('Planilla_General_29-11-2012_10_'!D1083,"AAAAACO1rt4=")</f>
        <v>#VALUE!</v>
      </c>
      <c r="HP72" t="e">
        <f>AND('Planilla_General_29-11-2012_10_'!E1083,"AAAAACO1rt8=")</f>
        <v>#VALUE!</v>
      </c>
      <c r="HQ72" t="e">
        <f>AND('Planilla_General_29-11-2012_10_'!F1083,"AAAAACO1ruA=")</f>
        <v>#VALUE!</v>
      </c>
      <c r="HR72" t="e">
        <f>AND('Planilla_General_29-11-2012_10_'!G1083,"AAAAACO1ruE=")</f>
        <v>#VALUE!</v>
      </c>
      <c r="HS72" t="e">
        <f>AND('Planilla_General_29-11-2012_10_'!H1083,"AAAAACO1ruI=")</f>
        <v>#VALUE!</v>
      </c>
      <c r="HT72" t="e">
        <f>AND('Planilla_General_29-11-2012_10_'!I1083,"AAAAACO1ruM=")</f>
        <v>#VALUE!</v>
      </c>
      <c r="HU72" t="e">
        <f>AND('Planilla_General_29-11-2012_10_'!J1083,"AAAAACO1ruQ=")</f>
        <v>#VALUE!</v>
      </c>
      <c r="HV72" t="e">
        <f>AND('Planilla_General_29-11-2012_10_'!K1083,"AAAAACO1ruU=")</f>
        <v>#VALUE!</v>
      </c>
      <c r="HW72" t="e">
        <f>AND('Planilla_General_29-11-2012_10_'!L1083,"AAAAACO1ruY=")</f>
        <v>#VALUE!</v>
      </c>
      <c r="HX72" t="e">
        <f>AND('Planilla_General_29-11-2012_10_'!M1083,"AAAAACO1ruc=")</f>
        <v>#VALUE!</v>
      </c>
      <c r="HY72" t="e">
        <f>AND('Planilla_General_29-11-2012_10_'!N1083,"AAAAACO1rug=")</f>
        <v>#VALUE!</v>
      </c>
      <c r="HZ72" t="e">
        <f>AND('Planilla_General_29-11-2012_10_'!O1083,"AAAAACO1ruk=")</f>
        <v>#VALUE!</v>
      </c>
      <c r="IA72" t="e">
        <f>AND('Planilla_General_29-11-2012_10_'!P1083,"AAAAACO1ruo=")</f>
        <v>#VALUE!</v>
      </c>
      <c r="IB72">
        <f>IF('Planilla_General_29-11-2012_10_'!1084:1084,"AAAAACO1rus=",0)</f>
        <v>0</v>
      </c>
      <c r="IC72" t="e">
        <f>AND('Planilla_General_29-11-2012_10_'!A1084,"AAAAACO1ruw=")</f>
        <v>#VALUE!</v>
      </c>
      <c r="ID72" t="e">
        <f>AND('Planilla_General_29-11-2012_10_'!B1084,"AAAAACO1ru0=")</f>
        <v>#VALUE!</v>
      </c>
      <c r="IE72" t="e">
        <f>AND('Planilla_General_29-11-2012_10_'!C1084,"AAAAACO1ru4=")</f>
        <v>#VALUE!</v>
      </c>
      <c r="IF72" t="e">
        <f>AND('Planilla_General_29-11-2012_10_'!D1084,"AAAAACO1ru8=")</f>
        <v>#VALUE!</v>
      </c>
      <c r="IG72" t="e">
        <f>AND('Planilla_General_29-11-2012_10_'!E1084,"AAAAACO1rvA=")</f>
        <v>#VALUE!</v>
      </c>
      <c r="IH72" t="e">
        <f>AND('Planilla_General_29-11-2012_10_'!F1084,"AAAAACO1rvE=")</f>
        <v>#VALUE!</v>
      </c>
      <c r="II72" t="e">
        <f>AND('Planilla_General_29-11-2012_10_'!G1084,"AAAAACO1rvI=")</f>
        <v>#VALUE!</v>
      </c>
      <c r="IJ72" t="e">
        <f>AND('Planilla_General_29-11-2012_10_'!H1084,"AAAAACO1rvM=")</f>
        <v>#VALUE!</v>
      </c>
      <c r="IK72" t="e">
        <f>AND('Planilla_General_29-11-2012_10_'!I1084,"AAAAACO1rvQ=")</f>
        <v>#VALUE!</v>
      </c>
      <c r="IL72" t="e">
        <f>AND('Planilla_General_29-11-2012_10_'!J1084,"AAAAACO1rvU=")</f>
        <v>#VALUE!</v>
      </c>
      <c r="IM72" t="e">
        <f>AND('Planilla_General_29-11-2012_10_'!K1084,"AAAAACO1rvY=")</f>
        <v>#VALUE!</v>
      </c>
      <c r="IN72" t="e">
        <f>AND('Planilla_General_29-11-2012_10_'!L1084,"AAAAACO1rvc=")</f>
        <v>#VALUE!</v>
      </c>
      <c r="IO72" t="e">
        <f>AND('Planilla_General_29-11-2012_10_'!M1084,"AAAAACO1rvg=")</f>
        <v>#VALUE!</v>
      </c>
      <c r="IP72" t="e">
        <f>AND('Planilla_General_29-11-2012_10_'!N1084,"AAAAACO1rvk=")</f>
        <v>#VALUE!</v>
      </c>
      <c r="IQ72" t="e">
        <f>AND('Planilla_General_29-11-2012_10_'!O1084,"AAAAACO1rvo=")</f>
        <v>#VALUE!</v>
      </c>
      <c r="IR72" t="e">
        <f>AND('Planilla_General_29-11-2012_10_'!P1084,"AAAAACO1rvs=")</f>
        <v>#VALUE!</v>
      </c>
      <c r="IS72">
        <f>IF('Planilla_General_29-11-2012_10_'!1085:1085,"AAAAACO1rvw=",0)</f>
        <v>0</v>
      </c>
      <c r="IT72" t="e">
        <f>AND('Planilla_General_29-11-2012_10_'!A1085,"AAAAACO1rv0=")</f>
        <v>#VALUE!</v>
      </c>
      <c r="IU72" t="e">
        <f>AND('Planilla_General_29-11-2012_10_'!B1085,"AAAAACO1rv4=")</f>
        <v>#VALUE!</v>
      </c>
      <c r="IV72" t="e">
        <f>AND('Planilla_General_29-11-2012_10_'!C1085,"AAAAACO1rv8=")</f>
        <v>#VALUE!</v>
      </c>
    </row>
    <row r="73" spans="1:256" x14ac:dyDescent="0.25">
      <c r="A73" t="e">
        <f>AND('Planilla_General_29-11-2012_10_'!D1085,"AAAAAH97/wA=")</f>
        <v>#VALUE!</v>
      </c>
      <c r="B73" t="e">
        <f>AND('Planilla_General_29-11-2012_10_'!E1085,"AAAAAH97/wE=")</f>
        <v>#VALUE!</v>
      </c>
      <c r="C73" t="e">
        <f>AND('Planilla_General_29-11-2012_10_'!F1085,"AAAAAH97/wI=")</f>
        <v>#VALUE!</v>
      </c>
      <c r="D73" t="e">
        <f>AND('Planilla_General_29-11-2012_10_'!G1085,"AAAAAH97/wM=")</f>
        <v>#VALUE!</v>
      </c>
      <c r="E73" t="e">
        <f>AND('Planilla_General_29-11-2012_10_'!H1085,"AAAAAH97/wQ=")</f>
        <v>#VALUE!</v>
      </c>
      <c r="F73" t="e">
        <f>AND('Planilla_General_29-11-2012_10_'!I1085,"AAAAAH97/wU=")</f>
        <v>#VALUE!</v>
      </c>
      <c r="G73" t="e">
        <f>AND('Planilla_General_29-11-2012_10_'!J1085,"AAAAAH97/wY=")</f>
        <v>#VALUE!</v>
      </c>
      <c r="H73" t="e">
        <f>AND('Planilla_General_29-11-2012_10_'!K1085,"AAAAAH97/wc=")</f>
        <v>#VALUE!</v>
      </c>
      <c r="I73" t="e">
        <f>AND('Planilla_General_29-11-2012_10_'!L1085,"AAAAAH97/wg=")</f>
        <v>#VALUE!</v>
      </c>
      <c r="J73" t="e">
        <f>AND('Planilla_General_29-11-2012_10_'!M1085,"AAAAAH97/wk=")</f>
        <v>#VALUE!</v>
      </c>
      <c r="K73" t="e">
        <f>AND('Planilla_General_29-11-2012_10_'!N1085,"AAAAAH97/wo=")</f>
        <v>#VALUE!</v>
      </c>
      <c r="L73" t="e">
        <f>AND('Planilla_General_29-11-2012_10_'!O1085,"AAAAAH97/ws=")</f>
        <v>#VALUE!</v>
      </c>
      <c r="M73" t="e">
        <f>AND('Planilla_General_29-11-2012_10_'!P1085,"AAAAAH97/ww=")</f>
        <v>#VALUE!</v>
      </c>
      <c r="N73" t="str">
        <f>IF('Planilla_General_29-11-2012_10_'!1086:1086,"AAAAAH97/w0=",0)</f>
        <v>AAAAAH97/w0=</v>
      </c>
      <c r="O73" t="e">
        <f>AND('Planilla_General_29-11-2012_10_'!A1086,"AAAAAH97/w4=")</f>
        <v>#VALUE!</v>
      </c>
      <c r="P73" t="e">
        <f>AND('Planilla_General_29-11-2012_10_'!B1086,"AAAAAH97/w8=")</f>
        <v>#VALUE!</v>
      </c>
      <c r="Q73" t="e">
        <f>AND('Planilla_General_29-11-2012_10_'!C1086,"AAAAAH97/xA=")</f>
        <v>#VALUE!</v>
      </c>
      <c r="R73" t="e">
        <f>AND('Planilla_General_29-11-2012_10_'!D1086,"AAAAAH97/xE=")</f>
        <v>#VALUE!</v>
      </c>
      <c r="S73" t="e">
        <f>AND('Planilla_General_29-11-2012_10_'!E1086,"AAAAAH97/xI=")</f>
        <v>#VALUE!</v>
      </c>
      <c r="T73" t="e">
        <f>AND('Planilla_General_29-11-2012_10_'!F1086,"AAAAAH97/xM=")</f>
        <v>#VALUE!</v>
      </c>
      <c r="U73" t="e">
        <f>AND('Planilla_General_29-11-2012_10_'!G1086,"AAAAAH97/xQ=")</f>
        <v>#VALUE!</v>
      </c>
      <c r="V73" t="e">
        <f>AND('Planilla_General_29-11-2012_10_'!H1086,"AAAAAH97/xU=")</f>
        <v>#VALUE!</v>
      </c>
      <c r="W73" t="e">
        <f>AND('Planilla_General_29-11-2012_10_'!I1086,"AAAAAH97/xY=")</f>
        <v>#VALUE!</v>
      </c>
      <c r="X73" t="e">
        <f>AND('Planilla_General_29-11-2012_10_'!J1086,"AAAAAH97/xc=")</f>
        <v>#VALUE!</v>
      </c>
      <c r="Y73" t="e">
        <f>AND('Planilla_General_29-11-2012_10_'!K1086,"AAAAAH97/xg=")</f>
        <v>#VALUE!</v>
      </c>
      <c r="Z73" t="e">
        <f>AND('Planilla_General_29-11-2012_10_'!L1086,"AAAAAH97/xk=")</f>
        <v>#VALUE!</v>
      </c>
      <c r="AA73" t="e">
        <f>AND('Planilla_General_29-11-2012_10_'!M1086,"AAAAAH97/xo=")</f>
        <v>#VALUE!</v>
      </c>
      <c r="AB73" t="e">
        <f>AND('Planilla_General_29-11-2012_10_'!N1086,"AAAAAH97/xs=")</f>
        <v>#VALUE!</v>
      </c>
      <c r="AC73" t="e">
        <f>AND('Planilla_General_29-11-2012_10_'!O1086,"AAAAAH97/xw=")</f>
        <v>#VALUE!</v>
      </c>
      <c r="AD73" t="e">
        <f>AND('Planilla_General_29-11-2012_10_'!P1086,"AAAAAH97/x0=")</f>
        <v>#VALUE!</v>
      </c>
      <c r="AE73">
        <f>IF('Planilla_General_29-11-2012_10_'!1087:1087,"AAAAAH97/x4=",0)</f>
        <v>0</v>
      </c>
      <c r="AF73" t="e">
        <f>AND('Planilla_General_29-11-2012_10_'!A1087,"AAAAAH97/x8=")</f>
        <v>#VALUE!</v>
      </c>
      <c r="AG73" t="e">
        <f>AND('Planilla_General_29-11-2012_10_'!B1087,"AAAAAH97/yA=")</f>
        <v>#VALUE!</v>
      </c>
      <c r="AH73" t="e">
        <f>AND('Planilla_General_29-11-2012_10_'!C1087,"AAAAAH97/yE=")</f>
        <v>#VALUE!</v>
      </c>
      <c r="AI73" t="e">
        <f>AND('Planilla_General_29-11-2012_10_'!D1087,"AAAAAH97/yI=")</f>
        <v>#VALUE!</v>
      </c>
      <c r="AJ73" t="e">
        <f>AND('Planilla_General_29-11-2012_10_'!E1087,"AAAAAH97/yM=")</f>
        <v>#VALUE!</v>
      </c>
      <c r="AK73" t="e">
        <f>AND('Planilla_General_29-11-2012_10_'!F1087,"AAAAAH97/yQ=")</f>
        <v>#VALUE!</v>
      </c>
      <c r="AL73" t="e">
        <f>AND('Planilla_General_29-11-2012_10_'!G1087,"AAAAAH97/yU=")</f>
        <v>#VALUE!</v>
      </c>
      <c r="AM73" t="e">
        <f>AND('Planilla_General_29-11-2012_10_'!H1087,"AAAAAH97/yY=")</f>
        <v>#VALUE!</v>
      </c>
      <c r="AN73" t="e">
        <f>AND('Planilla_General_29-11-2012_10_'!I1087,"AAAAAH97/yc=")</f>
        <v>#VALUE!</v>
      </c>
      <c r="AO73" t="e">
        <f>AND('Planilla_General_29-11-2012_10_'!J1087,"AAAAAH97/yg=")</f>
        <v>#VALUE!</v>
      </c>
      <c r="AP73" t="e">
        <f>AND('Planilla_General_29-11-2012_10_'!K1087,"AAAAAH97/yk=")</f>
        <v>#VALUE!</v>
      </c>
      <c r="AQ73" t="e">
        <f>AND('Planilla_General_29-11-2012_10_'!L1087,"AAAAAH97/yo=")</f>
        <v>#VALUE!</v>
      </c>
      <c r="AR73" t="e">
        <f>AND('Planilla_General_29-11-2012_10_'!M1087,"AAAAAH97/ys=")</f>
        <v>#VALUE!</v>
      </c>
      <c r="AS73" t="e">
        <f>AND('Planilla_General_29-11-2012_10_'!N1087,"AAAAAH97/yw=")</f>
        <v>#VALUE!</v>
      </c>
      <c r="AT73" t="e">
        <f>AND('Planilla_General_29-11-2012_10_'!O1087,"AAAAAH97/y0=")</f>
        <v>#VALUE!</v>
      </c>
      <c r="AU73" t="e">
        <f>AND('Planilla_General_29-11-2012_10_'!P1087,"AAAAAH97/y4=")</f>
        <v>#VALUE!</v>
      </c>
      <c r="AV73">
        <f>IF('Planilla_General_29-11-2012_10_'!1088:1088,"AAAAAH97/y8=",0)</f>
        <v>0</v>
      </c>
      <c r="AW73" t="e">
        <f>AND('Planilla_General_29-11-2012_10_'!A1088,"AAAAAH97/zA=")</f>
        <v>#VALUE!</v>
      </c>
      <c r="AX73" t="e">
        <f>AND('Planilla_General_29-11-2012_10_'!B1088,"AAAAAH97/zE=")</f>
        <v>#VALUE!</v>
      </c>
      <c r="AY73" t="e">
        <f>AND('Planilla_General_29-11-2012_10_'!C1088,"AAAAAH97/zI=")</f>
        <v>#VALUE!</v>
      </c>
      <c r="AZ73" t="e">
        <f>AND('Planilla_General_29-11-2012_10_'!D1088,"AAAAAH97/zM=")</f>
        <v>#VALUE!</v>
      </c>
      <c r="BA73" t="e">
        <f>AND('Planilla_General_29-11-2012_10_'!E1088,"AAAAAH97/zQ=")</f>
        <v>#VALUE!</v>
      </c>
      <c r="BB73" t="e">
        <f>AND('Planilla_General_29-11-2012_10_'!F1088,"AAAAAH97/zU=")</f>
        <v>#VALUE!</v>
      </c>
      <c r="BC73" t="e">
        <f>AND('Planilla_General_29-11-2012_10_'!G1088,"AAAAAH97/zY=")</f>
        <v>#VALUE!</v>
      </c>
      <c r="BD73" t="e">
        <f>AND('Planilla_General_29-11-2012_10_'!H1088,"AAAAAH97/zc=")</f>
        <v>#VALUE!</v>
      </c>
      <c r="BE73" t="e">
        <f>AND('Planilla_General_29-11-2012_10_'!I1088,"AAAAAH97/zg=")</f>
        <v>#VALUE!</v>
      </c>
      <c r="BF73" t="e">
        <f>AND('Planilla_General_29-11-2012_10_'!J1088,"AAAAAH97/zk=")</f>
        <v>#VALUE!</v>
      </c>
      <c r="BG73" t="e">
        <f>AND('Planilla_General_29-11-2012_10_'!K1088,"AAAAAH97/zo=")</f>
        <v>#VALUE!</v>
      </c>
      <c r="BH73" t="e">
        <f>AND('Planilla_General_29-11-2012_10_'!L1088,"AAAAAH97/zs=")</f>
        <v>#VALUE!</v>
      </c>
      <c r="BI73" t="e">
        <f>AND('Planilla_General_29-11-2012_10_'!M1088,"AAAAAH97/zw=")</f>
        <v>#VALUE!</v>
      </c>
      <c r="BJ73" t="e">
        <f>AND('Planilla_General_29-11-2012_10_'!N1088,"AAAAAH97/z0=")</f>
        <v>#VALUE!</v>
      </c>
      <c r="BK73" t="e">
        <f>AND('Planilla_General_29-11-2012_10_'!O1088,"AAAAAH97/z4=")</f>
        <v>#VALUE!</v>
      </c>
      <c r="BL73" t="e">
        <f>AND('Planilla_General_29-11-2012_10_'!P1088,"AAAAAH97/z8=")</f>
        <v>#VALUE!</v>
      </c>
      <c r="BM73">
        <f>IF('Planilla_General_29-11-2012_10_'!1089:1089,"AAAAAH97/0A=",0)</f>
        <v>0</v>
      </c>
      <c r="BN73" t="e">
        <f>AND('Planilla_General_29-11-2012_10_'!A1089,"AAAAAH97/0E=")</f>
        <v>#VALUE!</v>
      </c>
      <c r="BO73" t="e">
        <f>AND('Planilla_General_29-11-2012_10_'!B1089,"AAAAAH97/0I=")</f>
        <v>#VALUE!</v>
      </c>
      <c r="BP73" t="e">
        <f>AND('Planilla_General_29-11-2012_10_'!C1089,"AAAAAH97/0M=")</f>
        <v>#VALUE!</v>
      </c>
      <c r="BQ73" t="e">
        <f>AND('Planilla_General_29-11-2012_10_'!D1089,"AAAAAH97/0Q=")</f>
        <v>#VALUE!</v>
      </c>
      <c r="BR73" t="e">
        <f>AND('Planilla_General_29-11-2012_10_'!E1089,"AAAAAH97/0U=")</f>
        <v>#VALUE!</v>
      </c>
      <c r="BS73" t="e">
        <f>AND('Planilla_General_29-11-2012_10_'!F1089,"AAAAAH97/0Y=")</f>
        <v>#VALUE!</v>
      </c>
      <c r="BT73" t="e">
        <f>AND('Planilla_General_29-11-2012_10_'!G1089,"AAAAAH97/0c=")</f>
        <v>#VALUE!</v>
      </c>
      <c r="BU73" t="e">
        <f>AND('Planilla_General_29-11-2012_10_'!H1089,"AAAAAH97/0g=")</f>
        <v>#VALUE!</v>
      </c>
      <c r="BV73" t="e">
        <f>AND('Planilla_General_29-11-2012_10_'!I1089,"AAAAAH97/0k=")</f>
        <v>#VALUE!</v>
      </c>
      <c r="BW73" t="e">
        <f>AND('Planilla_General_29-11-2012_10_'!J1089,"AAAAAH97/0o=")</f>
        <v>#VALUE!</v>
      </c>
      <c r="BX73" t="e">
        <f>AND('Planilla_General_29-11-2012_10_'!K1089,"AAAAAH97/0s=")</f>
        <v>#VALUE!</v>
      </c>
      <c r="BY73" t="e">
        <f>AND('Planilla_General_29-11-2012_10_'!L1089,"AAAAAH97/0w=")</f>
        <v>#VALUE!</v>
      </c>
      <c r="BZ73" t="e">
        <f>AND('Planilla_General_29-11-2012_10_'!M1089,"AAAAAH97/00=")</f>
        <v>#VALUE!</v>
      </c>
      <c r="CA73" t="e">
        <f>AND('Planilla_General_29-11-2012_10_'!N1089,"AAAAAH97/04=")</f>
        <v>#VALUE!</v>
      </c>
      <c r="CB73" t="e">
        <f>AND('Planilla_General_29-11-2012_10_'!O1089,"AAAAAH97/08=")</f>
        <v>#VALUE!</v>
      </c>
      <c r="CC73" t="e">
        <f>AND('Planilla_General_29-11-2012_10_'!P1089,"AAAAAH97/1A=")</f>
        <v>#VALUE!</v>
      </c>
      <c r="CD73">
        <f>IF('Planilla_General_29-11-2012_10_'!1090:1090,"AAAAAH97/1E=",0)</f>
        <v>0</v>
      </c>
      <c r="CE73" t="e">
        <f>AND('Planilla_General_29-11-2012_10_'!A1090,"AAAAAH97/1I=")</f>
        <v>#VALUE!</v>
      </c>
      <c r="CF73" t="e">
        <f>AND('Planilla_General_29-11-2012_10_'!B1090,"AAAAAH97/1M=")</f>
        <v>#VALUE!</v>
      </c>
      <c r="CG73" t="e">
        <f>AND('Planilla_General_29-11-2012_10_'!C1090,"AAAAAH97/1Q=")</f>
        <v>#VALUE!</v>
      </c>
      <c r="CH73" t="e">
        <f>AND('Planilla_General_29-11-2012_10_'!D1090,"AAAAAH97/1U=")</f>
        <v>#VALUE!</v>
      </c>
      <c r="CI73" t="e">
        <f>AND('Planilla_General_29-11-2012_10_'!E1090,"AAAAAH97/1Y=")</f>
        <v>#VALUE!</v>
      </c>
      <c r="CJ73" t="e">
        <f>AND('Planilla_General_29-11-2012_10_'!F1090,"AAAAAH97/1c=")</f>
        <v>#VALUE!</v>
      </c>
      <c r="CK73" t="e">
        <f>AND('Planilla_General_29-11-2012_10_'!G1090,"AAAAAH97/1g=")</f>
        <v>#VALUE!</v>
      </c>
      <c r="CL73" t="e">
        <f>AND('Planilla_General_29-11-2012_10_'!H1090,"AAAAAH97/1k=")</f>
        <v>#VALUE!</v>
      </c>
      <c r="CM73" t="e">
        <f>AND('Planilla_General_29-11-2012_10_'!I1090,"AAAAAH97/1o=")</f>
        <v>#VALUE!</v>
      </c>
      <c r="CN73" t="e">
        <f>AND('Planilla_General_29-11-2012_10_'!J1090,"AAAAAH97/1s=")</f>
        <v>#VALUE!</v>
      </c>
      <c r="CO73" t="e">
        <f>AND('Planilla_General_29-11-2012_10_'!K1090,"AAAAAH97/1w=")</f>
        <v>#VALUE!</v>
      </c>
      <c r="CP73" t="e">
        <f>AND('Planilla_General_29-11-2012_10_'!L1090,"AAAAAH97/10=")</f>
        <v>#VALUE!</v>
      </c>
      <c r="CQ73" t="e">
        <f>AND('Planilla_General_29-11-2012_10_'!M1090,"AAAAAH97/14=")</f>
        <v>#VALUE!</v>
      </c>
      <c r="CR73" t="e">
        <f>AND('Planilla_General_29-11-2012_10_'!N1090,"AAAAAH97/18=")</f>
        <v>#VALUE!</v>
      </c>
      <c r="CS73" t="e">
        <f>AND('Planilla_General_29-11-2012_10_'!O1090,"AAAAAH97/2A=")</f>
        <v>#VALUE!</v>
      </c>
      <c r="CT73" t="e">
        <f>AND('Planilla_General_29-11-2012_10_'!P1090,"AAAAAH97/2E=")</f>
        <v>#VALUE!</v>
      </c>
      <c r="CU73">
        <f>IF('Planilla_General_29-11-2012_10_'!1091:1091,"AAAAAH97/2I=",0)</f>
        <v>0</v>
      </c>
      <c r="CV73" t="e">
        <f>AND('Planilla_General_29-11-2012_10_'!A1091,"AAAAAH97/2M=")</f>
        <v>#VALUE!</v>
      </c>
      <c r="CW73" t="e">
        <f>AND('Planilla_General_29-11-2012_10_'!B1091,"AAAAAH97/2Q=")</f>
        <v>#VALUE!</v>
      </c>
      <c r="CX73" t="e">
        <f>AND('Planilla_General_29-11-2012_10_'!C1091,"AAAAAH97/2U=")</f>
        <v>#VALUE!</v>
      </c>
      <c r="CY73" t="e">
        <f>AND('Planilla_General_29-11-2012_10_'!D1091,"AAAAAH97/2Y=")</f>
        <v>#VALUE!</v>
      </c>
      <c r="CZ73" t="e">
        <f>AND('Planilla_General_29-11-2012_10_'!E1091,"AAAAAH97/2c=")</f>
        <v>#VALUE!</v>
      </c>
      <c r="DA73" t="e">
        <f>AND('Planilla_General_29-11-2012_10_'!F1091,"AAAAAH97/2g=")</f>
        <v>#VALUE!</v>
      </c>
      <c r="DB73" t="e">
        <f>AND('Planilla_General_29-11-2012_10_'!G1091,"AAAAAH97/2k=")</f>
        <v>#VALUE!</v>
      </c>
      <c r="DC73" t="e">
        <f>AND('Planilla_General_29-11-2012_10_'!H1091,"AAAAAH97/2o=")</f>
        <v>#VALUE!</v>
      </c>
      <c r="DD73" t="e">
        <f>AND('Planilla_General_29-11-2012_10_'!I1091,"AAAAAH97/2s=")</f>
        <v>#VALUE!</v>
      </c>
      <c r="DE73" t="e">
        <f>AND('Planilla_General_29-11-2012_10_'!J1091,"AAAAAH97/2w=")</f>
        <v>#VALUE!</v>
      </c>
      <c r="DF73" t="e">
        <f>AND('Planilla_General_29-11-2012_10_'!K1091,"AAAAAH97/20=")</f>
        <v>#VALUE!</v>
      </c>
      <c r="DG73" t="e">
        <f>AND('Planilla_General_29-11-2012_10_'!L1091,"AAAAAH97/24=")</f>
        <v>#VALUE!</v>
      </c>
      <c r="DH73" t="e">
        <f>AND('Planilla_General_29-11-2012_10_'!M1091,"AAAAAH97/28=")</f>
        <v>#VALUE!</v>
      </c>
      <c r="DI73" t="e">
        <f>AND('Planilla_General_29-11-2012_10_'!N1091,"AAAAAH97/3A=")</f>
        <v>#VALUE!</v>
      </c>
      <c r="DJ73" t="e">
        <f>AND('Planilla_General_29-11-2012_10_'!O1091,"AAAAAH97/3E=")</f>
        <v>#VALUE!</v>
      </c>
      <c r="DK73" t="e">
        <f>AND('Planilla_General_29-11-2012_10_'!P1091,"AAAAAH97/3I=")</f>
        <v>#VALUE!</v>
      </c>
      <c r="DL73">
        <f>IF('Planilla_General_29-11-2012_10_'!1092:1092,"AAAAAH97/3M=",0)</f>
        <v>0</v>
      </c>
      <c r="DM73" t="e">
        <f>AND('Planilla_General_29-11-2012_10_'!A1092,"AAAAAH97/3Q=")</f>
        <v>#VALUE!</v>
      </c>
      <c r="DN73" t="e">
        <f>AND('Planilla_General_29-11-2012_10_'!B1092,"AAAAAH97/3U=")</f>
        <v>#VALUE!</v>
      </c>
      <c r="DO73" t="e">
        <f>AND('Planilla_General_29-11-2012_10_'!C1092,"AAAAAH97/3Y=")</f>
        <v>#VALUE!</v>
      </c>
      <c r="DP73" t="e">
        <f>AND('Planilla_General_29-11-2012_10_'!D1092,"AAAAAH97/3c=")</f>
        <v>#VALUE!</v>
      </c>
      <c r="DQ73" t="e">
        <f>AND('Planilla_General_29-11-2012_10_'!E1092,"AAAAAH97/3g=")</f>
        <v>#VALUE!</v>
      </c>
      <c r="DR73" t="e">
        <f>AND('Planilla_General_29-11-2012_10_'!F1092,"AAAAAH97/3k=")</f>
        <v>#VALUE!</v>
      </c>
      <c r="DS73" t="e">
        <f>AND('Planilla_General_29-11-2012_10_'!G1092,"AAAAAH97/3o=")</f>
        <v>#VALUE!</v>
      </c>
      <c r="DT73" t="e">
        <f>AND('Planilla_General_29-11-2012_10_'!H1092,"AAAAAH97/3s=")</f>
        <v>#VALUE!</v>
      </c>
      <c r="DU73" t="e">
        <f>AND('Planilla_General_29-11-2012_10_'!I1092,"AAAAAH97/3w=")</f>
        <v>#VALUE!</v>
      </c>
      <c r="DV73" t="e">
        <f>AND('Planilla_General_29-11-2012_10_'!J1092,"AAAAAH97/30=")</f>
        <v>#VALUE!</v>
      </c>
      <c r="DW73" t="e">
        <f>AND('Planilla_General_29-11-2012_10_'!K1092,"AAAAAH97/34=")</f>
        <v>#VALUE!</v>
      </c>
      <c r="DX73" t="e">
        <f>AND('Planilla_General_29-11-2012_10_'!L1092,"AAAAAH97/38=")</f>
        <v>#VALUE!</v>
      </c>
      <c r="DY73" t="e">
        <f>AND('Planilla_General_29-11-2012_10_'!M1092,"AAAAAH97/4A=")</f>
        <v>#VALUE!</v>
      </c>
      <c r="DZ73" t="e">
        <f>AND('Planilla_General_29-11-2012_10_'!N1092,"AAAAAH97/4E=")</f>
        <v>#VALUE!</v>
      </c>
      <c r="EA73" t="e">
        <f>AND('Planilla_General_29-11-2012_10_'!O1092,"AAAAAH97/4I=")</f>
        <v>#VALUE!</v>
      </c>
      <c r="EB73" t="e">
        <f>AND('Planilla_General_29-11-2012_10_'!P1092,"AAAAAH97/4M=")</f>
        <v>#VALUE!</v>
      </c>
      <c r="EC73">
        <f>IF('Planilla_General_29-11-2012_10_'!1093:1093,"AAAAAH97/4Q=",0)</f>
        <v>0</v>
      </c>
      <c r="ED73" t="e">
        <f>AND('Planilla_General_29-11-2012_10_'!A1093,"AAAAAH97/4U=")</f>
        <v>#VALUE!</v>
      </c>
      <c r="EE73" t="e">
        <f>AND('Planilla_General_29-11-2012_10_'!B1093,"AAAAAH97/4Y=")</f>
        <v>#VALUE!</v>
      </c>
      <c r="EF73" t="e">
        <f>AND('Planilla_General_29-11-2012_10_'!C1093,"AAAAAH97/4c=")</f>
        <v>#VALUE!</v>
      </c>
      <c r="EG73" t="e">
        <f>AND('Planilla_General_29-11-2012_10_'!D1093,"AAAAAH97/4g=")</f>
        <v>#VALUE!</v>
      </c>
      <c r="EH73" t="e">
        <f>AND('Planilla_General_29-11-2012_10_'!E1093,"AAAAAH97/4k=")</f>
        <v>#VALUE!</v>
      </c>
      <c r="EI73" t="e">
        <f>AND('Planilla_General_29-11-2012_10_'!F1093,"AAAAAH97/4o=")</f>
        <v>#VALUE!</v>
      </c>
      <c r="EJ73" t="e">
        <f>AND('Planilla_General_29-11-2012_10_'!G1093,"AAAAAH97/4s=")</f>
        <v>#VALUE!</v>
      </c>
      <c r="EK73" t="e">
        <f>AND('Planilla_General_29-11-2012_10_'!H1093,"AAAAAH97/4w=")</f>
        <v>#VALUE!</v>
      </c>
      <c r="EL73" t="e">
        <f>AND('Planilla_General_29-11-2012_10_'!I1093,"AAAAAH97/40=")</f>
        <v>#VALUE!</v>
      </c>
      <c r="EM73" t="e">
        <f>AND('Planilla_General_29-11-2012_10_'!J1093,"AAAAAH97/44=")</f>
        <v>#VALUE!</v>
      </c>
      <c r="EN73" t="e">
        <f>AND('Planilla_General_29-11-2012_10_'!K1093,"AAAAAH97/48=")</f>
        <v>#VALUE!</v>
      </c>
      <c r="EO73" t="e">
        <f>AND('Planilla_General_29-11-2012_10_'!L1093,"AAAAAH97/5A=")</f>
        <v>#VALUE!</v>
      </c>
      <c r="EP73" t="e">
        <f>AND('Planilla_General_29-11-2012_10_'!M1093,"AAAAAH97/5E=")</f>
        <v>#VALUE!</v>
      </c>
      <c r="EQ73" t="e">
        <f>AND('Planilla_General_29-11-2012_10_'!N1093,"AAAAAH97/5I=")</f>
        <v>#VALUE!</v>
      </c>
      <c r="ER73" t="e">
        <f>AND('Planilla_General_29-11-2012_10_'!O1093,"AAAAAH97/5M=")</f>
        <v>#VALUE!</v>
      </c>
      <c r="ES73" t="e">
        <f>AND('Planilla_General_29-11-2012_10_'!P1093,"AAAAAH97/5Q=")</f>
        <v>#VALUE!</v>
      </c>
      <c r="ET73">
        <f>IF('Planilla_General_29-11-2012_10_'!1094:1094,"AAAAAH97/5U=",0)</f>
        <v>0</v>
      </c>
      <c r="EU73" t="e">
        <f>AND('Planilla_General_29-11-2012_10_'!A1094,"AAAAAH97/5Y=")</f>
        <v>#VALUE!</v>
      </c>
      <c r="EV73" t="e">
        <f>AND('Planilla_General_29-11-2012_10_'!B1094,"AAAAAH97/5c=")</f>
        <v>#VALUE!</v>
      </c>
      <c r="EW73" t="e">
        <f>AND('Planilla_General_29-11-2012_10_'!C1094,"AAAAAH97/5g=")</f>
        <v>#VALUE!</v>
      </c>
      <c r="EX73" t="e">
        <f>AND('Planilla_General_29-11-2012_10_'!D1094,"AAAAAH97/5k=")</f>
        <v>#VALUE!</v>
      </c>
      <c r="EY73" t="e">
        <f>AND('Planilla_General_29-11-2012_10_'!E1094,"AAAAAH97/5o=")</f>
        <v>#VALUE!</v>
      </c>
      <c r="EZ73" t="e">
        <f>AND('Planilla_General_29-11-2012_10_'!F1094,"AAAAAH97/5s=")</f>
        <v>#VALUE!</v>
      </c>
      <c r="FA73" t="e">
        <f>AND('Planilla_General_29-11-2012_10_'!G1094,"AAAAAH97/5w=")</f>
        <v>#VALUE!</v>
      </c>
      <c r="FB73" t="e">
        <f>AND('Planilla_General_29-11-2012_10_'!H1094,"AAAAAH97/50=")</f>
        <v>#VALUE!</v>
      </c>
      <c r="FC73" t="e">
        <f>AND('Planilla_General_29-11-2012_10_'!I1094,"AAAAAH97/54=")</f>
        <v>#VALUE!</v>
      </c>
      <c r="FD73" t="e">
        <f>AND('Planilla_General_29-11-2012_10_'!J1094,"AAAAAH97/58=")</f>
        <v>#VALUE!</v>
      </c>
      <c r="FE73" t="e">
        <f>AND('Planilla_General_29-11-2012_10_'!K1094,"AAAAAH97/6A=")</f>
        <v>#VALUE!</v>
      </c>
      <c r="FF73" t="e">
        <f>AND('Planilla_General_29-11-2012_10_'!L1094,"AAAAAH97/6E=")</f>
        <v>#VALUE!</v>
      </c>
      <c r="FG73" t="e">
        <f>AND('Planilla_General_29-11-2012_10_'!M1094,"AAAAAH97/6I=")</f>
        <v>#VALUE!</v>
      </c>
      <c r="FH73" t="e">
        <f>AND('Planilla_General_29-11-2012_10_'!N1094,"AAAAAH97/6M=")</f>
        <v>#VALUE!</v>
      </c>
      <c r="FI73" t="e">
        <f>AND('Planilla_General_29-11-2012_10_'!O1094,"AAAAAH97/6Q=")</f>
        <v>#VALUE!</v>
      </c>
      <c r="FJ73" t="e">
        <f>AND('Planilla_General_29-11-2012_10_'!P1094,"AAAAAH97/6U=")</f>
        <v>#VALUE!</v>
      </c>
      <c r="FK73">
        <f>IF('Planilla_General_29-11-2012_10_'!1095:1095,"AAAAAH97/6Y=",0)</f>
        <v>0</v>
      </c>
      <c r="FL73" t="e">
        <f>AND('Planilla_General_29-11-2012_10_'!A1095,"AAAAAH97/6c=")</f>
        <v>#VALUE!</v>
      </c>
      <c r="FM73" t="e">
        <f>AND('Planilla_General_29-11-2012_10_'!B1095,"AAAAAH97/6g=")</f>
        <v>#VALUE!</v>
      </c>
      <c r="FN73" t="e">
        <f>AND('Planilla_General_29-11-2012_10_'!C1095,"AAAAAH97/6k=")</f>
        <v>#VALUE!</v>
      </c>
      <c r="FO73" t="e">
        <f>AND('Planilla_General_29-11-2012_10_'!D1095,"AAAAAH97/6o=")</f>
        <v>#VALUE!</v>
      </c>
      <c r="FP73" t="e">
        <f>AND('Planilla_General_29-11-2012_10_'!E1095,"AAAAAH97/6s=")</f>
        <v>#VALUE!</v>
      </c>
      <c r="FQ73" t="e">
        <f>AND('Planilla_General_29-11-2012_10_'!F1095,"AAAAAH97/6w=")</f>
        <v>#VALUE!</v>
      </c>
      <c r="FR73" t="e">
        <f>AND('Planilla_General_29-11-2012_10_'!G1095,"AAAAAH97/60=")</f>
        <v>#VALUE!</v>
      </c>
      <c r="FS73" t="e">
        <f>AND('Planilla_General_29-11-2012_10_'!H1095,"AAAAAH97/64=")</f>
        <v>#VALUE!</v>
      </c>
      <c r="FT73" t="e">
        <f>AND('Planilla_General_29-11-2012_10_'!I1095,"AAAAAH97/68=")</f>
        <v>#VALUE!</v>
      </c>
      <c r="FU73" t="e">
        <f>AND('Planilla_General_29-11-2012_10_'!J1095,"AAAAAH97/7A=")</f>
        <v>#VALUE!</v>
      </c>
      <c r="FV73" t="e">
        <f>AND('Planilla_General_29-11-2012_10_'!K1095,"AAAAAH97/7E=")</f>
        <v>#VALUE!</v>
      </c>
      <c r="FW73" t="e">
        <f>AND('Planilla_General_29-11-2012_10_'!L1095,"AAAAAH97/7I=")</f>
        <v>#VALUE!</v>
      </c>
      <c r="FX73" t="e">
        <f>AND('Planilla_General_29-11-2012_10_'!M1095,"AAAAAH97/7M=")</f>
        <v>#VALUE!</v>
      </c>
      <c r="FY73" t="e">
        <f>AND('Planilla_General_29-11-2012_10_'!N1095,"AAAAAH97/7Q=")</f>
        <v>#VALUE!</v>
      </c>
      <c r="FZ73" t="e">
        <f>AND('Planilla_General_29-11-2012_10_'!O1095,"AAAAAH97/7U=")</f>
        <v>#VALUE!</v>
      </c>
      <c r="GA73" t="e">
        <f>AND('Planilla_General_29-11-2012_10_'!P1095,"AAAAAH97/7Y=")</f>
        <v>#VALUE!</v>
      </c>
      <c r="GB73">
        <f>IF('Planilla_General_29-11-2012_10_'!1096:1096,"AAAAAH97/7c=",0)</f>
        <v>0</v>
      </c>
      <c r="GC73" t="e">
        <f>AND('Planilla_General_29-11-2012_10_'!A1096,"AAAAAH97/7g=")</f>
        <v>#VALUE!</v>
      </c>
      <c r="GD73" t="e">
        <f>AND('Planilla_General_29-11-2012_10_'!B1096,"AAAAAH97/7k=")</f>
        <v>#VALUE!</v>
      </c>
      <c r="GE73" t="e">
        <f>AND('Planilla_General_29-11-2012_10_'!C1096,"AAAAAH97/7o=")</f>
        <v>#VALUE!</v>
      </c>
      <c r="GF73" t="e">
        <f>AND('Planilla_General_29-11-2012_10_'!D1096,"AAAAAH97/7s=")</f>
        <v>#VALUE!</v>
      </c>
      <c r="GG73" t="e">
        <f>AND('Planilla_General_29-11-2012_10_'!E1096,"AAAAAH97/7w=")</f>
        <v>#VALUE!</v>
      </c>
      <c r="GH73" t="e">
        <f>AND('Planilla_General_29-11-2012_10_'!F1096,"AAAAAH97/70=")</f>
        <v>#VALUE!</v>
      </c>
      <c r="GI73" t="e">
        <f>AND('Planilla_General_29-11-2012_10_'!G1096,"AAAAAH97/74=")</f>
        <v>#VALUE!</v>
      </c>
      <c r="GJ73" t="e">
        <f>AND('Planilla_General_29-11-2012_10_'!H1096,"AAAAAH97/78=")</f>
        <v>#VALUE!</v>
      </c>
      <c r="GK73" t="e">
        <f>AND('Planilla_General_29-11-2012_10_'!I1096,"AAAAAH97/8A=")</f>
        <v>#VALUE!</v>
      </c>
      <c r="GL73" t="e">
        <f>AND('Planilla_General_29-11-2012_10_'!J1096,"AAAAAH97/8E=")</f>
        <v>#VALUE!</v>
      </c>
      <c r="GM73" t="e">
        <f>AND('Planilla_General_29-11-2012_10_'!K1096,"AAAAAH97/8I=")</f>
        <v>#VALUE!</v>
      </c>
      <c r="GN73" t="e">
        <f>AND('Planilla_General_29-11-2012_10_'!L1096,"AAAAAH97/8M=")</f>
        <v>#VALUE!</v>
      </c>
      <c r="GO73" t="e">
        <f>AND('Planilla_General_29-11-2012_10_'!M1096,"AAAAAH97/8Q=")</f>
        <v>#VALUE!</v>
      </c>
      <c r="GP73" t="e">
        <f>AND('Planilla_General_29-11-2012_10_'!N1096,"AAAAAH97/8U=")</f>
        <v>#VALUE!</v>
      </c>
      <c r="GQ73" t="e">
        <f>AND('Planilla_General_29-11-2012_10_'!O1096,"AAAAAH97/8Y=")</f>
        <v>#VALUE!</v>
      </c>
      <c r="GR73" t="e">
        <f>AND('Planilla_General_29-11-2012_10_'!P1096,"AAAAAH97/8c=")</f>
        <v>#VALUE!</v>
      </c>
      <c r="GS73">
        <f>IF('Planilla_General_29-11-2012_10_'!1097:1097,"AAAAAH97/8g=",0)</f>
        <v>0</v>
      </c>
      <c r="GT73" t="e">
        <f>AND('Planilla_General_29-11-2012_10_'!A1097,"AAAAAH97/8k=")</f>
        <v>#VALUE!</v>
      </c>
      <c r="GU73" t="e">
        <f>AND('Planilla_General_29-11-2012_10_'!B1097,"AAAAAH97/8o=")</f>
        <v>#VALUE!</v>
      </c>
      <c r="GV73" t="e">
        <f>AND('Planilla_General_29-11-2012_10_'!C1097,"AAAAAH97/8s=")</f>
        <v>#VALUE!</v>
      </c>
      <c r="GW73" t="e">
        <f>AND('Planilla_General_29-11-2012_10_'!D1097,"AAAAAH97/8w=")</f>
        <v>#VALUE!</v>
      </c>
      <c r="GX73" t="e">
        <f>AND('Planilla_General_29-11-2012_10_'!E1097,"AAAAAH97/80=")</f>
        <v>#VALUE!</v>
      </c>
      <c r="GY73" t="e">
        <f>AND('Planilla_General_29-11-2012_10_'!F1097,"AAAAAH97/84=")</f>
        <v>#VALUE!</v>
      </c>
      <c r="GZ73" t="e">
        <f>AND('Planilla_General_29-11-2012_10_'!G1097,"AAAAAH97/88=")</f>
        <v>#VALUE!</v>
      </c>
      <c r="HA73" t="e">
        <f>AND('Planilla_General_29-11-2012_10_'!H1097,"AAAAAH97/9A=")</f>
        <v>#VALUE!</v>
      </c>
      <c r="HB73" t="e">
        <f>AND('Planilla_General_29-11-2012_10_'!I1097,"AAAAAH97/9E=")</f>
        <v>#VALUE!</v>
      </c>
      <c r="HC73" t="e">
        <f>AND('Planilla_General_29-11-2012_10_'!J1097,"AAAAAH97/9I=")</f>
        <v>#VALUE!</v>
      </c>
      <c r="HD73" t="e">
        <f>AND('Planilla_General_29-11-2012_10_'!K1097,"AAAAAH97/9M=")</f>
        <v>#VALUE!</v>
      </c>
      <c r="HE73" t="e">
        <f>AND('Planilla_General_29-11-2012_10_'!L1097,"AAAAAH97/9Q=")</f>
        <v>#VALUE!</v>
      </c>
      <c r="HF73" t="e">
        <f>AND('Planilla_General_29-11-2012_10_'!M1097,"AAAAAH97/9U=")</f>
        <v>#VALUE!</v>
      </c>
      <c r="HG73" t="e">
        <f>AND('Planilla_General_29-11-2012_10_'!N1097,"AAAAAH97/9Y=")</f>
        <v>#VALUE!</v>
      </c>
      <c r="HH73" t="e">
        <f>AND('Planilla_General_29-11-2012_10_'!O1097,"AAAAAH97/9c=")</f>
        <v>#VALUE!</v>
      </c>
      <c r="HI73" t="e">
        <f>AND('Planilla_General_29-11-2012_10_'!P1097,"AAAAAH97/9g=")</f>
        <v>#VALUE!</v>
      </c>
      <c r="HJ73">
        <f>IF('Planilla_General_29-11-2012_10_'!1098:1098,"AAAAAH97/9k=",0)</f>
        <v>0</v>
      </c>
      <c r="HK73" t="e">
        <f>AND('Planilla_General_29-11-2012_10_'!A1098,"AAAAAH97/9o=")</f>
        <v>#VALUE!</v>
      </c>
      <c r="HL73" t="e">
        <f>AND('Planilla_General_29-11-2012_10_'!B1098,"AAAAAH97/9s=")</f>
        <v>#VALUE!</v>
      </c>
      <c r="HM73" t="e">
        <f>AND('Planilla_General_29-11-2012_10_'!C1098,"AAAAAH97/9w=")</f>
        <v>#VALUE!</v>
      </c>
      <c r="HN73" t="e">
        <f>AND('Planilla_General_29-11-2012_10_'!D1098,"AAAAAH97/90=")</f>
        <v>#VALUE!</v>
      </c>
      <c r="HO73" t="e">
        <f>AND('Planilla_General_29-11-2012_10_'!E1098,"AAAAAH97/94=")</f>
        <v>#VALUE!</v>
      </c>
      <c r="HP73" t="e">
        <f>AND('Planilla_General_29-11-2012_10_'!F1098,"AAAAAH97/98=")</f>
        <v>#VALUE!</v>
      </c>
      <c r="HQ73" t="e">
        <f>AND('Planilla_General_29-11-2012_10_'!G1098,"AAAAAH97/+A=")</f>
        <v>#VALUE!</v>
      </c>
      <c r="HR73" t="e">
        <f>AND('Planilla_General_29-11-2012_10_'!H1098,"AAAAAH97/+E=")</f>
        <v>#VALUE!</v>
      </c>
      <c r="HS73" t="e">
        <f>AND('Planilla_General_29-11-2012_10_'!I1098,"AAAAAH97/+I=")</f>
        <v>#VALUE!</v>
      </c>
      <c r="HT73" t="e">
        <f>AND('Planilla_General_29-11-2012_10_'!J1098,"AAAAAH97/+M=")</f>
        <v>#VALUE!</v>
      </c>
      <c r="HU73" t="e">
        <f>AND('Planilla_General_29-11-2012_10_'!K1098,"AAAAAH97/+Q=")</f>
        <v>#VALUE!</v>
      </c>
      <c r="HV73" t="e">
        <f>AND('Planilla_General_29-11-2012_10_'!L1098,"AAAAAH97/+U=")</f>
        <v>#VALUE!</v>
      </c>
      <c r="HW73" t="e">
        <f>AND('Planilla_General_29-11-2012_10_'!M1098,"AAAAAH97/+Y=")</f>
        <v>#VALUE!</v>
      </c>
      <c r="HX73" t="e">
        <f>AND('Planilla_General_29-11-2012_10_'!N1098,"AAAAAH97/+c=")</f>
        <v>#VALUE!</v>
      </c>
      <c r="HY73" t="e">
        <f>AND('Planilla_General_29-11-2012_10_'!O1098,"AAAAAH97/+g=")</f>
        <v>#VALUE!</v>
      </c>
      <c r="HZ73" t="e">
        <f>AND('Planilla_General_29-11-2012_10_'!P1098,"AAAAAH97/+k=")</f>
        <v>#VALUE!</v>
      </c>
      <c r="IA73">
        <f>IF('Planilla_General_29-11-2012_10_'!1099:1099,"AAAAAH97/+o=",0)</f>
        <v>0</v>
      </c>
      <c r="IB73" t="e">
        <f>AND('Planilla_General_29-11-2012_10_'!A1099,"AAAAAH97/+s=")</f>
        <v>#VALUE!</v>
      </c>
      <c r="IC73" t="e">
        <f>AND('Planilla_General_29-11-2012_10_'!B1099,"AAAAAH97/+w=")</f>
        <v>#VALUE!</v>
      </c>
      <c r="ID73" t="e">
        <f>AND('Planilla_General_29-11-2012_10_'!C1099,"AAAAAH97/+0=")</f>
        <v>#VALUE!</v>
      </c>
      <c r="IE73" t="e">
        <f>AND('Planilla_General_29-11-2012_10_'!D1099,"AAAAAH97/+4=")</f>
        <v>#VALUE!</v>
      </c>
      <c r="IF73" t="e">
        <f>AND('Planilla_General_29-11-2012_10_'!E1099,"AAAAAH97/+8=")</f>
        <v>#VALUE!</v>
      </c>
      <c r="IG73" t="e">
        <f>AND('Planilla_General_29-11-2012_10_'!F1099,"AAAAAH97//A=")</f>
        <v>#VALUE!</v>
      </c>
      <c r="IH73" t="e">
        <f>AND('Planilla_General_29-11-2012_10_'!G1099,"AAAAAH97//E=")</f>
        <v>#VALUE!</v>
      </c>
      <c r="II73" t="e">
        <f>AND('Planilla_General_29-11-2012_10_'!H1099,"AAAAAH97//I=")</f>
        <v>#VALUE!</v>
      </c>
      <c r="IJ73" t="e">
        <f>AND('Planilla_General_29-11-2012_10_'!I1099,"AAAAAH97//M=")</f>
        <v>#VALUE!</v>
      </c>
      <c r="IK73" t="e">
        <f>AND('Planilla_General_29-11-2012_10_'!J1099,"AAAAAH97//Q=")</f>
        <v>#VALUE!</v>
      </c>
      <c r="IL73" t="e">
        <f>AND('Planilla_General_29-11-2012_10_'!K1099,"AAAAAH97//U=")</f>
        <v>#VALUE!</v>
      </c>
      <c r="IM73" t="e">
        <f>AND('Planilla_General_29-11-2012_10_'!L1099,"AAAAAH97//Y=")</f>
        <v>#VALUE!</v>
      </c>
      <c r="IN73" t="e">
        <f>AND('Planilla_General_29-11-2012_10_'!M1099,"AAAAAH97//c=")</f>
        <v>#VALUE!</v>
      </c>
      <c r="IO73" t="e">
        <f>AND('Planilla_General_29-11-2012_10_'!N1099,"AAAAAH97//g=")</f>
        <v>#VALUE!</v>
      </c>
      <c r="IP73" t="e">
        <f>AND('Planilla_General_29-11-2012_10_'!O1099,"AAAAAH97//k=")</f>
        <v>#VALUE!</v>
      </c>
      <c r="IQ73" t="e">
        <f>AND('Planilla_General_29-11-2012_10_'!P1099,"AAAAAH97//o=")</f>
        <v>#VALUE!</v>
      </c>
      <c r="IR73">
        <f>IF('Planilla_General_29-11-2012_10_'!1100:1100,"AAAAAH97//s=",0)</f>
        <v>0</v>
      </c>
      <c r="IS73" t="e">
        <f>AND('Planilla_General_29-11-2012_10_'!A1100,"AAAAAH97//w=")</f>
        <v>#VALUE!</v>
      </c>
      <c r="IT73" t="e">
        <f>AND('Planilla_General_29-11-2012_10_'!B1100,"AAAAAH97//0=")</f>
        <v>#VALUE!</v>
      </c>
      <c r="IU73" t="e">
        <f>AND('Planilla_General_29-11-2012_10_'!C1100,"AAAAAH97//4=")</f>
        <v>#VALUE!</v>
      </c>
      <c r="IV73" t="e">
        <f>AND('Planilla_General_29-11-2012_10_'!D1100,"AAAAAH97//8=")</f>
        <v>#VALUE!</v>
      </c>
    </row>
    <row r="74" spans="1:256" x14ac:dyDescent="0.25">
      <c r="A74" t="e">
        <f>AND('Planilla_General_29-11-2012_10_'!E1100,"AAAAAEe39gA=")</f>
        <v>#VALUE!</v>
      </c>
      <c r="B74" t="e">
        <f>AND('Planilla_General_29-11-2012_10_'!F1100,"AAAAAEe39gE=")</f>
        <v>#VALUE!</v>
      </c>
      <c r="C74" t="e">
        <f>AND('Planilla_General_29-11-2012_10_'!G1100,"AAAAAEe39gI=")</f>
        <v>#VALUE!</v>
      </c>
      <c r="D74" t="e">
        <f>AND('Planilla_General_29-11-2012_10_'!H1100,"AAAAAEe39gM=")</f>
        <v>#VALUE!</v>
      </c>
      <c r="E74" t="e">
        <f>AND('Planilla_General_29-11-2012_10_'!I1100,"AAAAAEe39gQ=")</f>
        <v>#VALUE!</v>
      </c>
      <c r="F74" t="e">
        <f>AND('Planilla_General_29-11-2012_10_'!J1100,"AAAAAEe39gU=")</f>
        <v>#VALUE!</v>
      </c>
      <c r="G74" t="e">
        <f>AND('Planilla_General_29-11-2012_10_'!K1100,"AAAAAEe39gY=")</f>
        <v>#VALUE!</v>
      </c>
      <c r="H74" t="e">
        <f>AND('Planilla_General_29-11-2012_10_'!L1100,"AAAAAEe39gc=")</f>
        <v>#VALUE!</v>
      </c>
      <c r="I74" t="e">
        <f>AND('Planilla_General_29-11-2012_10_'!M1100,"AAAAAEe39gg=")</f>
        <v>#VALUE!</v>
      </c>
      <c r="J74" t="e">
        <f>AND('Planilla_General_29-11-2012_10_'!N1100,"AAAAAEe39gk=")</f>
        <v>#VALUE!</v>
      </c>
      <c r="K74" t="e">
        <f>AND('Planilla_General_29-11-2012_10_'!O1100,"AAAAAEe39go=")</f>
        <v>#VALUE!</v>
      </c>
      <c r="L74" t="e">
        <f>AND('Planilla_General_29-11-2012_10_'!P1100,"AAAAAEe39gs=")</f>
        <v>#VALUE!</v>
      </c>
      <c r="M74" t="str">
        <f>IF('Planilla_General_29-11-2012_10_'!1101:1101,"AAAAAEe39gw=",0)</f>
        <v>AAAAAEe39gw=</v>
      </c>
      <c r="N74" t="e">
        <f>AND('Planilla_General_29-11-2012_10_'!A1101,"AAAAAEe39g0=")</f>
        <v>#VALUE!</v>
      </c>
      <c r="O74" t="e">
        <f>AND('Planilla_General_29-11-2012_10_'!B1101,"AAAAAEe39g4=")</f>
        <v>#VALUE!</v>
      </c>
      <c r="P74" t="e">
        <f>AND('Planilla_General_29-11-2012_10_'!C1101,"AAAAAEe39g8=")</f>
        <v>#VALUE!</v>
      </c>
      <c r="Q74" t="e">
        <f>AND('Planilla_General_29-11-2012_10_'!D1101,"AAAAAEe39hA=")</f>
        <v>#VALUE!</v>
      </c>
      <c r="R74" t="e">
        <f>AND('Planilla_General_29-11-2012_10_'!E1101,"AAAAAEe39hE=")</f>
        <v>#VALUE!</v>
      </c>
      <c r="S74" t="e">
        <f>AND('Planilla_General_29-11-2012_10_'!F1101,"AAAAAEe39hI=")</f>
        <v>#VALUE!</v>
      </c>
      <c r="T74" t="e">
        <f>AND('Planilla_General_29-11-2012_10_'!G1101,"AAAAAEe39hM=")</f>
        <v>#VALUE!</v>
      </c>
      <c r="U74" t="e">
        <f>AND('Planilla_General_29-11-2012_10_'!H1101,"AAAAAEe39hQ=")</f>
        <v>#VALUE!</v>
      </c>
      <c r="V74" t="e">
        <f>AND('Planilla_General_29-11-2012_10_'!I1101,"AAAAAEe39hU=")</f>
        <v>#VALUE!</v>
      </c>
      <c r="W74" t="e">
        <f>AND('Planilla_General_29-11-2012_10_'!J1101,"AAAAAEe39hY=")</f>
        <v>#VALUE!</v>
      </c>
      <c r="X74" t="e">
        <f>AND('Planilla_General_29-11-2012_10_'!K1101,"AAAAAEe39hc=")</f>
        <v>#VALUE!</v>
      </c>
      <c r="Y74" t="e">
        <f>AND('Planilla_General_29-11-2012_10_'!L1101,"AAAAAEe39hg=")</f>
        <v>#VALUE!</v>
      </c>
      <c r="Z74" t="e">
        <f>AND('Planilla_General_29-11-2012_10_'!M1101,"AAAAAEe39hk=")</f>
        <v>#VALUE!</v>
      </c>
      <c r="AA74" t="e">
        <f>AND('Planilla_General_29-11-2012_10_'!N1101,"AAAAAEe39ho=")</f>
        <v>#VALUE!</v>
      </c>
      <c r="AB74" t="e">
        <f>AND('Planilla_General_29-11-2012_10_'!O1101,"AAAAAEe39hs=")</f>
        <v>#VALUE!</v>
      </c>
      <c r="AC74" t="e">
        <f>AND('Planilla_General_29-11-2012_10_'!P1101,"AAAAAEe39hw=")</f>
        <v>#VALUE!</v>
      </c>
      <c r="AD74">
        <f>IF('Planilla_General_29-11-2012_10_'!1102:1102,"AAAAAEe39h0=",0)</f>
        <v>0</v>
      </c>
      <c r="AE74" t="e">
        <f>AND('Planilla_General_29-11-2012_10_'!A1102,"AAAAAEe39h4=")</f>
        <v>#VALUE!</v>
      </c>
      <c r="AF74" t="e">
        <f>AND('Planilla_General_29-11-2012_10_'!B1102,"AAAAAEe39h8=")</f>
        <v>#VALUE!</v>
      </c>
      <c r="AG74" t="e">
        <f>AND('Planilla_General_29-11-2012_10_'!C1102,"AAAAAEe39iA=")</f>
        <v>#VALUE!</v>
      </c>
      <c r="AH74" t="e">
        <f>AND('Planilla_General_29-11-2012_10_'!D1102,"AAAAAEe39iE=")</f>
        <v>#VALUE!</v>
      </c>
      <c r="AI74" t="e">
        <f>AND('Planilla_General_29-11-2012_10_'!E1102,"AAAAAEe39iI=")</f>
        <v>#VALUE!</v>
      </c>
      <c r="AJ74" t="e">
        <f>AND('Planilla_General_29-11-2012_10_'!F1102,"AAAAAEe39iM=")</f>
        <v>#VALUE!</v>
      </c>
      <c r="AK74" t="e">
        <f>AND('Planilla_General_29-11-2012_10_'!G1102,"AAAAAEe39iQ=")</f>
        <v>#VALUE!</v>
      </c>
      <c r="AL74" t="e">
        <f>AND('Planilla_General_29-11-2012_10_'!H1102,"AAAAAEe39iU=")</f>
        <v>#VALUE!</v>
      </c>
      <c r="AM74" t="e">
        <f>AND('Planilla_General_29-11-2012_10_'!I1102,"AAAAAEe39iY=")</f>
        <v>#VALUE!</v>
      </c>
      <c r="AN74" t="e">
        <f>AND('Planilla_General_29-11-2012_10_'!J1102,"AAAAAEe39ic=")</f>
        <v>#VALUE!</v>
      </c>
      <c r="AO74" t="e">
        <f>AND('Planilla_General_29-11-2012_10_'!K1102,"AAAAAEe39ig=")</f>
        <v>#VALUE!</v>
      </c>
      <c r="AP74" t="e">
        <f>AND('Planilla_General_29-11-2012_10_'!L1102,"AAAAAEe39ik=")</f>
        <v>#VALUE!</v>
      </c>
      <c r="AQ74" t="e">
        <f>AND('Planilla_General_29-11-2012_10_'!M1102,"AAAAAEe39io=")</f>
        <v>#VALUE!</v>
      </c>
      <c r="AR74" t="e">
        <f>AND('Planilla_General_29-11-2012_10_'!N1102,"AAAAAEe39is=")</f>
        <v>#VALUE!</v>
      </c>
      <c r="AS74" t="e">
        <f>AND('Planilla_General_29-11-2012_10_'!O1102,"AAAAAEe39iw=")</f>
        <v>#VALUE!</v>
      </c>
      <c r="AT74" t="e">
        <f>AND('Planilla_General_29-11-2012_10_'!P1102,"AAAAAEe39i0=")</f>
        <v>#VALUE!</v>
      </c>
      <c r="AU74">
        <f>IF('Planilla_General_29-11-2012_10_'!1103:1103,"AAAAAEe39i4=",0)</f>
        <v>0</v>
      </c>
      <c r="AV74" t="e">
        <f>AND('Planilla_General_29-11-2012_10_'!A1103,"AAAAAEe39i8=")</f>
        <v>#VALUE!</v>
      </c>
      <c r="AW74" t="e">
        <f>AND('Planilla_General_29-11-2012_10_'!B1103,"AAAAAEe39jA=")</f>
        <v>#VALUE!</v>
      </c>
      <c r="AX74" t="e">
        <f>AND('Planilla_General_29-11-2012_10_'!C1103,"AAAAAEe39jE=")</f>
        <v>#VALUE!</v>
      </c>
      <c r="AY74" t="e">
        <f>AND('Planilla_General_29-11-2012_10_'!D1103,"AAAAAEe39jI=")</f>
        <v>#VALUE!</v>
      </c>
      <c r="AZ74" t="e">
        <f>AND('Planilla_General_29-11-2012_10_'!E1103,"AAAAAEe39jM=")</f>
        <v>#VALUE!</v>
      </c>
      <c r="BA74" t="e">
        <f>AND('Planilla_General_29-11-2012_10_'!F1103,"AAAAAEe39jQ=")</f>
        <v>#VALUE!</v>
      </c>
      <c r="BB74" t="e">
        <f>AND('Planilla_General_29-11-2012_10_'!G1103,"AAAAAEe39jU=")</f>
        <v>#VALUE!</v>
      </c>
      <c r="BC74" t="e">
        <f>AND('Planilla_General_29-11-2012_10_'!H1103,"AAAAAEe39jY=")</f>
        <v>#VALUE!</v>
      </c>
      <c r="BD74" t="e">
        <f>AND('Planilla_General_29-11-2012_10_'!I1103,"AAAAAEe39jc=")</f>
        <v>#VALUE!</v>
      </c>
      <c r="BE74" t="e">
        <f>AND('Planilla_General_29-11-2012_10_'!J1103,"AAAAAEe39jg=")</f>
        <v>#VALUE!</v>
      </c>
      <c r="BF74" t="e">
        <f>AND('Planilla_General_29-11-2012_10_'!K1103,"AAAAAEe39jk=")</f>
        <v>#VALUE!</v>
      </c>
      <c r="BG74" t="e">
        <f>AND('Planilla_General_29-11-2012_10_'!L1103,"AAAAAEe39jo=")</f>
        <v>#VALUE!</v>
      </c>
      <c r="BH74" t="e">
        <f>AND('Planilla_General_29-11-2012_10_'!M1103,"AAAAAEe39js=")</f>
        <v>#VALUE!</v>
      </c>
      <c r="BI74" t="e">
        <f>AND('Planilla_General_29-11-2012_10_'!N1103,"AAAAAEe39jw=")</f>
        <v>#VALUE!</v>
      </c>
      <c r="BJ74" t="e">
        <f>AND('Planilla_General_29-11-2012_10_'!O1103,"AAAAAEe39j0=")</f>
        <v>#VALUE!</v>
      </c>
      <c r="BK74" t="e">
        <f>AND('Planilla_General_29-11-2012_10_'!P1103,"AAAAAEe39j4=")</f>
        <v>#VALUE!</v>
      </c>
      <c r="BL74">
        <f>IF('Planilla_General_29-11-2012_10_'!1104:1104,"AAAAAEe39j8=",0)</f>
        <v>0</v>
      </c>
      <c r="BM74" t="e">
        <f>AND('Planilla_General_29-11-2012_10_'!A1104,"AAAAAEe39kA=")</f>
        <v>#VALUE!</v>
      </c>
      <c r="BN74" t="e">
        <f>AND('Planilla_General_29-11-2012_10_'!B1104,"AAAAAEe39kE=")</f>
        <v>#VALUE!</v>
      </c>
      <c r="BO74" t="e">
        <f>AND('Planilla_General_29-11-2012_10_'!C1104,"AAAAAEe39kI=")</f>
        <v>#VALUE!</v>
      </c>
      <c r="BP74" t="e">
        <f>AND('Planilla_General_29-11-2012_10_'!D1104,"AAAAAEe39kM=")</f>
        <v>#VALUE!</v>
      </c>
      <c r="BQ74" t="e">
        <f>AND('Planilla_General_29-11-2012_10_'!E1104,"AAAAAEe39kQ=")</f>
        <v>#VALUE!</v>
      </c>
      <c r="BR74" t="e">
        <f>AND('Planilla_General_29-11-2012_10_'!F1104,"AAAAAEe39kU=")</f>
        <v>#VALUE!</v>
      </c>
      <c r="BS74" t="e">
        <f>AND('Planilla_General_29-11-2012_10_'!G1104,"AAAAAEe39kY=")</f>
        <v>#VALUE!</v>
      </c>
      <c r="BT74" t="e">
        <f>AND('Planilla_General_29-11-2012_10_'!H1104,"AAAAAEe39kc=")</f>
        <v>#VALUE!</v>
      </c>
      <c r="BU74" t="e">
        <f>AND('Planilla_General_29-11-2012_10_'!I1104,"AAAAAEe39kg=")</f>
        <v>#VALUE!</v>
      </c>
      <c r="BV74" t="e">
        <f>AND('Planilla_General_29-11-2012_10_'!J1104,"AAAAAEe39kk=")</f>
        <v>#VALUE!</v>
      </c>
      <c r="BW74" t="e">
        <f>AND('Planilla_General_29-11-2012_10_'!K1104,"AAAAAEe39ko=")</f>
        <v>#VALUE!</v>
      </c>
      <c r="BX74" t="e">
        <f>AND('Planilla_General_29-11-2012_10_'!L1104,"AAAAAEe39ks=")</f>
        <v>#VALUE!</v>
      </c>
      <c r="BY74" t="e">
        <f>AND('Planilla_General_29-11-2012_10_'!M1104,"AAAAAEe39kw=")</f>
        <v>#VALUE!</v>
      </c>
      <c r="BZ74" t="e">
        <f>AND('Planilla_General_29-11-2012_10_'!N1104,"AAAAAEe39k0=")</f>
        <v>#VALUE!</v>
      </c>
      <c r="CA74" t="e">
        <f>AND('Planilla_General_29-11-2012_10_'!O1104,"AAAAAEe39k4=")</f>
        <v>#VALUE!</v>
      </c>
      <c r="CB74" t="e">
        <f>AND('Planilla_General_29-11-2012_10_'!P1104,"AAAAAEe39k8=")</f>
        <v>#VALUE!</v>
      </c>
      <c r="CC74">
        <f>IF('Planilla_General_29-11-2012_10_'!1105:1105,"AAAAAEe39lA=",0)</f>
        <v>0</v>
      </c>
      <c r="CD74" t="e">
        <f>AND('Planilla_General_29-11-2012_10_'!A1105,"AAAAAEe39lE=")</f>
        <v>#VALUE!</v>
      </c>
      <c r="CE74" t="e">
        <f>AND('Planilla_General_29-11-2012_10_'!B1105,"AAAAAEe39lI=")</f>
        <v>#VALUE!</v>
      </c>
      <c r="CF74" t="e">
        <f>AND('Planilla_General_29-11-2012_10_'!C1105,"AAAAAEe39lM=")</f>
        <v>#VALUE!</v>
      </c>
      <c r="CG74" t="e">
        <f>AND('Planilla_General_29-11-2012_10_'!D1105,"AAAAAEe39lQ=")</f>
        <v>#VALUE!</v>
      </c>
      <c r="CH74" t="e">
        <f>AND('Planilla_General_29-11-2012_10_'!E1105,"AAAAAEe39lU=")</f>
        <v>#VALUE!</v>
      </c>
      <c r="CI74" t="e">
        <f>AND('Planilla_General_29-11-2012_10_'!F1105,"AAAAAEe39lY=")</f>
        <v>#VALUE!</v>
      </c>
      <c r="CJ74" t="e">
        <f>AND('Planilla_General_29-11-2012_10_'!G1105,"AAAAAEe39lc=")</f>
        <v>#VALUE!</v>
      </c>
      <c r="CK74" t="e">
        <f>AND('Planilla_General_29-11-2012_10_'!H1105,"AAAAAEe39lg=")</f>
        <v>#VALUE!</v>
      </c>
      <c r="CL74" t="e">
        <f>AND('Planilla_General_29-11-2012_10_'!I1105,"AAAAAEe39lk=")</f>
        <v>#VALUE!</v>
      </c>
      <c r="CM74" t="e">
        <f>AND('Planilla_General_29-11-2012_10_'!J1105,"AAAAAEe39lo=")</f>
        <v>#VALUE!</v>
      </c>
      <c r="CN74" t="e">
        <f>AND('Planilla_General_29-11-2012_10_'!K1105,"AAAAAEe39ls=")</f>
        <v>#VALUE!</v>
      </c>
      <c r="CO74" t="e">
        <f>AND('Planilla_General_29-11-2012_10_'!L1105,"AAAAAEe39lw=")</f>
        <v>#VALUE!</v>
      </c>
      <c r="CP74" t="e">
        <f>AND('Planilla_General_29-11-2012_10_'!M1105,"AAAAAEe39l0=")</f>
        <v>#VALUE!</v>
      </c>
      <c r="CQ74" t="e">
        <f>AND('Planilla_General_29-11-2012_10_'!N1105,"AAAAAEe39l4=")</f>
        <v>#VALUE!</v>
      </c>
      <c r="CR74" t="e">
        <f>AND('Planilla_General_29-11-2012_10_'!O1105,"AAAAAEe39l8=")</f>
        <v>#VALUE!</v>
      </c>
      <c r="CS74" t="e">
        <f>AND('Planilla_General_29-11-2012_10_'!P1105,"AAAAAEe39mA=")</f>
        <v>#VALUE!</v>
      </c>
      <c r="CT74">
        <f>IF('Planilla_General_29-11-2012_10_'!1106:1106,"AAAAAEe39mE=",0)</f>
        <v>0</v>
      </c>
      <c r="CU74" t="e">
        <f>AND('Planilla_General_29-11-2012_10_'!A1106,"AAAAAEe39mI=")</f>
        <v>#VALUE!</v>
      </c>
      <c r="CV74" t="e">
        <f>AND('Planilla_General_29-11-2012_10_'!B1106,"AAAAAEe39mM=")</f>
        <v>#VALUE!</v>
      </c>
      <c r="CW74" t="e">
        <f>AND('Planilla_General_29-11-2012_10_'!C1106,"AAAAAEe39mQ=")</f>
        <v>#VALUE!</v>
      </c>
      <c r="CX74" t="e">
        <f>AND('Planilla_General_29-11-2012_10_'!D1106,"AAAAAEe39mU=")</f>
        <v>#VALUE!</v>
      </c>
      <c r="CY74" t="e">
        <f>AND('Planilla_General_29-11-2012_10_'!E1106,"AAAAAEe39mY=")</f>
        <v>#VALUE!</v>
      </c>
      <c r="CZ74" t="e">
        <f>AND('Planilla_General_29-11-2012_10_'!F1106,"AAAAAEe39mc=")</f>
        <v>#VALUE!</v>
      </c>
      <c r="DA74" t="e">
        <f>AND('Planilla_General_29-11-2012_10_'!G1106,"AAAAAEe39mg=")</f>
        <v>#VALUE!</v>
      </c>
      <c r="DB74" t="e">
        <f>AND('Planilla_General_29-11-2012_10_'!H1106,"AAAAAEe39mk=")</f>
        <v>#VALUE!</v>
      </c>
      <c r="DC74" t="e">
        <f>AND('Planilla_General_29-11-2012_10_'!I1106,"AAAAAEe39mo=")</f>
        <v>#VALUE!</v>
      </c>
      <c r="DD74" t="e">
        <f>AND('Planilla_General_29-11-2012_10_'!J1106,"AAAAAEe39ms=")</f>
        <v>#VALUE!</v>
      </c>
      <c r="DE74" t="e">
        <f>AND('Planilla_General_29-11-2012_10_'!K1106,"AAAAAEe39mw=")</f>
        <v>#VALUE!</v>
      </c>
      <c r="DF74" t="e">
        <f>AND('Planilla_General_29-11-2012_10_'!L1106,"AAAAAEe39m0=")</f>
        <v>#VALUE!</v>
      </c>
      <c r="DG74" t="e">
        <f>AND('Planilla_General_29-11-2012_10_'!M1106,"AAAAAEe39m4=")</f>
        <v>#VALUE!</v>
      </c>
      <c r="DH74" t="e">
        <f>AND('Planilla_General_29-11-2012_10_'!N1106,"AAAAAEe39m8=")</f>
        <v>#VALUE!</v>
      </c>
      <c r="DI74" t="e">
        <f>AND('Planilla_General_29-11-2012_10_'!O1106,"AAAAAEe39nA=")</f>
        <v>#VALUE!</v>
      </c>
      <c r="DJ74" t="e">
        <f>AND('Planilla_General_29-11-2012_10_'!P1106,"AAAAAEe39nE=")</f>
        <v>#VALUE!</v>
      </c>
      <c r="DK74">
        <f>IF('Planilla_General_29-11-2012_10_'!1107:1107,"AAAAAEe39nI=",0)</f>
        <v>0</v>
      </c>
      <c r="DL74" t="e">
        <f>AND('Planilla_General_29-11-2012_10_'!A1107,"AAAAAEe39nM=")</f>
        <v>#VALUE!</v>
      </c>
      <c r="DM74" t="e">
        <f>AND('Planilla_General_29-11-2012_10_'!B1107,"AAAAAEe39nQ=")</f>
        <v>#VALUE!</v>
      </c>
      <c r="DN74" t="e">
        <f>AND('Planilla_General_29-11-2012_10_'!C1107,"AAAAAEe39nU=")</f>
        <v>#VALUE!</v>
      </c>
      <c r="DO74" t="e">
        <f>AND('Planilla_General_29-11-2012_10_'!D1107,"AAAAAEe39nY=")</f>
        <v>#VALUE!</v>
      </c>
      <c r="DP74" t="e">
        <f>AND('Planilla_General_29-11-2012_10_'!E1107,"AAAAAEe39nc=")</f>
        <v>#VALUE!</v>
      </c>
      <c r="DQ74" t="e">
        <f>AND('Planilla_General_29-11-2012_10_'!F1107,"AAAAAEe39ng=")</f>
        <v>#VALUE!</v>
      </c>
      <c r="DR74" t="e">
        <f>AND('Planilla_General_29-11-2012_10_'!G1107,"AAAAAEe39nk=")</f>
        <v>#VALUE!</v>
      </c>
      <c r="DS74" t="e">
        <f>AND('Planilla_General_29-11-2012_10_'!H1107,"AAAAAEe39no=")</f>
        <v>#VALUE!</v>
      </c>
      <c r="DT74" t="e">
        <f>AND('Planilla_General_29-11-2012_10_'!I1107,"AAAAAEe39ns=")</f>
        <v>#VALUE!</v>
      </c>
      <c r="DU74" t="e">
        <f>AND('Planilla_General_29-11-2012_10_'!J1107,"AAAAAEe39nw=")</f>
        <v>#VALUE!</v>
      </c>
      <c r="DV74" t="e">
        <f>AND('Planilla_General_29-11-2012_10_'!K1107,"AAAAAEe39n0=")</f>
        <v>#VALUE!</v>
      </c>
      <c r="DW74" t="e">
        <f>AND('Planilla_General_29-11-2012_10_'!L1107,"AAAAAEe39n4=")</f>
        <v>#VALUE!</v>
      </c>
      <c r="DX74" t="e">
        <f>AND('Planilla_General_29-11-2012_10_'!M1107,"AAAAAEe39n8=")</f>
        <v>#VALUE!</v>
      </c>
      <c r="DY74" t="e">
        <f>AND('Planilla_General_29-11-2012_10_'!N1107,"AAAAAEe39oA=")</f>
        <v>#VALUE!</v>
      </c>
      <c r="DZ74" t="e">
        <f>AND('Planilla_General_29-11-2012_10_'!O1107,"AAAAAEe39oE=")</f>
        <v>#VALUE!</v>
      </c>
      <c r="EA74" t="e">
        <f>AND('Planilla_General_29-11-2012_10_'!P1107,"AAAAAEe39oI=")</f>
        <v>#VALUE!</v>
      </c>
      <c r="EB74">
        <f>IF('Planilla_General_29-11-2012_10_'!1108:1108,"AAAAAEe39oM=",0)</f>
        <v>0</v>
      </c>
      <c r="EC74" t="e">
        <f>AND('Planilla_General_29-11-2012_10_'!A1108,"AAAAAEe39oQ=")</f>
        <v>#VALUE!</v>
      </c>
      <c r="ED74" t="e">
        <f>AND('Planilla_General_29-11-2012_10_'!B1108,"AAAAAEe39oU=")</f>
        <v>#VALUE!</v>
      </c>
      <c r="EE74" t="e">
        <f>AND('Planilla_General_29-11-2012_10_'!C1108,"AAAAAEe39oY=")</f>
        <v>#VALUE!</v>
      </c>
      <c r="EF74" t="e">
        <f>AND('Planilla_General_29-11-2012_10_'!D1108,"AAAAAEe39oc=")</f>
        <v>#VALUE!</v>
      </c>
      <c r="EG74" t="e">
        <f>AND('Planilla_General_29-11-2012_10_'!E1108,"AAAAAEe39og=")</f>
        <v>#VALUE!</v>
      </c>
      <c r="EH74" t="e">
        <f>AND('Planilla_General_29-11-2012_10_'!F1108,"AAAAAEe39ok=")</f>
        <v>#VALUE!</v>
      </c>
      <c r="EI74" t="e">
        <f>AND('Planilla_General_29-11-2012_10_'!G1108,"AAAAAEe39oo=")</f>
        <v>#VALUE!</v>
      </c>
      <c r="EJ74" t="e">
        <f>AND('Planilla_General_29-11-2012_10_'!H1108,"AAAAAEe39os=")</f>
        <v>#VALUE!</v>
      </c>
      <c r="EK74" t="e">
        <f>AND('Planilla_General_29-11-2012_10_'!I1108,"AAAAAEe39ow=")</f>
        <v>#VALUE!</v>
      </c>
      <c r="EL74" t="e">
        <f>AND('Planilla_General_29-11-2012_10_'!J1108,"AAAAAEe39o0=")</f>
        <v>#VALUE!</v>
      </c>
      <c r="EM74" t="e">
        <f>AND('Planilla_General_29-11-2012_10_'!K1108,"AAAAAEe39o4=")</f>
        <v>#VALUE!</v>
      </c>
      <c r="EN74" t="e">
        <f>AND('Planilla_General_29-11-2012_10_'!L1108,"AAAAAEe39o8=")</f>
        <v>#VALUE!</v>
      </c>
      <c r="EO74" t="e">
        <f>AND('Planilla_General_29-11-2012_10_'!M1108,"AAAAAEe39pA=")</f>
        <v>#VALUE!</v>
      </c>
      <c r="EP74" t="e">
        <f>AND('Planilla_General_29-11-2012_10_'!N1108,"AAAAAEe39pE=")</f>
        <v>#VALUE!</v>
      </c>
      <c r="EQ74" t="e">
        <f>AND('Planilla_General_29-11-2012_10_'!O1108,"AAAAAEe39pI=")</f>
        <v>#VALUE!</v>
      </c>
      <c r="ER74" t="e">
        <f>AND('Planilla_General_29-11-2012_10_'!P1108,"AAAAAEe39pM=")</f>
        <v>#VALUE!</v>
      </c>
      <c r="ES74">
        <f>IF('Planilla_General_29-11-2012_10_'!1109:1109,"AAAAAEe39pQ=",0)</f>
        <v>0</v>
      </c>
      <c r="ET74" t="e">
        <f>AND('Planilla_General_29-11-2012_10_'!A1109,"AAAAAEe39pU=")</f>
        <v>#VALUE!</v>
      </c>
      <c r="EU74" t="e">
        <f>AND('Planilla_General_29-11-2012_10_'!B1109,"AAAAAEe39pY=")</f>
        <v>#VALUE!</v>
      </c>
      <c r="EV74" t="e">
        <f>AND('Planilla_General_29-11-2012_10_'!C1109,"AAAAAEe39pc=")</f>
        <v>#VALUE!</v>
      </c>
      <c r="EW74" t="e">
        <f>AND('Planilla_General_29-11-2012_10_'!D1109,"AAAAAEe39pg=")</f>
        <v>#VALUE!</v>
      </c>
      <c r="EX74" t="e">
        <f>AND('Planilla_General_29-11-2012_10_'!E1109,"AAAAAEe39pk=")</f>
        <v>#VALUE!</v>
      </c>
      <c r="EY74" t="e">
        <f>AND('Planilla_General_29-11-2012_10_'!F1109,"AAAAAEe39po=")</f>
        <v>#VALUE!</v>
      </c>
      <c r="EZ74" t="e">
        <f>AND('Planilla_General_29-11-2012_10_'!G1109,"AAAAAEe39ps=")</f>
        <v>#VALUE!</v>
      </c>
      <c r="FA74" t="e">
        <f>AND('Planilla_General_29-11-2012_10_'!H1109,"AAAAAEe39pw=")</f>
        <v>#VALUE!</v>
      </c>
      <c r="FB74" t="e">
        <f>AND('Planilla_General_29-11-2012_10_'!I1109,"AAAAAEe39p0=")</f>
        <v>#VALUE!</v>
      </c>
      <c r="FC74" t="e">
        <f>AND('Planilla_General_29-11-2012_10_'!J1109,"AAAAAEe39p4=")</f>
        <v>#VALUE!</v>
      </c>
      <c r="FD74" t="e">
        <f>AND('Planilla_General_29-11-2012_10_'!K1109,"AAAAAEe39p8=")</f>
        <v>#VALUE!</v>
      </c>
      <c r="FE74" t="e">
        <f>AND('Planilla_General_29-11-2012_10_'!L1109,"AAAAAEe39qA=")</f>
        <v>#VALUE!</v>
      </c>
      <c r="FF74" t="e">
        <f>AND('Planilla_General_29-11-2012_10_'!M1109,"AAAAAEe39qE=")</f>
        <v>#VALUE!</v>
      </c>
      <c r="FG74" t="e">
        <f>AND('Planilla_General_29-11-2012_10_'!N1109,"AAAAAEe39qI=")</f>
        <v>#VALUE!</v>
      </c>
      <c r="FH74" t="e">
        <f>AND('Planilla_General_29-11-2012_10_'!O1109,"AAAAAEe39qM=")</f>
        <v>#VALUE!</v>
      </c>
      <c r="FI74" t="e">
        <f>AND('Planilla_General_29-11-2012_10_'!P1109,"AAAAAEe39qQ=")</f>
        <v>#VALUE!</v>
      </c>
      <c r="FJ74">
        <f>IF('Planilla_General_29-11-2012_10_'!1110:1110,"AAAAAEe39qU=",0)</f>
        <v>0</v>
      </c>
      <c r="FK74" t="e">
        <f>AND('Planilla_General_29-11-2012_10_'!A1110,"AAAAAEe39qY=")</f>
        <v>#VALUE!</v>
      </c>
      <c r="FL74" t="e">
        <f>AND('Planilla_General_29-11-2012_10_'!B1110,"AAAAAEe39qc=")</f>
        <v>#VALUE!</v>
      </c>
      <c r="FM74" t="e">
        <f>AND('Planilla_General_29-11-2012_10_'!C1110,"AAAAAEe39qg=")</f>
        <v>#VALUE!</v>
      </c>
      <c r="FN74" t="e">
        <f>AND('Planilla_General_29-11-2012_10_'!D1110,"AAAAAEe39qk=")</f>
        <v>#VALUE!</v>
      </c>
      <c r="FO74" t="e">
        <f>AND('Planilla_General_29-11-2012_10_'!E1110,"AAAAAEe39qo=")</f>
        <v>#VALUE!</v>
      </c>
      <c r="FP74" t="e">
        <f>AND('Planilla_General_29-11-2012_10_'!F1110,"AAAAAEe39qs=")</f>
        <v>#VALUE!</v>
      </c>
      <c r="FQ74" t="e">
        <f>AND('Planilla_General_29-11-2012_10_'!G1110,"AAAAAEe39qw=")</f>
        <v>#VALUE!</v>
      </c>
      <c r="FR74" t="e">
        <f>AND('Planilla_General_29-11-2012_10_'!H1110,"AAAAAEe39q0=")</f>
        <v>#VALUE!</v>
      </c>
      <c r="FS74" t="e">
        <f>AND('Planilla_General_29-11-2012_10_'!I1110,"AAAAAEe39q4=")</f>
        <v>#VALUE!</v>
      </c>
      <c r="FT74" t="e">
        <f>AND('Planilla_General_29-11-2012_10_'!J1110,"AAAAAEe39q8=")</f>
        <v>#VALUE!</v>
      </c>
      <c r="FU74" t="e">
        <f>AND('Planilla_General_29-11-2012_10_'!K1110,"AAAAAEe39rA=")</f>
        <v>#VALUE!</v>
      </c>
      <c r="FV74" t="e">
        <f>AND('Planilla_General_29-11-2012_10_'!L1110,"AAAAAEe39rE=")</f>
        <v>#VALUE!</v>
      </c>
      <c r="FW74" t="e">
        <f>AND('Planilla_General_29-11-2012_10_'!M1110,"AAAAAEe39rI=")</f>
        <v>#VALUE!</v>
      </c>
      <c r="FX74" t="e">
        <f>AND('Planilla_General_29-11-2012_10_'!N1110,"AAAAAEe39rM=")</f>
        <v>#VALUE!</v>
      </c>
      <c r="FY74" t="e">
        <f>AND('Planilla_General_29-11-2012_10_'!O1110,"AAAAAEe39rQ=")</f>
        <v>#VALUE!</v>
      </c>
      <c r="FZ74" t="e">
        <f>AND('Planilla_General_29-11-2012_10_'!P1110,"AAAAAEe39rU=")</f>
        <v>#VALUE!</v>
      </c>
      <c r="GA74">
        <f>IF('Planilla_General_29-11-2012_10_'!1111:1111,"AAAAAEe39rY=",0)</f>
        <v>0</v>
      </c>
      <c r="GB74" t="e">
        <f>AND('Planilla_General_29-11-2012_10_'!A1111,"AAAAAEe39rc=")</f>
        <v>#VALUE!</v>
      </c>
      <c r="GC74" t="e">
        <f>AND('Planilla_General_29-11-2012_10_'!B1111,"AAAAAEe39rg=")</f>
        <v>#VALUE!</v>
      </c>
      <c r="GD74" t="e">
        <f>AND('Planilla_General_29-11-2012_10_'!C1111,"AAAAAEe39rk=")</f>
        <v>#VALUE!</v>
      </c>
      <c r="GE74" t="e">
        <f>AND('Planilla_General_29-11-2012_10_'!D1111,"AAAAAEe39ro=")</f>
        <v>#VALUE!</v>
      </c>
      <c r="GF74" t="e">
        <f>AND('Planilla_General_29-11-2012_10_'!E1111,"AAAAAEe39rs=")</f>
        <v>#VALUE!</v>
      </c>
      <c r="GG74" t="e">
        <f>AND('Planilla_General_29-11-2012_10_'!F1111,"AAAAAEe39rw=")</f>
        <v>#VALUE!</v>
      </c>
      <c r="GH74" t="e">
        <f>AND('Planilla_General_29-11-2012_10_'!G1111,"AAAAAEe39r0=")</f>
        <v>#VALUE!</v>
      </c>
      <c r="GI74" t="e">
        <f>AND('Planilla_General_29-11-2012_10_'!H1111,"AAAAAEe39r4=")</f>
        <v>#VALUE!</v>
      </c>
      <c r="GJ74" t="e">
        <f>AND('Planilla_General_29-11-2012_10_'!I1111,"AAAAAEe39r8=")</f>
        <v>#VALUE!</v>
      </c>
      <c r="GK74" t="e">
        <f>AND('Planilla_General_29-11-2012_10_'!J1111,"AAAAAEe39sA=")</f>
        <v>#VALUE!</v>
      </c>
      <c r="GL74" t="e">
        <f>AND('Planilla_General_29-11-2012_10_'!K1111,"AAAAAEe39sE=")</f>
        <v>#VALUE!</v>
      </c>
      <c r="GM74" t="e">
        <f>AND('Planilla_General_29-11-2012_10_'!L1111,"AAAAAEe39sI=")</f>
        <v>#VALUE!</v>
      </c>
      <c r="GN74" t="e">
        <f>AND('Planilla_General_29-11-2012_10_'!M1111,"AAAAAEe39sM=")</f>
        <v>#VALUE!</v>
      </c>
      <c r="GO74" t="e">
        <f>AND('Planilla_General_29-11-2012_10_'!N1111,"AAAAAEe39sQ=")</f>
        <v>#VALUE!</v>
      </c>
      <c r="GP74" t="e">
        <f>AND('Planilla_General_29-11-2012_10_'!O1111,"AAAAAEe39sU=")</f>
        <v>#VALUE!</v>
      </c>
      <c r="GQ74" t="e">
        <f>AND('Planilla_General_29-11-2012_10_'!P1111,"AAAAAEe39sY=")</f>
        <v>#VALUE!</v>
      </c>
      <c r="GR74">
        <f>IF('Planilla_General_29-11-2012_10_'!1112:1112,"AAAAAEe39sc=",0)</f>
        <v>0</v>
      </c>
      <c r="GS74" t="e">
        <f>AND('Planilla_General_29-11-2012_10_'!A1112,"AAAAAEe39sg=")</f>
        <v>#VALUE!</v>
      </c>
      <c r="GT74" t="e">
        <f>AND('Planilla_General_29-11-2012_10_'!B1112,"AAAAAEe39sk=")</f>
        <v>#VALUE!</v>
      </c>
      <c r="GU74" t="e">
        <f>AND('Planilla_General_29-11-2012_10_'!C1112,"AAAAAEe39so=")</f>
        <v>#VALUE!</v>
      </c>
      <c r="GV74" t="e">
        <f>AND('Planilla_General_29-11-2012_10_'!D1112,"AAAAAEe39ss=")</f>
        <v>#VALUE!</v>
      </c>
      <c r="GW74" t="e">
        <f>AND('Planilla_General_29-11-2012_10_'!E1112,"AAAAAEe39sw=")</f>
        <v>#VALUE!</v>
      </c>
      <c r="GX74" t="e">
        <f>AND('Planilla_General_29-11-2012_10_'!F1112,"AAAAAEe39s0=")</f>
        <v>#VALUE!</v>
      </c>
      <c r="GY74" t="e">
        <f>AND('Planilla_General_29-11-2012_10_'!G1112,"AAAAAEe39s4=")</f>
        <v>#VALUE!</v>
      </c>
      <c r="GZ74" t="e">
        <f>AND('Planilla_General_29-11-2012_10_'!H1112,"AAAAAEe39s8=")</f>
        <v>#VALUE!</v>
      </c>
      <c r="HA74" t="e">
        <f>AND('Planilla_General_29-11-2012_10_'!I1112,"AAAAAEe39tA=")</f>
        <v>#VALUE!</v>
      </c>
      <c r="HB74" t="e">
        <f>AND('Planilla_General_29-11-2012_10_'!J1112,"AAAAAEe39tE=")</f>
        <v>#VALUE!</v>
      </c>
      <c r="HC74" t="e">
        <f>AND('Planilla_General_29-11-2012_10_'!K1112,"AAAAAEe39tI=")</f>
        <v>#VALUE!</v>
      </c>
      <c r="HD74" t="e">
        <f>AND('Planilla_General_29-11-2012_10_'!L1112,"AAAAAEe39tM=")</f>
        <v>#VALUE!</v>
      </c>
      <c r="HE74" t="e">
        <f>AND('Planilla_General_29-11-2012_10_'!M1112,"AAAAAEe39tQ=")</f>
        <v>#VALUE!</v>
      </c>
      <c r="HF74" t="e">
        <f>AND('Planilla_General_29-11-2012_10_'!N1112,"AAAAAEe39tU=")</f>
        <v>#VALUE!</v>
      </c>
      <c r="HG74" t="e">
        <f>AND('Planilla_General_29-11-2012_10_'!O1112,"AAAAAEe39tY=")</f>
        <v>#VALUE!</v>
      </c>
      <c r="HH74" t="e">
        <f>AND('Planilla_General_29-11-2012_10_'!P1112,"AAAAAEe39tc=")</f>
        <v>#VALUE!</v>
      </c>
      <c r="HI74">
        <f>IF('Planilla_General_29-11-2012_10_'!1113:1113,"AAAAAEe39tg=",0)</f>
        <v>0</v>
      </c>
      <c r="HJ74" t="e">
        <f>AND('Planilla_General_29-11-2012_10_'!A1113,"AAAAAEe39tk=")</f>
        <v>#VALUE!</v>
      </c>
      <c r="HK74" t="e">
        <f>AND('Planilla_General_29-11-2012_10_'!B1113,"AAAAAEe39to=")</f>
        <v>#VALUE!</v>
      </c>
      <c r="HL74" t="e">
        <f>AND('Planilla_General_29-11-2012_10_'!C1113,"AAAAAEe39ts=")</f>
        <v>#VALUE!</v>
      </c>
      <c r="HM74" t="e">
        <f>AND('Planilla_General_29-11-2012_10_'!D1113,"AAAAAEe39tw=")</f>
        <v>#VALUE!</v>
      </c>
      <c r="HN74" t="e">
        <f>AND('Planilla_General_29-11-2012_10_'!E1113,"AAAAAEe39t0=")</f>
        <v>#VALUE!</v>
      </c>
      <c r="HO74" t="e">
        <f>AND('Planilla_General_29-11-2012_10_'!F1113,"AAAAAEe39t4=")</f>
        <v>#VALUE!</v>
      </c>
      <c r="HP74" t="e">
        <f>AND('Planilla_General_29-11-2012_10_'!G1113,"AAAAAEe39t8=")</f>
        <v>#VALUE!</v>
      </c>
      <c r="HQ74" t="e">
        <f>AND('Planilla_General_29-11-2012_10_'!H1113,"AAAAAEe39uA=")</f>
        <v>#VALUE!</v>
      </c>
      <c r="HR74" t="e">
        <f>AND('Planilla_General_29-11-2012_10_'!I1113,"AAAAAEe39uE=")</f>
        <v>#VALUE!</v>
      </c>
      <c r="HS74" t="e">
        <f>AND('Planilla_General_29-11-2012_10_'!J1113,"AAAAAEe39uI=")</f>
        <v>#VALUE!</v>
      </c>
      <c r="HT74" t="e">
        <f>AND('Planilla_General_29-11-2012_10_'!K1113,"AAAAAEe39uM=")</f>
        <v>#VALUE!</v>
      </c>
      <c r="HU74" t="e">
        <f>AND('Planilla_General_29-11-2012_10_'!L1113,"AAAAAEe39uQ=")</f>
        <v>#VALUE!</v>
      </c>
      <c r="HV74" t="e">
        <f>AND('Planilla_General_29-11-2012_10_'!M1113,"AAAAAEe39uU=")</f>
        <v>#VALUE!</v>
      </c>
      <c r="HW74" t="e">
        <f>AND('Planilla_General_29-11-2012_10_'!N1113,"AAAAAEe39uY=")</f>
        <v>#VALUE!</v>
      </c>
      <c r="HX74" t="e">
        <f>AND('Planilla_General_29-11-2012_10_'!O1113,"AAAAAEe39uc=")</f>
        <v>#VALUE!</v>
      </c>
      <c r="HY74" t="e">
        <f>AND('Planilla_General_29-11-2012_10_'!P1113,"AAAAAEe39ug=")</f>
        <v>#VALUE!</v>
      </c>
      <c r="HZ74">
        <f>IF('Planilla_General_29-11-2012_10_'!1114:1114,"AAAAAEe39uk=",0)</f>
        <v>0</v>
      </c>
      <c r="IA74" t="e">
        <f>AND('Planilla_General_29-11-2012_10_'!A1114,"AAAAAEe39uo=")</f>
        <v>#VALUE!</v>
      </c>
      <c r="IB74" t="e">
        <f>AND('Planilla_General_29-11-2012_10_'!B1114,"AAAAAEe39us=")</f>
        <v>#VALUE!</v>
      </c>
      <c r="IC74" t="e">
        <f>AND('Planilla_General_29-11-2012_10_'!C1114,"AAAAAEe39uw=")</f>
        <v>#VALUE!</v>
      </c>
      <c r="ID74" t="e">
        <f>AND('Planilla_General_29-11-2012_10_'!D1114,"AAAAAEe39u0=")</f>
        <v>#VALUE!</v>
      </c>
      <c r="IE74" t="e">
        <f>AND('Planilla_General_29-11-2012_10_'!E1114,"AAAAAEe39u4=")</f>
        <v>#VALUE!</v>
      </c>
      <c r="IF74" t="e">
        <f>AND('Planilla_General_29-11-2012_10_'!F1114,"AAAAAEe39u8=")</f>
        <v>#VALUE!</v>
      </c>
      <c r="IG74" t="e">
        <f>AND('Planilla_General_29-11-2012_10_'!G1114,"AAAAAEe39vA=")</f>
        <v>#VALUE!</v>
      </c>
      <c r="IH74" t="e">
        <f>AND('Planilla_General_29-11-2012_10_'!H1114,"AAAAAEe39vE=")</f>
        <v>#VALUE!</v>
      </c>
      <c r="II74" t="e">
        <f>AND('Planilla_General_29-11-2012_10_'!I1114,"AAAAAEe39vI=")</f>
        <v>#VALUE!</v>
      </c>
      <c r="IJ74" t="e">
        <f>AND('Planilla_General_29-11-2012_10_'!J1114,"AAAAAEe39vM=")</f>
        <v>#VALUE!</v>
      </c>
      <c r="IK74" t="e">
        <f>AND('Planilla_General_29-11-2012_10_'!K1114,"AAAAAEe39vQ=")</f>
        <v>#VALUE!</v>
      </c>
      <c r="IL74" t="e">
        <f>AND('Planilla_General_29-11-2012_10_'!L1114,"AAAAAEe39vU=")</f>
        <v>#VALUE!</v>
      </c>
      <c r="IM74" t="e">
        <f>AND('Planilla_General_29-11-2012_10_'!M1114,"AAAAAEe39vY=")</f>
        <v>#VALUE!</v>
      </c>
      <c r="IN74" t="e">
        <f>AND('Planilla_General_29-11-2012_10_'!N1114,"AAAAAEe39vc=")</f>
        <v>#VALUE!</v>
      </c>
      <c r="IO74" t="e">
        <f>AND('Planilla_General_29-11-2012_10_'!O1114,"AAAAAEe39vg=")</f>
        <v>#VALUE!</v>
      </c>
      <c r="IP74" t="e">
        <f>AND('Planilla_General_29-11-2012_10_'!P1114,"AAAAAEe39vk=")</f>
        <v>#VALUE!</v>
      </c>
      <c r="IQ74">
        <f>IF('Planilla_General_29-11-2012_10_'!1115:1115,"AAAAAEe39vo=",0)</f>
        <v>0</v>
      </c>
      <c r="IR74" t="e">
        <f>AND('Planilla_General_29-11-2012_10_'!A1115,"AAAAAEe39vs=")</f>
        <v>#VALUE!</v>
      </c>
      <c r="IS74" t="e">
        <f>AND('Planilla_General_29-11-2012_10_'!B1115,"AAAAAEe39vw=")</f>
        <v>#VALUE!</v>
      </c>
      <c r="IT74" t="e">
        <f>AND('Planilla_General_29-11-2012_10_'!C1115,"AAAAAEe39v0=")</f>
        <v>#VALUE!</v>
      </c>
      <c r="IU74" t="e">
        <f>AND('Planilla_General_29-11-2012_10_'!D1115,"AAAAAEe39v4=")</f>
        <v>#VALUE!</v>
      </c>
      <c r="IV74" t="e">
        <f>AND('Planilla_General_29-11-2012_10_'!E1115,"AAAAAEe39v8=")</f>
        <v>#VALUE!</v>
      </c>
    </row>
    <row r="75" spans="1:256" x14ac:dyDescent="0.25">
      <c r="A75" t="e">
        <f>AND('Planilla_General_29-11-2012_10_'!F1115,"AAAAAH9+5gA=")</f>
        <v>#VALUE!</v>
      </c>
      <c r="B75" t="e">
        <f>AND('Planilla_General_29-11-2012_10_'!G1115,"AAAAAH9+5gE=")</f>
        <v>#VALUE!</v>
      </c>
      <c r="C75" t="e">
        <f>AND('Planilla_General_29-11-2012_10_'!H1115,"AAAAAH9+5gI=")</f>
        <v>#VALUE!</v>
      </c>
      <c r="D75" t="e">
        <f>AND('Planilla_General_29-11-2012_10_'!I1115,"AAAAAH9+5gM=")</f>
        <v>#VALUE!</v>
      </c>
      <c r="E75" t="e">
        <f>AND('Planilla_General_29-11-2012_10_'!J1115,"AAAAAH9+5gQ=")</f>
        <v>#VALUE!</v>
      </c>
      <c r="F75" t="e">
        <f>AND('Planilla_General_29-11-2012_10_'!K1115,"AAAAAH9+5gU=")</f>
        <v>#VALUE!</v>
      </c>
      <c r="G75" t="e">
        <f>AND('Planilla_General_29-11-2012_10_'!L1115,"AAAAAH9+5gY=")</f>
        <v>#VALUE!</v>
      </c>
      <c r="H75" t="e">
        <f>AND('Planilla_General_29-11-2012_10_'!M1115,"AAAAAH9+5gc=")</f>
        <v>#VALUE!</v>
      </c>
      <c r="I75" t="e">
        <f>AND('Planilla_General_29-11-2012_10_'!N1115,"AAAAAH9+5gg=")</f>
        <v>#VALUE!</v>
      </c>
      <c r="J75" t="e">
        <f>AND('Planilla_General_29-11-2012_10_'!O1115,"AAAAAH9+5gk=")</f>
        <v>#VALUE!</v>
      </c>
      <c r="K75" t="e">
        <f>AND('Planilla_General_29-11-2012_10_'!P1115,"AAAAAH9+5go=")</f>
        <v>#VALUE!</v>
      </c>
      <c r="L75" t="str">
        <f>IF('Planilla_General_29-11-2012_10_'!1116:1116,"AAAAAH9+5gs=",0)</f>
        <v>AAAAAH9+5gs=</v>
      </c>
      <c r="M75" t="e">
        <f>AND('Planilla_General_29-11-2012_10_'!A1116,"AAAAAH9+5gw=")</f>
        <v>#VALUE!</v>
      </c>
      <c r="N75" t="e">
        <f>AND('Planilla_General_29-11-2012_10_'!B1116,"AAAAAH9+5g0=")</f>
        <v>#VALUE!</v>
      </c>
      <c r="O75" t="e">
        <f>AND('Planilla_General_29-11-2012_10_'!C1116,"AAAAAH9+5g4=")</f>
        <v>#VALUE!</v>
      </c>
      <c r="P75" t="e">
        <f>AND('Planilla_General_29-11-2012_10_'!D1116,"AAAAAH9+5g8=")</f>
        <v>#VALUE!</v>
      </c>
      <c r="Q75" t="e">
        <f>AND('Planilla_General_29-11-2012_10_'!E1116,"AAAAAH9+5hA=")</f>
        <v>#VALUE!</v>
      </c>
      <c r="R75" t="e">
        <f>AND('Planilla_General_29-11-2012_10_'!F1116,"AAAAAH9+5hE=")</f>
        <v>#VALUE!</v>
      </c>
      <c r="S75" t="e">
        <f>AND('Planilla_General_29-11-2012_10_'!G1116,"AAAAAH9+5hI=")</f>
        <v>#VALUE!</v>
      </c>
      <c r="T75" t="e">
        <f>AND('Planilla_General_29-11-2012_10_'!H1116,"AAAAAH9+5hM=")</f>
        <v>#VALUE!</v>
      </c>
      <c r="U75" t="e">
        <f>AND('Planilla_General_29-11-2012_10_'!I1116,"AAAAAH9+5hQ=")</f>
        <v>#VALUE!</v>
      </c>
      <c r="V75" t="e">
        <f>AND('Planilla_General_29-11-2012_10_'!J1116,"AAAAAH9+5hU=")</f>
        <v>#VALUE!</v>
      </c>
      <c r="W75" t="e">
        <f>AND('Planilla_General_29-11-2012_10_'!K1116,"AAAAAH9+5hY=")</f>
        <v>#VALUE!</v>
      </c>
      <c r="X75" t="e">
        <f>AND('Planilla_General_29-11-2012_10_'!L1116,"AAAAAH9+5hc=")</f>
        <v>#VALUE!</v>
      </c>
      <c r="Y75" t="e">
        <f>AND('Planilla_General_29-11-2012_10_'!M1116,"AAAAAH9+5hg=")</f>
        <v>#VALUE!</v>
      </c>
      <c r="Z75" t="e">
        <f>AND('Planilla_General_29-11-2012_10_'!N1116,"AAAAAH9+5hk=")</f>
        <v>#VALUE!</v>
      </c>
      <c r="AA75" t="e">
        <f>AND('Planilla_General_29-11-2012_10_'!O1116,"AAAAAH9+5ho=")</f>
        <v>#VALUE!</v>
      </c>
      <c r="AB75" t="e">
        <f>AND('Planilla_General_29-11-2012_10_'!P1116,"AAAAAH9+5hs=")</f>
        <v>#VALUE!</v>
      </c>
      <c r="AC75">
        <f>IF('Planilla_General_29-11-2012_10_'!1117:1117,"AAAAAH9+5hw=",0)</f>
        <v>0</v>
      </c>
      <c r="AD75" t="e">
        <f>AND('Planilla_General_29-11-2012_10_'!A1117,"AAAAAH9+5h0=")</f>
        <v>#VALUE!</v>
      </c>
      <c r="AE75" t="e">
        <f>AND('Planilla_General_29-11-2012_10_'!B1117,"AAAAAH9+5h4=")</f>
        <v>#VALUE!</v>
      </c>
      <c r="AF75" t="e">
        <f>AND('Planilla_General_29-11-2012_10_'!C1117,"AAAAAH9+5h8=")</f>
        <v>#VALUE!</v>
      </c>
      <c r="AG75" t="e">
        <f>AND('Planilla_General_29-11-2012_10_'!D1117,"AAAAAH9+5iA=")</f>
        <v>#VALUE!</v>
      </c>
      <c r="AH75" t="e">
        <f>AND('Planilla_General_29-11-2012_10_'!E1117,"AAAAAH9+5iE=")</f>
        <v>#VALUE!</v>
      </c>
      <c r="AI75" t="e">
        <f>AND('Planilla_General_29-11-2012_10_'!F1117,"AAAAAH9+5iI=")</f>
        <v>#VALUE!</v>
      </c>
      <c r="AJ75" t="e">
        <f>AND('Planilla_General_29-11-2012_10_'!G1117,"AAAAAH9+5iM=")</f>
        <v>#VALUE!</v>
      </c>
      <c r="AK75" t="e">
        <f>AND('Planilla_General_29-11-2012_10_'!H1117,"AAAAAH9+5iQ=")</f>
        <v>#VALUE!</v>
      </c>
      <c r="AL75" t="e">
        <f>AND('Planilla_General_29-11-2012_10_'!I1117,"AAAAAH9+5iU=")</f>
        <v>#VALUE!</v>
      </c>
      <c r="AM75" t="e">
        <f>AND('Planilla_General_29-11-2012_10_'!J1117,"AAAAAH9+5iY=")</f>
        <v>#VALUE!</v>
      </c>
      <c r="AN75" t="e">
        <f>AND('Planilla_General_29-11-2012_10_'!K1117,"AAAAAH9+5ic=")</f>
        <v>#VALUE!</v>
      </c>
      <c r="AO75" t="e">
        <f>AND('Planilla_General_29-11-2012_10_'!L1117,"AAAAAH9+5ig=")</f>
        <v>#VALUE!</v>
      </c>
      <c r="AP75" t="e">
        <f>AND('Planilla_General_29-11-2012_10_'!M1117,"AAAAAH9+5ik=")</f>
        <v>#VALUE!</v>
      </c>
      <c r="AQ75" t="e">
        <f>AND('Planilla_General_29-11-2012_10_'!N1117,"AAAAAH9+5io=")</f>
        <v>#VALUE!</v>
      </c>
      <c r="AR75" t="e">
        <f>AND('Planilla_General_29-11-2012_10_'!O1117,"AAAAAH9+5is=")</f>
        <v>#VALUE!</v>
      </c>
      <c r="AS75" t="e">
        <f>AND('Planilla_General_29-11-2012_10_'!P1117,"AAAAAH9+5iw=")</f>
        <v>#VALUE!</v>
      </c>
      <c r="AT75">
        <f>IF('Planilla_General_29-11-2012_10_'!1118:1118,"AAAAAH9+5i0=",0)</f>
        <v>0</v>
      </c>
      <c r="AU75" t="e">
        <f>AND('Planilla_General_29-11-2012_10_'!A1118,"AAAAAH9+5i4=")</f>
        <v>#VALUE!</v>
      </c>
      <c r="AV75" t="e">
        <f>AND('Planilla_General_29-11-2012_10_'!B1118,"AAAAAH9+5i8=")</f>
        <v>#VALUE!</v>
      </c>
      <c r="AW75" t="e">
        <f>AND('Planilla_General_29-11-2012_10_'!C1118,"AAAAAH9+5jA=")</f>
        <v>#VALUE!</v>
      </c>
      <c r="AX75" t="e">
        <f>AND('Planilla_General_29-11-2012_10_'!D1118,"AAAAAH9+5jE=")</f>
        <v>#VALUE!</v>
      </c>
      <c r="AY75" t="e">
        <f>AND('Planilla_General_29-11-2012_10_'!E1118,"AAAAAH9+5jI=")</f>
        <v>#VALUE!</v>
      </c>
      <c r="AZ75" t="e">
        <f>AND('Planilla_General_29-11-2012_10_'!F1118,"AAAAAH9+5jM=")</f>
        <v>#VALUE!</v>
      </c>
      <c r="BA75" t="e">
        <f>AND('Planilla_General_29-11-2012_10_'!G1118,"AAAAAH9+5jQ=")</f>
        <v>#VALUE!</v>
      </c>
      <c r="BB75" t="e">
        <f>AND('Planilla_General_29-11-2012_10_'!H1118,"AAAAAH9+5jU=")</f>
        <v>#VALUE!</v>
      </c>
      <c r="BC75" t="e">
        <f>AND('Planilla_General_29-11-2012_10_'!I1118,"AAAAAH9+5jY=")</f>
        <v>#VALUE!</v>
      </c>
      <c r="BD75" t="e">
        <f>AND('Planilla_General_29-11-2012_10_'!J1118,"AAAAAH9+5jc=")</f>
        <v>#VALUE!</v>
      </c>
      <c r="BE75" t="e">
        <f>AND('Planilla_General_29-11-2012_10_'!K1118,"AAAAAH9+5jg=")</f>
        <v>#VALUE!</v>
      </c>
      <c r="BF75" t="e">
        <f>AND('Planilla_General_29-11-2012_10_'!L1118,"AAAAAH9+5jk=")</f>
        <v>#VALUE!</v>
      </c>
      <c r="BG75" t="e">
        <f>AND('Planilla_General_29-11-2012_10_'!M1118,"AAAAAH9+5jo=")</f>
        <v>#VALUE!</v>
      </c>
      <c r="BH75" t="e">
        <f>AND('Planilla_General_29-11-2012_10_'!N1118,"AAAAAH9+5js=")</f>
        <v>#VALUE!</v>
      </c>
      <c r="BI75" t="e">
        <f>AND('Planilla_General_29-11-2012_10_'!O1118,"AAAAAH9+5jw=")</f>
        <v>#VALUE!</v>
      </c>
      <c r="BJ75" t="e">
        <f>AND('Planilla_General_29-11-2012_10_'!P1118,"AAAAAH9+5j0=")</f>
        <v>#VALUE!</v>
      </c>
      <c r="BK75">
        <f>IF('Planilla_General_29-11-2012_10_'!1119:1119,"AAAAAH9+5j4=",0)</f>
        <v>0</v>
      </c>
      <c r="BL75" t="e">
        <f>AND('Planilla_General_29-11-2012_10_'!A1119,"AAAAAH9+5j8=")</f>
        <v>#VALUE!</v>
      </c>
      <c r="BM75" t="e">
        <f>AND('Planilla_General_29-11-2012_10_'!B1119,"AAAAAH9+5kA=")</f>
        <v>#VALUE!</v>
      </c>
      <c r="BN75" t="e">
        <f>AND('Planilla_General_29-11-2012_10_'!C1119,"AAAAAH9+5kE=")</f>
        <v>#VALUE!</v>
      </c>
      <c r="BO75" t="e">
        <f>AND('Planilla_General_29-11-2012_10_'!D1119,"AAAAAH9+5kI=")</f>
        <v>#VALUE!</v>
      </c>
      <c r="BP75" t="e">
        <f>AND('Planilla_General_29-11-2012_10_'!E1119,"AAAAAH9+5kM=")</f>
        <v>#VALUE!</v>
      </c>
      <c r="BQ75" t="e">
        <f>AND('Planilla_General_29-11-2012_10_'!F1119,"AAAAAH9+5kQ=")</f>
        <v>#VALUE!</v>
      </c>
      <c r="BR75" t="e">
        <f>AND('Planilla_General_29-11-2012_10_'!G1119,"AAAAAH9+5kU=")</f>
        <v>#VALUE!</v>
      </c>
      <c r="BS75" t="e">
        <f>AND('Planilla_General_29-11-2012_10_'!H1119,"AAAAAH9+5kY=")</f>
        <v>#VALUE!</v>
      </c>
      <c r="BT75" t="e">
        <f>AND('Planilla_General_29-11-2012_10_'!I1119,"AAAAAH9+5kc=")</f>
        <v>#VALUE!</v>
      </c>
      <c r="BU75" t="e">
        <f>AND('Planilla_General_29-11-2012_10_'!J1119,"AAAAAH9+5kg=")</f>
        <v>#VALUE!</v>
      </c>
      <c r="BV75" t="e">
        <f>AND('Planilla_General_29-11-2012_10_'!K1119,"AAAAAH9+5kk=")</f>
        <v>#VALUE!</v>
      </c>
      <c r="BW75" t="e">
        <f>AND('Planilla_General_29-11-2012_10_'!L1119,"AAAAAH9+5ko=")</f>
        <v>#VALUE!</v>
      </c>
      <c r="BX75" t="e">
        <f>AND('Planilla_General_29-11-2012_10_'!M1119,"AAAAAH9+5ks=")</f>
        <v>#VALUE!</v>
      </c>
      <c r="BY75" t="e">
        <f>AND('Planilla_General_29-11-2012_10_'!N1119,"AAAAAH9+5kw=")</f>
        <v>#VALUE!</v>
      </c>
      <c r="BZ75" t="e">
        <f>AND('Planilla_General_29-11-2012_10_'!O1119,"AAAAAH9+5k0=")</f>
        <v>#VALUE!</v>
      </c>
      <c r="CA75" t="e">
        <f>AND('Planilla_General_29-11-2012_10_'!P1119,"AAAAAH9+5k4=")</f>
        <v>#VALUE!</v>
      </c>
      <c r="CB75">
        <f>IF('Planilla_General_29-11-2012_10_'!1120:1120,"AAAAAH9+5k8=",0)</f>
        <v>0</v>
      </c>
      <c r="CC75" t="e">
        <f>AND('Planilla_General_29-11-2012_10_'!A1120,"AAAAAH9+5lA=")</f>
        <v>#VALUE!</v>
      </c>
      <c r="CD75" t="e">
        <f>AND('Planilla_General_29-11-2012_10_'!B1120,"AAAAAH9+5lE=")</f>
        <v>#VALUE!</v>
      </c>
      <c r="CE75" t="e">
        <f>AND('Planilla_General_29-11-2012_10_'!C1120,"AAAAAH9+5lI=")</f>
        <v>#VALUE!</v>
      </c>
      <c r="CF75" t="e">
        <f>AND('Planilla_General_29-11-2012_10_'!D1120,"AAAAAH9+5lM=")</f>
        <v>#VALUE!</v>
      </c>
      <c r="CG75" t="e">
        <f>AND('Planilla_General_29-11-2012_10_'!E1120,"AAAAAH9+5lQ=")</f>
        <v>#VALUE!</v>
      </c>
      <c r="CH75" t="e">
        <f>AND('Planilla_General_29-11-2012_10_'!F1120,"AAAAAH9+5lU=")</f>
        <v>#VALUE!</v>
      </c>
      <c r="CI75" t="e">
        <f>AND('Planilla_General_29-11-2012_10_'!G1120,"AAAAAH9+5lY=")</f>
        <v>#VALUE!</v>
      </c>
      <c r="CJ75" t="e">
        <f>AND('Planilla_General_29-11-2012_10_'!H1120,"AAAAAH9+5lc=")</f>
        <v>#VALUE!</v>
      </c>
      <c r="CK75" t="e">
        <f>AND('Planilla_General_29-11-2012_10_'!I1120,"AAAAAH9+5lg=")</f>
        <v>#VALUE!</v>
      </c>
      <c r="CL75" t="e">
        <f>AND('Planilla_General_29-11-2012_10_'!J1120,"AAAAAH9+5lk=")</f>
        <v>#VALUE!</v>
      </c>
      <c r="CM75" t="e">
        <f>AND('Planilla_General_29-11-2012_10_'!K1120,"AAAAAH9+5lo=")</f>
        <v>#VALUE!</v>
      </c>
      <c r="CN75" t="e">
        <f>AND('Planilla_General_29-11-2012_10_'!L1120,"AAAAAH9+5ls=")</f>
        <v>#VALUE!</v>
      </c>
      <c r="CO75" t="e">
        <f>AND('Planilla_General_29-11-2012_10_'!M1120,"AAAAAH9+5lw=")</f>
        <v>#VALUE!</v>
      </c>
      <c r="CP75" t="e">
        <f>AND('Planilla_General_29-11-2012_10_'!N1120,"AAAAAH9+5l0=")</f>
        <v>#VALUE!</v>
      </c>
      <c r="CQ75" t="e">
        <f>AND('Planilla_General_29-11-2012_10_'!O1120,"AAAAAH9+5l4=")</f>
        <v>#VALUE!</v>
      </c>
      <c r="CR75" t="e">
        <f>AND('Planilla_General_29-11-2012_10_'!P1120,"AAAAAH9+5l8=")</f>
        <v>#VALUE!</v>
      </c>
      <c r="CS75">
        <f>IF('Planilla_General_29-11-2012_10_'!1121:1121,"AAAAAH9+5mA=",0)</f>
        <v>0</v>
      </c>
      <c r="CT75" t="e">
        <f>AND('Planilla_General_29-11-2012_10_'!A1121,"AAAAAH9+5mE=")</f>
        <v>#VALUE!</v>
      </c>
      <c r="CU75" t="e">
        <f>AND('Planilla_General_29-11-2012_10_'!B1121,"AAAAAH9+5mI=")</f>
        <v>#VALUE!</v>
      </c>
      <c r="CV75" t="e">
        <f>AND('Planilla_General_29-11-2012_10_'!C1121,"AAAAAH9+5mM=")</f>
        <v>#VALUE!</v>
      </c>
      <c r="CW75" t="e">
        <f>AND('Planilla_General_29-11-2012_10_'!D1121,"AAAAAH9+5mQ=")</f>
        <v>#VALUE!</v>
      </c>
      <c r="CX75" t="e">
        <f>AND('Planilla_General_29-11-2012_10_'!E1121,"AAAAAH9+5mU=")</f>
        <v>#VALUE!</v>
      </c>
      <c r="CY75" t="e">
        <f>AND('Planilla_General_29-11-2012_10_'!F1121,"AAAAAH9+5mY=")</f>
        <v>#VALUE!</v>
      </c>
      <c r="CZ75" t="e">
        <f>AND('Planilla_General_29-11-2012_10_'!G1121,"AAAAAH9+5mc=")</f>
        <v>#VALUE!</v>
      </c>
      <c r="DA75" t="e">
        <f>AND('Planilla_General_29-11-2012_10_'!H1121,"AAAAAH9+5mg=")</f>
        <v>#VALUE!</v>
      </c>
      <c r="DB75" t="e">
        <f>AND('Planilla_General_29-11-2012_10_'!I1121,"AAAAAH9+5mk=")</f>
        <v>#VALUE!</v>
      </c>
      <c r="DC75" t="e">
        <f>AND('Planilla_General_29-11-2012_10_'!J1121,"AAAAAH9+5mo=")</f>
        <v>#VALUE!</v>
      </c>
      <c r="DD75" t="e">
        <f>AND('Planilla_General_29-11-2012_10_'!K1121,"AAAAAH9+5ms=")</f>
        <v>#VALUE!</v>
      </c>
      <c r="DE75" t="e">
        <f>AND('Planilla_General_29-11-2012_10_'!L1121,"AAAAAH9+5mw=")</f>
        <v>#VALUE!</v>
      </c>
      <c r="DF75" t="e">
        <f>AND('Planilla_General_29-11-2012_10_'!M1121,"AAAAAH9+5m0=")</f>
        <v>#VALUE!</v>
      </c>
      <c r="DG75" t="e">
        <f>AND('Planilla_General_29-11-2012_10_'!N1121,"AAAAAH9+5m4=")</f>
        <v>#VALUE!</v>
      </c>
      <c r="DH75" t="e">
        <f>AND('Planilla_General_29-11-2012_10_'!O1121,"AAAAAH9+5m8=")</f>
        <v>#VALUE!</v>
      </c>
      <c r="DI75" t="e">
        <f>AND('Planilla_General_29-11-2012_10_'!P1121,"AAAAAH9+5nA=")</f>
        <v>#VALUE!</v>
      </c>
      <c r="DJ75">
        <f>IF('Planilla_General_29-11-2012_10_'!1122:1122,"AAAAAH9+5nE=",0)</f>
        <v>0</v>
      </c>
      <c r="DK75" t="e">
        <f>AND('Planilla_General_29-11-2012_10_'!A1122,"AAAAAH9+5nI=")</f>
        <v>#VALUE!</v>
      </c>
      <c r="DL75" t="e">
        <f>AND('Planilla_General_29-11-2012_10_'!B1122,"AAAAAH9+5nM=")</f>
        <v>#VALUE!</v>
      </c>
      <c r="DM75" t="e">
        <f>AND('Planilla_General_29-11-2012_10_'!C1122,"AAAAAH9+5nQ=")</f>
        <v>#VALUE!</v>
      </c>
      <c r="DN75" t="e">
        <f>AND('Planilla_General_29-11-2012_10_'!D1122,"AAAAAH9+5nU=")</f>
        <v>#VALUE!</v>
      </c>
      <c r="DO75" t="e">
        <f>AND('Planilla_General_29-11-2012_10_'!E1122,"AAAAAH9+5nY=")</f>
        <v>#VALUE!</v>
      </c>
      <c r="DP75" t="e">
        <f>AND('Planilla_General_29-11-2012_10_'!F1122,"AAAAAH9+5nc=")</f>
        <v>#VALUE!</v>
      </c>
      <c r="DQ75" t="e">
        <f>AND('Planilla_General_29-11-2012_10_'!G1122,"AAAAAH9+5ng=")</f>
        <v>#VALUE!</v>
      </c>
      <c r="DR75" t="e">
        <f>AND('Planilla_General_29-11-2012_10_'!H1122,"AAAAAH9+5nk=")</f>
        <v>#VALUE!</v>
      </c>
      <c r="DS75" t="e">
        <f>AND('Planilla_General_29-11-2012_10_'!I1122,"AAAAAH9+5no=")</f>
        <v>#VALUE!</v>
      </c>
      <c r="DT75" t="e">
        <f>AND('Planilla_General_29-11-2012_10_'!J1122,"AAAAAH9+5ns=")</f>
        <v>#VALUE!</v>
      </c>
      <c r="DU75" t="e">
        <f>AND('Planilla_General_29-11-2012_10_'!K1122,"AAAAAH9+5nw=")</f>
        <v>#VALUE!</v>
      </c>
      <c r="DV75" t="e">
        <f>AND('Planilla_General_29-11-2012_10_'!L1122,"AAAAAH9+5n0=")</f>
        <v>#VALUE!</v>
      </c>
      <c r="DW75" t="e">
        <f>AND('Planilla_General_29-11-2012_10_'!M1122,"AAAAAH9+5n4=")</f>
        <v>#VALUE!</v>
      </c>
      <c r="DX75" t="e">
        <f>AND('Planilla_General_29-11-2012_10_'!N1122,"AAAAAH9+5n8=")</f>
        <v>#VALUE!</v>
      </c>
      <c r="DY75" t="e">
        <f>AND('Planilla_General_29-11-2012_10_'!O1122,"AAAAAH9+5oA=")</f>
        <v>#VALUE!</v>
      </c>
      <c r="DZ75" t="e">
        <f>AND('Planilla_General_29-11-2012_10_'!P1122,"AAAAAH9+5oE=")</f>
        <v>#VALUE!</v>
      </c>
      <c r="EA75">
        <f>IF('Planilla_General_29-11-2012_10_'!1123:1123,"AAAAAH9+5oI=",0)</f>
        <v>0</v>
      </c>
      <c r="EB75" t="e">
        <f>AND('Planilla_General_29-11-2012_10_'!A1123,"AAAAAH9+5oM=")</f>
        <v>#VALUE!</v>
      </c>
      <c r="EC75" t="e">
        <f>AND('Planilla_General_29-11-2012_10_'!B1123,"AAAAAH9+5oQ=")</f>
        <v>#VALUE!</v>
      </c>
      <c r="ED75" t="e">
        <f>AND('Planilla_General_29-11-2012_10_'!C1123,"AAAAAH9+5oU=")</f>
        <v>#VALUE!</v>
      </c>
      <c r="EE75" t="e">
        <f>AND('Planilla_General_29-11-2012_10_'!D1123,"AAAAAH9+5oY=")</f>
        <v>#VALUE!</v>
      </c>
      <c r="EF75" t="e">
        <f>AND('Planilla_General_29-11-2012_10_'!E1123,"AAAAAH9+5oc=")</f>
        <v>#VALUE!</v>
      </c>
      <c r="EG75" t="e">
        <f>AND('Planilla_General_29-11-2012_10_'!F1123,"AAAAAH9+5og=")</f>
        <v>#VALUE!</v>
      </c>
      <c r="EH75" t="e">
        <f>AND('Planilla_General_29-11-2012_10_'!G1123,"AAAAAH9+5ok=")</f>
        <v>#VALUE!</v>
      </c>
      <c r="EI75" t="e">
        <f>AND('Planilla_General_29-11-2012_10_'!H1123,"AAAAAH9+5oo=")</f>
        <v>#VALUE!</v>
      </c>
      <c r="EJ75" t="e">
        <f>AND('Planilla_General_29-11-2012_10_'!I1123,"AAAAAH9+5os=")</f>
        <v>#VALUE!</v>
      </c>
      <c r="EK75" t="e">
        <f>AND('Planilla_General_29-11-2012_10_'!J1123,"AAAAAH9+5ow=")</f>
        <v>#VALUE!</v>
      </c>
      <c r="EL75" t="e">
        <f>AND('Planilla_General_29-11-2012_10_'!K1123,"AAAAAH9+5o0=")</f>
        <v>#VALUE!</v>
      </c>
      <c r="EM75" t="e">
        <f>AND('Planilla_General_29-11-2012_10_'!L1123,"AAAAAH9+5o4=")</f>
        <v>#VALUE!</v>
      </c>
      <c r="EN75" t="e">
        <f>AND('Planilla_General_29-11-2012_10_'!M1123,"AAAAAH9+5o8=")</f>
        <v>#VALUE!</v>
      </c>
      <c r="EO75" t="e">
        <f>AND('Planilla_General_29-11-2012_10_'!N1123,"AAAAAH9+5pA=")</f>
        <v>#VALUE!</v>
      </c>
      <c r="EP75" t="e">
        <f>AND('Planilla_General_29-11-2012_10_'!O1123,"AAAAAH9+5pE=")</f>
        <v>#VALUE!</v>
      </c>
      <c r="EQ75" t="e">
        <f>AND('Planilla_General_29-11-2012_10_'!P1123,"AAAAAH9+5pI=")</f>
        <v>#VALUE!</v>
      </c>
      <c r="ER75">
        <f>IF('Planilla_General_29-11-2012_10_'!1124:1124,"AAAAAH9+5pM=",0)</f>
        <v>0</v>
      </c>
      <c r="ES75" t="e">
        <f>AND('Planilla_General_29-11-2012_10_'!A1124,"AAAAAH9+5pQ=")</f>
        <v>#VALUE!</v>
      </c>
      <c r="ET75" t="e">
        <f>AND('Planilla_General_29-11-2012_10_'!B1124,"AAAAAH9+5pU=")</f>
        <v>#VALUE!</v>
      </c>
      <c r="EU75" t="e">
        <f>AND('Planilla_General_29-11-2012_10_'!C1124,"AAAAAH9+5pY=")</f>
        <v>#VALUE!</v>
      </c>
      <c r="EV75" t="e">
        <f>AND('Planilla_General_29-11-2012_10_'!D1124,"AAAAAH9+5pc=")</f>
        <v>#VALUE!</v>
      </c>
      <c r="EW75" t="e">
        <f>AND('Planilla_General_29-11-2012_10_'!E1124,"AAAAAH9+5pg=")</f>
        <v>#VALUE!</v>
      </c>
      <c r="EX75" t="e">
        <f>AND('Planilla_General_29-11-2012_10_'!F1124,"AAAAAH9+5pk=")</f>
        <v>#VALUE!</v>
      </c>
      <c r="EY75" t="e">
        <f>AND('Planilla_General_29-11-2012_10_'!G1124,"AAAAAH9+5po=")</f>
        <v>#VALUE!</v>
      </c>
      <c r="EZ75" t="e">
        <f>AND('Planilla_General_29-11-2012_10_'!H1124,"AAAAAH9+5ps=")</f>
        <v>#VALUE!</v>
      </c>
      <c r="FA75" t="e">
        <f>AND('Planilla_General_29-11-2012_10_'!I1124,"AAAAAH9+5pw=")</f>
        <v>#VALUE!</v>
      </c>
      <c r="FB75" t="e">
        <f>AND('Planilla_General_29-11-2012_10_'!J1124,"AAAAAH9+5p0=")</f>
        <v>#VALUE!</v>
      </c>
      <c r="FC75" t="e">
        <f>AND('Planilla_General_29-11-2012_10_'!K1124,"AAAAAH9+5p4=")</f>
        <v>#VALUE!</v>
      </c>
      <c r="FD75" t="e">
        <f>AND('Planilla_General_29-11-2012_10_'!L1124,"AAAAAH9+5p8=")</f>
        <v>#VALUE!</v>
      </c>
      <c r="FE75" t="e">
        <f>AND('Planilla_General_29-11-2012_10_'!M1124,"AAAAAH9+5qA=")</f>
        <v>#VALUE!</v>
      </c>
      <c r="FF75" t="e">
        <f>AND('Planilla_General_29-11-2012_10_'!N1124,"AAAAAH9+5qE=")</f>
        <v>#VALUE!</v>
      </c>
      <c r="FG75" t="e">
        <f>AND('Planilla_General_29-11-2012_10_'!O1124,"AAAAAH9+5qI=")</f>
        <v>#VALUE!</v>
      </c>
      <c r="FH75" t="e">
        <f>AND('Planilla_General_29-11-2012_10_'!P1124,"AAAAAH9+5qM=")</f>
        <v>#VALUE!</v>
      </c>
      <c r="FI75">
        <f>IF('Planilla_General_29-11-2012_10_'!1125:1125,"AAAAAH9+5qQ=",0)</f>
        <v>0</v>
      </c>
      <c r="FJ75" t="e">
        <f>AND('Planilla_General_29-11-2012_10_'!A1125,"AAAAAH9+5qU=")</f>
        <v>#VALUE!</v>
      </c>
      <c r="FK75" t="e">
        <f>AND('Planilla_General_29-11-2012_10_'!B1125,"AAAAAH9+5qY=")</f>
        <v>#VALUE!</v>
      </c>
      <c r="FL75" t="e">
        <f>AND('Planilla_General_29-11-2012_10_'!C1125,"AAAAAH9+5qc=")</f>
        <v>#VALUE!</v>
      </c>
      <c r="FM75" t="e">
        <f>AND('Planilla_General_29-11-2012_10_'!D1125,"AAAAAH9+5qg=")</f>
        <v>#VALUE!</v>
      </c>
      <c r="FN75" t="e">
        <f>AND('Planilla_General_29-11-2012_10_'!E1125,"AAAAAH9+5qk=")</f>
        <v>#VALUE!</v>
      </c>
      <c r="FO75" t="e">
        <f>AND('Planilla_General_29-11-2012_10_'!F1125,"AAAAAH9+5qo=")</f>
        <v>#VALUE!</v>
      </c>
      <c r="FP75" t="e">
        <f>AND('Planilla_General_29-11-2012_10_'!G1125,"AAAAAH9+5qs=")</f>
        <v>#VALUE!</v>
      </c>
      <c r="FQ75" t="e">
        <f>AND('Planilla_General_29-11-2012_10_'!H1125,"AAAAAH9+5qw=")</f>
        <v>#VALUE!</v>
      </c>
      <c r="FR75" t="e">
        <f>AND('Planilla_General_29-11-2012_10_'!I1125,"AAAAAH9+5q0=")</f>
        <v>#VALUE!</v>
      </c>
      <c r="FS75" t="e">
        <f>AND('Planilla_General_29-11-2012_10_'!J1125,"AAAAAH9+5q4=")</f>
        <v>#VALUE!</v>
      </c>
      <c r="FT75" t="e">
        <f>AND('Planilla_General_29-11-2012_10_'!K1125,"AAAAAH9+5q8=")</f>
        <v>#VALUE!</v>
      </c>
      <c r="FU75" t="e">
        <f>AND('Planilla_General_29-11-2012_10_'!L1125,"AAAAAH9+5rA=")</f>
        <v>#VALUE!</v>
      </c>
      <c r="FV75" t="e">
        <f>AND('Planilla_General_29-11-2012_10_'!M1125,"AAAAAH9+5rE=")</f>
        <v>#VALUE!</v>
      </c>
      <c r="FW75" t="e">
        <f>AND('Planilla_General_29-11-2012_10_'!N1125,"AAAAAH9+5rI=")</f>
        <v>#VALUE!</v>
      </c>
      <c r="FX75" t="e">
        <f>AND('Planilla_General_29-11-2012_10_'!O1125,"AAAAAH9+5rM=")</f>
        <v>#VALUE!</v>
      </c>
      <c r="FY75" t="e">
        <f>AND('Planilla_General_29-11-2012_10_'!P1125,"AAAAAH9+5rQ=")</f>
        <v>#VALUE!</v>
      </c>
      <c r="FZ75">
        <f>IF('Planilla_General_29-11-2012_10_'!1126:1126,"AAAAAH9+5rU=",0)</f>
        <v>0</v>
      </c>
      <c r="GA75" t="e">
        <f>AND('Planilla_General_29-11-2012_10_'!A1126,"AAAAAH9+5rY=")</f>
        <v>#VALUE!</v>
      </c>
      <c r="GB75" t="e">
        <f>AND('Planilla_General_29-11-2012_10_'!B1126,"AAAAAH9+5rc=")</f>
        <v>#VALUE!</v>
      </c>
      <c r="GC75" t="e">
        <f>AND('Planilla_General_29-11-2012_10_'!C1126,"AAAAAH9+5rg=")</f>
        <v>#VALUE!</v>
      </c>
      <c r="GD75" t="e">
        <f>AND('Planilla_General_29-11-2012_10_'!D1126,"AAAAAH9+5rk=")</f>
        <v>#VALUE!</v>
      </c>
      <c r="GE75" t="e">
        <f>AND('Planilla_General_29-11-2012_10_'!E1126,"AAAAAH9+5ro=")</f>
        <v>#VALUE!</v>
      </c>
      <c r="GF75" t="e">
        <f>AND('Planilla_General_29-11-2012_10_'!F1126,"AAAAAH9+5rs=")</f>
        <v>#VALUE!</v>
      </c>
      <c r="GG75" t="e">
        <f>AND('Planilla_General_29-11-2012_10_'!G1126,"AAAAAH9+5rw=")</f>
        <v>#VALUE!</v>
      </c>
      <c r="GH75" t="e">
        <f>AND('Planilla_General_29-11-2012_10_'!H1126,"AAAAAH9+5r0=")</f>
        <v>#VALUE!</v>
      </c>
      <c r="GI75" t="e">
        <f>AND('Planilla_General_29-11-2012_10_'!I1126,"AAAAAH9+5r4=")</f>
        <v>#VALUE!</v>
      </c>
      <c r="GJ75" t="e">
        <f>AND('Planilla_General_29-11-2012_10_'!J1126,"AAAAAH9+5r8=")</f>
        <v>#VALUE!</v>
      </c>
      <c r="GK75" t="e">
        <f>AND('Planilla_General_29-11-2012_10_'!K1126,"AAAAAH9+5sA=")</f>
        <v>#VALUE!</v>
      </c>
      <c r="GL75" t="e">
        <f>AND('Planilla_General_29-11-2012_10_'!L1126,"AAAAAH9+5sE=")</f>
        <v>#VALUE!</v>
      </c>
      <c r="GM75" t="e">
        <f>AND('Planilla_General_29-11-2012_10_'!M1126,"AAAAAH9+5sI=")</f>
        <v>#VALUE!</v>
      </c>
      <c r="GN75" t="e">
        <f>AND('Planilla_General_29-11-2012_10_'!N1126,"AAAAAH9+5sM=")</f>
        <v>#VALUE!</v>
      </c>
      <c r="GO75" t="e">
        <f>AND('Planilla_General_29-11-2012_10_'!O1126,"AAAAAH9+5sQ=")</f>
        <v>#VALUE!</v>
      </c>
      <c r="GP75" t="e">
        <f>AND('Planilla_General_29-11-2012_10_'!P1126,"AAAAAH9+5sU=")</f>
        <v>#VALUE!</v>
      </c>
      <c r="GQ75">
        <f>IF('Planilla_General_29-11-2012_10_'!1127:1127,"AAAAAH9+5sY=",0)</f>
        <v>0</v>
      </c>
      <c r="GR75" t="e">
        <f>AND('Planilla_General_29-11-2012_10_'!A1127,"AAAAAH9+5sc=")</f>
        <v>#VALUE!</v>
      </c>
      <c r="GS75" t="e">
        <f>AND('Planilla_General_29-11-2012_10_'!B1127,"AAAAAH9+5sg=")</f>
        <v>#VALUE!</v>
      </c>
      <c r="GT75" t="e">
        <f>AND('Planilla_General_29-11-2012_10_'!C1127,"AAAAAH9+5sk=")</f>
        <v>#VALUE!</v>
      </c>
      <c r="GU75" t="e">
        <f>AND('Planilla_General_29-11-2012_10_'!D1127,"AAAAAH9+5so=")</f>
        <v>#VALUE!</v>
      </c>
      <c r="GV75" t="e">
        <f>AND('Planilla_General_29-11-2012_10_'!E1127,"AAAAAH9+5ss=")</f>
        <v>#VALUE!</v>
      </c>
      <c r="GW75" t="e">
        <f>AND('Planilla_General_29-11-2012_10_'!F1127,"AAAAAH9+5sw=")</f>
        <v>#VALUE!</v>
      </c>
      <c r="GX75" t="e">
        <f>AND('Planilla_General_29-11-2012_10_'!G1127,"AAAAAH9+5s0=")</f>
        <v>#VALUE!</v>
      </c>
      <c r="GY75" t="e">
        <f>AND('Planilla_General_29-11-2012_10_'!H1127,"AAAAAH9+5s4=")</f>
        <v>#VALUE!</v>
      </c>
      <c r="GZ75" t="e">
        <f>AND('Planilla_General_29-11-2012_10_'!I1127,"AAAAAH9+5s8=")</f>
        <v>#VALUE!</v>
      </c>
      <c r="HA75" t="e">
        <f>AND('Planilla_General_29-11-2012_10_'!J1127,"AAAAAH9+5tA=")</f>
        <v>#VALUE!</v>
      </c>
      <c r="HB75" t="e">
        <f>AND('Planilla_General_29-11-2012_10_'!K1127,"AAAAAH9+5tE=")</f>
        <v>#VALUE!</v>
      </c>
      <c r="HC75" t="e">
        <f>AND('Planilla_General_29-11-2012_10_'!L1127,"AAAAAH9+5tI=")</f>
        <v>#VALUE!</v>
      </c>
      <c r="HD75" t="e">
        <f>AND('Planilla_General_29-11-2012_10_'!M1127,"AAAAAH9+5tM=")</f>
        <v>#VALUE!</v>
      </c>
      <c r="HE75" t="e">
        <f>AND('Planilla_General_29-11-2012_10_'!N1127,"AAAAAH9+5tQ=")</f>
        <v>#VALUE!</v>
      </c>
      <c r="HF75" t="e">
        <f>AND('Planilla_General_29-11-2012_10_'!O1127,"AAAAAH9+5tU=")</f>
        <v>#VALUE!</v>
      </c>
      <c r="HG75" t="e">
        <f>AND('Planilla_General_29-11-2012_10_'!P1127,"AAAAAH9+5tY=")</f>
        <v>#VALUE!</v>
      </c>
      <c r="HH75">
        <f>IF('Planilla_General_29-11-2012_10_'!1128:1128,"AAAAAH9+5tc=",0)</f>
        <v>0</v>
      </c>
      <c r="HI75" t="e">
        <f>AND('Planilla_General_29-11-2012_10_'!A1128,"AAAAAH9+5tg=")</f>
        <v>#VALUE!</v>
      </c>
      <c r="HJ75" t="e">
        <f>AND('Planilla_General_29-11-2012_10_'!B1128,"AAAAAH9+5tk=")</f>
        <v>#VALUE!</v>
      </c>
      <c r="HK75" t="e">
        <f>AND('Planilla_General_29-11-2012_10_'!C1128,"AAAAAH9+5to=")</f>
        <v>#VALUE!</v>
      </c>
      <c r="HL75" t="e">
        <f>AND('Planilla_General_29-11-2012_10_'!D1128,"AAAAAH9+5ts=")</f>
        <v>#VALUE!</v>
      </c>
      <c r="HM75" t="e">
        <f>AND('Planilla_General_29-11-2012_10_'!E1128,"AAAAAH9+5tw=")</f>
        <v>#VALUE!</v>
      </c>
      <c r="HN75" t="e">
        <f>AND('Planilla_General_29-11-2012_10_'!F1128,"AAAAAH9+5t0=")</f>
        <v>#VALUE!</v>
      </c>
      <c r="HO75" t="e">
        <f>AND('Planilla_General_29-11-2012_10_'!G1128,"AAAAAH9+5t4=")</f>
        <v>#VALUE!</v>
      </c>
      <c r="HP75" t="e">
        <f>AND('Planilla_General_29-11-2012_10_'!H1128,"AAAAAH9+5t8=")</f>
        <v>#VALUE!</v>
      </c>
      <c r="HQ75" t="e">
        <f>AND('Planilla_General_29-11-2012_10_'!I1128,"AAAAAH9+5uA=")</f>
        <v>#VALUE!</v>
      </c>
      <c r="HR75" t="e">
        <f>AND('Planilla_General_29-11-2012_10_'!J1128,"AAAAAH9+5uE=")</f>
        <v>#VALUE!</v>
      </c>
      <c r="HS75" t="e">
        <f>AND('Planilla_General_29-11-2012_10_'!K1128,"AAAAAH9+5uI=")</f>
        <v>#VALUE!</v>
      </c>
      <c r="HT75" t="e">
        <f>AND('Planilla_General_29-11-2012_10_'!L1128,"AAAAAH9+5uM=")</f>
        <v>#VALUE!</v>
      </c>
      <c r="HU75" t="e">
        <f>AND('Planilla_General_29-11-2012_10_'!M1128,"AAAAAH9+5uQ=")</f>
        <v>#VALUE!</v>
      </c>
      <c r="HV75" t="e">
        <f>AND('Planilla_General_29-11-2012_10_'!N1128,"AAAAAH9+5uU=")</f>
        <v>#VALUE!</v>
      </c>
      <c r="HW75" t="e">
        <f>AND('Planilla_General_29-11-2012_10_'!O1128,"AAAAAH9+5uY=")</f>
        <v>#VALUE!</v>
      </c>
      <c r="HX75" t="e">
        <f>AND('Planilla_General_29-11-2012_10_'!P1128,"AAAAAH9+5uc=")</f>
        <v>#VALUE!</v>
      </c>
      <c r="HY75">
        <f>IF('Planilla_General_29-11-2012_10_'!1129:1129,"AAAAAH9+5ug=",0)</f>
        <v>0</v>
      </c>
      <c r="HZ75" t="e">
        <f>AND('Planilla_General_29-11-2012_10_'!A1129,"AAAAAH9+5uk=")</f>
        <v>#VALUE!</v>
      </c>
      <c r="IA75" t="e">
        <f>AND('Planilla_General_29-11-2012_10_'!B1129,"AAAAAH9+5uo=")</f>
        <v>#VALUE!</v>
      </c>
      <c r="IB75" t="e">
        <f>AND('Planilla_General_29-11-2012_10_'!C1129,"AAAAAH9+5us=")</f>
        <v>#VALUE!</v>
      </c>
      <c r="IC75" t="e">
        <f>AND('Planilla_General_29-11-2012_10_'!D1129,"AAAAAH9+5uw=")</f>
        <v>#VALUE!</v>
      </c>
      <c r="ID75" t="e">
        <f>AND('Planilla_General_29-11-2012_10_'!E1129,"AAAAAH9+5u0=")</f>
        <v>#VALUE!</v>
      </c>
      <c r="IE75" t="e">
        <f>AND('Planilla_General_29-11-2012_10_'!F1129,"AAAAAH9+5u4=")</f>
        <v>#VALUE!</v>
      </c>
      <c r="IF75" t="e">
        <f>AND('Planilla_General_29-11-2012_10_'!G1129,"AAAAAH9+5u8=")</f>
        <v>#VALUE!</v>
      </c>
      <c r="IG75" t="e">
        <f>AND('Planilla_General_29-11-2012_10_'!H1129,"AAAAAH9+5vA=")</f>
        <v>#VALUE!</v>
      </c>
      <c r="IH75" t="e">
        <f>AND('Planilla_General_29-11-2012_10_'!I1129,"AAAAAH9+5vE=")</f>
        <v>#VALUE!</v>
      </c>
      <c r="II75" t="e">
        <f>AND('Planilla_General_29-11-2012_10_'!J1129,"AAAAAH9+5vI=")</f>
        <v>#VALUE!</v>
      </c>
      <c r="IJ75" t="e">
        <f>AND('Planilla_General_29-11-2012_10_'!K1129,"AAAAAH9+5vM=")</f>
        <v>#VALUE!</v>
      </c>
      <c r="IK75" t="e">
        <f>AND('Planilla_General_29-11-2012_10_'!L1129,"AAAAAH9+5vQ=")</f>
        <v>#VALUE!</v>
      </c>
      <c r="IL75" t="e">
        <f>AND('Planilla_General_29-11-2012_10_'!M1129,"AAAAAH9+5vU=")</f>
        <v>#VALUE!</v>
      </c>
      <c r="IM75" t="e">
        <f>AND('Planilla_General_29-11-2012_10_'!N1129,"AAAAAH9+5vY=")</f>
        <v>#VALUE!</v>
      </c>
      <c r="IN75" t="e">
        <f>AND('Planilla_General_29-11-2012_10_'!O1129,"AAAAAH9+5vc=")</f>
        <v>#VALUE!</v>
      </c>
      <c r="IO75" t="e">
        <f>AND('Planilla_General_29-11-2012_10_'!P1129,"AAAAAH9+5vg=")</f>
        <v>#VALUE!</v>
      </c>
      <c r="IP75">
        <f>IF('Planilla_General_29-11-2012_10_'!1130:1130,"AAAAAH9+5vk=",0)</f>
        <v>0</v>
      </c>
      <c r="IQ75" t="e">
        <f>AND('Planilla_General_29-11-2012_10_'!A1130,"AAAAAH9+5vo=")</f>
        <v>#VALUE!</v>
      </c>
      <c r="IR75" t="e">
        <f>AND('Planilla_General_29-11-2012_10_'!B1130,"AAAAAH9+5vs=")</f>
        <v>#VALUE!</v>
      </c>
      <c r="IS75" t="e">
        <f>AND('Planilla_General_29-11-2012_10_'!C1130,"AAAAAH9+5vw=")</f>
        <v>#VALUE!</v>
      </c>
      <c r="IT75" t="e">
        <f>AND('Planilla_General_29-11-2012_10_'!D1130,"AAAAAH9+5v0=")</f>
        <v>#VALUE!</v>
      </c>
      <c r="IU75" t="e">
        <f>AND('Planilla_General_29-11-2012_10_'!E1130,"AAAAAH9+5v4=")</f>
        <v>#VALUE!</v>
      </c>
      <c r="IV75" t="e">
        <f>AND('Planilla_General_29-11-2012_10_'!F1130,"AAAAAH9+5v8=")</f>
        <v>#VALUE!</v>
      </c>
    </row>
    <row r="76" spans="1:256" x14ac:dyDescent="0.25">
      <c r="A76" t="e">
        <f>AND('Planilla_General_29-11-2012_10_'!G1130,"AAAAAGp07QA=")</f>
        <v>#VALUE!</v>
      </c>
      <c r="B76" t="e">
        <f>AND('Planilla_General_29-11-2012_10_'!H1130,"AAAAAGp07QE=")</f>
        <v>#VALUE!</v>
      </c>
      <c r="C76" t="e">
        <f>AND('Planilla_General_29-11-2012_10_'!I1130,"AAAAAGp07QI=")</f>
        <v>#VALUE!</v>
      </c>
      <c r="D76" t="e">
        <f>AND('Planilla_General_29-11-2012_10_'!J1130,"AAAAAGp07QM=")</f>
        <v>#VALUE!</v>
      </c>
      <c r="E76" t="e">
        <f>AND('Planilla_General_29-11-2012_10_'!K1130,"AAAAAGp07QQ=")</f>
        <v>#VALUE!</v>
      </c>
      <c r="F76" t="e">
        <f>AND('Planilla_General_29-11-2012_10_'!L1130,"AAAAAGp07QU=")</f>
        <v>#VALUE!</v>
      </c>
      <c r="G76" t="e">
        <f>AND('Planilla_General_29-11-2012_10_'!M1130,"AAAAAGp07QY=")</f>
        <v>#VALUE!</v>
      </c>
      <c r="H76" t="e">
        <f>AND('Planilla_General_29-11-2012_10_'!N1130,"AAAAAGp07Qc=")</f>
        <v>#VALUE!</v>
      </c>
      <c r="I76" t="e">
        <f>AND('Planilla_General_29-11-2012_10_'!O1130,"AAAAAGp07Qg=")</f>
        <v>#VALUE!</v>
      </c>
      <c r="J76" t="e">
        <f>AND('Planilla_General_29-11-2012_10_'!P1130,"AAAAAGp07Qk=")</f>
        <v>#VALUE!</v>
      </c>
      <c r="K76" t="str">
        <f>IF('Planilla_General_29-11-2012_10_'!1131:1131,"AAAAAGp07Qo=",0)</f>
        <v>AAAAAGp07Qo=</v>
      </c>
      <c r="L76" t="e">
        <f>AND('Planilla_General_29-11-2012_10_'!A1131,"AAAAAGp07Qs=")</f>
        <v>#VALUE!</v>
      </c>
      <c r="M76" t="e">
        <f>AND('Planilla_General_29-11-2012_10_'!B1131,"AAAAAGp07Qw=")</f>
        <v>#VALUE!</v>
      </c>
      <c r="N76" t="e">
        <f>AND('Planilla_General_29-11-2012_10_'!C1131,"AAAAAGp07Q0=")</f>
        <v>#VALUE!</v>
      </c>
      <c r="O76" t="e">
        <f>AND('Planilla_General_29-11-2012_10_'!D1131,"AAAAAGp07Q4=")</f>
        <v>#VALUE!</v>
      </c>
      <c r="P76" t="e">
        <f>AND('Planilla_General_29-11-2012_10_'!E1131,"AAAAAGp07Q8=")</f>
        <v>#VALUE!</v>
      </c>
      <c r="Q76" t="e">
        <f>AND('Planilla_General_29-11-2012_10_'!F1131,"AAAAAGp07RA=")</f>
        <v>#VALUE!</v>
      </c>
      <c r="R76" t="e">
        <f>AND('Planilla_General_29-11-2012_10_'!G1131,"AAAAAGp07RE=")</f>
        <v>#VALUE!</v>
      </c>
      <c r="S76" t="e">
        <f>AND('Planilla_General_29-11-2012_10_'!H1131,"AAAAAGp07RI=")</f>
        <v>#VALUE!</v>
      </c>
      <c r="T76" t="e">
        <f>AND('Planilla_General_29-11-2012_10_'!I1131,"AAAAAGp07RM=")</f>
        <v>#VALUE!</v>
      </c>
      <c r="U76" t="e">
        <f>AND('Planilla_General_29-11-2012_10_'!J1131,"AAAAAGp07RQ=")</f>
        <v>#VALUE!</v>
      </c>
      <c r="V76" t="e">
        <f>AND('Planilla_General_29-11-2012_10_'!K1131,"AAAAAGp07RU=")</f>
        <v>#VALUE!</v>
      </c>
      <c r="W76" t="e">
        <f>AND('Planilla_General_29-11-2012_10_'!L1131,"AAAAAGp07RY=")</f>
        <v>#VALUE!</v>
      </c>
      <c r="X76" t="e">
        <f>AND('Planilla_General_29-11-2012_10_'!M1131,"AAAAAGp07Rc=")</f>
        <v>#VALUE!</v>
      </c>
      <c r="Y76" t="e">
        <f>AND('Planilla_General_29-11-2012_10_'!N1131,"AAAAAGp07Rg=")</f>
        <v>#VALUE!</v>
      </c>
      <c r="Z76" t="e">
        <f>AND('Planilla_General_29-11-2012_10_'!O1131,"AAAAAGp07Rk=")</f>
        <v>#VALUE!</v>
      </c>
      <c r="AA76" t="e">
        <f>AND('Planilla_General_29-11-2012_10_'!P1131,"AAAAAGp07Ro=")</f>
        <v>#VALUE!</v>
      </c>
      <c r="AB76">
        <f>IF('Planilla_General_29-11-2012_10_'!1132:1132,"AAAAAGp07Rs=",0)</f>
        <v>0</v>
      </c>
      <c r="AC76" t="e">
        <f>AND('Planilla_General_29-11-2012_10_'!A1132,"AAAAAGp07Rw=")</f>
        <v>#VALUE!</v>
      </c>
      <c r="AD76" t="e">
        <f>AND('Planilla_General_29-11-2012_10_'!B1132,"AAAAAGp07R0=")</f>
        <v>#VALUE!</v>
      </c>
      <c r="AE76" t="e">
        <f>AND('Planilla_General_29-11-2012_10_'!C1132,"AAAAAGp07R4=")</f>
        <v>#VALUE!</v>
      </c>
      <c r="AF76" t="e">
        <f>AND('Planilla_General_29-11-2012_10_'!D1132,"AAAAAGp07R8=")</f>
        <v>#VALUE!</v>
      </c>
      <c r="AG76" t="e">
        <f>AND('Planilla_General_29-11-2012_10_'!E1132,"AAAAAGp07SA=")</f>
        <v>#VALUE!</v>
      </c>
      <c r="AH76" t="e">
        <f>AND('Planilla_General_29-11-2012_10_'!F1132,"AAAAAGp07SE=")</f>
        <v>#VALUE!</v>
      </c>
      <c r="AI76" t="e">
        <f>AND('Planilla_General_29-11-2012_10_'!G1132,"AAAAAGp07SI=")</f>
        <v>#VALUE!</v>
      </c>
      <c r="AJ76" t="e">
        <f>AND('Planilla_General_29-11-2012_10_'!H1132,"AAAAAGp07SM=")</f>
        <v>#VALUE!</v>
      </c>
      <c r="AK76" t="e">
        <f>AND('Planilla_General_29-11-2012_10_'!I1132,"AAAAAGp07SQ=")</f>
        <v>#VALUE!</v>
      </c>
      <c r="AL76" t="e">
        <f>AND('Planilla_General_29-11-2012_10_'!J1132,"AAAAAGp07SU=")</f>
        <v>#VALUE!</v>
      </c>
      <c r="AM76" t="e">
        <f>AND('Planilla_General_29-11-2012_10_'!K1132,"AAAAAGp07SY=")</f>
        <v>#VALUE!</v>
      </c>
      <c r="AN76" t="e">
        <f>AND('Planilla_General_29-11-2012_10_'!L1132,"AAAAAGp07Sc=")</f>
        <v>#VALUE!</v>
      </c>
      <c r="AO76" t="e">
        <f>AND('Planilla_General_29-11-2012_10_'!M1132,"AAAAAGp07Sg=")</f>
        <v>#VALUE!</v>
      </c>
      <c r="AP76" t="e">
        <f>AND('Planilla_General_29-11-2012_10_'!N1132,"AAAAAGp07Sk=")</f>
        <v>#VALUE!</v>
      </c>
      <c r="AQ76" t="e">
        <f>AND('Planilla_General_29-11-2012_10_'!O1132,"AAAAAGp07So=")</f>
        <v>#VALUE!</v>
      </c>
      <c r="AR76" t="e">
        <f>AND('Planilla_General_29-11-2012_10_'!P1132,"AAAAAGp07Ss=")</f>
        <v>#VALUE!</v>
      </c>
      <c r="AS76">
        <f>IF('Planilla_General_29-11-2012_10_'!1133:1133,"AAAAAGp07Sw=",0)</f>
        <v>0</v>
      </c>
      <c r="AT76" t="e">
        <f>AND('Planilla_General_29-11-2012_10_'!A1133,"AAAAAGp07S0=")</f>
        <v>#VALUE!</v>
      </c>
      <c r="AU76" t="e">
        <f>AND('Planilla_General_29-11-2012_10_'!B1133,"AAAAAGp07S4=")</f>
        <v>#VALUE!</v>
      </c>
      <c r="AV76" t="e">
        <f>AND('Planilla_General_29-11-2012_10_'!C1133,"AAAAAGp07S8=")</f>
        <v>#VALUE!</v>
      </c>
      <c r="AW76" t="e">
        <f>AND('Planilla_General_29-11-2012_10_'!D1133,"AAAAAGp07TA=")</f>
        <v>#VALUE!</v>
      </c>
      <c r="AX76" t="e">
        <f>AND('Planilla_General_29-11-2012_10_'!E1133,"AAAAAGp07TE=")</f>
        <v>#VALUE!</v>
      </c>
      <c r="AY76" t="e">
        <f>AND('Planilla_General_29-11-2012_10_'!F1133,"AAAAAGp07TI=")</f>
        <v>#VALUE!</v>
      </c>
      <c r="AZ76" t="e">
        <f>AND('Planilla_General_29-11-2012_10_'!G1133,"AAAAAGp07TM=")</f>
        <v>#VALUE!</v>
      </c>
      <c r="BA76" t="e">
        <f>AND('Planilla_General_29-11-2012_10_'!H1133,"AAAAAGp07TQ=")</f>
        <v>#VALUE!</v>
      </c>
      <c r="BB76" t="e">
        <f>AND('Planilla_General_29-11-2012_10_'!I1133,"AAAAAGp07TU=")</f>
        <v>#VALUE!</v>
      </c>
      <c r="BC76" t="e">
        <f>AND('Planilla_General_29-11-2012_10_'!J1133,"AAAAAGp07TY=")</f>
        <v>#VALUE!</v>
      </c>
      <c r="BD76" t="e">
        <f>AND('Planilla_General_29-11-2012_10_'!K1133,"AAAAAGp07Tc=")</f>
        <v>#VALUE!</v>
      </c>
      <c r="BE76" t="e">
        <f>AND('Planilla_General_29-11-2012_10_'!L1133,"AAAAAGp07Tg=")</f>
        <v>#VALUE!</v>
      </c>
      <c r="BF76" t="e">
        <f>AND('Planilla_General_29-11-2012_10_'!M1133,"AAAAAGp07Tk=")</f>
        <v>#VALUE!</v>
      </c>
      <c r="BG76" t="e">
        <f>AND('Planilla_General_29-11-2012_10_'!N1133,"AAAAAGp07To=")</f>
        <v>#VALUE!</v>
      </c>
      <c r="BH76" t="e">
        <f>AND('Planilla_General_29-11-2012_10_'!O1133,"AAAAAGp07Ts=")</f>
        <v>#VALUE!</v>
      </c>
      <c r="BI76" t="e">
        <f>AND('Planilla_General_29-11-2012_10_'!P1133,"AAAAAGp07Tw=")</f>
        <v>#VALUE!</v>
      </c>
      <c r="BJ76">
        <f>IF('Planilla_General_29-11-2012_10_'!1134:1134,"AAAAAGp07T0=",0)</f>
        <v>0</v>
      </c>
      <c r="BK76" t="e">
        <f>AND('Planilla_General_29-11-2012_10_'!A1134,"AAAAAGp07T4=")</f>
        <v>#VALUE!</v>
      </c>
      <c r="BL76" t="e">
        <f>AND('Planilla_General_29-11-2012_10_'!B1134,"AAAAAGp07T8=")</f>
        <v>#VALUE!</v>
      </c>
      <c r="BM76" t="e">
        <f>AND('Planilla_General_29-11-2012_10_'!C1134,"AAAAAGp07UA=")</f>
        <v>#VALUE!</v>
      </c>
      <c r="BN76" t="e">
        <f>AND('Planilla_General_29-11-2012_10_'!D1134,"AAAAAGp07UE=")</f>
        <v>#VALUE!</v>
      </c>
      <c r="BO76" t="e">
        <f>AND('Planilla_General_29-11-2012_10_'!E1134,"AAAAAGp07UI=")</f>
        <v>#VALUE!</v>
      </c>
      <c r="BP76" t="e">
        <f>AND('Planilla_General_29-11-2012_10_'!F1134,"AAAAAGp07UM=")</f>
        <v>#VALUE!</v>
      </c>
      <c r="BQ76" t="e">
        <f>AND('Planilla_General_29-11-2012_10_'!G1134,"AAAAAGp07UQ=")</f>
        <v>#VALUE!</v>
      </c>
      <c r="BR76" t="e">
        <f>AND('Planilla_General_29-11-2012_10_'!H1134,"AAAAAGp07UU=")</f>
        <v>#VALUE!</v>
      </c>
      <c r="BS76" t="e">
        <f>AND('Planilla_General_29-11-2012_10_'!I1134,"AAAAAGp07UY=")</f>
        <v>#VALUE!</v>
      </c>
      <c r="BT76" t="e">
        <f>AND('Planilla_General_29-11-2012_10_'!J1134,"AAAAAGp07Uc=")</f>
        <v>#VALUE!</v>
      </c>
      <c r="BU76" t="e">
        <f>AND('Planilla_General_29-11-2012_10_'!K1134,"AAAAAGp07Ug=")</f>
        <v>#VALUE!</v>
      </c>
      <c r="BV76" t="e">
        <f>AND('Planilla_General_29-11-2012_10_'!L1134,"AAAAAGp07Uk=")</f>
        <v>#VALUE!</v>
      </c>
      <c r="BW76" t="e">
        <f>AND('Planilla_General_29-11-2012_10_'!M1134,"AAAAAGp07Uo=")</f>
        <v>#VALUE!</v>
      </c>
      <c r="BX76" t="e">
        <f>AND('Planilla_General_29-11-2012_10_'!N1134,"AAAAAGp07Us=")</f>
        <v>#VALUE!</v>
      </c>
      <c r="BY76" t="e">
        <f>AND('Planilla_General_29-11-2012_10_'!O1134,"AAAAAGp07Uw=")</f>
        <v>#VALUE!</v>
      </c>
      <c r="BZ76" t="e">
        <f>AND('Planilla_General_29-11-2012_10_'!P1134,"AAAAAGp07U0=")</f>
        <v>#VALUE!</v>
      </c>
      <c r="CA76">
        <f>IF('Planilla_General_29-11-2012_10_'!1135:1135,"AAAAAGp07U4=",0)</f>
        <v>0</v>
      </c>
      <c r="CB76" t="e">
        <f>AND('Planilla_General_29-11-2012_10_'!A1135,"AAAAAGp07U8=")</f>
        <v>#VALUE!</v>
      </c>
      <c r="CC76" t="e">
        <f>AND('Planilla_General_29-11-2012_10_'!B1135,"AAAAAGp07VA=")</f>
        <v>#VALUE!</v>
      </c>
      <c r="CD76" t="e">
        <f>AND('Planilla_General_29-11-2012_10_'!C1135,"AAAAAGp07VE=")</f>
        <v>#VALUE!</v>
      </c>
      <c r="CE76" t="e">
        <f>AND('Planilla_General_29-11-2012_10_'!D1135,"AAAAAGp07VI=")</f>
        <v>#VALUE!</v>
      </c>
      <c r="CF76" t="e">
        <f>AND('Planilla_General_29-11-2012_10_'!E1135,"AAAAAGp07VM=")</f>
        <v>#VALUE!</v>
      </c>
      <c r="CG76" t="e">
        <f>AND('Planilla_General_29-11-2012_10_'!F1135,"AAAAAGp07VQ=")</f>
        <v>#VALUE!</v>
      </c>
      <c r="CH76" t="e">
        <f>AND('Planilla_General_29-11-2012_10_'!G1135,"AAAAAGp07VU=")</f>
        <v>#VALUE!</v>
      </c>
      <c r="CI76" t="e">
        <f>AND('Planilla_General_29-11-2012_10_'!H1135,"AAAAAGp07VY=")</f>
        <v>#VALUE!</v>
      </c>
      <c r="CJ76" t="e">
        <f>AND('Planilla_General_29-11-2012_10_'!I1135,"AAAAAGp07Vc=")</f>
        <v>#VALUE!</v>
      </c>
      <c r="CK76" t="e">
        <f>AND('Planilla_General_29-11-2012_10_'!J1135,"AAAAAGp07Vg=")</f>
        <v>#VALUE!</v>
      </c>
      <c r="CL76" t="e">
        <f>AND('Planilla_General_29-11-2012_10_'!K1135,"AAAAAGp07Vk=")</f>
        <v>#VALUE!</v>
      </c>
      <c r="CM76" t="e">
        <f>AND('Planilla_General_29-11-2012_10_'!L1135,"AAAAAGp07Vo=")</f>
        <v>#VALUE!</v>
      </c>
      <c r="CN76" t="e">
        <f>AND('Planilla_General_29-11-2012_10_'!M1135,"AAAAAGp07Vs=")</f>
        <v>#VALUE!</v>
      </c>
      <c r="CO76" t="e">
        <f>AND('Planilla_General_29-11-2012_10_'!N1135,"AAAAAGp07Vw=")</f>
        <v>#VALUE!</v>
      </c>
      <c r="CP76" t="e">
        <f>AND('Planilla_General_29-11-2012_10_'!O1135,"AAAAAGp07V0=")</f>
        <v>#VALUE!</v>
      </c>
      <c r="CQ76" t="e">
        <f>AND('Planilla_General_29-11-2012_10_'!P1135,"AAAAAGp07V4=")</f>
        <v>#VALUE!</v>
      </c>
      <c r="CR76">
        <f>IF('Planilla_General_29-11-2012_10_'!1136:1136,"AAAAAGp07V8=",0)</f>
        <v>0</v>
      </c>
      <c r="CS76" t="e">
        <f>AND('Planilla_General_29-11-2012_10_'!A1136,"AAAAAGp07WA=")</f>
        <v>#VALUE!</v>
      </c>
      <c r="CT76" t="e">
        <f>AND('Planilla_General_29-11-2012_10_'!B1136,"AAAAAGp07WE=")</f>
        <v>#VALUE!</v>
      </c>
      <c r="CU76" t="e">
        <f>AND('Planilla_General_29-11-2012_10_'!C1136,"AAAAAGp07WI=")</f>
        <v>#VALUE!</v>
      </c>
      <c r="CV76" t="e">
        <f>AND('Planilla_General_29-11-2012_10_'!D1136,"AAAAAGp07WM=")</f>
        <v>#VALUE!</v>
      </c>
      <c r="CW76" t="e">
        <f>AND('Planilla_General_29-11-2012_10_'!E1136,"AAAAAGp07WQ=")</f>
        <v>#VALUE!</v>
      </c>
      <c r="CX76" t="e">
        <f>AND('Planilla_General_29-11-2012_10_'!F1136,"AAAAAGp07WU=")</f>
        <v>#VALUE!</v>
      </c>
      <c r="CY76" t="e">
        <f>AND('Planilla_General_29-11-2012_10_'!G1136,"AAAAAGp07WY=")</f>
        <v>#VALUE!</v>
      </c>
      <c r="CZ76" t="e">
        <f>AND('Planilla_General_29-11-2012_10_'!H1136,"AAAAAGp07Wc=")</f>
        <v>#VALUE!</v>
      </c>
      <c r="DA76" t="e">
        <f>AND('Planilla_General_29-11-2012_10_'!I1136,"AAAAAGp07Wg=")</f>
        <v>#VALUE!</v>
      </c>
      <c r="DB76" t="e">
        <f>AND('Planilla_General_29-11-2012_10_'!J1136,"AAAAAGp07Wk=")</f>
        <v>#VALUE!</v>
      </c>
      <c r="DC76" t="e">
        <f>AND('Planilla_General_29-11-2012_10_'!K1136,"AAAAAGp07Wo=")</f>
        <v>#VALUE!</v>
      </c>
      <c r="DD76" t="e">
        <f>AND('Planilla_General_29-11-2012_10_'!L1136,"AAAAAGp07Ws=")</f>
        <v>#VALUE!</v>
      </c>
      <c r="DE76" t="e">
        <f>AND('Planilla_General_29-11-2012_10_'!M1136,"AAAAAGp07Ww=")</f>
        <v>#VALUE!</v>
      </c>
      <c r="DF76" t="e">
        <f>AND('Planilla_General_29-11-2012_10_'!N1136,"AAAAAGp07W0=")</f>
        <v>#VALUE!</v>
      </c>
      <c r="DG76" t="e">
        <f>AND('Planilla_General_29-11-2012_10_'!O1136,"AAAAAGp07W4=")</f>
        <v>#VALUE!</v>
      </c>
      <c r="DH76" t="e">
        <f>AND('Planilla_General_29-11-2012_10_'!P1136,"AAAAAGp07W8=")</f>
        <v>#VALUE!</v>
      </c>
      <c r="DI76">
        <f>IF('Planilla_General_29-11-2012_10_'!1137:1137,"AAAAAGp07XA=",0)</f>
        <v>0</v>
      </c>
      <c r="DJ76" t="e">
        <f>AND('Planilla_General_29-11-2012_10_'!A1137,"AAAAAGp07XE=")</f>
        <v>#VALUE!</v>
      </c>
      <c r="DK76" t="e">
        <f>AND('Planilla_General_29-11-2012_10_'!B1137,"AAAAAGp07XI=")</f>
        <v>#VALUE!</v>
      </c>
      <c r="DL76" t="e">
        <f>AND('Planilla_General_29-11-2012_10_'!C1137,"AAAAAGp07XM=")</f>
        <v>#VALUE!</v>
      </c>
      <c r="DM76" t="e">
        <f>AND('Planilla_General_29-11-2012_10_'!D1137,"AAAAAGp07XQ=")</f>
        <v>#VALUE!</v>
      </c>
      <c r="DN76" t="e">
        <f>AND('Planilla_General_29-11-2012_10_'!E1137,"AAAAAGp07XU=")</f>
        <v>#VALUE!</v>
      </c>
      <c r="DO76" t="e">
        <f>AND('Planilla_General_29-11-2012_10_'!F1137,"AAAAAGp07XY=")</f>
        <v>#VALUE!</v>
      </c>
      <c r="DP76" t="e">
        <f>AND('Planilla_General_29-11-2012_10_'!G1137,"AAAAAGp07Xc=")</f>
        <v>#VALUE!</v>
      </c>
      <c r="DQ76" t="e">
        <f>AND('Planilla_General_29-11-2012_10_'!H1137,"AAAAAGp07Xg=")</f>
        <v>#VALUE!</v>
      </c>
      <c r="DR76" t="e">
        <f>AND('Planilla_General_29-11-2012_10_'!I1137,"AAAAAGp07Xk=")</f>
        <v>#VALUE!</v>
      </c>
      <c r="DS76" t="e">
        <f>AND('Planilla_General_29-11-2012_10_'!J1137,"AAAAAGp07Xo=")</f>
        <v>#VALUE!</v>
      </c>
      <c r="DT76" t="e">
        <f>AND('Planilla_General_29-11-2012_10_'!K1137,"AAAAAGp07Xs=")</f>
        <v>#VALUE!</v>
      </c>
      <c r="DU76" t="e">
        <f>AND('Planilla_General_29-11-2012_10_'!L1137,"AAAAAGp07Xw=")</f>
        <v>#VALUE!</v>
      </c>
      <c r="DV76" t="e">
        <f>AND('Planilla_General_29-11-2012_10_'!M1137,"AAAAAGp07X0=")</f>
        <v>#VALUE!</v>
      </c>
      <c r="DW76" t="e">
        <f>AND('Planilla_General_29-11-2012_10_'!N1137,"AAAAAGp07X4=")</f>
        <v>#VALUE!</v>
      </c>
      <c r="DX76" t="e">
        <f>AND('Planilla_General_29-11-2012_10_'!O1137,"AAAAAGp07X8=")</f>
        <v>#VALUE!</v>
      </c>
      <c r="DY76" t="e">
        <f>AND('Planilla_General_29-11-2012_10_'!P1137,"AAAAAGp07YA=")</f>
        <v>#VALUE!</v>
      </c>
      <c r="DZ76">
        <f>IF('Planilla_General_29-11-2012_10_'!1138:1138,"AAAAAGp07YE=",0)</f>
        <v>0</v>
      </c>
      <c r="EA76" t="e">
        <f>AND('Planilla_General_29-11-2012_10_'!A1138,"AAAAAGp07YI=")</f>
        <v>#VALUE!</v>
      </c>
      <c r="EB76" t="e">
        <f>AND('Planilla_General_29-11-2012_10_'!B1138,"AAAAAGp07YM=")</f>
        <v>#VALUE!</v>
      </c>
      <c r="EC76" t="e">
        <f>AND('Planilla_General_29-11-2012_10_'!C1138,"AAAAAGp07YQ=")</f>
        <v>#VALUE!</v>
      </c>
      <c r="ED76" t="e">
        <f>AND('Planilla_General_29-11-2012_10_'!D1138,"AAAAAGp07YU=")</f>
        <v>#VALUE!</v>
      </c>
      <c r="EE76" t="e">
        <f>AND('Planilla_General_29-11-2012_10_'!E1138,"AAAAAGp07YY=")</f>
        <v>#VALUE!</v>
      </c>
      <c r="EF76" t="e">
        <f>AND('Planilla_General_29-11-2012_10_'!F1138,"AAAAAGp07Yc=")</f>
        <v>#VALUE!</v>
      </c>
      <c r="EG76" t="e">
        <f>AND('Planilla_General_29-11-2012_10_'!G1138,"AAAAAGp07Yg=")</f>
        <v>#VALUE!</v>
      </c>
      <c r="EH76" t="e">
        <f>AND('Planilla_General_29-11-2012_10_'!H1138,"AAAAAGp07Yk=")</f>
        <v>#VALUE!</v>
      </c>
      <c r="EI76" t="e">
        <f>AND('Planilla_General_29-11-2012_10_'!I1138,"AAAAAGp07Yo=")</f>
        <v>#VALUE!</v>
      </c>
      <c r="EJ76" t="e">
        <f>AND('Planilla_General_29-11-2012_10_'!J1138,"AAAAAGp07Ys=")</f>
        <v>#VALUE!</v>
      </c>
      <c r="EK76" t="e">
        <f>AND('Planilla_General_29-11-2012_10_'!K1138,"AAAAAGp07Yw=")</f>
        <v>#VALUE!</v>
      </c>
      <c r="EL76" t="e">
        <f>AND('Planilla_General_29-11-2012_10_'!L1138,"AAAAAGp07Y0=")</f>
        <v>#VALUE!</v>
      </c>
      <c r="EM76" t="e">
        <f>AND('Planilla_General_29-11-2012_10_'!M1138,"AAAAAGp07Y4=")</f>
        <v>#VALUE!</v>
      </c>
      <c r="EN76" t="e">
        <f>AND('Planilla_General_29-11-2012_10_'!N1138,"AAAAAGp07Y8=")</f>
        <v>#VALUE!</v>
      </c>
      <c r="EO76" t="e">
        <f>AND('Planilla_General_29-11-2012_10_'!O1138,"AAAAAGp07ZA=")</f>
        <v>#VALUE!</v>
      </c>
      <c r="EP76" t="e">
        <f>AND('Planilla_General_29-11-2012_10_'!P1138,"AAAAAGp07ZE=")</f>
        <v>#VALUE!</v>
      </c>
      <c r="EQ76">
        <f>IF('Planilla_General_29-11-2012_10_'!1139:1139,"AAAAAGp07ZI=",0)</f>
        <v>0</v>
      </c>
      <c r="ER76" t="e">
        <f>AND('Planilla_General_29-11-2012_10_'!A1139,"AAAAAGp07ZM=")</f>
        <v>#VALUE!</v>
      </c>
      <c r="ES76" t="e">
        <f>AND('Planilla_General_29-11-2012_10_'!B1139,"AAAAAGp07ZQ=")</f>
        <v>#VALUE!</v>
      </c>
      <c r="ET76" t="e">
        <f>AND('Planilla_General_29-11-2012_10_'!C1139,"AAAAAGp07ZU=")</f>
        <v>#VALUE!</v>
      </c>
      <c r="EU76" t="e">
        <f>AND('Planilla_General_29-11-2012_10_'!D1139,"AAAAAGp07ZY=")</f>
        <v>#VALUE!</v>
      </c>
      <c r="EV76" t="e">
        <f>AND('Planilla_General_29-11-2012_10_'!E1139,"AAAAAGp07Zc=")</f>
        <v>#VALUE!</v>
      </c>
      <c r="EW76" t="e">
        <f>AND('Planilla_General_29-11-2012_10_'!F1139,"AAAAAGp07Zg=")</f>
        <v>#VALUE!</v>
      </c>
      <c r="EX76" t="e">
        <f>AND('Planilla_General_29-11-2012_10_'!G1139,"AAAAAGp07Zk=")</f>
        <v>#VALUE!</v>
      </c>
      <c r="EY76" t="e">
        <f>AND('Planilla_General_29-11-2012_10_'!H1139,"AAAAAGp07Zo=")</f>
        <v>#VALUE!</v>
      </c>
      <c r="EZ76" t="e">
        <f>AND('Planilla_General_29-11-2012_10_'!I1139,"AAAAAGp07Zs=")</f>
        <v>#VALUE!</v>
      </c>
      <c r="FA76" t="e">
        <f>AND('Planilla_General_29-11-2012_10_'!J1139,"AAAAAGp07Zw=")</f>
        <v>#VALUE!</v>
      </c>
      <c r="FB76" t="e">
        <f>AND('Planilla_General_29-11-2012_10_'!K1139,"AAAAAGp07Z0=")</f>
        <v>#VALUE!</v>
      </c>
      <c r="FC76" t="e">
        <f>AND('Planilla_General_29-11-2012_10_'!L1139,"AAAAAGp07Z4=")</f>
        <v>#VALUE!</v>
      </c>
      <c r="FD76" t="e">
        <f>AND('Planilla_General_29-11-2012_10_'!M1139,"AAAAAGp07Z8=")</f>
        <v>#VALUE!</v>
      </c>
      <c r="FE76" t="e">
        <f>AND('Planilla_General_29-11-2012_10_'!N1139,"AAAAAGp07aA=")</f>
        <v>#VALUE!</v>
      </c>
      <c r="FF76" t="e">
        <f>AND('Planilla_General_29-11-2012_10_'!O1139,"AAAAAGp07aE=")</f>
        <v>#VALUE!</v>
      </c>
      <c r="FG76" t="e">
        <f>AND('Planilla_General_29-11-2012_10_'!P1139,"AAAAAGp07aI=")</f>
        <v>#VALUE!</v>
      </c>
      <c r="FH76">
        <f>IF('Planilla_General_29-11-2012_10_'!1140:1140,"AAAAAGp07aM=",0)</f>
        <v>0</v>
      </c>
      <c r="FI76" t="e">
        <f>AND('Planilla_General_29-11-2012_10_'!A1140,"AAAAAGp07aQ=")</f>
        <v>#VALUE!</v>
      </c>
      <c r="FJ76" t="e">
        <f>AND('Planilla_General_29-11-2012_10_'!B1140,"AAAAAGp07aU=")</f>
        <v>#VALUE!</v>
      </c>
      <c r="FK76" t="e">
        <f>AND('Planilla_General_29-11-2012_10_'!C1140,"AAAAAGp07aY=")</f>
        <v>#VALUE!</v>
      </c>
      <c r="FL76" t="e">
        <f>AND('Planilla_General_29-11-2012_10_'!D1140,"AAAAAGp07ac=")</f>
        <v>#VALUE!</v>
      </c>
      <c r="FM76" t="e">
        <f>AND('Planilla_General_29-11-2012_10_'!E1140,"AAAAAGp07ag=")</f>
        <v>#VALUE!</v>
      </c>
      <c r="FN76" t="e">
        <f>AND('Planilla_General_29-11-2012_10_'!F1140,"AAAAAGp07ak=")</f>
        <v>#VALUE!</v>
      </c>
      <c r="FO76" t="e">
        <f>AND('Planilla_General_29-11-2012_10_'!G1140,"AAAAAGp07ao=")</f>
        <v>#VALUE!</v>
      </c>
      <c r="FP76" t="e">
        <f>AND('Planilla_General_29-11-2012_10_'!H1140,"AAAAAGp07as=")</f>
        <v>#VALUE!</v>
      </c>
      <c r="FQ76" t="e">
        <f>AND('Planilla_General_29-11-2012_10_'!I1140,"AAAAAGp07aw=")</f>
        <v>#VALUE!</v>
      </c>
      <c r="FR76" t="e">
        <f>AND('Planilla_General_29-11-2012_10_'!J1140,"AAAAAGp07a0=")</f>
        <v>#VALUE!</v>
      </c>
      <c r="FS76" t="e">
        <f>AND('Planilla_General_29-11-2012_10_'!K1140,"AAAAAGp07a4=")</f>
        <v>#VALUE!</v>
      </c>
      <c r="FT76" t="e">
        <f>AND('Planilla_General_29-11-2012_10_'!L1140,"AAAAAGp07a8=")</f>
        <v>#VALUE!</v>
      </c>
      <c r="FU76" t="e">
        <f>AND('Planilla_General_29-11-2012_10_'!M1140,"AAAAAGp07bA=")</f>
        <v>#VALUE!</v>
      </c>
      <c r="FV76" t="e">
        <f>AND('Planilla_General_29-11-2012_10_'!N1140,"AAAAAGp07bE=")</f>
        <v>#VALUE!</v>
      </c>
      <c r="FW76" t="e">
        <f>AND('Planilla_General_29-11-2012_10_'!O1140,"AAAAAGp07bI=")</f>
        <v>#VALUE!</v>
      </c>
      <c r="FX76" t="e">
        <f>AND('Planilla_General_29-11-2012_10_'!P1140,"AAAAAGp07bM=")</f>
        <v>#VALUE!</v>
      </c>
      <c r="FY76">
        <f>IF('Planilla_General_29-11-2012_10_'!1141:1141,"AAAAAGp07bQ=",0)</f>
        <v>0</v>
      </c>
      <c r="FZ76" t="e">
        <f>AND('Planilla_General_29-11-2012_10_'!A1141,"AAAAAGp07bU=")</f>
        <v>#VALUE!</v>
      </c>
      <c r="GA76" t="e">
        <f>AND('Planilla_General_29-11-2012_10_'!B1141,"AAAAAGp07bY=")</f>
        <v>#VALUE!</v>
      </c>
      <c r="GB76" t="e">
        <f>AND('Planilla_General_29-11-2012_10_'!C1141,"AAAAAGp07bc=")</f>
        <v>#VALUE!</v>
      </c>
      <c r="GC76" t="e">
        <f>AND('Planilla_General_29-11-2012_10_'!D1141,"AAAAAGp07bg=")</f>
        <v>#VALUE!</v>
      </c>
      <c r="GD76" t="e">
        <f>AND('Planilla_General_29-11-2012_10_'!E1141,"AAAAAGp07bk=")</f>
        <v>#VALUE!</v>
      </c>
      <c r="GE76" t="e">
        <f>AND('Planilla_General_29-11-2012_10_'!F1141,"AAAAAGp07bo=")</f>
        <v>#VALUE!</v>
      </c>
      <c r="GF76" t="e">
        <f>AND('Planilla_General_29-11-2012_10_'!G1141,"AAAAAGp07bs=")</f>
        <v>#VALUE!</v>
      </c>
      <c r="GG76" t="e">
        <f>AND('Planilla_General_29-11-2012_10_'!H1141,"AAAAAGp07bw=")</f>
        <v>#VALUE!</v>
      </c>
      <c r="GH76" t="e">
        <f>AND('Planilla_General_29-11-2012_10_'!I1141,"AAAAAGp07b0=")</f>
        <v>#VALUE!</v>
      </c>
      <c r="GI76" t="e">
        <f>AND('Planilla_General_29-11-2012_10_'!J1141,"AAAAAGp07b4=")</f>
        <v>#VALUE!</v>
      </c>
      <c r="GJ76" t="e">
        <f>AND('Planilla_General_29-11-2012_10_'!K1141,"AAAAAGp07b8=")</f>
        <v>#VALUE!</v>
      </c>
      <c r="GK76" t="e">
        <f>AND('Planilla_General_29-11-2012_10_'!L1141,"AAAAAGp07cA=")</f>
        <v>#VALUE!</v>
      </c>
      <c r="GL76" t="e">
        <f>AND('Planilla_General_29-11-2012_10_'!M1141,"AAAAAGp07cE=")</f>
        <v>#VALUE!</v>
      </c>
      <c r="GM76" t="e">
        <f>AND('Planilla_General_29-11-2012_10_'!N1141,"AAAAAGp07cI=")</f>
        <v>#VALUE!</v>
      </c>
      <c r="GN76" t="e">
        <f>AND('Planilla_General_29-11-2012_10_'!O1141,"AAAAAGp07cM=")</f>
        <v>#VALUE!</v>
      </c>
      <c r="GO76" t="e">
        <f>AND('Planilla_General_29-11-2012_10_'!P1141,"AAAAAGp07cQ=")</f>
        <v>#VALUE!</v>
      </c>
      <c r="GP76">
        <f>IF('Planilla_General_29-11-2012_10_'!1142:1142,"AAAAAGp07cU=",0)</f>
        <v>0</v>
      </c>
      <c r="GQ76" t="e">
        <f>AND('Planilla_General_29-11-2012_10_'!A1142,"AAAAAGp07cY=")</f>
        <v>#VALUE!</v>
      </c>
      <c r="GR76" t="e">
        <f>AND('Planilla_General_29-11-2012_10_'!B1142,"AAAAAGp07cc=")</f>
        <v>#VALUE!</v>
      </c>
      <c r="GS76" t="e">
        <f>AND('Planilla_General_29-11-2012_10_'!C1142,"AAAAAGp07cg=")</f>
        <v>#VALUE!</v>
      </c>
      <c r="GT76" t="e">
        <f>AND('Planilla_General_29-11-2012_10_'!D1142,"AAAAAGp07ck=")</f>
        <v>#VALUE!</v>
      </c>
      <c r="GU76" t="e">
        <f>AND('Planilla_General_29-11-2012_10_'!E1142,"AAAAAGp07co=")</f>
        <v>#VALUE!</v>
      </c>
      <c r="GV76" t="e">
        <f>AND('Planilla_General_29-11-2012_10_'!F1142,"AAAAAGp07cs=")</f>
        <v>#VALUE!</v>
      </c>
      <c r="GW76" t="e">
        <f>AND('Planilla_General_29-11-2012_10_'!G1142,"AAAAAGp07cw=")</f>
        <v>#VALUE!</v>
      </c>
      <c r="GX76" t="e">
        <f>AND('Planilla_General_29-11-2012_10_'!H1142,"AAAAAGp07c0=")</f>
        <v>#VALUE!</v>
      </c>
      <c r="GY76" t="e">
        <f>AND('Planilla_General_29-11-2012_10_'!I1142,"AAAAAGp07c4=")</f>
        <v>#VALUE!</v>
      </c>
      <c r="GZ76" t="e">
        <f>AND('Planilla_General_29-11-2012_10_'!J1142,"AAAAAGp07c8=")</f>
        <v>#VALUE!</v>
      </c>
      <c r="HA76" t="e">
        <f>AND('Planilla_General_29-11-2012_10_'!K1142,"AAAAAGp07dA=")</f>
        <v>#VALUE!</v>
      </c>
      <c r="HB76" t="e">
        <f>AND('Planilla_General_29-11-2012_10_'!L1142,"AAAAAGp07dE=")</f>
        <v>#VALUE!</v>
      </c>
      <c r="HC76" t="e">
        <f>AND('Planilla_General_29-11-2012_10_'!M1142,"AAAAAGp07dI=")</f>
        <v>#VALUE!</v>
      </c>
      <c r="HD76" t="e">
        <f>AND('Planilla_General_29-11-2012_10_'!N1142,"AAAAAGp07dM=")</f>
        <v>#VALUE!</v>
      </c>
      <c r="HE76" t="e">
        <f>AND('Planilla_General_29-11-2012_10_'!O1142,"AAAAAGp07dQ=")</f>
        <v>#VALUE!</v>
      </c>
      <c r="HF76" t="e">
        <f>AND('Planilla_General_29-11-2012_10_'!P1142,"AAAAAGp07dU=")</f>
        <v>#VALUE!</v>
      </c>
      <c r="HG76">
        <f>IF('Planilla_General_29-11-2012_10_'!1143:1143,"AAAAAGp07dY=",0)</f>
        <v>0</v>
      </c>
      <c r="HH76" t="e">
        <f>AND('Planilla_General_29-11-2012_10_'!A1143,"AAAAAGp07dc=")</f>
        <v>#VALUE!</v>
      </c>
      <c r="HI76" t="e">
        <f>AND('Planilla_General_29-11-2012_10_'!B1143,"AAAAAGp07dg=")</f>
        <v>#VALUE!</v>
      </c>
      <c r="HJ76" t="e">
        <f>AND('Planilla_General_29-11-2012_10_'!C1143,"AAAAAGp07dk=")</f>
        <v>#VALUE!</v>
      </c>
      <c r="HK76" t="e">
        <f>AND('Planilla_General_29-11-2012_10_'!D1143,"AAAAAGp07do=")</f>
        <v>#VALUE!</v>
      </c>
      <c r="HL76" t="e">
        <f>AND('Planilla_General_29-11-2012_10_'!E1143,"AAAAAGp07ds=")</f>
        <v>#VALUE!</v>
      </c>
      <c r="HM76" t="e">
        <f>AND('Planilla_General_29-11-2012_10_'!F1143,"AAAAAGp07dw=")</f>
        <v>#VALUE!</v>
      </c>
      <c r="HN76" t="e">
        <f>AND('Planilla_General_29-11-2012_10_'!G1143,"AAAAAGp07d0=")</f>
        <v>#VALUE!</v>
      </c>
      <c r="HO76" t="e">
        <f>AND('Planilla_General_29-11-2012_10_'!H1143,"AAAAAGp07d4=")</f>
        <v>#VALUE!</v>
      </c>
      <c r="HP76" t="e">
        <f>AND('Planilla_General_29-11-2012_10_'!I1143,"AAAAAGp07d8=")</f>
        <v>#VALUE!</v>
      </c>
      <c r="HQ76" t="e">
        <f>AND('Planilla_General_29-11-2012_10_'!J1143,"AAAAAGp07eA=")</f>
        <v>#VALUE!</v>
      </c>
      <c r="HR76" t="e">
        <f>AND('Planilla_General_29-11-2012_10_'!K1143,"AAAAAGp07eE=")</f>
        <v>#VALUE!</v>
      </c>
      <c r="HS76" t="e">
        <f>AND('Planilla_General_29-11-2012_10_'!L1143,"AAAAAGp07eI=")</f>
        <v>#VALUE!</v>
      </c>
      <c r="HT76" t="e">
        <f>AND('Planilla_General_29-11-2012_10_'!M1143,"AAAAAGp07eM=")</f>
        <v>#VALUE!</v>
      </c>
      <c r="HU76" t="e">
        <f>AND('Planilla_General_29-11-2012_10_'!N1143,"AAAAAGp07eQ=")</f>
        <v>#VALUE!</v>
      </c>
      <c r="HV76" t="e">
        <f>AND('Planilla_General_29-11-2012_10_'!O1143,"AAAAAGp07eU=")</f>
        <v>#VALUE!</v>
      </c>
      <c r="HW76" t="e">
        <f>AND('Planilla_General_29-11-2012_10_'!P1143,"AAAAAGp07eY=")</f>
        <v>#VALUE!</v>
      </c>
      <c r="HX76">
        <f>IF('Planilla_General_29-11-2012_10_'!1144:1144,"AAAAAGp07ec=",0)</f>
        <v>0</v>
      </c>
      <c r="HY76" t="e">
        <f>AND('Planilla_General_29-11-2012_10_'!A1144,"AAAAAGp07eg=")</f>
        <v>#VALUE!</v>
      </c>
      <c r="HZ76" t="e">
        <f>AND('Planilla_General_29-11-2012_10_'!B1144,"AAAAAGp07ek=")</f>
        <v>#VALUE!</v>
      </c>
      <c r="IA76" t="e">
        <f>AND('Planilla_General_29-11-2012_10_'!C1144,"AAAAAGp07eo=")</f>
        <v>#VALUE!</v>
      </c>
      <c r="IB76" t="e">
        <f>AND('Planilla_General_29-11-2012_10_'!D1144,"AAAAAGp07es=")</f>
        <v>#VALUE!</v>
      </c>
      <c r="IC76" t="e">
        <f>AND('Planilla_General_29-11-2012_10_'!E1144,"AAAAAGp07ew=")</f>
        <v>#VALUE!</v>
      </c>
      <c r="ID76" t="e">
        <f>AND('Planilla_General_29-11-2012_10_'!F1144,"AAAAAGp07e0=")</f>
        <v>#VALUE!</v>
      </c>
      <c r="IE76" t="e">
        <f>AND('Planilla_General_29-11-2012_10_'!G1144,"AAAAAGp07e4=")</f>
        <v>#VALUE!</v>
      </c>
      <c r="IF76" t="e">
        <f>AND('Planilla_General_29-11-2012_10_'!H1144,"AAAAAGp07e8=")</f>
        <v>#VALUE!</v>
      </c>
      <c r="IG76" t="e">
        <f>AND('Planilla_General_29-11-2012_10_'!I1144,"AAAAAGp07fA=")</f>
        <v>#VALUE!</v>
      </c>
      <c r="IH76" t="e">
        <f>AND('Planilla_General_29-11-2012_10_'!J1144,"AAAAAGp07fE=")</f>
        <v>#VALUE!</v>
      </c>
      <c r="II76" t="e">
        <f>AND('Planilla_General_29-11-2012_10_'!K1144,"AAAAAGp07fI=")</f>
        <v>#VALUE!</v>
      </c>
      <c r="IJ76" t="e">
        <f>AND('Planilla_General_29-11-2012_10_'!L1144,"AAAAAGp07fM=")</f>
        <v>#VALUE!</v>
      </c>
      <c r="IK76" t="e">
        <f>AND('Planilla_General_29-11-2012_10_'!M1144,"AAAAAGp07fQ=")</f>
        <v>#VALUE!</v>
      </c>
      <c r="IL76" t="e">
        <f>AND('Planilla_General_29-11-2012_10_'!N1144,"AAAAAGp07fU=")</f>
        <v>#VALUE!</v>
      </c>
      <c r="IM76" t="e">
        <f>AND('Planilla_General_29-11-2012_10_'!O1144,"AAAAAGp07fY=")</f>
        <v>#VALUE!</v>
      </c>
      <c r="IN76" t="e">
        <f>AND('Planilla_General_29-11-2012_10_'!P1144,"AAAAAGp07fc=")</f>
        <v>#VALUE!</v>
      </c>
      <c r="IO76">
        <f>IF('Planilla_General_29-11-2012_10_'!1145:1145,"AAAAAGp07fg=",0)</f>
        <v>0</v>
      </c>
      <c r="IP76" t="e">
        <f>AND('Planilla_General_29-11-2012_10_'!A1145,"AAAAAGp07fk=")</f>
        <v>#VALUE!</v>
      </c>
      <c r="IQ76" t="e">
        <f>AND('Planilla_General_29-11-2012_10_'!B1145,"AAAAAGp07fo=")</f>
        <v>#VALUE!</v>
      </c>
      <c r="IR76" t="e">
        <f>AND('Planilla_General_29-11-2012_10_'!C1145,"AAAAAGp07fs=")</f>
        <v>#VALUE!</v>
      </c>
      <c r="IS76" t="e">
        <f>AND('Planilla_General_29-11-2012_10_'!D1145,"AAAAAGp07fw=")</f>
        <v>#VALUE!</v>
      </c>
      <c r="IT76" t="e">
        <f>AND('Planilla_General_29-11-2012_10_'!E1145,"AAAAAGp07f0=")</f>
        <v>#VALUE!</v>
      </c>
      <c r="IU76" t="e">
        <f>AND('Planilla_General_29-11-2012_10_'!F1145,"AAAAAGp07f4=")</f>
        <v>#VALUE!</v>
      </c>
      <c r="IV76" t="e">
        <f>AND('Planilla_General_29-11-2012_10_'!G1145,"AAAAAGp07f8=")</f>
        <v>#VALUE!</v>
      </c>
    </row>
    <row r="77" spans="1:256" x14ac:dyDescent="0.25">
      <c r="A77" t="e">
        <f>AND('Planilla_General_29-11-2012_10_'!H1145,"AAAAAHbUzgA=")</f>
        <v>#VALUE!</v>
      </c>
      <c r="B77" t="e">
        <f>AND('Planilla_General_29-11-2012_10_'!I1145,"AAAAAHbUzgE=")</f>
        <v>#VALUE!</v>
      </c>
      <c r="C77" t="e">
        <f>AND('Planilla_General_29-11-2012_10_'!J1145,"AAAAAHbUzgI=")</f>
        <v>#VALUE!</v>
      </c>
      <c r="D77" t="e">
        <f>AND('Planilla_General_29-11-2012_10_'!K1145,"AAAAAHbUzgM=")</f>
        <v>#VALUE!</v>
      </c>
      <c r="E77" t="e">
        <f>AND('Planilla_General_29-11-2012_10_'!L1145,"AAAAAHbUzgQ=")</f>
        <v>#VALUE!</v>
      </c>
      <c r="F77" t="e">
        <f>AND('Planilla_General_29-11-2012_10_'!M1145,"AAAAAHbUzgU=")</f>
        <v>#VALUE!</v>
      </c>
      <c r="G77" t="e">
        <f>AND('Planilla_General_29-11-2012_10_'!N1145,"AAAAAHbUzgY=")</f>
        <v>#VALUE!</v>
      </c>
      <c r="H77" t="e">
        <f>AND('Planilla_General_29-11-2012_10_'!O1145,"AAAAAHbUzgc=")</f>
        <v>#VALUE!</v>
      </c>
      <c r="I77" t="e">
        <f>AND('Planilla_General_29-11-2012_10_'!P1145,"AAAAAHbUzgg=")</f>
        <v>#VALUE!</v>
      </c>
      <c r="J77" t="e">
        <f>IF('Planilla_General_29-11-2012_10_'!1146:1146,"AAAAAHbUzgk=",0)</f>
        <v>#VALUE!</v>
      </c>
      <c r="K77" t="e">
        <f>AND('Planilla_General_29-11-2012_10_'!A1146,"AAAAAHbUzgo=")</f>
        <v>#VALUE!</v>
      </c>
      <c r="L77" t="e">
        <f>AND('Planilla_General_29-11-2012_10_'!B1146,"AAAAAHbUzgs=")</f>
        <v>#VALUE!</v>
      </c>
      <c r="M77" t="e">
        <f>AND('Planilla_General_29-11-2012_10_'!C1146,"AAAAAHbUzgw=")</f>
        <v>#VALUE!</v>
      </c>
      <c r="N77" t="e">
        <f>AND('Planilla_General_29-11-2012_10_'!D1146,"AAAAAHbUzg0=")</f>
        <v>#VALUE!</v>
      </c>
      <c r="O77" t="e">
        <f>AND('Planilla_General_29-11-2012_10_'!E1146,"AAAAAHbUzg4=")</f>
        <v>#VALUE!</v>
      </c>
      <c r="P77" t="e">
        <f>AND('Planilla_General_29-11-2012_10_'!F1146,"AAAAAHbUzg8=")</f>
        <v>#VALUE!</v>
      </c>
      <c r="Q77" t="e">
        <f>AND('Planilla_General_29-11-2012_10_'!G1146,"AAAAAHbUzhA=")</f>
        <v>#VALUE!</v>
      </c>
      <c r="R77" t="e">
        <f>AND('Planilla_General_29-11-2012_10_'!H1146,"AAAAAHbUzhE=")</f>
        <v>#VALUE!</v>
      </c>
      <c r="S77" t="e">
        <f>AND('Planilla_General_29-11-2012_10_'!I1146,"AAAAAHbUzhI=")</f>
        <v>#VALUE!</v>
      </c>
      <c r="T77" t="e">
        <f>AND('Planilla_General_29-11-2012_10_'!J1146,"AAAAAHbUzhM=")</f>
        <v>#VALUE!</v>
      </c>
      <c r="U77" t="e">
        <f>AND('Planilla_General_29-11-2012_10_'!K1146,"AAAAAHbUzhQ=")</f>
        <v>#VALUE!</v>
      </c>
      <c r="V77" t="e">
        <f>AND('Planilla_General_29-11-2012_10_'!L1146,"AAAAAHbUzhU=")</f>
        <v>#VALUE!</v>
      </c>
      <c r="W77" t="e">
        <f>AND('Planilla_General_29-11-2012_10_'!M1146,"AAAAAHbUzhY=")</f>
        <v>#VALUE!</v>
      </c>
      <c r="X77" t="e">
        <f>AND('Planilla_General_29-11-2012_10_'!N1146,"AAAAAHbUzhc=")</f>
        <v>#VALUE!</v>
      </c>
      <c r="Y77" t="e">
        <f>AND('Planilla_General_29-11-2012_10_'!O1146,"AAAAAHbUzhg=")</f>
        <v>#VALUE!</v>
      </c>
      <c r="Z77" t="e">
        <f>AND('Planilla_General_29-11-2012_10_'!P1146,"AAAAAHbUzhk=")</f>
        <v>#VALUE!</v>
      </c>
      <c r="AA77">
        <f>IF('Planilla_General_29-11-2012_10_'!1147:1147,"AAAAAHbUzho=",0)</f>
        <v>0</v>
      </c>
      <c r="AB77" t="e">
        <f>AND('Planilla_General_29-11-2012_10_'!A1147,"AAAAAHbUzhs=")</f>
        <v>#VALUE!</v>
      </c>
      <c r="AC77" t="e">
        <f>AND('Planilla_General_29-11-2012_10_'!B1147,"AAAAAHbUzhw=")</f>
        <v>#VALUE!</v>
      </c>
      <c r="AD77" t="e">
        <f>AND('Planilla_General_29-11-2012_10_'!C1147,"AAAAAHbUzh0=")</f>
        <v>#VALUE!</v>
      </c>
      <c r="AE77" t="e">
        <f>AND('Planilla_General_29-11-2012_10_'!D1147,"AAAAAHbUzh4=")</f>
        <v>#VALUE!</v>
      </c>
      <c r="AF77" t="e">
        <f>AND('Planilla_General_29-11-2012_10_'!E1147,"AAAAAHbUzh8=")</f>
        <v>#VALUE!</v>
      </c>
      <c r="AG77" t="e">
        <f>AND('Planilla_General_29-11-2012_10_'!F1147,"AAAAAHbUziA=")</f>
        <v>#VALUE!</v>
      </c>
      <c r="AH77" t="e">
        <f>AND('Planilla_General_29-11-2012_10_'!G1147,"AAAAAHbUziE=")</f>
        <v>#VALUE!</v>
      </c>
      <c r="AI77" t="e">
        <f>AND('Planilla_General_29-11-2012_10_'!H1147,"AAAAAHbUziI=")</f>
        <v>#VALUE!</v>
      </c>
      <c r="AJ77" t="e">
        <f>AND('Planilla_General_29-11-2012_10_'!I1147,"AAAAAHbUziM=")</f>
        <v>#VALUE!</v>
      </c>
      <c r="AK77" t="e">
        <f>AND('Planilla_General_29-11-2012_10_'!J1147,"AAAAAHbUziQ=")</f>
        <v>#VALUE!</v>
      </c>
      <c r="AL77" t="e">
        <f>AND('Planilla_General_29-11-2012_10_'!K1147,"AAAAAHbUziU=")</f>
        <v>#VALUE!</v>
      </c>
      <c r="AM77" t="e">
        <f>AND('Planilla_General_29-11-2012_10_'!L1147,"AAAAAHbUziY=")</f>
        <v>#VALUE!</v>
      </c>
      <c r="AN77" t="e">
        <f>AND('Planilla_General_29-11-2012_10_'!M1147,"AAAAAHbUzic=")</f>
        <v>#VALUE!</v>
      </c>
      <c r="AO77" t="e">
        <f>AND('Planilla_General_29-11-2012_10_'!N1147,"AAAAAHbUzig=")</f>
        <v>#VALUE!</v>
      </c>
      <c r="AP77" t="e">
        <f>AND('Planilla_General_29-11-2012_10_'!O1147,"AAAAAHbUzik=")</f>
        <v>#VALUE!</v>
      </c>
      <c r="AQ77" t="e">
        <f>AND('Planilla_General_29-11-2012_10_'!P1147,"AAAAAHbUzio=")</f>
        <v>#VALUE!</v>
      </c>
      <c r="AR77">
        <f>IF('Planilla_General_29-11-2012_10_'!1148:1148,"AAAAAHbUzis=",0)</f>
        <v>0</v>
      </c>
      <c r="AS77" t="e">
        <f>AND('Planilla_General_29-11-2012_10_'!A1148,"AAAAAHbUziw=")</f>
        <v>#VALUE!</v>
      </c>
      <c r="AT77" t="e">
        <f>AND('Planilla_General_29-11-2012_10_'!B1148,"AAAAAHbUzi0=")</f>
        <v>#VALUE!</v>
      </c>
      <c r="AU77" t="e">
        <f>AND('Planilla_General_29-11-2012_10_'!C1148,"AAAAAHbUzi4=")</f>
        <v>#VALUE!</v>
      </c>
      <c r="AV77" t="e">
        <f>AND('Planilla_General_29-11-2012_10_'!D1148,"AAAAAHbUzi8=")</f>
        <v>#VALUE!</v>
      </c>
      <c r="AW77" t="e">
        <f>AND('Planilla_General_29-11-2012_10_'!E1148,"AAAAAHbUzjA=")</f>
        <v>#VALUE!</v>
      </c>
      <c r="AX77" t="e">
        <f>AND('Planilla_General_29-11-2012_10_'!F1148,"AAAAAHbUzjE=")</f>
        <v>#VALUE!</v>
      </c>
      <c r="AY77" t="e">
        <f>AND('Planilla_General_29-11-2012_10_'!G1148,"AAAAAHbUzjI=")</f>
        <v>#VALUE!</v>
      </c>
      <c r="AZ77" t="e">
        <f>AND('Planilla_General_29-11-2012_10_'!H1148,"AAAAAHbUzjM=")</f>
        <v>#VALUE!</v>
      </c>
      <c r="BA77" t="e">
        <f>AND('Planilla_General_29-11-2012_10_'!I1148,"AAAAAHbUzjQ=")</f>
        <v>#VALUE!</v>
      </c>
      <c r="BB77" t="e">
        <f>AND('Planilla_General_29-11-2012_10_'!J1148,"AAAAAHbUzjU=")</f>
        <v>#VALUE!</v>
      </c>
      <c r="BC77" t="e">
        <f>AND('Planilla_General_29-11-2012_10_'!K1148,"AAAAAHbUzjY=")</f>
        <v>#VALUE!</v>
      </c>
      <c r="BD77" t="e">
        <f>AND('Planilla_General_29-11-2012_10_'!L1148,"AAAAAHbUzjc=")</f>
        <v>#VALUE!</v>
      </c>
      <c r="BE77" t="e">
        <f>AND('Planilla_General_29-11-2012_10_'!M1148,"AAAAAHbUzjg=")</f>
        <v>#VALUE!</v>
      </c>
      <c r="BF77" t="e">
        <f>AND('Planilla_General_29-11-2012_10_'!N1148,"AAAAAHbUzjk=")</f>
        <v>#VALUE!</v>
      </c>
      <c r="BG77" t="e">
        <f>AND('Planilla_General_29-11-2012_10_'!O1148,"AAAAAHbUzjo=")</f>
        <v>#VALUE!</v>
      </c>
      <c r="BH77" t="e">
        <f>AND('Planilla_General_29-11-2012_10_'!P1148,"AAAAAHbUzjs=")</f>
        <v>#VALUE!</v>
      </c>
      <c r="BI77">
        <f>IF('Planilla_General_29-11-2012_10_'!1149:1149,"AAAAAHbUzjw=",0)</f>
        <v>0</v>
      </c>
      <c r="BJ77" t="e">
        <f>AND('Planilla_General_29-11-2012_10_'!A1149,"AAAAAHbUzj0=")</f>
        <v>#VALUE!</v>
      </c>
      <c r="BK77" t="e">
        <f>AND('Planilla_General_29-11-2012_10_'!B1149,"AAAAAHbUzj4=")</f>
        <v>#VALUE!</v>
      </c>
      <c r="BL77" t="e">
        <f>AND('Planilla_General_29-11-2012_10_'!C1149,"AAAAAHbUzj8=")</f>
        <v>#VALUE!</v>
      </c>
      <c r="BM77" t="e">
        <f>AND('Planilla_General_29-11-2012_10_'!D1149,"AAAAAHbUzkA=")</f>
        <v>#VALUE!</v>
      </c>
      <c r="BN77" t="e">
        <f>AND('Planilla_General_29-11-2012_10_'!E1149,"AAAAAHbUzkE=")</f>
        <v>#VALUE!</v>
      </c>
      <c r="BO77" t="e">
        <f>AND('Planilla_General_29-11-2012_10_'!F1149,"AAAAAHbUzkI=")</f>
        <v>#VALUE!</v>
      </c>
      <c r="BP77" t="e">
        <f>AND('Planilla_General_29-11-2012_10_'!G1149,"AAAAAHbUzkM=")</f>
        <v>#VALUE!</v>
      </c>
      <c r="BQ77" t="e">
        <f>AND('Planilla_General_29-11-2012_10_'!H1149,"AAAAAHbUzkQ=")</f>
        <v>#VALUE!</v>
      </c>
      <c r="BR77" t="e">
        <f>AND('Planilla_General_29-11-2012_10_'!I1149,"AAAAAHbUzkU=")</f>
        <v>#VALUE!</v>
      </c>
      <c r="BS77" t="e">
        <f>AND('Planilla_General_29-11-2012_10_'!J1149,"AAAAAHbUzkY=")</f>
        <v>#VALUE!</v>
      </c>
      <c r="BT77" t="e">
        <f>AND('Planilla_General_29-11-2012_10_'!K1149,"AAAAAHbUzkc=")</f>
        <v>#VALUE!</v>
      </c>
      <c r="BU77" t="e">
        <f>AND('Planilla_General_29-11-2012_10_'!L1149,"AAAAAHbUzkg=")</f>
        <v>#VALUE!</v>
      </c>
      <c r="BV77" t="e">
        <f>AND('Planilla_General_29-11-2012_10_'!M1149,"AAAAAHbUzkk=")</f>
        <v>#VALUE!</v>
      </c>
      <c r="BW77" t="e">
        <f>AND('Planilla_General_29-11-2012_10_'!N1149,"AAAAAHbUzko=")</f>
        <v>#VALUE!</v>
      </c>
      <c r="BX77" t="e">
        <f>AND('Planilla_General_29-11-2012_10_'!O1149,"AAAAAHbUzks=")</f>
        <v>#VALUE!</v>
      </c>
      <c r="BY77" t="e">
        <f>AND('Planilla_General_29-11-2012_10_'!P1149,"AAAAAHbUzkw=")</f>
        <v>#VALUE!</v>
      </c>
      <c r="BZ77">
        <f>IF('Planilla_General_29-11-2012_10_'!1150:1150,"AAAAAHbUzk0=",0)</f>
        <v>0</v>
      </c>
      <c r="CA77" t="e">
        <f>AND('Planilla_General_29-11-2012_10_'!A1150,"AAAAAHbUzk4=")</f>
        <v>#VALUE!</v>
      </c>
      <c r="CB77" t="e">
        <f>AND('Planilla_General_29-11-2012_10_'!B1150,"AAAAAHbUzk8=")</f>
        <v>#VALUE!</v>
      </c>
      <c r="CC77" t="e">
        <f>AND('Planilla_General_29-11-2012_10_'!C1150,"AAAAAHbUzlA=")</f>
        <v>#VALUE!</v>
      </c>
      <c r="CD77" t="e">
        <f>AND('Planilla_General_29-11-2012_10_'!D1150,"AAAAAHbUzlE=")</f>
        <v>#VALUE!</v>
      </c>
      <c r="CE77" t="e">
        <f>AND('Planilla_General_29-11-2012_10_'!E1150,"AAAAAHbUzlI=")</f>
        <v>#VALUE!</v>
      </c>
      <c r="CF77" t="e">
        <f>AND('Planilla_General_29-11-2012_10_'!F1150,"AAAAAHbUzlM=")</f>
        <v>#VALUE!</v>
      </c>
      <c r="CG77" t="e">
        <f>AND('Planilla_General_29-11-2012_10_'!G1150,"AAAAAHbUzlQ=")</f>
        <v>#VALUE!</v>
      </c>
      <c r="CH77" t="e">
        <f>AND('Planilla_General_29-11-2012_10_'!H1150,"AAAAAHbUzlU=")</f>
        <v>#VALUE!</v>
      </c>
      <c r="CI77" t="e">
        <f>AND('Planilla_General_29-11-2012_10_'!I1150,"AAAAAHbUzlY=")</f>
        <v>#VALUE!</v>
      </c>
      <c r="CJ77" t="e">
        <f>AND('Planilla_General_29-11-2012_10_'!J1150,"AAAAAHbUzlc=")</f>
        <v>#VALUE!</v>
      </c>
      <c r="CK77" t="e">
        <f>AND('Planilla_General_29-11-2012_10_'!K1150,"AAAAAHbUzlg=")</f>
        <v>#VALUE!</v>
      </c>
      <c r="CL77" t="e">
        <f>AND('Planilla_General_29-11-2012_10_'!L1150,"AAAAAHbUzlk=")</f>
        <v>#VALUE!</v>
      </c>
      <c r="CM77" t="e">
        <f>AND('Planilla_General_29-11-2012_10_'!M1150,"AAAAAHbUzlo=")</f>
        <v>#VALUE!</v>
      </c>
      <c r="CN77" t="e">
        <f>AND('Planilla_General_29-11-2012_10_'!N1150,"AAAAAHbUzls=")</f>
        <v>#VALUE!</v>
      </c>
      <c r="CO77" t="e">
        <f>AND('Planilla_General_29-11-2012_10_'!O1150,"AAAAAHbUzlw=")</f>
        <v>#VALUE!</v>
      </c>
      <c r="CP77" t="e">
        <f>AND('Planilla_General_29-11-2012_10_'!P1150,"AAAAAHbUzl0=")</f>
        <v>#VALUE!</v>
      </c>
      <c r="CQ77">
        <f>IF('Planilla_General_29-11-2012_10_'!1151:1151,"AAAAAHbUzl4=",0)</f>
        <v>0</v>
      </c>
      <c r="CR77" t="e">
        <f>AND('Planilla_General_29-11-2012_10_'!A1151,"AAAAAHbUzl8=")</f>
        <v>#VALUE!</v>
      </c>
      <c r="CS77" t="e">
        <f>AND('Planilla_General_29-11-2012_10_'!B1151,"AAAAAHbUzmA=")</f>
        <v>#VALUE!</v>
      </c>
      <c r="CT77" t="e">
        <f>AND('Planilla_General_29-11-2012_10_'!C1151,"AAAAAHbUzmE=")</f>
        <v>#VALUE!</v>
      </c>
      <c r="CU77" t="e">
        <f>AND('Planilla_General_29-11-2012_10_'!D1151,"AAAAAHbUzmI=")</f>
        <v>#VALUE!</v>
      </c>
      <c r="CV77" t="e">
        <f>AND('Planilla_General_29-11-2012_10_'!E1151,"AAAAAHbUzmM=")</f>
        <v>#VALUE!</v>
      </c>
      <c r="CW77" t="e">
        <f>AND('Planilla_General_29-11-2012_10_'!F1151,"AAAAAHbUzmQ=")</f>
        <v>#VALUE!</v>
      </c>
      <c r="CX77" t="e">
        <f>AND('Planilla_General_29-11-2012_10_'!G1151,"AAAAAHbUzmU=")</f>
        <v>#VALUE!</v>
      </c>
      <c r="CY77" t="e">
        <f>AND('Planilla_General_29-11-2012_10_'!H1151,"AAAAAHbUzmY=")</f>
        <v>#VALUE!</v>
      </c>
      <c r="CZ77" t="e">
        <f>AND('Planilla_General_29-11-2012_10_'!I1151,"AAAAAHbUzmc=")</f>
        <v>#VALUE!</v>
      </c>
      <c r="DA77" t="e">
        <f>AND('Planilla_General_29-11-2012_10_'!J1151,"AAAAAHbUzmg=")</f>
        <v>#VALUE!</v>
      </c>
      <c r="DB77" t="e">
        <f>AND('Planilla_General_29-11-2012_10_'!K1151,"AAAAAHbUzmk=")</f>
        <v>#VALUE!</v>
      </c>
      <c r="DC77" t="e">
        <f>AND('Planilla_General_29-11-2012_10_'!L1151,"AAAAAHbUzmo=")</f>
        <v>#VALUE!</v>
      </c>
      <c r="DD77" t="e">
        <f>AND('Planilla_General_29-11-2012_10_'!M1151,"AAAAAHbUzms=")</f>
        <v>#VALUE!</v>
      </c>
      <c r="DE77" t="e">
        <f>AND('Planilla_General_29-11-2012_10_'!N1151,"AAAAAHbUzmw=")</f>
        <v>#VALUE!</v>
      </c>
      <c r="DF77" t="e">
        <f>AND('Planilla_General_29-11-2012_10_'!O1151,"AAAAAHbUzm0=")</f>
        <v>#VALUE!</v>
      </c>
      <c r="DG77" t="e">
        <f>AND('Planilla_General_29-11-2012_10_'!P1151,"AAAAAHbUzm4=")</f>
        <v>#VALUE!</v>
      </c>
      <c r="DH77">
        <f>IF('Planilla_General_29-11-2012_10_'!1152:1152,"AAAAAHbUzm8=",0)</f>
        <v>0</v>
      </c>
      <c r="DI77" t="e">
        <f>AND('Planilla_General_29-11-2012_10_'!A1152,"AAAAAHbUznA=")</f>
        <v>#VALUE!</v>
      </c>
      <c r="DJ77" t="e">
        <f>AND('Planilla_General_29-11-2012_10_'!B1152,"AAAAAHbUznE=")</f>
        <v>#VALUE!</v>
      </c>
      <c r="DK77" t="e">
        <f>AND('Planilla_General_29-11-2012_10_'!C1152,"AAAAAHbUznI=")</f>
        <v>#VALUE!</v>
      </c>
      <c r="DL77" t="e">
        <f>AND('Planilla_General_29-11-2012_10_'!D1152,"AAAAAHbUznM=")</f>
        <v>#VALUE!</v>
      </c>
      <c r="DM77" t="e">
        <f>AND('Planilla_General_29-11-2012_10_'!E1152,"AAAAAHbUznQ=")</f>
        <v>#VALUE!</v>
      </c>
      <c r="DN77" t="e">
        <f>AND('Planilla_General_29-11-2012_10_'!F1152,"AAAAAHbUznU=")</f>
        <v>#VALUE!</v>
      </c>
      <c r="DO77" t="e">
        <f>AND('Planilla_General_29-11-2012_10_'!G1152,"AAAAAHbUznY=")</f>
        <v>#VALUE!</v>
      </c>
      <c r="DP77" t="e">
        <f>AND('Planilla_General_29-11-2012_10_'!H1152,"AAAAAHbUznc=")</f>
        <v>#VALUE!</v>
      </c>
      <c r="DQ77" t="e">
        <f>AND('Planilla_General_29-11-2012_10_'!I1152,"AAAAAHbUzng=")</f>
        <v>#VALUE!</v>
      </c>
      <c r="DR77" t="e">
        <f>AND('Planilla_General_29-11-2012_10_'!J1152,"AAAAAHbUznk=")</f>
        <v>#VALUE!</v>
      </c>
      <c r="DS77" t="e">
        <f>AND('Planilla_General_29-11-2012_10_'!K1152,"AAAAAHbUzno=")</f>
        <v>#VALUE!</v>
      </c>
      <c r="DT77" t="e">
        <f>AND('Planilla_General_29-11-2012_10_'!L1152,"AAAAAHbUzns=")</f>
        <v>#VALUE!</v>
      </c>
      <c r="DU77" t="e">
        <f>AND('Planilla_General_29-11-2012_10_'!M1152,"AAAAAHbUznw=")</f>
        <v>#VALUE!</v>
      </c>
      <c r="DV77" t="e">
        <f>AND('Planilla_General_29-11-2012_10_'!N1152,"AAAAAHbUzn0=")</f>
        <v>#VALUE!</v>
      </c>
      <c r="DW77" t="e">
        <f>AND('Planilla_General_29-11-2012_10_'!O1152,"AAAAAHbUzn4=")</f>
        <v>#VALUE!</v>
      </c>
      <c r="DX77" t="e">
        <f>AND('Planilla_General_29-11-2012_10_'!P1152,"AAAAAHbUzn8=")</f>
        <v>#VALUE!</v>
      </c>
      <c r="DY77">
        <f>IF('Planilla_General_29-11-2012_10_'!1153:1153,"AAAAAHbUzoA=",0)</f>
        <v>0</v>
      </c>
      <c r="DZ77" t="e">
        <f>AND('Planilla_General_29-11-2012_10_'!A1153,"AAAAAHbUzoE=")</f>
        <v>#VALUE!</v>
      </c>
      <c r="EA77" t="e">
        <f>AND('Planilla_General_29-11-2012_10_'!B1153,"AAAAAHbUzoI=")</f>
        <v>#VALUE!</v>
      </c>
      <c r="EB77" t="e">
        <f>AND('Planilla_General_29-11-2012_10_'!C1153,"AAAAAHbUzoM=")</f>
        <v>#VALUE!</v>
      </c>
      <c r="EC77" t="e">
        <f>AND('Planilla_General_29-11-2012_10_'!D1153,"AAAAAHbUzoQ=")</f>
        <v>#VALUE!</v>
      </c>
      <c r="ED77" t="e">
        <f>AND('Planilla_General_29-11-2012_10_'!E1153,"AAAAAHbUzoU=")</f>
        <v>#VALUE!</v>
      </c>
      <c r="EE77" t="e">
        <f>AND('Planilla_General_29-11-2012_10_'!F1153,"AAAAAHbUzoY=")</f>
        <v>#VALUE!</v>
      </c>
      <c r="EF77" t="e">
        <f>AND('Planilla_General_29-11-2012_10_'!G1153,"AAAAAHbUzoc=")</f>
        <v>#VALUE!</v>
      </c>
      <c r="EG77" t="e">
        <f>AND('Planilla_General_29-11-2012_10_'!H1153,"AAAAAHbUzog=")</f>
        <v>#VALUE!</v>
      </c>
      <c r="EH77" t="e">
        <f>AND('Planilla_General_29-11-2012_10_'!I1153,"AAAAAHbUzok=")</f>
        <v>#VALUE!</v>
      </c>
      <c r="EI77" t="e">
        <f>AND('Planilla_General_29-11-2012_10_'!J1153,"AAAAAHbUzoo=")</f>
        <v>#VALUE!</v>
      </c>
      <c r="EJ77" t="e">
        <f>AND('Planilla_General_29-11-2012_10_'!K1153,"AAAAAHbUzos=")</f>
        <v>#VALUE!</v>
      </c>
      <c r="EK77" t="e">
        <f>AND('Planilla_General_29-11-2012_10_'!L1153,"AAAAAHbUzow=")</f>
        <v>#VALUE!</v>
      </c>
      <c r="EL77" t="e">
        <f>AND('Planilla_General_29-11-2012_10_'!M1153,"AAAAAHbUzo0=")</f>
        <v>#VALUE!</v>
      </c>
      <c r="EM77" t="e">
        <f>AND('Planilla_General_29-11-2012_10_'!N1153,"AAAAAHbUzo4=")</f>
        <v>#VALUE!</v>
      </c>
      <c r="EN77" t="e">
        <f>AND('Planilla_General_29-11-2012_10_'!O1153,"AAAAAHbUzo8=")</f>
        <v>#VALUE!</v>
      </c>
      <c r="EO77" t="e">
        <f>AND('Planilla_General_29-11-2012_10_'!P1153,"AAAAAHbUzpA=")</f>
        <v>#VALUE!</v>
      </c>
      <c r="EP77">
        <f>IF('Planilla_General_29-11-2012_10_'!1154:1154,"AAAAAHbUzpE=",0)</f>
        <v>0</v>
      </c>
      <c r="EQ77" t="e">
        <f>AND('Planilla_General_29-11-2012_10_'!A1154,"AAAAAHbUzpI=")</f>
        <v>#VALUE!</v>
      </c>
      <c r="ER77" t="e">
        <f>AND('Planilla_General_29-11-2012_10_'!B1154,"AAAAAHbUzpM=")</f>
        <v>#VALUE!</v>
      </c>
      <c r="ES77" t="e">
        <f>AND('Planilla_General_29-11-2012_10_'!C1154,"AAAAAHbUzpQ=")</f>
        <v>#VALUE!</v>
      </c>
      <c r="ET77" t="e">
        <f>AND('Planilla_General_29-11-2012_10_'!D1154,"AAAAAHbUzpU=")</f>
        <v>#VALUE!</v>
      </c>
      <c r="EU77" t="e">
        <f>AND('Planilla_General_29-11-2012_10_'!E1154,"AAAAAHbUzpY=")</f>
        <v>#VALUE!</v>
      </c>
      <c r="EV77" t="e">
        <f>AND('Planilla_General_29-11-2012_10_'!F1154,"AAAAAHbUzpc=")</f>
        <v>#VALUE!</v>
      </c>
      <c r="EW77" t="e">
        <f>AND('Planilla_General_29-11-2012_10_'!G1154,"AAAAAHbUzpg=")</f>
        <v>#VALUE!</v>
      </c>
      <c r="EX77" t="e">
        <f>AND('Planilla_General_29-11-2012_10_'!H1154,"AAAAAHbUzpk=")</f>
        <v>#VALUE!</v>
      </c>
      <c r="EY77" t="e">
        <f>AND('Planilla_General_29-11-2012_10_'!I1154,"AAAAAHbUzpo=")</f>
        <v>#VALUE!</v>
      </c>
      <c r="EZ77" t="e">
        <f>AND('Planilla_General_29-11-2012_10_'!J1154,"AAAAAHbUzps=")</f>
        <v>#VALUE!</v>
      </c>
      <c r="FA77" t="e">
        <f>AND('Planilla_General_29-11-2012_10_'!K1154,"AAAAAHbUzpw=")</f>
        <v>#VALUE!</v>
      </c>
      <c r="FB77" t="e">
        <f>AND('Planilla_General_29-11-2012_10_'!L1154,"AAAAAHbUzp0=")</f>
        <v>#VALUE!</v>
      </c>
      <c r="FC77" t="e">
        <f>AND('Planilla_General_29-11-2012_10_'!M1154,"AAAAAHbUzp4=")</f>
        <v>#VALUE!</v>
      </c>
      <c r="FD77" t="e">
        <f>AND('Planilla_General_29-11-2012_10_'!N1154,"AAAAAHbUzp8=")</f>
        <v>#VALUE!</v>
      </c>
      <c r="FE77" t="e">
        <f>AND('Planilla_General_29-11-2012_10_'!O1154,"AAAAAHbUzqA=")</f>
        <v>#VALUE!</v>
      </c>
      <c r="FF77" t="e">
        <f>AND('Planilla_General_29-11-2012_10_'!P1154,"AAAAAHbUzqE=")</f>
        <v>#VALUE!</v>
      </c>
      <c r="FG77">
        <f>IF('Planilla_General_29-11-2012_10_'!1155:1155,"AAAAAHbUzqI=",0)</f>
        <v>0</v>
      </c>
      <c r="FH77" t="e">
        <f>AND('Planilla_General_29-11-2012_10_'!A1155,"AAAAAHbUzqM=")</f>
        <v>#VALUE!</v>
      </c>
      <c r="FI77" t="e">
        <f>AND('Planilla_General_29-11-2012_10_'!B1155,"AAAAAHbUzqQ=")</f>
        <v>#VALUE!</v>
      </c>
      <c r="FJ77" t="e">
        <f>AND('Planilla_General_29-11-2012_10_'!C1155,"AAAAAHbUzqU=")</f>
        <v>#VALUE!</v>
      </c>
      <c r="FK77" t="e">
        <f>AND('Planilla_General_29-11-2012_10_'!D1155,"AAAAAHbUzqY=")</f>
        <v>#VALUE!</v>
      </c>
      <c r="FL77" t="e">
        <f>AND('Planilla_General_29-11-2012_10_'!E1155,"AAAAAHbUzqc=")</f>
        <v>#VALUE!</v>
      </c>
      <c r="FM77" t="e">
        <f>AND('Planilla_General_29-11-2012_10_'!F1155,"AAAAAHbUzqg=")</f>
        <v>#VALUE!</v>
      </c>
      <c r="FN77" t="e">
        <f>AND('Planilla_General_29-11-2012_10_'!G1155,"AAAAAHbUzqk=")</f>
        <v>#VALUE!</v>
      </c>
      <c r="FO77" t="e">
        <f>AND('Planilla_General_29-11-2012_10_'!H1155,"AAAAAHbUzqo=")</f>
        <v>#VALUE!</v>
      </c>
      <c r="FP77" t="e">
        <f>AND('Planilla_General_29-11-2012_10_'!I1155,"AAAAAHbUzqs=")</f>
        <v>#VALUE!</v>
      </c>
      <c r="FQ77" t="e">
        <f>AND('Planilla_General_29-11-2012_10_'!J1155,"AAAAAHbUzqw=")</f>
        <v>#VALUE!</v>
      </c>
      <c r="FR77" t="e">
        <f>AND('Planilla_General_29-11-2012_10_'!K1155,"AAAAAHbUzq0=")</f>
        <v>#VALUE!</v>
      </c>
      <c r="FS77" t="e">
        <f>AND('Planilla_General_29-11-2012_10_'!L1155,"AAAAAHbUzq4=")</f>
        <v>#VALUE!</v>
      </c>
      <c r="FT77" t="e">
        <f>AND('Planilla_General_29-11-2012_10_'!M1155,"AAAAAHbUzq8=")</f>
        <v>#VALUE!</v>
      </c>
      <c r="FU77" t="e">
        <f>AND('Planilla_General_29-11-2012_10_'!N1155,"AAAAAHbUzrA=")</f>
        <v>#VALUE!</v>
      </c>
      <c r="FV77" t="e">
        <f>AND('Planilla_General_29-11-2012_10_'!O1155,"AAAAAHbUzrE=")</f>
        <v>#VALUE!</v>
      </c>
      <c r="FW77" t="e">
        <f>AND('Planilla_General_29-11-2012_10_'!P1155,"AAAAAHbUzrI=")</f>
        <v>#VALUE!</v>
      </c>
      <c r="FX77">
        <f>IF('Planilla_General_29-11-2012_10_'!1156:1156,"AAAAAHbUzrM=",0)</f>
        <v>0</v>
      </c>
      <c r="FY77" t="e">
        <f>AND('Planilla_General_29-11-2012_10_'!A1156,"AAAAAHbUzrQ=")</f>
        <v>#VALUE!</v>
      </c>
      <c r="FZ77" t="e">
        <f>AND('Planilla_General_29-11-2012_10_'!B1156,"AAAAAHbUzrU=")</f>
        <v>#VALUE!</v>
      </c>
      <c r="GA77" t="e">
        <f>AND('Planilla_General_29-11-2012_10_'!C1156,"AAAAAHbUzrY=")</f>
        <v>#VALUE!</v>
      </c>
      <c r="GB77" t="e">
        <f>AND('Planilla_General_29-11-2012_10_'!D1156,"AAAAAHbUzrc=")</f>
        <v>#VALUE!</v>
      </c>
      <c r="GC77" t="e">
        <f>AND('Planilla_General_29-11-2012_10_'!E1156,"AAAAAHbUzrg=")</f>
        <v>#VALUE!</v>
      </c>
      <c r="GD77" t="e">
        <f>AND('Planilla_General_29-11-2012_10_'!F1156,"AAAAAHbUzrk=")</f>
        <v>#VALUE!</v>
      </c>
      <c r="GE77" t="e">
        <f>AND('Planilla_General_29-11-2012_10_'!G1156,"AAAAAHbUzro=")</f>
        <v>#VALUE!</v>
      </c>
      <c r="GF77" t="e">
        <f>AND('Planilla_General_29-11-2012_10_'!H1156,"AAAAAHbUzrs=")</f>
        <v>#VALUE!</v>
      </c>
      <c r="GG77" t="e">
        <f>AND('Planilla_General_29-11-2012_10_'!I1156,"AAAAAHbUzrw=")</f>
        <v>#VALUE!</v>
      </c>
      <c r="GH77" t="e">
        <f>AND('Planilla_General_29-11-2012_10_'!J1156,"AAAAAHbUzr0=")</f>
        <v>#VALUE!</v>
      </c>
      <c r="GI77" t="e">
        <f>AND('Planilla_General_29-11-2012_10_'!K1156,"AAAAAHbUzr4=")</f>
        <v>#VALUE!</v>
      </c>
      <c r="GJ77" t="e">
        <f>AND('Planilla_General_29-11-2012_10_'!L1156,"AAAAAHbUzr8=")</f>
        <v>#VALUE!</v>
      </c>
      <c r="GK77" t="e">
        <f>AND('Planilla_General_29-11-2012_10_'!M1156,"AAAAAHbUzsA=")</f>
        <v>#VALUE!</v>
      </c>
      <c r="GL77" t="e">
        <f>AND('Planilla_General_29-11-2012_10_'!N1156,"AAAAAHbUzsE=")</f>
        <v>#VALUE!</v>
      </c>
      <c r="GM77" t="e">
        <f>AND('Planilla_General_29-11-2012_10_'!O1156,"AAAAAHbUzsI=")</f>
        <v>#VALUE!</v>
      </c>
      <c r="GN77" t="e">
        <f>AND('Planilla_General_29-11-2012_10_'!P1156,"AAAAAHbUzsM=")</f>
        <v>#VALUE!</v>
      </c>
      <c r="GO77">
        <f>IF('Planilla_General_29-11-2012_10_'!1157:1157,"AAAAAHbUzsQ=",0)</f>
        <v>0</v>
      </c>
      <c r="GP77" t="e">
        <f>AND('Planilla_General_29-11-2012_10_'!A1157,"AAAAAHbUzsU=")</f>
        <v>#VALUE!</v>
      </c>
      <c r="GQ77" t="e">
        <f>AND('Planilla_General_29-11-2012_10_'!B1157,"AAAAAHbUzsY=")</f>
        <v>#VALUE!</v>
      </c>
      <c r="GR77" t="e">
        <f>AND('Planilla_General_29-11-2012_10_'!C1157,"AAAAAHbUzsc=")</f>
        <v>#VALUE!</v>
      </c>
      <c r="GS77" t="e">
        <f>AND('Planilla_General_29-11-2012_10_'!D1157,"AAAAAHbUzsg=")</f>
        <v>#VALUE!</v>
      </c>
      <c r="GT77" t="e">
        <f>AND('Planilla_General_29-11-2012_10_'!E1157,"AAAAAHbUzsk=")</f>
        <v>#VALUE!</v>
      </c>
      <c r="GU77" t="e">
        <f>AND('Planilla_General_29-11-2012_10_'!F1157,"AAAAAHbUzso=")</f>
        <v>#VALUE!</v>
      </c>
      <c r="GV77" t="e">
        <f>AND('Planilla_General_29-11-2012_10_'!G1157,"AAAAAHbUzss=")</f>
        <v>#VALUE!</v>
      </c>
      <c r="GW77" t="e">
        <f>AND('Planilla_General_29-11-2012_10_'!H1157,"AAAAAHbUzsw=")</f>
        <v>#VALUE!</v>
      </c>
      <c r="GX77" t="e">
        <f>AND('Planilla_General_29-11-2012_10_'!I1157,"AAAAAHbUzs0=")</f>
        <v>#VALUE!</v>
      </c>
      <c r="GY77" t="e">
        <f>AND('Planilla_General_29-11-2012_10_'!J1157,"AAAAAHbUzs4=")</f>
        <v>#VALUE!</v>
      </c>
      <c r="GZ77" t="e">
        <f>AND('Planilla_General_29-11-2012_10_'!K1157,"AAAAAHbUzs8=")</f>
        <v>#VALUE!</v>
      </c>
      <c r="HA77" t="e">
        <f>AND('Planilla_General_29-11-2012_10_'!L1157,"AAAAAHbUztA=")</f>
        <v>#VALUE!</v>
      </c>
      <c r="HB77" t="e">
        <f>AND('Planilla_General_29-11-2012_10_'!M1157,"AAAAAHbUztE=")</f>
        <v>#VALUE!</v>
      </c>
      <c r="HC77" t="e">
        <f>AND('Planilla_General_29-11-2012_10_'!N1157,"AAAAAHbUztI=")</f>
        <v>#VALUE!</v>
      </c>
      <c r="HD77" t="e">
        <f>AND('Planilla_General_29-11-2012_10_'!O1157,"AAAAAHbUztM=")</f>
        <v>#VALUE!</v>
      </c>
      <c r="HE77" t="e">
        <f>AND('Planilla_General_29-11-2012_10_'!P1157,"AAAAAHbUztQ=")</f>
        <v>#VALUE!</v>
      </c>
      <c r="HF77">
        <f>IF('Planilla_General_29-11-2012_10_'!1158:1158,"AAAAAHbUztU=",0)</f>
        <v>0</v>
      </c>
      <c r="HG77" t="e">
        <f>AND('Planilla_General_29-11-2012_10_'!A1158,"AAAAAHbUztY=")</f>
        <v>#VALUE!</v>
      </c>
      <c r="HH77" t="e">
        <f>AND('Planilla_General_29-11-2012_10_'!B1158,"AAAAAHbUztc=")</f>
        <v>#VALUE!</v>
      </c>
      <c r="HI77" t="e">
        <f>AND('Planilla_General_29-11-2012_10_'!C1158,"AAAAAHbUztg=")</f>
        <v>#VALUE!</v>
      </c>
      <c r="HJ77" t="e">
        <f>AND('Planilla_General_29-11-2012_10_'!D1158,"AAAAAHbUztk=")</f>
        <v>#VALUE!</v>
      </c>
      <c r="HK77" t="e">
        <f>AND('Planilla_General_29-11-2012_10_'!E1158,"AAAAAHbUzto=")</f>
        <v>#VALUE!</v>
      </c>
      <c r="HL77" t="e">
        <f>AND('Planilla_General_29-11-2012_10_'!F1158,"AAAAAHbUzts=")</f>
        <v>#VALUE!</v>
      </c>
      <c r="HM77" t="e">
        <f>AND('Planilla_General_29-11-2012_10_'!G1158,"AAAAAHbUztw=")</f>
        <v>#VALUE!</v>
      </c>
      <c r="HN77" t="e">
        <f>AND('Planilla_General_29-11-2012_10_'!H1158,"AAAAAHbUzt0=")</f>
        <v>#VALUE!</v>
      </c>
      <c r="HO77" t="e">
        <f>AND('Planilla_General_29-11-2012_10_'!I1158,"AAAAAHbUzt4=")</f>
        <v>#VALUE!</v>
      </c>
      <c r="HP77" t="e">
        <f>AND('Planilla_General_29-11-2012_10_'!J1158,"AAAAAHbUzt8=")</f>
        <v>#VALUE!</v>
      </c>
      <c r="HQ77" t="e">
        <f>AND('Planilla_General_29-11-2012_10_'!K1158,"AAAAAHbUzuA=")</f>
        <v>#VALUE!</v>
      </c>
      <c r="HR77" t="e">
        <f>AND('Planilla_General_29-11-2012_10_'!L1158,"AAAAAHbUzuE=")</f>
        <v>#VALUE!</v>
      </c>
      <c r="HS77" t="e">
        <f>AND('Planilla_General_29-11-2012_10_'!M1158,"AAAAAHbUzuI=")</f>
        <v>#VALUE!</v>
      </c>
      <c r="HT77" t="e">
        <f>AND('Planilla_General_29-11-2012_10_'!N1158,"AAAAAHbUzuM=")</f>
        <v>#VALUE!</v>
      </c>
      <c r="HU77" t="e">
        <f>AND('Planilla_General_29-11-2012_10_'!O1158,"AAAAAHbUzuQ=")</f>
        <v>#VALUE!</v>
      </c>
      <c r="HV77" t="e">
        <f>AND('Planilla_General_29-11-2012_10_'!P1158,"AAAAAHbUzuU=")</f>
        <v>#VALUE!</v>
      </c>
      <c r="HW77">
        <f>IF('Planilla_General_29-11-2012_10_'!1159:1159,"AAAAAHbUzuY=",0)</f>
        <v>0</v>
      </c>
      <c r="HX77" t="e">
        <f>AND('Planilla_General_29-11-2012_10_'!A1159,"AAAAAHbUzuc=")</f>
        <v>#VALUE!</v>
      </c>
      <c r="HY77" t="e">
        <f>AND('Planilla_General_29-11-2012_10_'!B1159,"AAAAAHbUzug=")</f>
        <v>#VALUE!</v>
      </c>
      <c r="HZ77" t="e">
        <f>AND('Planilla_General_29-11-2012_10_'!C1159,"AAAAAHbUzuk=")</f>
        <v>#VALUE!</v>
      </c>
      <c r="IA77" t="e">
        <f>AND('Planilla_General_29-11-2012_10_'!D1159,"AAAAAHbUzuo=")</f>
        <v>#VALUE!</v>
      </c>
      <c r="IB77" t="e">
        <f>AND('Planilla_General_29-11-2012_10_'!E1159,"AAAAAHbUzus=")</f>
        <v>#VALUE!</v>
      </c>
      <c r="IC77" t="e">
        <f>AND('Planilla_General_29-11-2012_10_'!F1159,"AAAAAHbUzuw=")</f>
        <v>#VALUE!</v>
      </c>
      <c r="ID77" t="e">
        <f>AND('Planilla_General_29-11-2012_10_'!G1159,"AAAAAHbUzu0=")</f>
        <v>#VALUE!</v>
      </c>
      <c r="IE77" t="e">
        <f>AND('Planilla_General_29-11-2012_10_'!H1159,"AAAAAHbUzu4=")</f>
        <v>#VALUE!</v>
      </c>
      <c r="IF77" t="e">
        <f>AND('Planilla_General_29-11-2012_10_'!I1159,"AAAAAHbUzu8=")</f>
        <v>#VALUE!</v>
      </c>
      <c r="IG77" t="e">
        <f>AND('Planilla_General_29-11-2012_10_'!J1159,"AAAAAHbUzvA=")</f>
        <v>#VALUE!</v>
      </c>
      <c r="IH77" t="e">
        <f>AND('Planilla_General_29-11-2012_10_'!K1159,"AAAAAHbUzvE=")</f>
        <v>#VALUE!</v>
      </c>
      <c r="II77" t="e">
        <f>AND('Planilla_General_29-11-2012_10_'!L1159,"AAAAAHbUzvI=")</f>
        <v>#VALUE!</v>
      </c>
      <c r="IJ77" t="e">
        <f>AND('Planilla_General_29-11-2012_10_'!M1159,"AAAAAHbUzvM=")</f>
        <v>#VALUE!</v>
      </c>
      <c r="IK77" t="e">
        <f>AND('Planilla_General_29-11-2012_10_'!N1159,"AAAAAHbUzvQ=")</f>
        <v>#VALUE!</v>
      </c>
      <c r="IL77" t="e">
        <f>AND('Planilla_General_29-11-2012_10_'!O1159,"AAAAAHbUzvU=")</f>
        <v>#VALUE!</v>
      </c>
      <c r="IM77" t="e">
        <f>AND('Planilla_General_29-11-2012_10_'!P1159,"AAAAAHbUzvY=")</f>
        <v>#VALUE!</v>
      </c>
      <c r="IN77">
        <f>IF('Planilla_General_29-11-2012_10_'!1160:1160,"AAAAAHbUzvc=",0)</f>
        <v>0</v>
      </c>
      <c r="IO77" t="e">
        <f>AND('Planilla_General_29-11-2012_10_'!A1160,"AAAAAHbUzvg=")</f>
        <v>#VALUE!</v>
      </c>
      <c r="IP77" t="e">
        <f>AND('Planilla_General_29-11-2012_10_'!B1160,"AAAAAHbUzvk=")</f>
        <v>#VALUE!</v>
      </c>
      <c r="IQ77" t="e">
        <f>AND('Planilla_General_29-11-2012_10_'!C1160,"AAAAAHbUzvo=")</f>
        <v>#VALUE!</v>
      </c>
      <c r="IR77" t="e">
        <f>AND('Planilla_General_29-11-2012_10_'!D1160,"AAAAAHbUzvs=")</f>
        <v>#VALUE!</v>
      </c>
      <c r="IS77" t="e">
        <f>AND('Planilla_General_29-11-2012_10_'!E1160,"AAAAAHbUzvw=")</f>
        <v>#VALUE!</v>
      </c>
      <c r="IT77" t="e">
        <f>AND('Planilla_General_29-11-2012_10_'!F1160,"AAAAAHbUzv0=")</f>
        <v>#VALUE!</v>
      </c>
      <c r="IU77" t="e">
        <f>AND('Planilla_General_29-11-2012_10_'!G1160,"AAAAAHbUzv4=")</f>
        <v>#VALUE!</v>
      </c>
      <c r="IV77" t="e">
        <f>AND('Planilla_General_29-11-2012_10_'!H1160,"AAAAAHbUzv8=")</f>
        <v>#VALUE!</v>
      </c>
    </row>
    <row r="78" spans="1:256" x14ac:dyDescent="0.25">
      <c r="A78" t="e">
        <f>AND('Planilla_General_29-11-2012_10_'!I1160,"AAAAADTclwA=")</f>
        <v>#VALUE!</v>
      </c>
      <c r="B78" t="e">
        <f>AND('Planilla_General_29-11-2012_10_'!J1160,"AAAAADTclwE=")</f>
        <v>#VALUE!</v>
      </c>
      <c r="C78" t="e">
        <f>AND('Planilla_General_29-11-2012_10_'!K1160,"AAAAADTclwI=")</f>
        <v>#VALUE!</v>
      </c>
      <c r="D78" t="e">
        <f>AND('Planilla_General_29-11-2012_10_'!L1160,"AAAAADTclwM=")</f>
        <v>#VALUE!</v>
      </c>
      <c r="E78" t="e">
        <f>AND('Planilla_General_29-11-2012_10_'!M1160,"AAAAADTclwQ=")</f>
        <v>#VALUE!</v>
      </c>
      <c r="F78" t="e">
        <f>AND('Planilla_General_29-11-2012_10_'!N1160,"AAAAADTclwU=")</f>
        <v>#VALUE!</v>
      </c>
      <c r="G78" t="e">
        <f>AND('Planilla_General_29-11-2012_10_'!O1160,"AAAAADTclwY=")</f>
        <v>#VALUE!</v>
      </c>
      <c r="H78" t="e">
        <f>AND('Planilla_General_29-11-2012_10_'!P1160,"AAAAADTclwc=")</f>
        <v>#VALUE!</v>
      </c>
      <c r="I78" t="e">
        <f>IF('Planilla_General_29-11-2012_10_'!1161:1161,"AAAAADTclwg=",0)</f>
        <v>#VALUE!</v>
      </c>
      <c r="J78" t="e">
        <f>AND('Planilla_General_29-11-2012_10_'!A1161,"AAAAADTclwk=")</f>
        <v>#VALUE!</v>
      </c>
      <c r="K78" t="e">
        <f>AND('Planilla_General_29-11-2012_10_'!B1161,"AAAAADTclwo=")</f>
        <v>#VALUE!</v>
      </c>
      <c r="L78" t="e">
        <f>AND('Planilla_General_29-11-2012_10_'!C1161,"AAAAADTclws=")</f>
        <v>#VALUE!</v>
      </c>
      <c r="M78" t="e">
        <f>AND('Planilla_General_29-11-2012_10_'!D1161,"AAAAADTclww=")</f>
        <v>#VALUE!</v>
      </c>
      <c r="N78" t="e">
        <f>AND('Planilla_General_29-11-2012_10_'!E1161,"AAAAADTclw0=")</f>
        <v>#VALUE!</v>
      </c>
      <c r="O78" t="e">
        <f>AND('Planilla_General_29-11-2012_10_'!F1161,"AAAAADTclw4=")</f>
        <v>#VALUE!</v>
      </c>
      <c r="P78" t="e">
        <f>AND('Planilla_General_29-11-2012_10_'!G1161,"AAAAADTclw8=")</f>
        <v>#VALUE!</v>
      </c>
      <c r="Q78" t="e">
        <f>AND('Planilla_General_29-11-2012_10_'!H1161,"AAAAADTclxA=")</f>
        <v>#VALUE!</v>
      </c>
      <c r="R78" t="e">
        <f>AND('Planilla_General_29-11-2012_10_'!I1161,"AAAAADTclxE=")</f>
        <v>#VALUE!</v>
      </c>
      <c r="S78" t="e">
        <f>AND('Planilla_General_29-11-2012_10_'!J1161,"AAAAADTclxI=")</f>
        <v>#VALUE!</v>
      </c>
      <c r="T78" t="e">
        <f>AND('Planilla_General_29-11-2012_10_'!K1161,"AAAAADTclxM=")</f>
        <v>#VALUE!</v>
      </c>
      <c r="U78" t="e">
        <f>AND('Planilla_General_29-11-2012_10_'!L1161,"AAAAADTclxQ=")</f>
        <v>#VALUE!</v>
      </c>
      <c r="V78" t="e">
        <f>AND('Planilla_General_29-11-2012_10_'!M1161,"AAAAADTclxU=")</f>
        <v>#VALUE!</v>
      </c>
      <c r="W78" t="e">
        <f>AND('Planilla_General_29-11-2012_10_'!N1161,"AAAAADTclxY=")</f>
        <v>#VALUE!</v>
      </c>
      <c r="X78" t="e">
        <f>AND('Planilla_General_29-11-2012_10_'!O1161,"AAAAADTclxc=")</f>
        <v>#VALUE!</v>
      </c>
      <c r="Y78" t="e">
        <f>AND('Planilla_General_29-11-2012_10_'!P1161,"AAAAADTclxg=")</f>
        <v>#VALUE!</v>
      </c>
      <c r="Z78">
        <f>IF('Planilla_General_29-11-2012_10_'!1162:1162,"AAAAADTclxk=",0)</f>
        <v>0</v>
      </c>
      <c r="AA78" t="e">
        <f>AND('Planilla_General_29-11-2012_10_'!A1162,"AAAAADTclxo=")</f>
        <v>#VALUE!</v>
      </c>
      <c r="AB78" t="e">
        <f>AND('Planilla_General_29-11-2012_10_'!B1162,"AAAAADTclxs=")</f>
        <v>#VALUE!</v>
      </c>
      <c r="AC78" t="e">
        <f>AND('Planilla_General_29-11-2012_10_'!C1162,"AAAAADTclxw=")</f>
        <v>#VALUE!</v>
      </c>
      <c r="AD78" t="e">
        <f>AND('Planilla_General_29-11-2012_10_'!D1162,"AAAAADTclx0=")</f>
        <v>#VALUE!</v>
      </c>
      <c r="AE78" t="e">
        <f>AND('Planilla_General_29-11-2012_10_'!E1162,"AAAAADTclx4=")</f>
        <v>#VALUE!</v>
      </c>
      <c r="AF78" t="e">
        <f>AND('Planilla_General_29-11-2012_10_'!F1162,"AAAAADTclx8=")</f>
        <v>#VALUE!</v>
      </c>
      <c r="AG78" t="e">
        <f>AND('Planilla_General_29-11-2012_10_'!G1162,"AAAAADTclyA=")</f>
        <v>#VALUE!</v>
      </c>
      <c r="AH78" t="e">
        <f>AND('Planilla_General_29-11-2012_10_'!H1162,"AAAAADTclyE=")</f>
        <v>#VALUE!</v>
      </c>
      <c r="AI78" t="e">
        <f>AND('Planilla_General_29-11-2012_10_'!I1162,"AAAAADTclyI=")</f>
        <v>#VALUE!</v>
      </c>
      <c r="AJ78" t="e">
        <f>AND('Planilla_General_29-11-2012_10_'!J1162,"AAAAADTclyM=")</f>
        <v>#VALUE!</v>
      </c>
      <c r="AK78" t="e">
        <f>AND('Planilla_General_29-11-2012_10_'!K1162,"AAAAADTclyQ=")</f>
        <v>#VALUE!</v>
      </c>
      <c r="AL78" t="e">
        <f>AND('Planilla_General_29-11-2012_10_'!L1162,"AAAAADTclyU=")</f>
        <v>#VALUE!</v>
      </c>
      <c r="AM78" t="e">
        <f>AND('Planilla_General_29-11-2012_10_'!M1162,"AAAAADTclyY=")</f>
        <v>#VALUE!</v>
      </c>
      <c r="AN78" t="e">
        <f>AND('Planilla_General_29-11-2012_10_'!N1162,"AAAAADTclyc=")</f>
        <v>#VALUE!</v>
      </c>
      <c r="AO78" t="e">
        <f>AND('Planilla_General_29-11-2012_10_'!O1162,"AAAAADTclyg=")</f>
        <v>#VALUE!</v>
      </c>
      <c r="AP78" t="e">
        <f>AND('Planilla_General_29-11-2012_10_'!P1162,"AAAAADTclyk=")</f>
        <v>#VALUE!</v>
      </c>
      <c r="AQ78">
        <f>IF('Planilla_General_29-11-2012_10_'!1163:1163,"AAAAADTclyo=",0)</f>
        <v>0</v>
      </c>
      <c r="AR78" t="e">
        <f>AND('Planilla_General_29-11-2012_10_'!A1163,"AAAAADTclys=")</f>
        <v>#VALUE!</v>
      </c>
      <c r="AS78" t="e">
        <f>AND('Planilla_General_29-11-2012_10_'!B1163,"AAAAADTclyw=")</f>
        <v>#VALUE!</v>
      </c>
      <c r="AT78" t="e">
        <f>AND('Planilla_General_29-11-2012_10_'!C1163,"AAAAADTcly0=")</f>
        <v>#VALUE!</v>
      </c>
      <c r="AU78" t="e">
        <f>AND('Planilla_General_29-11-2012_10_'!D1163,"AAAAADTcly4=")</f>
        <v>#VALUE!</v>
      </c>
      <c r="AV78" t="e">
        <f>AND('Planilla_General_29-11-2012_10_'!E1163,"AAAAADTcly8=")</f>
        <v>#VALUE!</v>
      </c>
      <c r="AW78" t="e">
        <f>AND('Planilla_General_29-11-2012_10_'!F1163,"AAAAADTclzA=")</f>
        <v>#VALUE!</v>
      </c>
      <c r="AX78" t="e">
        <f>AND('Planilla_General_29-11-2012_10_'!G1163,"AAAAADTclzE=")</f>
        <v>#VALUE!</v>
      </c>
      <c r="AY78" t="e">
        <f>AND('Planilla_General_29-11-2012_10_'!H1163,"AAAAADTclzI=")</f>
        <v>#VALUE!</v>
      </c>
      <c r="AZ78" t="e">
        <f>AND('Planilla_General_29-11-2012_10_'!I1163,"AAAAADTclzM=")</f>
        <v>#VALUE!</v>
      </c>
      <c r="BA78" t="e">
        <f>AND('Planilla_General_29-11-2012_10_'!J1163,"AAAAADTclzQ=")</f>
        <v>#VALUE!</v>
      </c>
      <c r="BB78" t="e">
        <f>AND('Planilla_General_29-11-2012_10_'!K1163,"AAAAADTclzU=")</f>
        <v>#VALUE!</v>
      </c>
      <c r="BC78" t="e">
        <f>AND('Planilla_General_29-11-2012_10_'!L1163,"AAAAADTclzY=")</f>
        <v>#VALUE!</v>
      </c>
      <c r="BD78" t="e">
        <f>AND('Planilla_General_29-11-2012_10_'!M1163,"AAAAADTclzc=")</f>
        <v>#VALUE!</v>
      </c>
      <c r="BE78" t="e">
        <f>AND('Planilla_General_29-11-2012_10_'!N1163,"AAAAADTclzg=")</f>
        <v>#VALUE!</v>
      </c>
      <c r="BF78" t="e">
        <f>AND('Planilla_General_29-11-2012_10_'!O1163,"AAAAADTclzk=")</f>
        <v>#VALUE!</v>
      </c>
      <c r="BG78" t="e">
        <f>AND('Planilla_General_29-11-2012_10_'!P1163,"AAAAADTclzo=")</f>
        <v>#VALUE!</v>
      </c>
      <c r="BH78">
        <f>IF('Planilla_General_29-11-2012_10_'!1164:1164,"AAAAADTclzs=",0)</f>
        <v>0</v>
      </c>
      <c r="BI78" t="e">
        <f>AND('Planilla_General_29-11-2012_10_'!A1164,"AAAAADTclzw=")</f>
        <v>#VALUE!</v>
      </c>
      <c r="BJ78" t="e">
        <f>AND('Planilla_General_29-11-2012_10_'!B1164,"AAAAADTclz0=")</f>
        <v>#VALUE!</v>
      </c>
      <c r="BK78" t="e">
        <f>AND('Planilla_General_29-11-2012_10_'!C1164,"AAAAADTclz4=")</f>
        <v>#VALUE!</v>
      </c>
      <c r="BL78" t="e">
        <f>AND('Planilla_General_29-11-2012_10_'!D1164,"AAAAADTclz8=")</f>
        <v>#VALUE!</v>
      </c>
      <c r="BM78" t="e">
        <f>AND('Planilla_General_29-11-2012_10_'!E1164,"AAAAADTcl0A=")</f>
        <v>#VALUE!</v>
      </c>
      <c r="BN78" t="e">
        <f>AND('Planilla_General_29-11-2012_10_'!F1164,"AAAAADTcl0E=")</f>
        <v>#VALUE!</v>
      </c>
      <c r="BO78" t="e">
        <f>AND('Planilla_General_29-11-2012_10_'!G1164,"AAAAADTcl0I=")</f>
        <v>#VALUE!</v>
      </c>
      <c r="BP78" t="e">
        <f>AND('Planilla_General_29-11-2012_10_'!H1164,"AAAAADTcl0M=")</f>
        <v>#VALUE!</v>
      </c>
      <c r="BQ78" t="e">
        <f>AND('Planilla_General_29-11-2012_10_'!I1164,"AAAAADTcl0Q=")</f>
        <v>#VALUE!</v>
      </c>
      <c r="BR78" t="e">
        <f>AND('Planilla_General_29-11-2012_10_'!J1164,"AAAAADTcl0U=")</f>
        <v>#VALUE!</v>
      </c>
      <c r="BS78" t="e">
        <f>AND('Planilla_General_29-11-2012_10_'!K1164,"AAAAADTcl0Y=")</f>
        <v>#VALUE!</v>
      </c>
      <c r="BT78" t="e">
        <f>AND('Planilla_General_29-11-2012_10_'!L1164,"AAAAADTcl0c=")</f>
        <v>#VALUE!</v>
      </c>
      <c r="BU78" t="e">
        <f>AND('Planilla_General_29-11-2012_10_'!M1164,"AAAAADTcl0g=")</f>
        <v>#VALUE!</v>
      </c>
      <c r="BV78" t="e">
        <f>AND('Planilla_General_29-11-2012_10_'!N1164,"AAAAADTcl0k=")</f>
        <v>#VALUE!</v>
      </c>
      <c r="BW78" t="e">
        <f>AND('Planilla_General_29-11-2012_10_'!O1164,"AAAAADTcl0o=")</f>
        <v>#VALUE!</v>
      </c>
      <c r="BX78" t="e">
        <f>AND('Planilla_General_29-11-2012_10_'!P1164,"AAAAADTcl0s=")</f>
        <v>#VALUE!</v>
      </c>
      <c r="BY78">
        <f>IF('Planilla_General_29-11-2012_10_'!1165:1165,"AAAAADTcl0w=",0)</f>
        <v>0</v>
      </c>
      <c r="BZ78" t="e">
        <f>AND('Planilla_General_29-11-2012_10_'!A1165,"AAAAADTcl00=")</f>
        <v>#VALUE!</v>
      </c>
      <c r="CA78" t="e">
        <f>AND('Planilla_General_29-11-2012_10_'!B1165,"AAAAADTcl04=")</f>
        <v>#VALUE!</v>
      </c>
      <c r="CB78" t="e">
        <f>AND('Planilla_General_29-11-2012_10_'!C1165,"AAAAADTcl08=")</f>
        <v>#VALUE!</v>
      </c>
      <c r="CC78" t="e">
        <f>AND('Planilla_General_29-11-2012_10_'!D1165,"AAAAADTcl1A=")</f>
        <v>#VALUE!</v>
      </c>
      <c r="CD78" t="e">
        <f>AND('Planilla_General_29-11-2012_10_'!E1165,"AAAAADTcl1E=")</f>
        <v>#VALUE!</v>
      </c>
      <c r="CE78" t="e">
        <f>AND('Planilla_General_29-11-2012_10_'!F1165,"AAAAADTcl1I=")</f>
        <v>#VALUE!</v>
      </c>
      <c r="CF78" t="e">
        <f>AND('Planilla_General_29-11-2012_10_'!G1165,"AAAAADTcl1M=")</f>
        <v>#VALUE!</v>
      </c>
      <c r="CG78" t="e">
        <f>AND('Planilla_General_29-11-2012_10_'!H1165,"AAAAADTcl1Q=")</f>
        <v>#VALUE!</v>
      </c>
      <c r="CH78" t="e">
        <f>AND('Planilla_General_29-11-2012_10_'!I1165,"AAAAADTcl1U=")</f>
        <v>#VALUE!</v>
      </c>
      <c r="CI78" t="e">
        <f>AND('Planilla_General_29-11-2012_10_'!J1165,"AAAAADTcl1Y=")</f>
        <v>#VALUE!</v>
      </c>
      <c r="CJ78" t="e">
        <f>AND('Planilla_General_29-11-2012_10_'!K1165,"AAAAADTcl1c=")</f>
        <v>#VALUE!</v>
      </c>
      <c r="CK78" t="e">
        <f>AND('Planilla_General_29-11-2012_10_'!L1165,"AAAAADTcl1g=")</f>
        <v>#VALUE!</v>
      </c>
      <c r="CL78" t="e">
        <f>AND('Planilla_General_29-11-2012_10_'!M1165,"AAAAADTcl1k=")</f>
        <v>#VALUE!</v>
      </c>
      <c r="CM78" t="e">
        <f>AND('Planilla_General_29-11-2012_10_'!N1165,"AAAAADTcl1o=")</f>
        <v>#VALUE!</v>
      </c>
      <c r="CN78" t="e">
        <f>AND('Planilla_General_29-11-2012_10_'!O1165,"AAAAADTcl1s=")</f>
        <v>#VALUE!</v>
      </c>
      <c r="CO78" t="e">
        <f>AND('Planilla_General_29-11-2012_10_'!P1165,"AAAAADTcl1w=")</f>
        <v>#VALUE!</v>
      </c>
      <c r="CP78">
        <f>IF('Planilla_General_29-11-2012_10_'!1166:1166,"AAAAADTcl10=",0)</f>
        <v>0</v>
      </c>
      <c r="CQ78" t="e">
        <f>AND('Planilla_General_29-11-2012_10_'!A1166,"AAAAADTcl14=")</f>
        <v>#VALUE!</v>
      </c>
      <c r="CR78" t="e">
        <f>AND('Planilla_General_29-11-2012_10_'!B1166,"AAAAADTcl18=")</f>
        <v>#VALUE!</v>
      </c>
      <c r="CS78" t="e">
        <f>AND('Planilla_General_29-11-2012_10_'!C1166,"AAAAADTcl2A=")</f>
        <v>#VALUE!</v>
      </c>
      <c r="CT78" t="e">
        <f>AND('Planilla_General_29-11-2012_10_'!D1166,"AAAAADTcl2E=")</f>
        <v>#VALUE!</v>
      </c>
      <c r="CU78" t="e">
        <f>AND('Planilla_General_29-11-2012_10_'!E1166,"AAAAADTcl2I=")</f>
        <v>#VALUE!</v>
      </c>
      <c r="CV78" t="e">
        <f>AND('Planilla_General_29-11-2012_10_'!F1166,"AAAAADTcl2M=")</f>
        <v>#VALUE!</v>
      </c>
      <c r="CW78" t="e">
        <f>AND('Planilla_General_29-11-2012_10_'!G1166,"AAAAADTcl2Q=")</f>
        <v>#VALUE!</v>
      </c>
      <c r="CX78" t="e">
        <f>AND('Planilla_General_29-11-2012_10_'!H1166,"AAAAADTcl2U=")</f>
        <v>#VALUE!</v>
      </c>
      <c r="CY78" t="e">
        <f>AND('Planilla_General_29-11-2012_10_'!I1166,"AAAAADTcl2Y=")</f>
        <v>#VALUE!</v>
      </c>
      <c r="CZ78" t="e">
        <f>AND('Planilla_General_29-11-2012_10_'!J1166,"AAAAADTcl2c=")</f>
        <v>#VALUE!</v>
      </c>
      <c r="DA78" t="e">
        <f>AND('Planilla_General_29-11-2012_10_'!K1166,"AAAAADTcl2g=")</f>
        <v>#VALUE!</v>
      </c>
      <c r="DB78" t="e">
        <f>AND('Planilla_General_29-11-2012_10_'!L1166,"AAAAADTcl2k=")</f>
        <v>#VALUE!</v>
      </c>
      <c r="DC78" t="e">
        <f>AND('Planilla_General_29-11-2012_10_'!M1166,"AAAAADTcl2o=")</f>
        <v>#VALUE!</v>
      </c>
      <c r="DD78" t="e">
        <f>AND('Planilla_General_29-11-2012_10_'!N1166,"AAAAADTcl2s=")</f>
        <v>#VALUE!</v>
      </c>
      <c r="DE78" t="e">
        <f>AND('Planilla_General_29-11-2012_10_'!O1166,"AAAAADTcl2w=")</f>
        <v>#VALUE!</v>
      </c>
      <c r="DF78" t="e">
        <f>AND('Planilla_General_29-11-2012_10_'!P1166,"AAAAADTcl20=")</f>
        <v>#VALUE!</v>
      </c>
      <c r="DG78">
        <f>IF('Planilla_General_29-11-2012_10_'!1167:1167,"AAAAADTcl24=",0)</f>
        <v>0</v>
      </c>
      <c r="DH78" t="e">
        <f>AND('Planilla_General_29-11-2012_10_'!A1167,"AAAAADTcl28=")</f>
        <v>#VALUE!</v>
      </c>
      <c r="DI78" t="e">
        <f>AND('Planilla_General_29-11-2012_10_'!B1167,"AAAAADTcl3A=")</f>
        <v>#VALUE!</v>
      </c>
      <c r="DJ78" t="e">
        <f>AND('Planilla_General_29-11-2012_10_'!C1167,"AAAAADTcl3E=")</f>
        <v>#VALUE!</v>
      </c>
      <c r="DK78" t="e">
        <f>AND('Planilla_General_29-11-2012_10_'!D1167,"AAAAADTcl3I=")</f>
        <v>#VALUE!</v>
      </c>
      <c r="DL78" t="e">
        <f>AND('Planilla_General_29-11-2012_10_'!E1167,"AAAAADTcl3M=")</f>
        <v>#VALUE!</v>
      </c>
      <c r="DM78" t="e">
        <f>AND('Planilla_General_29-11-2012_10_'!F1167,"AAAAADTcl3Q=")</f>
        <v>#VALUE!</v>
      </c>
      <c r="DN78" t="e">
        <f>AND('Planilla_General_29-11-2012_10_'!G1167,"AAAAADTcl3U=")</f>
        <v>#VALUE!</v>
      </c>
      <c r="DO78" t="e">
        <f>AND('Planilla_General_29-11-2012_10_'!H1167,"AAAAADTcl3Y=")</f>
        <v>#VALUE!</v>
      </c>
      <c r="DP78" t="e">
        <f>AND('Planilla_General_29-11-2012_10_'!I1167,"AAAAADTcl3c=")</f>
        <v>#VALUE!</v>
      </c>
      <c r="DQ78" t="e">
        <f>AND('Planilla_General_29-11-2012_10_'!J1167,"AAAAADTcl3g=")</f>
        <v>#VALUE!</v>
      </c>
      <c r="DR78" t="e">
        <f>AND('Planilla_General_29-11-2012_10_'!K1167,"AAAAADTcl3k=")</f>
        <v>#VALUE!</v>
      </c>
      <c r="DS78" t="e">
        <f>AND('Planilla_General_29-11-2012_10_'!L1167,"AAAAADTcl3o=")</f>
        <v>#VALUE!</v>
      </c>
      <c r="DT78" t="e">
        <f>AND('Planilla_General_29-11-2012_10_'!M1167,"AAAAADTcl3s=")</f>
        <v>#VALUE!</v>
      </c>
      <c r="DU78" t="e">
        <f>AND('Planilla_General_29-11-2012_10_'!N1167,"AAAAADTcl3w=")</f>
        <v>#VALUE!</v>
      </c>
      <c r="DV78" t="e">
        <f>AND('Planilla_General_29-11-2012_10_'!O1167,"AAAAADTcl30=")</f>
        <v>#VALUE!</v>
      </c>
      <c r="DW78" t="e">
        <f>AND('Planilla_General_29-11-2012_10_'!P1167,"AAAAADTcl34=")</f>
        <v>#VALUE!</v>
      </c>
      <c r="DX78">
        <f>IF('Planilla_General_29-11-2012_10_'!1168:1168,"AAAAADTcl38=",0)</f>
        <v>0</v>
      </c>
      <c r="DY78" t="e">
        <f>AND('Planilla_General_29-11-2012_10_'!A1168,"AAAAADTcl4A=")</f>
        <v>#VALUE!</v>
      </c>
      <c r="DZ78" t="e">
        <f>AND('Planilla_General_29-11-2012_10_'!B1168,"AAAAADTcl4E=")</f>
        <v>#VALUE!</v>
      </c>
      <c r="EA78" t="e">
        <f>AND('Planilla_General_29-11-2012_10_'!C1168,"AAAAADTcl4I=")</f>
        <v>#VALUE!</v>
      </c>
      <c r="EB78" t="e">
        <f>AND('Planilla_General_29-11-2012_10_'!D1168,"AAAAADTcl4M=")</f>
        <v>#VALUE!</v>
      </c>
      <c r="EC78" t="e">
        <f>AND('Planilla_General_29-11-2012_10_'!E1168,"AAAAADTcl4Q=")</f>
        <v>#VALUE!</v>
      </c>
      <c r="ED78" t="e">
        <f>AND('Planilla_General_29-11-2012_10_'!F1168,"AAAAADTcl4U=")</f>
        <v>#VALUE!</v>
      </c>
      <c r="EE78" t="e">
        <f>AND('Planilla_General_29-11-2012_10_'!G1168,"AAAAADTcl4Y=")</f>
        <v>#VALUE!</v>
      </c>
      <c r="EF78" t="e">
        <f>AND('Planilla_General_29-11-2012_10_'!H1168,"AAAAADTcl4c=")</f>
        <v>#VALUE!</v>
      </c>
      <c r="EG78" t="e">
        <f>AND('Planilla_General_29-11-2012_10_'!I1168,"AAAAADTcl4g=")</f>
        <v>#VALUE!</v>
      </c>
      <c r="EH78" t="e">
        <f>AND('Planilla_General_29-11-2012_10_'!J1168,"AAAAADTcl4k=")</f>
        <v>#VALUE!</v>
      </c>
      <c r="EI78" t="e">
        <f>AND('Planilla_General_29-11-2012_10_'!K1168,"AAAAADTcl4o=")</f>
        <v>#VALUE!</v>
      </c>
      <c r="EJ78" t="e">
        <f>AND('Planilla_General_29-11-2012_10_'!L1168,"AAAAADTcl4s=")</f>
        <v>#VALUE!</v>
      </c>
      <c r="EK78" t="e">
        <f>AND('Planilla_General_29-11-2012_10_'!M1168,"AAAAADTcl4w=")</f>
        <v>#VALUE!</v>
      </c>
      <c r="EL78" t="e">
        <f>AND('Planilla_General_29-11-2012_10_'!N1168,"AAAAADTcl40=")</f>
        <v>#VALUE!</v>
      </c>
      <c r="EM78" t="e">
        <f>AND('Planilla_General_29-11-2012_10_'!O1168,"AAAAADTcl44=")</f>
        <v>#VALUE!</v>
      </c>
      <c r="EN78" t="e">
        <f>AND('Planilla_General_29-11-2012_10_'!P1168,"AAAAADTcl48=")</f>
        <v>#VALUE!</v>
      </c>
      <c r="EO78">
        <f>IF('Planilla_General_29-11-2012_10_'!1169:1169,"AAAAADTcl5A=",0)</f>
        <v>0</v>
      </c>
      <c r="EP78" t="e">
        <f>AND('Planilla_General_29-11-2012_10_'!A1169,"AAAAADTcl5E=")</f>
        <v>#VALUE!</v>
      </c>
      <c r="EQ78" t="e">
        <f>AND('Planilla_General_29-11-2012_10_'!B1169,"AAAAADTcl5I=")</f>
        <v>#VALUE!</v>
      </c>
      <c r="ER78" t="e">
        <f>AND('Planilla_General_29-11-2012_10_'!C1169,"AAAAADTcl5M=")</f>
        <v>#VALUE!</v>
      </c>
      <c r="ES78" t="e">
        <f>AND('Planilla_General_29-11-2012_10_'!D1169,"AAAAADTcl5Q=")</f>
        <v>#VALUE!</v>
      </c>
      <c r="ET78" t="e">
        <f>AND('Planilla_General_29-11-2012_10_'!E1169,"AAAAADTcl5U=")</f>
        <v>#VALUE!</v>
      </c>
      <c r="EU78" t="e">
        <f>AND('Planilla_General_29-11-2012_10_'!F1169,"AAAAADTcl5Y=")</f>
        <v>#VALUE!</v>
      </c>
      <c r="EV78" t="e">
        <f>AND('Planilla_General_29-11-2012_10_'!G1169,"AAAAADTcl5c=")</f>
        <v>#VALUE!</v>
      </c>
      <c r="EW78" t="e">
        <f>AND('Planilla_General_29-11-2012_10_'!H1169,"AAAAADTcl5g=")</f>
        <v>#VALUE!</v>
      </c>
      <c r="EX78" t="e">
        <f>AND('Planilla_General_29-11-2012_10_'!I1169,"AAAAADTcl5k=")</f>
        <v>#VALUE!</v>
      </c>
      <c r="EY78" t="e">
        <f>AND('Planilla_General_29-11-2012_10_'!J1169,"AAAAADTcl5o=")</f>
        <v>#VALUE!</v>
      </c>
      <c r="EZ78" t="e">
        <f>AND('Planilla_General_29-11-2012_10_'!K1169,"AAAAADTcl5s=")</f>
        <v>#VALUE!</v>
      </c>
      <c r="FA78" t="e">
        <f>AND('Planilla_General_29-11-2012_10_'!L1169,"AAAAADTcl5w=")</f>
        <v>#VALUE!</v>
      </c>
      <c r="FB78" t="e">
        <f>AND('Planilla_General_29-11-2012_10_'!M1169,"AAAAADTcl50=")</f>
        <v>#VALUE!</v>
      </c>
      <c r="FC78" t="e">
        <f>AND('Planilla_General_29-11-2012_10_'!N1169,"AAAAADTcl54=")</f>
        <v>#VALUE!</v>
      </c>
      <c r="FD78" t="e">
        <f>AND('Planilla_General_29-11-2012_10_'!O1169,"AAAAADTcl58=")</f>
        <v>#VALUE!</v>
      </c>
      <c r="FE78" t="e">
        <f>AND('Planilla_General_29-11-2012_10_'!P1169,"AAAAADTcl6A=")</f>
        <v>#VALUE!</v>
      </c>
      <c r="FF78">
        <f>IF('Planilla_General_29-11-2012_10_'!1170:1170,"AAAAADTcl6E=",0)</f>
        <v>0</v>
      </c>
      <c r="FG78" t="e">
        <f>AND('Planilla_General_29-11-2012_10_'!A1170,"AAAAADTcl6I=")</f>
        <v>#VALUE!</v>
      </c>
      <c r="FH78" t="e">
        <f>AND('Planilla_General_29-11-2012_10_'!B1170,"AAAAADTcl6M=")</f>
        <v>#VALUE!</v>
      </c>
      <c r="FI78" t="e">
        <f>AND('Planilla_General_29-11-2012_10_'!C1170,"AAAAADTcl6Q=")</f>
        <v>#VALUE!</v>
      </c>
      <c r="FJ78" t="e">
        <f>AND('Planilla_General_29-11-2012_10_'!D1170,"AAAAADTcl6U=")</f>
        <v>#VALUE!</v>
      </c>
      <c r="FK78" t="e">
        <f>AND('Planilla_General_29-11-2012_10_'!E1170,"AAAAADTcl6Y=")</f>
        <v>#VALUE!</v>
      </c>
      <c r="FL78" t="e">
        <f>AND('Planilla_General_29-11-2012_10_'!F1170,"AAAAADTcl6c=")</f>
        <v>#VALUE!</v>
      </c>
      <c r="FM78" t="e">
        <f>AND('Planilla_General_29-11-2012_10_'!G1170,"AAAAADTcl6g=")</f>
        <v>#VALUE!</v>
      </c>
      <c r="FN78" t="e">
        <f>AND('Planilla_General_29-11-2012_10_'!H1170,"AAAAADTcl6k=")</f>
        <v>#VALUE!</v>
      </c>
      <c r="FO78" t="e">
        <f>AND('Planilla_General_29-11-2012_10_'!I1170,"AAAAADTcl6o=")</f>
        <v>#VALUE!</v>
      </c>
      <c r="FP78" t="e">
        <f>AND('Planilla_General_29-11-2012_10_'!J1170,"AAAAADTcl6s=")</f>
        <v>#VALUE!</v>
      </c>
      <c r="FQ78" t="e">
        <f>AND('Planilla_General_29-11-2012_10_'!K1170,"AAAAADTcl6w=")</f>
        <v>#VALUE!</v>
      </c>
      <c r="FR78" t="e">
        <f>AND('Planilla_General_29-11-2012_10_'!L1170,"AAAAADTcl60=")</f>
        <v>#VALUE!</v>
      </c>
      <c r="FS78" t="e">
        <f>AND('Planilla_General_29-11-2012_10_'!M1170,"AAAAADTcl64=")</f>
        <v>#VALUE!</v>
      </c>
      <c r="FT78" t="e">
        <f>AND('Planilla_General_29-11-2012_10_'!N1170,"AAAAADTcl68=")</f>
        <v>#VALUE!</v>
      </c>
      <c r="FU78" t="e">
        <f>AND('Planilla_General_29-11-2012_10_'!O1170,"AAAAADTcl7A=")</f>
        <v>#VALUE!</v>
      </c>
      <c r="FV78" t="e">
        <f>AND('Planilla_General_29-11-2012_10_'!P1170,"AAAAADTcl7E=")</f>
        <v>#VALUE!</v>
      </c>
      <c r="FW78">
        <f>IF('Planilla_General_29-11-2012_10_'!1171:1171,"AAAAADTcl7I=",0)</f>
        <v>0</v>
      </c>
      <c r="FX78" t="e">
        <f>AND('Planilla_General_29-11-2012_10_'!A1171,"AAAAADTcl7M=")</f>
        <v>#VALUE!</v>
      </c>
      <c r="FY78" t="e">
        <f>AND('Planilla_General_29-11-2012_10_'!B1171,"AAAAADTcl7Q=")</f>
        <v>#VALUE!</v>
      </c>
      <c r="FZ78" t="e">
        <f>AND('Planilla_General_29-11-2012_10_'!C1171,"AAAAADTcl7U=")</f>
        <v>#VALUE!</v>
      </c>
      <c r="GA78" t="e">
        <f>AND('Planilla_General_29-11-2012_10_'!D1171,"AAAAADTcl7Y=")</f>
        <v>#VALUE!</v>
      </c>
      <c r="GB78" t="e">
        <f>AND('Planilla_General_29-11-2012_10_'!E1171,"AAAAADTcl7c=")</f>
        <v>#VALUE!</v>
      </c>
      <c r="GC78" t="e">
        <f>AND('Planilla_General_29-11-2012_10_'!F1171,"AAAAADTcl7g=")</f>
        <v>#VALUE!</v>
      </c>
      <c r="GD78" t="e">
        <f>AND('Planilla_General_29-11-2012_10_'!G1171,"AAAAADTcl7k=")</f>
        <v>#VALUE!</v>
      </c>
      <c r="GE78" t="e">
        <f>AND('Planilla_General_29-11-2012_10_'!H1171,"AAAAADTcl7o=")</f>
        <v>#VALUE!</v>
      </c>
      <c r="GF78" t="e">
        <f>AND('Planilla_General_29-11-2012_10_'!I1171,"AAAAADTcl7s=")</f>
        <v>#VALUE!</v>
      </c>
      <c r="GG78" t="e">
        <f>AND('Planilla_General_29-11-2012_10_'!J1171,"AAAAADTcl7w=")</f>
        <v>#VALUE!</v>
      </c>
      <c r="GH78" t="e">
        <f>AND('Planilla_General_29-11-2012_10_'!K1171,"AAAAADTcl70=")</f>
        <v>#VALUE!</v>
      </c>
      <c r="GI78" t="e">
        <f>AND('Planilla_General_29-11-2012_10_'!L1171,"AAAAADTcl74=")</f>
        <v>#VALUE!</v>
      </c>
      <c r="GJ78" t="e">
        <f>AND('Planilla_General_29-11-2012_10_'!M1171,"AAAAADTcl78=")</f>
        <v>#VALUE!</v>
      </c>
      <c r="GK78" t="e">
        <f>AND('Planilla_General_29-11-2012_10_'!N1171,"AAAAADTcl8A=")</f>
        <v>#VALUE!</v>
      </c>
      <c r="GL78" t="e">
        <f>AND('Planilla_General_29-11-2012_10_'!O1171,"AAAAADTcl8E=")</f>
        <v>#VALUE!</v>
      </c>
      <c r="GM78" t="e">
        <f>AND('Planilla_General_29-11-2012_10_'!P1171,"AAAAADTcl8I=")</f>
        <v>#VALUE!</v>
      </c>
      <c r="GN78">
        <f>IF('Planilla_General_29-11-2012_10_'!1172:1172,"AAAAADTcl8M=",0)</f>
        <v>0</v>
      </c>
      <c r="GO78" t="e">
        <f>AND('Planilla_General_29-11-2012_10_'!A1172,"AAAAADTcl8Q=")</f>
        <v>#VALUE!</v>
      </c>
      <c r="GP78" t="e">
        <f>AND('Planilla_General_29-11-2012_10_'!B1172,"AAAAADTcl8U=")</f>
        <v>#VALUE!</v>
      </c>
      <c r="GQ78" t="e">
        <f>AND('Planilla_General_29-11-2012_10_'!C1172,"AAAAADTcl8Y=")</f>
        <v>#VALUE!</v>
      </c>
      <c r="GR78" t="e">
        <f>AND('Planilla_General_29-11-2012_10_'!D1172,"AAAAADTcl8c=")</f>
        <v>#VALUE!</v>
      </c>
      <c r="GS78" t="e">
        <f>AND('Planilla_General_29-11-2012_10_'!E1172,"AAAAADTcl8g=")</f>
        <v>#VALUE!</v>
      </c>
      <c r="GT78" t="e">
        <f>AND('Planilla_General_29-11-2012_10_'!F1172,"AAAAADTcl8k=")</f>
        <v>#VALUE!</v>
      </c>
      <c r="GU78" t="e">
        <f>AND('Planilla_General_29-11-2012_10_'!G1172,"AAAAADTcl8o=")</f>
        <v>#VALUE!</v>
      </c>
      <c r="GV78" t="e">
        <f>AND('Planilla_General_29-11-2012_10_'!H1172,"AAAAADTcl8s=")</f>
        <v>#VALUE!</v>
      </c>
      <c r="GW78" t="e">
        <f>AND('Planilla_General_29-11-2012_10_'!I1172,"AAAAADTcl8w=")</f>
        <v>#VALUE!</v>
      </c>
      <c r="GX78" t="e">
        <f>AND('Planilla_General_29-11-2012_10_'!J1172,"AAAAADTcl80=")</f>
        <v>#VALUE!</v>
      </c>
      <c r="GY78" t="e">
        <f>AND('Planilla_General_29-11-2012_10_'!K1172,"AAAAADTcl84=")</f>
        <v>#VALUE!</v>
      </c>
      <c r="GZ78" t="e">
        <f>AND('Planilla_General_29-11-2012_10_'!L1172,"AAAAADTcl88=")</f>
        <v>#VALUE!</v>
      </c>
      <c r="HA78" t="e">
        <f>AND('Planilla_General_29-11-2012_10_'!M1172,"AAAAADTcl9A=")</f>
        <v>#VALUE!</v>
      </c>
      <c r="HB78" t="e">
        <f>AND('Planilla_General_29-11-2012_10_'!N1172,"AAAAADTcl9E=")</f>
        <v>#VALUE!</v>
      </c>
      <c r="HC78" t="e">
        <f>AND('Planilla_General_29-11-2012_10_'!O1172,"AAAAADTcl9I=")</f>
        <v>#VALUE!</v>
      </c>
      <c r="HD78" t="e">
        <f>AND('Planilla_General_29-11-2012_10_'!P1172,"AAAAADTcl9M=")</f>
        <v>#VALUE!</v>
      </c>
      <c r="HE78">
        <f>IF('Planilla_General_29-11-2012_10_'!1173:1173,"AAAAADTcl9Q=",0)</f>
        <v>0</v>
      </c>
      <c r="HF78" t="e">
        <f>AND('Planilla_General_29-11-2012_10_'!A1173,"AAAAADTcl9U=")</f>
        <v>#VALUE!</v>
      </c>
      <c r="HG78" t="e">
        <f>AND('Planilla_General_29-11-2012_10_'!B1173,"AAAAADTcl9Y=")</f>
        <v>#VALUE!</v>
      </c>
      <c r="HH78" t="e">
        <f>AND('Planilla_General_29-11-2012_10_'!C1173,"AAAAADTcl9c=")</f>
        <v>#VALUE!</v>
      </c>
      <c r="HI78" t="e">
        <f>AND('Planilla_General_29-11-2012_10_'!D1173,"AAAAADTcl9g=")</f>
        <v>#VALUE!</v>
      </c>
      <c r="HJ78" t="e">
        <f>AND('Planilla_General_29-11-2012_10_'!E1173,"AAAAADTcl9k=")</f>
        <v>#VALUE!</v>
      </c>
      <c r="HK78" t="e">
        <f>AND('Planilla_General_29-11-2012_10_'!F1173,"AAAAADTcl9o=")</f>
        <v>#VALUE!</v>
      </c>
      <c r="HL78" t="e">
        <f>AND('Planilla_General_29-11-2012_10_'!G1173,"AAAAADTcl9s=")</f>
        <v>#VALUE!</v>
      </c>
      <c r="HM78" t="e">
        <f>AND('Planilla_General_29-11-2012_10_'!H1173,"AAAAADTcl9w=")</f>
        <v>#VALUE!</v>
      </c>
      <c r="HN78" t="e">
        <f>AND('Planilla_General_29-11-2012_10_'!I1173,"AAAAADTcl90=")</f>
        <v>#VALUE!</v>
      </c>
      <c r="HO78" t="e">
        <f>AND('Planilla_General_29-11-2012_10_'!J1173,"AAAAADTcl94=")</f>
        <v>#VALUE!</v>
      </c>
      <c r="HP78" t="e">
        <f>AND('Planilla_General_29-11-2012_10_'!K1173,"AAAAADTcl98=")</f>
        <v>#VALUE!</v>
      </c>
      <c r="HQ78" t="e">
        <f>AND('Planilla_General_29-11-2012_10_'!L1173,"AAAAADTcl+A=")</f>
        <v>#VALUE!</v>
      </c>
      <c r="HR78" t="e">
        <f>AND('Planilla_General_29-11-2012_10_'!M1173,"AAAAADTcl+E=")</f>
        <v>#VALUE!</v>
      </c>
      <c r="HS78" t="e">
        <f>AND('Planilla_General_29-11-2012_10_'!N1173,"AAAAADTcl+I=")</f>
        <v>#VALUE!</v>
      </c>
      <c r="HT78" t="e">
        <f>AND('Planilla_General_29-11-2012_10_'!O1173,"AAAAADTcl+M=")</f>
        <v>#VALUE!</v>
      </c>
      <c r="HU78" t="e">
        <f>AND('Planilla_General_29-11-2012_10_'!P1173,"AAAAADTcl+Q=")</f>
        <v>#VALUE!</v>
      </c>
      <c r="HV78">
        <f>IF('Planilla_General_29-11-2012_10_'!1174:1174,"AAAAADTcl+U=",0)</f>
        <v>0</v>
      </c>
      <c r="HW78" t="e">
        <f>AND('Planilla_General_29-11-2012_10_'!A1174,"AAAAADTcl+Y=")</f>
        <v>#VALUE!</v>
      </c>
      <c r="HX78" t="e">
        <f>AND('Planilla_General_29-11-2012_10_'!B1174,"AAAAADTcl+c=")</f>
        <v>#VALUE!</v>
      </c>
      <c r="HY78" t="e">
        <f>AND('Planilla_General_29-11-2012_10_'!C1174,"AAAAADTcl+g=")</f>
        <v>#VALUE!</v>
      </c>
      <c r="HZ78" t="e">
        <f>AND('Planilla_General_29-11-2012_10_'!D1174,"AAAAADTcl+k=")</f>
        <v>#VALUE!</v>
      </c>
      <c r="IA78" t="e">
        <f>AND('Planilla_General_29-11-2012_10_'!E1174,"AAAAADTcl+o=")</f>
        <v>#VALUE!</v>
      </c>
      <c r="IB78" t="e">
        <f>AND('Planilla_General_29-11-2012_10_'!F1174,"AAAAADTcl+s=")</f>
        <v>#VALUE!</v>
      </c>
      <c r="IC78" t="e">
        <f>AND('Planilla_General_29-11-2012_10_'!G1174,"AAAAADTcl+w=")</f>
        <v>#VALUE!</v>
      </c>
      <c r="ID78" t="e">
        <f>AND('Planilla_General_29-11-2012_10_'!H1174,"AAAAADTcl+0=")</f>
        <v>#VALUE!</v>
      </c>
      <c r="IE78" t="e">
        <f>AND('Planilla_General_29-11-2012_10_'!I1174,"AAAAADTcl+4=")</f>
        <v>#VALUE!</v>
      </c>
      <c r="IF78" t="e">
        <f>AND('Planilla_General_29-11-2012_10_'!J1174,"AAAAADTcl+8=")</f>
        <v>#VALUE!</v>
      </c>
      <c r="IG78" t="e">
        <f>AND('Planilla_General_29-11-2012_10_'!K1174,"AAAAADTcl/A=")</f>
        <v>#VALUE!</v>
      </c>
      <c r="IH78" t="e">
        <f>AND('Planilla_General_29-11-2012_10_'!L1174,"AAAAADTcl/E=")</f>
        <v>#VALUE!</v>
      </c>
      <c r="II78" t="e">
        <f>AND('Planilla_General_29-11-2012_10_'!M1174,"AAAAADTcl/I=")</f>
        <v>#VALUE!</v>
      </c>
      <c r="IJ78" t="e">
        <f>AND('Planilla_General_29-11-2012_10_'!N1174,"AAAAADTcl/M=")</f>
        <v>#VALUE!</v>
      </c>
      <c r="IK78" t="e">
        <f>AND('Planilla_General_29-11-2012_10_'!O1174,"AAAAADTcl/Q=")</f>
        <v>#VALUE!</v>
      </c>
      <c r="IL78" t="e">
        <f>AND('Planilla_General_29-11-2012_10_'!P1174,"AAAAADTcl/U=")</f>
        <v>#VALUE!</v>
      </c>
      <c r="IM78">
        <f>IF('Planilla_General_29-11-2012_10_'!1175:1175,"AAAAADTcl/Y=",0)</f>
        <v>0</v>
      </c>
      <c r="IN78" t="e">
        <f>AND('Planilla_General_29-11-2012_10_'!A1175,"AAAAADTcl/c=")</f>
        <v>#VALUE!</v>
      </c>
      <c r="IO78" t="e">
        <f>AND('Planilla_General_29-11-2012_10_'!B1175,"AAAAADTcl/g=")</f>
        <v>#VALUE!</v>
      </c>
      <c r="IP78" t="e">
        <f>AND('Planilla_General_29-11-2012_10_'!C1175,"AAAAADTcl/k=")</f>
        <v>#VALUE!</v>
      </c>
      <c r="IQ78" t="e">
        <f>AND('Planilla_General_29-11-2012_10_'!D1175,"AAAAADTcl/o=")</f>
        <v>#VALUE!</v>
      </c>
      <c r="IR78" t="e">
        <f>AND('Planilla_General_29-11-2012_10_'!E1175,"AAAAADTcl/s=")</f>
        <v>#VALUE!</v>
      </c>
      <c r="IS78" t="e">
        <f>AND('Planilla_General_29-11-2012_10_'!F1175,"AAAAADTcl/w=")</f>
        <v>#VALUE!</v>
      </c>
      <c r="IT78" t="e">
        <f>AND('Planilla_General_29-11-2012_10_'!G1175,"AAAAADTcl/0=")</f>
        <v>#VALUE!</v>
      </c>
      <c r="IU78" t="e">
        <f>AND('Planilla_General_29-11-2012_10_'!H1175,"AAAAADTcl/4=")</f>
        <v>#VALUE!</v>
      </c>
      <c r="IV78" t="e">
        <f>AND('Planilla_General_29-11-2012_10_'!I1175,"AAAAADTcl/8=")</f>
        <v>#VALUE!</v>
      </c>
    </row>
    <row r="79" spans="1:256" x14ac:dyDescent="0.25">
      <c r="A79" t="e">
        <f>AND('Planilla_General_29-11-2012_10_'!J1175,"AAAAAHn2fwA=")</f>
        <v>#VALUE!</v>
      </c>
      <c r="B79" t="e">
        <f>AND('Planilla_General_29-11-2012_10_'!K1175,"AAAAAHn2fwE=")</f>
        <v>#VALUE!</v>
      </c>
      <c r="C79" t="e">
        <f>AND('Planilla_General_29-11-2012_10_'!L1175,"AAAAAHn2fwI=")</f>
        <v>#VALUE!</v>
      </c>
      <c r="D79" t="e">
        <f>AND('Planilla_General_29-11-2012_10_'!M1175,"AAAAAHn2fwM=")</f>
        <v>#VALUE!</v>
      </c>
      <c r="E79" t="e">
        <f>AND('Planilla_General_29-11-2012_10_'!N1175,"AAAAAHn2fwQ=")</f>
        <v>#VALUE!</v>
      </c>
      <c r="F79" t="e">
        <f>AND('Planilla_General_29-11-2012_10_'!O1175,"AAAAAHn2fwU=")</f>
        <v>#VALUE!</v>
      </c>
      <c r="G79" t="e">
        <f>AND('Planilla_General_29-11-2012_10_'!P1175,"AAAAAHn2fwY=")</f>
        <v>#VALUE!</v>
      </c>
      <c r="H79" t="e">
        <f>IF('Planilla_General_29-11-2012_10_'!1176:1176,"AAAAAHn2fwc=",0)</f>
        <v>#VALUE!</v>
      </c>
      <c r="I79" t="e">
        <f>AND('Planilla_General_29-11-2012_10_'!A1176,"AAAAAHn2fwg=")</f>
        <v>#VALUE!</v>
      </c>
      <c r="J79" t="e">
        <f>AND('Planilla_General_29-11-2012_10_'!B1176,"AAAAAHn2fwk=")</f>
        <v>#VALUE!</v>
      </c>
      <c r="K79" t="e">
        <f>AND('Planilla_General_29-11-2012_10_'!C1176,"AAAAAHn2fwo=")</f>
        <v>#VALUE!</v>
      </c>
      <c r="L79" t="e">
        <f>AND('Planilla_General_29-11-2012_10_'!D1176,"AAAAAHn2fws=")</f>
        <v>#VALUE!</v>
      </c>
      <c r="M79" t="e">
        <f>AND('Planilla_General_29-11-2012_10_'!E1176,"AAAAAHn2fww=")</f>
        <v>#VALUE!</v>
      </c>
      <c r="N79" t="e">
        <f>AND('Planilla_General_29-11-2012_10_'!F1176,"AAAAAHn2fw0=")</f>
        <v>#VALUE!</v>
      </c>
      <c r="O79" t="e">
        <f>AND('Planilla_General_29-11-2012_10_'!G1176,"AAAAAHn2fw4=")</f>
        <v>#VALUE!</v>
      </c>
      <c r="P79" t="e">
        <f>AND('Planilla_General_29-11-2012_10_'!H1176,"AAAAAHn2fw8=")</f>
        <v>#VALUE!</v>
      </c>
      <c r="Q79" t="e">
        <f>AND('Planilla_General_29-11-2012_10_'!I1176,"AAAAAHn2fxA=")</f>
        <v>#VALUE!</v>
      </c>
      <c r="R79" t="e">
        <f>AND('Planilla_General_29-11-2012_10_'!J1176,"AAAAAHn2fxE=")</f>
        <v>#VALUE!</v>
      </c>
      <c r="S79" t="e">
        <f>AND('Planilla_General_29-11-2012_10_'!K1176,"AAAAAHn2fxI=")</f>
        <v>#VALUE!</v>
      </c>
      <c r="T79" t="e">
        <f>AND('Planilla_General_29-11-2012_10_'!L1176,"AAAAAHn2fxM=")</f>
        <v>#VALUE!</v>
      </c>
      <c r="U79" t="e">
        <f>AND('Planilla_General_29-11-2012_10_'!M1176,"AAAAAHn2fxQ=")</f>
        <v>#VALUE!</v>
      </c>
      <c r="V79" t="e">
        <f>AND('Planilla_General_29-11-2012_10_'!N1176,"AAAAAHn2fxU=")</f>
        <v>#VALUE!</v>
      </c>
      <c r="W79" t="e">
        <f>AND('Planilla_General_29-11-2012_10_'!O1176,"AAAAAHn2fxY=")</f>
        <v>#VALUE!</v>
      </c>
      <c r="X79" t="e">
        <f>AND('Planilla_General_29-11-2012_10_'!P1176,"AAAAAHn2fxc=")</f>
        <v>#VALUE!</v>
      </c>
      <c r="Y79">
        <f>IF('Planilla_General_29-11-2012_10_'!1177:1177,"AAAAAHn2fxg=",0)</f>
        <v>0</v>
      </c>
      <c r="Z79" t="e">
        <f>AND('Planilla_General_29-11-2012_10_'!A1177,"AAAAAHn2fxk=")</f>
        <v>#VALUE!</v>
      </c>
      <c r="AA79" t="e">
        <f>AND('Planilla_General_29-11-2012_10_'!B1177,"AAAAAHn2fxo=")</f>
        <v>#VALUE!</v>
      </c>
      <c r="AB79" t="e">
        <f>AND('Planilla_General_29-11-2012_10_'!C1177,"AAAAAHn2fxs=")</f>
        <v>#VALUE!</v>
      </c>
      <c r="AC79" t="e">
        <f>AND('Planilla_General_29-11-2012_10_'!D1177,"AAAAAHn2fxw=")</f>
        <v>#VALUE!</v>
      </c>
      <c r="AD79" t="e">
        <f>AND('Planilla_General_29-11-2012_10_'!E1177,"AAAAAHn2fx0=")</f>
        <v>#VALUE!</v>
      </c>
      <c r="AE79" t="e">
        <f>AND('Planilla_General_29-11-2012_10_'!F1177,"AAAAAHn2fx4=")</f>
        <v>#VALUE!</v>
      </c>
      <c r="AF79" t="e">
        <f>AND('Planilla_General_29-11-2012_10_'!G1177,"AAAAAHn2fx8=")</f>
        <v>#VALUE!</v>
      </c>
      <c r="AG79" t="e">
        <f>AND('Planilla_General_29-11-2012_10_'!H1177,"AAAAAHn2fyA=")</f>
        <v>#VALUE!</v>
      </c>
      <c r="AH79" t="e">
        <f>AND('Planilla_General_29-11-2012_10_'!I1177,"AAAAAHn2fyE=")</f>
        <v>#VALUE!</v>
      </c>
      <c r="AI79" t="e">
        <f>AND('Planilla_General_29-11-2012_10_'!J1177,"AAAAAHn2fyI=")</f>
        <v>#VALUE!</v>
      </c>
      <c r="AJ79" t="e">
        <f>AND('Planilla_General_29-11-2012_10_'!K1177,"AAAAAHn2fyM=")</f>
        <v>#VALUE!</v>
      </c>
      <c r="AK79" t="e">
        <f>AND('Planilla_General_29-11-2012_10_'!L1177,"AAAAAHn2fyQ=")</f>
        <v>#VALUE!</v>
      </c>
      <c r="AL79" t="e">
        <f>AND('Planilla_General_29-11-2012_10_'!M1177,"AAAAAHn2fyU=")</f>
        <v>#VALUE!</v>
      </c>
      <c r="AM79" t="e">
        <f>AND('Planilla_General_29-11-2012_10_'!N1177,"AAAAAHn2fyY=")</f>
        <v>#VALUE!</v>
      </c>
      <c r="AN79" t="e">
        <f>AND('Planilla_General_29-11-2012_10_'!O1177,"AAAAAHn2fyc=")</f>
        <v>#VALUE!</v>
      </c>
      <c r="AO79" t="e">
        <f>AND('Planilla_General_29-11-2012_10_'!P1177,"AAAAAHn2fyg=")</f>
        <v>#VALUE!</v>
      </c>
      <c r="AP79">
        <f>IF('Planilla_General_29-11-2012_10_'!1178:1178,"AAAAAHn2fyk=",0)</f>
        <v>0</v>
      </c>
      <c r="AQ79" t="e">
        <f>AND('Planilla_General_29-11-2012_10_'!A1178,"AAAAAHn2fyo=")</f>
        <v>#VALUE!</v>
      </c>
      <c r="AR79" t="e">
        <f>AND('Planilla_General_29-11-2012_10_'!B1178,"AAAAAHn2fys=")</f>
        <v>#VALUE!</v>
      </c>
      <c r="AS79" t="e">
        <f>AND('Planilla_General_29-11-2012_10_'!C1178,"AAAAAHn2fyw=")</f>
        <v>#VALUE!</v>
      </c>
      <c r="AT79" t="e">
        <f>AND('Planilla_General_29-11-2012_10_'!D1178,"AAAAAHn2fy0=")</f>
        <v>#VALUE!</v>
      </c>
      <c r="AU79" t="e">
        <f>AND('Planilla_General_29-11-2012_10_'!E1178,"AAAAAHn2fy4=")</f>
        <v>#VALUE!</v>
      </c>
      <c r="AV79" t="e">
        <f>AND('Planilla_General_29-11-2012_10_'!F1178,"AAAAAHn2fy8=")</f>
        <v>#VALUE!</v>
      </c>
      <c r="AW79" t="e">
        <f>AND('Planilla_General_29-11-2012_10_'!G1178,"AAAAAHn2fzA=")</f>
        <v>#VALUE!</v>
      </c>
      <c r="AX79" t="e">
        <f>AND('Planilla_General_29-11-2012_10_'!H1178,"AAAAAHn2fzE=")</f>
        <v>#VALUE!</v>
      </c>
      <c r="AY79" t="e">
        <f>AND('Planilla_General_29-11-2012_10_'!I1178,"AAAAAHn2fzI=")</f>
        <v>#VALUE!</v>
      </c>
      <c r="AZ79" t="e">
        <f>AND('Planilla_General_29-11-2012_10_'!J1178,"AAAAAHn2fzM=")</f>
        <v>#VALUE!</v>
      </c>
      <c r="BA79" t="e">
        <f>AND('Planilla_General_29-11-2012_10_'!K1178,"AAAAAHn2fzQ=")</f>
        <v>#VALUE!</v>
      </c>
      <c r="BB79" t="e">
        <f>AND('Planilla_General_29-11-2012_10_'!L1178,"AAAAAHn2fzU=")</f>
        <v>#VALUE!</v>
      </c>
      <c r="BC79" t="e">
        <f>AND('Planilla_General_29-11-2012_10_'!M1178,"AAAAAHn2fzY=")</f>
        <v>#VALUE!</v>
      </c>
      <c r="BD79" t="e">
        <f>AND('Planilla_General_29-11-2012_10_'!N1178,"AAAAAHn2fzc=")</f>
        <v>#VALUE!</v>
      </c>
      <c r="BE79" t="e">
        <f>AND('Planilla_General_29-11-2012_10_'!O1178,"AAAAAHn2fzg=")</f>
        <v>#VALUE!</v>
      </c>
      <c r="BF79" t="e">
        <f>AND('Planilla_General_29-11-2012_10_'!P1178,"AAAAAHn2fzk=")</f>
        <v>#VALUE!</v>
      </c>
      <c r="BG79">
        <f>IF('Planilla_General_29-11-2012_10_'!1179:1179,"AAAAAHn2fzo=",0)</f>
        <v>0</v>
      </c>
      <c r="BH79" t="e">
        <f>AND('Planilla_General_29-11-2012_10_'!A1179,"AAAAAHn2fzs=")</f>
        <v>#VALUE!</v>
      </c>
      <c r="BI79" t="e">
        <f>AND('Planilla_General_29-11-2012_10_'!B1179,"AAAAAHn2fzw=")</f>
        <v>#VALUE!</v>
      </c>
      <c r="BJ79" t="e">
        <f>AND('Planilla_General_29-11-2012_10_'!C1179,"AAAAAHn2fz0=")</f>
        <v>#VALUE!</v>
      </c>
      <c r="BK79" t="e">
        <f>AND('Planilla_General_29-11-2012_10_'!D1179,"AAAAAHn2fz4=")</f>
        <v>#VALUE!</v>
      </c>
      <c r="BL79" t="e">
        <f>AND('Planilla_General_29-11-2012_10_'!E1179,"AAAAAHn2fz8=")</f>
        <v>#VALUE!</v>
      </c>
      <c r="BM79" t="e">
        <f>AND('Planilla_General_29-11-2012_10_'!F1179,"AAAAAHn2f0A=")</f>
        <v>#VALUE!</v>
      </c>
      <c r="BN79" t="e">
        <f>AND('Planilla_General_29-11-2012_10_'!G1179,"AAAAAHn2f0E=")</f>
        <v>#VALUE!</v>
      </c>
      <c r="BO79" t="e">
        <f>AND('Planilla_General_29-11-2012_10_'!H1179,"AAAAAHn2f0I=")</f>
        <v>#VALUE!</v>
      </c>
      <c r="BP79" t="e">
        <f>AND('Planilla_General_29-11-2012_10_'!I1179,"AAAAAHn2f0M=")</f>
        <v>#VALUE!</v>
      </c>
      <c r="BQ79" t="e">
        <f>AND('Planilla_General_29-11-2012_10_'!J1179,"AAAAAHn2f0Q=")</f>
        <v>#VALUE!</v>
      </c>
      <c r="BR79" t="e">
        <f>AND('Planilla_General_29-11-2012_10_'!K1179,"AAAAAHn2f0U=")</f>
        <v>#VALUE!</v>
      </c>
      <c r="BS79" t="e">
        <f>AND('Planilla_General_29-11-2012_10_'!L1179,"AAAAAHn2f0Y=")</f>
        <v>#VALUE!</v>
      </c>
      <c r="BT79" t="e">
        <f>AND('Planilla_General_29-11-2012_10_'!M1179,"AAAAAHn2f0c=")</f>
        <v>#VALUE!</v>
      </c>
      <c r="BU79" t="e">
        <f>AND('Planilla_General_29-11-2012_10_'!N1179,"AAAAAHn2f0g=")</f>
        <v>#VALUE!</v>
      </c>
      <c r="BV79" t="e">
        <f>AND('Planilla_General_29-11-2012_10_'!O1179,"AAAAAHn2f0k=")</f>
        <v>#VALUE!</v>
      </c>
      <c r="BW79" t="e">
        <f>AND('Planilla_General_29-11-2012_10_'!P1179,"AAAAAHn2f0o=")</f>
        <v>#VALUE!</v>
      </c>
      <c r="BX79">
        <f>IF('Planilla_General_29-11-2012_10_'!1180:1180,"AAAAAHn2f0s=",0)</f>
        <v>0</v>
      </c>
      <c r="BY79" t="e">
        <f>AND('Planilla_General_29-11-2012_10_'!A1180,"AAAAAHn2f0w=")</f>
        <v>#VALUE!</v>
      </c>
      <c r="BZ79" t="e">
        <f>AND('Planilla_General_29-11-2012_10_'!B1180,"AAAAAHn2f00=")</f>
        <v>#VALUE!</v>
      </c>
      <c r="CA79" t="e">
        <f>AND('Planilla_General_29-11-2012_10_'!C1180,"AAAAAHn2f04=")</f>
        <v>#VALUE!</v>
      </c>
      <c r="CB79" t="e">
        <f>AND('Planilla_General_29-11-2012_10_'!D1180,"AAAAAHn2f08=")</f>
        <v>#VALUE!</v>
      </c>
      <c r="CC79" t="e">
        <f>AND('Planilla_General_29-11-2012_10_'!E1180,"AAAAAHn2f1A=")</f>
        <v>#VALUE!</v>
      </c>
      <c r="CD79" t="e">
        <f>AND('Planilla_General_29-11-2012_10_'!F1180,"AAAAAHn2f1E=")</f>
        <v>#VALUE!</v>
      </c>
      <c r="CE79" t="e">
        <f>AND('Planilla_General_29-11-2012_10_'!G1180,"AAAAAHn2f1I=")</f>
        <v>#VALUE!</v>
      </c>
      <c r="CF79" t="e">
        <f>AND('Planilla_General_29-11-2012_10_'!H1180,"AAAAAHn2f1M=")</f>
        <v>#VALUE!</v>
      </c>
      <c r="CG79" t="e">
        <f>AND('Planilla_General_29-11-2012_10_'!I1180,"AAAAAHn2f1Q=")</f>
        <v>#VALUE!</v>
      </c>
      <c r="CH79" t="e">
        <f>AND('Planilla_General_29-11-2012_10_'!J1180,"AAAAAHn2f1U=")</f>
        <v>#VALUE!</v>
      </c>
      <c r="CI79" t="e">
        <f>AND('Planilla_General_29-11-2012_10_'!K1180,"AAAAAHn2f1Y=")</f>
        <v>#VALUE!</v>
      </c>
      <c r="CJ79" t="e">
        <f>AND('Planilla_General_29-11-2012_10_'!L1180,"AAAAAHn2f1c=")</f>
        <v>#VALUE!</v>
      </c>
      <c r="CK79" t="e">
        <f>AND('Planilla_General_29-11-2012_10_'!M1180,"AAAAAHn2f1g=")</f>
        <v>#VALUE!</v>
      </c>
      <c r="CL79" t="e">
        <f>AND('Planilla_General_29-11-2012_10_'!N1180,"AAAAAHn2f1k=")</f>
        <v>#VALUE!</v>
      </c>
      <c r="CM79" t="e">
        <f>AND('Planilla_General_29-11-2012_10_'!O1180,"AAAAAHn2f1o=")</f>
        <v>#VALUE!</v>
      </c>
      <c r="CN79" t="e">
        <f>AND('Planilla_General_29-11-2012_10_'!P1180,"AAAAAHn2f1s=")</f>
        <v>#VALUE!</v>
      </c>
      <c r="CO79">
        <f>IF('Planilla_General_29-11-2012_10_'!1181:1181,"AAAAAHn2f1w=",0)</f>
        <v>0</v>
      </c>
      <c r="CP79" t="e">
        <f>AND('Planilla_General_29-11-2012_10_'!A1181,"AAAAAHn2f10=")</f>
        <v>#VALUE!</v>
      </c>
      <c r="CQ79" t="e">
        <f>AND('Planilla_General_29-11-2012_10_'!B1181,"AAAAAHn2f14=")</f>
        <v>#VALUE!</v>
      </c>
      <c r="CR79" t="e">
        <f>AND('Planilla_General_29-11-2012_10_'!C1181,"AAAAAHn2f18=")</f>
        <v>#VALUE!</v>
      </c>
      <c r="CS79" t="e">
        <f>AND('Planilla_General_29-11-2012_10_'!D1181,"AAAAAHn2f2A=")</f>
        <v>#VALUE!</v>
      </c>
      <c r="CT79" t="e">
        <f>AND('Planilla_General_29-11-2012_10_'!E1181,"AAAAAHn2f2E=")</f>
        <v>#VALUE!</v>
      </c>
      <c r="CU79" t="e">
        <f>AND('Planilla_General_29-11-2012_10_'!F1181,"AAAAAHn2f2I=")</f>
        <v>#VALUE!</v>
      </c>
      <c r="CV79" t="e">
        <f>AND('Planilla_General_29-11-2012_10_'!G1181,"AAAAAHn2f2M=")</f>
        <v>#VALUE!</v>
      </c>
      <c r="CW79" t="e">
        <f>AND('Planilla_General_29-11-2012_10_'!H1181,"AAAAAHn2f2Q=")</f>
        <v>#VALUE!</v>
      </c>
      <c r="CX79" t="e">
        <f>AND('Planilla_General_29-11-2012_10_'!I1181,"AAAAAHn2f2U=")</f>
        <v>#VALUE!</v>
      </c>
      <c r="CY79" t="e">
        <f>AND('Planilla_General_29-11-2012_10_'!J1181,"AAAAAHn2f2Y=")</f>
        <v>#VALUE!</v>
      </c>
      <c r="CZ79" t="e">
        <f>AND('Planilla_General_29-11-2012_10_'!K1181,"AAAAAHn2f2c=")</f>
        <v>#VALUE!</v>
      </c>
      <c r="DA79" t="e">
        <f>AND('Planilla_General_29-11-2012_10_'!L1181,"AAAAAHn2f2g=")</f>
        <v>#VALUE!</v>
      </c>
      <c r="DB79" t="e">
        <f>AND('Planilla_General_29-11-2012_10_'!M1181,"AAAAAHn2f2k=")</f>
        <v>#VALUE!</v>
      </c>
      <c r="DC79" t="e">
        <f>AND('Planilla_General_29-11-2012_10_'!N1181,"AAAAAHn2f2o=")</f>
        <v>#VALUE!</v>
      </c>
      <c r="DD79" t="e">
        <f>AND('Planilla_General_29-11-2012_10_'!O1181,"AAAAAHn2f2s=")</f>
        <v>#VALUE!</v>
      </c>
      <c r="DE79" t="e">
        <f>AND('Planilla_General_29-11-2012_10_'!P1181,"AAAAAHn2f2w=")</f>
        <v>#VALUE!</v>
      </c>
      <c r="DF79">
        <f>IF('Planilla_General_29-11-2012_10_'!1182:1182,"AAAAAHn2f20=",0)</f>
        <v>0</v>
      </c>
      <c r="DG79" t="e">
        <f>AND('Planilla_General_29-11-2012_10_'!A1182,"AAAAAHn2f24=")</f>
        <v>#VALUE!</v>
      </c>
      <c r="DH79" t="e">
        <f>AND('Planilla_General_29-11-2012_10_'!B1182,"AAAAAHn2f28=")</f>
        <v>#VALUE!</v>
      </c>
      <c r="DI79" t="e">
        <f>AND('Planilla_General_29-11-2012_10_'!C1182,"AAAAAHn2f3A=")</f>
        <v>#VALUE!</v>
      </c>
      <c r="DJ79" t="e">
        <f>AND('Planilla_General_29-11-2012_10_'!D1182,"AAAAAHn2f3E=")</f>
        <v>#VALUE!</v>
      </c>
      <c r="DK79" t="e">
        <f>AND('Planilla_General_29-11-2012_10_'!E1182,"AAAAAHn2f3I=")</f>
        <v>#VALUE!</v>
      </c>
      <c r="DL79" t="e">
        <f>AND('Planilla_General_29-11-2012_10_'!F1182,"AAAAAHn2f3M=")</f>
        <v>#VALUE!</v>
      </c>
      <c r="DM79" t="e">
        <f>AND('Planilla_General_29-11-2012_10_'!G1182,"AAAAAHn2f3Q=")</f>
        <v>#VALUE!</v>
      </c>
      <c r="DN79" t="e">
        <f>AND('Planilla_General_29-11-2012_10_'!H1182,"AAAAAHn2f3U=")</f>
        <v>#VALUE!</v>
      </c>
      <c r="DO79" t="e">
        <f>AND('Planilla_General_29-11-2012_10_'!I1182,"AAAAAHn2f3Y=")</f>
        <v>#VALUE!</v>
      </c>
      <c r="DP79" t="e">
        <f>AND('Planilla_General_29-11-2012_10_'!J1182,"AAAAAHn2f3c=")</f>
        <v>#VALUE!</v>
      </c>
      <c r="DQ79" t="e">
        <f>AND('Planilla_General_29-11-2012_10_'!K1182,"AAAAAHn2f3g=")</f>
        <v>#VALUE!</v>
      </c>
      <c r="DR79" t="e">
        <f>AND('Planilla_General_29-11-2012_10_'!L1182,"AAAAAHn2f3k=")</f>
        <v>#VALUE!</v>
      </c>
      <c r="DS79" t="e">
        <f>AND('Planilla_General_29-11-2012_10_'!M1182,"AAAAAHn2f3o=")</f>
        <v>#VALUE!</v>
      </c>
      <c r="DT79" t="e">
        <f>AND('Planilla_General_29-11-2012_10_'!N1182,"AAAAAHn2f3s=")</f>
        <v>#VALUE!</v>
      </c>
      <c r="DU79" t="e">
        <f>AND('Planilla_General_29-11-2012_10_'!O1182,"AAAAAHn2f3w=")</f>
        <v>#VALUE!</v>
      </c>
      <c r="DV79" t="e">
        <f>AND('Planilla_General_29-11-2012_10_'!P1182,"AAAAAHn2f30=")</f>
        <v>#VALUE!</v>
      </c>
      <c r="DW79">
        <f>IF('Planilla_General_29-11-2012_10_'!1183:1183,"AAAAAHn2f34=",0)</f>
        <v>0</v>
      </c>
      <c r="DX79" t="e">
        <f>AND('Planilla_General_29-11-2012_10_'!A1183,"AAAAAHn2f38=")</f>
        <v>#VALUE!</v>
      </c>
      <c r="DY79" t="e">
        <f>AND('Planilla_General_29-11-2012_10_'!B1183,"AAAAAHn2f4A=")</f>
        <v>#VALUE!</v>
      </c>
      <c r="DZ79" t="e">
        <f>AND('Planilla_General_29-11-2012_10_'!C1183,"AAAAAHn2f4E=")</f>
        <v>#VALUE!</v>
      </c>
      <c r="EA79" t="e">
        <f>AND('Planilla_General_29-11-2012_10_'!D1183,"AAAAAHn2f4I=")</f>
        <v>#VALUE!</v>
      </c>
      <c r="EB79" t="e">
        <f>AND('Planilla_General_29-11-2012_10_'!E1183,"AAAAAHn2f4M=")</f>
        <v>#VALUE!</v>
      </c>
      <c r="EC79" t="e">
        <f>AND('Planilla_General_29-11-2012_10_'!F1183,"AAAAAHn2f4Q=")</f>
        <v>#VALUE!</v>
      </c>
      <c r="ED79" t="e">
        <f>AND('Planilla_General_29-11-2012_10_'!G1183,"AAAAAHn2f4U=")</f>
        <v>#VALUE!</v>
      </c>
      <c r="EE79" t="e">
        <f>AND('Planilla_General_29-11-2012_10_'!H1183,"AAAAAHn2f4Y=")</f>
        <v>#VALUE!</v>
      </c>
      <c r="EF79" t="e">
        <f>AND('Planilla_General_29-11-2012_10_'!I1183,"AAAAAHn2f4c=")</f>
        <v>#VALUE!</v>
      </c>
      <c r="EG79" t="e">
        <f>AND('Planilla_General_29-11-2012_10_'!J1183,"AAAAAHn2f4g=")</f>
        <v>#VALUE!</v>
      </c>
      <c r="EH79" t="e">
        <f>AND('Planilla_General_29-11-2012_10_'!K1183,"AAAAAHn2f4k=")</f>
        <v>#VALUE!</v>
      </c>
      <c r="EI79" t="e">
        <f>AND('Planilla_General_29-11-2012_10_'!L1183,"AAAAAHn2f4o=")</f>
        <v>#VALUE!</v>
      </c>
      <c r="EJ79" t="e">
        <f>AND('Planilla_General_29-11-2012_10_'!M1183,"AAAAAHn2f4s=")</f>
        <v>#VALUE!</v>
      </c>
      <c r="EK79" t="e">
        <f>AND('Planilla_General_29-11-2012_10_'!N1183,"AAAAAHn2f4w=")</f>
        <v>#VALUE!</v>
      </c>
      <c r="EL79" t="e">
        <f>AND('Planilla_General_29-11-2012_10_'!O1183,"AAAAAHn2f40=")</f>
        <v>#VALUE!</v>
      </c>
      <c r="EM79" t="e">
        <f>AND('Planilla_General_29-11-2012_10_'!P1183,"AAAAAHn2f44=")</f>
        <v>#VALUE!</v>
      </c>
      <c r="EN79">
        <f>IF('Planilla_General_29-11-2012_10_'!1184:1184,"AAAAAHn2f48=",0)</f>
        <v>0</v>
      </c>
      <c r="EO79" t="e">
        <f>AND('Planilla_General_29-11-2012_10_'!A1184,"AAAAAHn2f5A=")</f>
        <v>#VALUE!</v>
      </c>
      <c r="EP79" t="e">
        <f>AND('Planilla_General_29-11-2012_10_'!B1184,"AAAAAHn2f5E=")</f>
        <v>#VALUE!</v>
      </c>
      <c r="EQ79" t="e">
        <f>AND('Planilla_General_29-11-2012_10_'!C1184,"AAAAAHn2f5I=")</f>
        <v>#VALUE!</v>
      </c>
      <c r="ER79" t="e">
        <f>AND('Planilla_General_29-11-2012_10_'!D1184,"AAAAAHn2f5M=")</f>
        <v>#VALUE!</v>
      </c>
      <c r="ES79" t="e">
        <f>AND('Planilla_General_29-11-2012_10_'!E1184,"AAAAAHn2f5Q=")</f>
        <v>#VALUE!</v>
      </c>
      <c r="ET79" t="e">
        <f>AND('Planilla_General_29-11-2012_10_'!F1184,"AAAAAHn2f5U=")</f>
        <v>#VALUE!</v>
      </c>
      <c r="EU79" t="e">
        <f>AND('Planilla_General_29-11-2012_10_'!G1184,"AAAAAHn2f5Y=")</f>
        <v>#VALUE!</v>
      </c>
      <c r="EV79" t="e">
        <f>AND('Planilla_General_29-11-2012_10_'!H1184,"AAAAAHn2f5c=")</f>
        <v>#VALUE!</v>
      </c>
      <c r="EW79" t="e">
        <f>AND('Planilla_General_29-11-2012_10_'!I1184,"AAAAAHn2f5g=")</f>
        <v>#VALUE!</v>
      </c>
      <c r="EX79" t="e">
        <f>AND('Planilla_General_29-11-2012_10_'!J1184,"AAAAAHn2f5k=")</f>
        <v>#VALUE!</v>
      </c>
      <c r="EY79" t="e">
        <f>AND('Planilla_General_29-11-2012_10_'!K1184,"AAAAAHn2f5o=")</f>
        <v>#VALUE!</v>
      </c>
      <c r="EZ79" t="e">
        <f>AND('Planilla_General_29-11-2012_10_'!L1184,"AAAAAHn2f5s=")</f>
        <v>#VALUE!</v>
      </c>
      <c r="FA79" t="e">
        <f>AND('Planilla_General_29-11-2012_10_'!M1184,"AAAAAHn2f5w=")</f>
        <v>#VALUE!</v>
      </c>
      <c r="FB79" t="e">
        <f>AND('Planilla_General_29-11-2012_10_'!N1184,"AAAAAHn2f50=")</f>
        <v>#VALUE!</v>
      </c>
      <c r="FC79" t="e">
        <f>AND('Planilla_General_29-11-2012_10_'!O1184,"AAAAAHn2f54=")</f>
        <v>#VALUE!</v>
      </c>
      <c r="FD79" t="e">
        <f>AND('Planilla_General_29-11-2012_10_'!P1184,"AAAAAHn2f58=")</f>
        <v>#VALUE!</v>
      </c>
      <c r="FE79">
        <f>IF('Planilla_General_29-11-2012_10_'!1185:1185,"AAAAAHn2f6A=",0)</f>
        <v>0</v>
      </c>
      <c r="FF79" t="e">
        <f>AND('Planilla_General_29-11-2012_10_'!A1185,"AAAAAHn2f6E=")</f>
        <v>#VALUE!</v>
      </c>
      <c r="FG79" t="e">
        <f>AND('Planilla_General_29-11-2012_10_'!B1185,"AAAAAHn2f6I=")</f>
        <v>#VALUE!</v>
      </c>
      <c r="FH79" t="e">
        <f>AND('Planilla_General_29-11-2012_10_'!C1185,"AAAAAHn2f6M=")</f>
        <v>#VALUE!</v>
      </c>
      <c r="FI79" t="e">
        <f>AND('Planilla_General_29-11-2012_10_'!D1185,"AAAAAHn2f6Q=")</f>
        <v>#VALUE!</v>
      </c>
      <c r="FJ79" t="e">
        <f>AND('Planilla_General_29-11-2012_10_'!E1185,"AAAAAHn2f6U=")</f>
        <v>#VALUE!</v>
      </c>
      <c r="FK79" t="e">
        <f>AND('Planilla_General_29-11-2012_10_'!F1185,"AAAAAHn2f6Y=")</f>
        <v>#VALUE!</v>
      </c>
      <c r="FL79" t="e">
        <f>AND('Planilla_General_29-11-2012_10_'!G1185,"AAAAAHn2f6c=")</f>
        <v>#VALUE!</v>
      </c>
      <c r="FM79" t="e">
        <f>AND('Planilla_General_29-11-2012_10_'!H1185,"AAAAAHn2f6g=")</f>
        <v>#VALUE!</v>
      </c>
      <c r="FN79" t="e">
        <f>AND('Planilla_General_29-11-2012_10_'!I1185,"AAAAAHn2f6k=")</f>
        <v>#VALUE!</v>
      </c>
      <c r="FO79" t="e">
        <f>AND('Planilla_General_29-11-2012_10_'!J1185,"AAAAAHn2f6o=")</f>
        <v>#VALUE!</v>
      </c>
      <c r="FP79" t="e">
        <f>AND('Planilla_General_29-11-2012_10_'!K1185,"AAAAAHn2f6s=")</f>
        <v>#VALUE!</v>
      </c>
      <c r="FQ79" t="e">
        <f>AND('Planilla_General_29-11-2012_10_'!L1185,"AAAAAHn2f6w=")</f>
        <v>#VALUE!</v>
      </c>
      <c r="FR79" t="e">
        <f>AND('Planilla_General_29-11-2012_10_'!M1185,"AAAAAHn2f60=")</f>
        <v>#VALUE!</v>
      </c>
      <c r="FS79" t="e">
        <f>AND('Planilla_General_29-11-2012_10_'!N1185,"AAAAAHn2f64=")</f>
        <v>#VALUE!</v>
      </c>
      <c r="FT79" t="e">
        <f>AND('Planilla_General_29-11-2012_10_'!O1185,"AAAAAHn2f68=")</f>
        <v>#VALUE!</v>
      </c>
      <c r="FU79" t="e">
        <f>AND('Planilla_General_29-11-2012_10_'!P1185,"AAAAAHn2f7A=")</f>
        <v>#VALUE!</v>
      </c>
      <c r="FV79">
        <f>IF('Planilla_General_29-11-2012_10_'!1186:1186,"AAAAAHn2f7E=",0)</f>
        <v>0</v>
      </c>
      <c r="FW79" t="e">
        <f>AND('Planilla_General_29-11-2012_10_'!A1186,"AAAAAHn2f7I=")</f>
        <v>#VALUE!</v>
      </c>
      <c r="FX79" t="e">
        <f>AND('Planilla_General_29-11-2012_10_'!B1186,"AAAAAHn2f7M=")</f>
        <v>#VALUE!</v>
      </c>
      <c r="FY79" t="e">
        <f>AND('Planilla_General_29-11-2012_10_'!C1186,"AAAAAHn2f7Q=")</f>
        <v>#VALUE!</v>
      </c>
      <c r="FZ79" t="e">
        <f>AND('Planilla_General_29-11-2012_10_'!D1186,"AAAAAHn2f7U=")</f>
        <v>#VALUE!</v>
      </c>
      <c r="GA79" t="e">
        <f>AND('Planilla_General_29-11-2012_10_'!E1186,"AAAAAHn2f7Y=")</f>
        <v>#VALUE!</v>
      </c>
      <c r="GB79" t="e">
        <f>AND('Planilla_General_29-11-2012_10_'!F1186,"AAAAAHn2f7c=")</f>
        <v>#VALUE!</v>
      </c>
      <c r="GC79" t="e">
        <f>AND('Planilla_General_29-11-2012_10_'!G1186,"AAAAAHn2f7g=")</f>
        <v>#VALUE!</v>
      </c>
      <c r="GD79" t="e">
        <f>AND('Planilla_General_29-11-2012_10_'!H1186,"AAAAAHn2f7k=")</f>
        <v>#VALUE!</v>
      </c>
      <c r="GE79" t="e">
        <f>AND('Planilla_General_29-11-2012_10_'!I1186,"AAAAAHn2f7o=")</f>
        <v>#VALUE!</v>
      </c>
      <c r="GF79" t="e">
        <f>AND('Planilla_General_29-11-2012_10_'!J1186,"AAAAAHn2f7s=")</f>
        <v>#VALUE!</v>
      </c>
      <c r="GG79" t="e">
        <f>AND('Planilla_General_29-11-2012_10_'!K1186,"AAAAAHn2f7w=")</f>
        <v>#VALUE!</v>
      </c>
      <c r="GH79" t="e">
        <f>AND('Planilla_General_29-11-2012_10_'!L1186,"AAAAAHn2f70=")</f>
        <v>#VALUE!</v>
      </c>
      <c r="GI79" t="e">
        <f>AND('Planilla_General_29-11-2012_10_'!M1186,"AAAAAHn2f74=")</f>
        <v>#VALUE!</v>
      </c>
      <c r="GJ79" t="e">
        <f>AND('Planilla_General_29-11-2012_10_'!N1186,"AAAAAHn2f78=")</f>
        <v>#VALUE!</v>
      </c>
      <c r="GK79" t="e">
        <f>AND('Planilla_General_29-11-2012_10_'!O1186,"AAAAAHn2f8A=")</f>
        <v>#VALUE!</v>
      </c>
      <c r="GL79" t="e">
        <f>AND('Planilla_General_29-11-2012_10_'!P1186,"AAAAAHn2f8E=")</f>
        <v>#VALUE!</v>
      </c>
      <c r="GM79">
        <f>IF('Planilla_General_29-11-2012_10_'!1187:1187,"AAAAAHn2f8I=",0)</f>
        <v>0</v>
      </c>
      <c r="GN79" t="e">
        <f>AND('Planilla_General_29-11-2012_10_'!A1187,"AAAAAHn2f8M=")</f>
        <v>#VALUE!</v>
      </c>
      <c r="GO79" t="e">
        <f>AND('Planilla_General_29-11-2012_10_'!B1187,"AAAAAHn2f8Q=")</f>
        <v>#VALUE!</v>
      </c>
      <c r="GP79" t="e">
        <f>AND('Planilla_General_29-11-2012_10_'!C1187,"AAAAAHn2f8U=")</f>
        <v>#VALUE!</v>
      </c>
      <c r="GQ79" t="e">
        <f>AND('Planilla_General_29-11-2012_10_'!D1187,"AAAAAHn2f8Y=")</f>
        <v>#VALUE!</v>
      </c>
      <c r="GR79" t="e">
        <f>AND('Planilla_General_29-11-2012_10_'!E1187,"AAAAAHn2f8c=")</f>
        <v>#VALUE!</v>
      </c>
      <c r="GS79" t="e">
        <f>AND('Planilla_General_29-11-2012_10_'!F1187,"AAAAAHn2f8g=")</f>
        <v>#VALUE!</v>
      </c>
      <c r="GT79" t="e">
        <f>AND('Planilla_General_29-11-2012_10_'!G1187,"AAAAAHn2f8k=")</f>
        <v>#VALUE!</v>
      </c>
      <c r="GU79" t="e">
        <f>AND('Planilla_General_29-11-2012_10_'!H1187,"AAAAAHn2f8o=")</f>
        <v>#VALUE!</v>
      </c>
      <c r="GV79" t="e">
        <f>AND('Planilla_General_29-11-2012_10_'!I1187,"AAAAAHn2f8s=")</f>
        <v>#VALUE!</v>
      </c>
      <c r="GW79" t="e">
        <f>AND('Planilla_General_29-11-2012_10_'!J1187,"AAAAAHn2f8w=")</f>
        <v>#VALUE!</v>
      </c>
      <c r="GX79" t="e">
        <f>AND('Planilla_General_29-11-2012_10_'!K1187,"AAAAAHn2f80=")</f>
        <v>#VALUE!</v>
      </c>
      <c r="GY79" t="e">
        <f>AND('Planilla_General_29-11-2012_10_'!L1187,"AAAAAHn2f84=")</f>
        <v>#VALUE!</v>
      </c>
      <c r="GZ79" t="e">
        <f>AND('Planilla_General_29-11-2012_10_'!M1187,"AAAAAHn2f88=")</f>
        <v>#VALUE!</v>
      </c>
      <c r="HA79" t="e">
        <f>AND('Planilla_General_29-11-2012_10_'!N1187,"AAAAAHn2f9A=")</f>
        <v>#VALUE!</v>
      </c>
      <c r="HB79" t="e">
        <f>AND('Planilla_General_29-11-2012_10_'!O1187,"AAAAAHn2f9E=")</f>
        <v>#VALUE!</v>
      </c>
      <c r="HC79" t="e">
        <f>AND('Planilla_General_29-11-2012_10_'!P1187,"AAAAAHn2f9I=")</f>
        <v>#VALUE!</v>
      </c>
      <c r="HD79">
        <f>IF('Planilla_General_29-11-2012_10_'!1188:1188,"AAAAAHn2f9M=",0)</f>
        <v>0</v>
      </c>
      <c r="HE79" t="e">
        <f>AND('Planilla_General_29-11-2012_10_'!A1188,"AAAAAHn2f9Q=")</f>
        <v>#VALUE!</v>
      </c>
      <c r="HF79" t="e">
        <f>AND('Planilla_General_29-11-2012_10_'!B1188,"AAAAAHn2f9U=")</f>
        <v>#VALUE!</v>
      </c>
      <c r="HG79" t="e">
        <f>AND('Planilla_General_29-11-2012_10_'!C1188,"AAAAAHn2f9Y=")</f>
        <v>#VALUE!</v>
      </c>
      <c r="HH79" t="e">
        <f>AND('Planilla_General_29-11-2012_10_'!D1188,"AAAAAHn2f9c=")</f>
        <v>#VALUE!</v>
      </c>
      <c r="HI79" t="e">
        <f>AND('Planilla_General_29-11-2012_10_'!E1188,"AAAAAHn2f9g=")</f>
        <v>#VALUE!</v>
      </c>
      <c r="HJ79" t="e">
        <f>AND('Planilla_General_29-11-2012_10_'!F1188,"AAAAAHn2f9k=")</f>
        <v>#VALUE!</v>
      </c>
      <c r="HK79" t="e">
        <f>AND('Planilla_General_29-11-2012_10_'!G1188,"AAAAAHn2f9o=")</f>
        <v>#VALUE!</v>
      </c>
      <c r="HL79" t="e">
        <f>AND('Planilla_General_29-11-2012_10_'!H1188,"AAAAAHn2f9s=")</f>
        <v>#VALUE!</v>
      </c>
      <c r="HM79" t="e">
        <f>AND('Planilla_General_29-11-2012_10_'!I1188,"AAAAAHn2f9w=")</f>
        <v>#VALUE!</v>
      </c>
      <c r="HN79" t="e">
        <f>AND('Planilla_General_29-11-2012_10_'!J1188,"AAAAAHn2f90=")</f>
        <v>#VALUE!</v>
      </c>
      <c r="HO79" t="e">
        <f>AND('Planilla_General_29-11-2012_10_'!K1188,"AAAAAHn2f94=")</f>
        <v>#VALUE!</v>
      </c>
      <c r="HP79" t="e">
        <f>AND('Planilla_General_29-11-2012_10_'!L1188,"AAAAAHn2f98=")</f>
        <v>#VALUE!</v>
      </c>
      <c r="HQ79" t="e">
        <f>AND('Planilla_General_29-11-2012_10_'!M1188,"AAAAAHn2f+A=")</f>
        <v>#VALUE!</v>
      </c>
      <c r="HR79" t="e">
        <f>AND('Planilla_General_29-11-2012_10_'!N1188,"AAAAAHn2f+E=")</f>
        <v>#VALUE!</v>
      </c>
      <c r="HS79" t="e">
        <f>AND('Planilla_General_29-11-2012_10_'!O1188,"AAAAAHn2f+I=")</f>
        <v>#VALUE!</v>
      </c>
      <c r="HT79" t="e">
        <f>AND('Planilla_General_29-11-2012_10_'!P1188,"AAAAAHn2f+M=")</f>
        <v>#VALUE!</v>
      </c>
      <c r="HU79">
        <f>IF('Planilla_General_29-11-2012_10_'!1189:1189,"AAAAAHn2f+Q=",0)</f>
        <v>0</v>
      </c>
      <c r="HV79" t="e">
        <f>AND('Planilla_General_29-11-2012_10_'!A1189,"AAAAAHn2f+U=")</f>
        <v>#VALUE!</v>
      </c>
      <c r="HW79" t="e">
        <f>AND('Planilla_General_29-11-2012_10_'!B1189,"AAAAAHn2f+Y=")</f>
        <v>#VALUE!</v>
      </c>
      <c r="HX79" t="e">
        <f>AND('Planilla_General_29-11-2012_10_'!C1189,"AAAAAHn2f+c=")</f>
        <v>#VALUE!</v>
      </c>
      <c r="HY79" t="e">
        <f>AND('Planilla_General_29-11-2012_10_'!D1189,"AAAAAHn2f+g=")</f>
        <v>#VALUE!</v>
      </c>
      <c r="HZ79" t="e">
        <f>AND('Planilla_General_29-11-2012_10_'!E1189,"AAAAAHn2f+k=")</f>
        <v>#VALUE!</v>
      </c>
      <c r="IA79" t="e">
        <f>AND('Planilla_General_29-11-2012_10_'!F1189,"AAAAAHn2f+o=")</f>
        <v>#VALUE!</v>
      </c>
      <c r="IB79" t="e">
        <f>AND('Planilla_General_29-11-2012_10_'!G1189,"AAAAAHn2f+s=")</f>
        <v>#VALUE!</v>
      </c>
      <c r="IC79" t="e">
        <f>AND('Planilla_General_29-11-2012_10_'!H1189,"AAAAAHn2f+w=")</f>
        <v>#VALUE!</v>
      </c>
      <c r="ID79" t="e">
        <f>AND('Planilla_General_29-11-2012_10_'!I1189,"AAAAAHn2f+0=")</f>
        <v>#VALUE!</v>
      </c>
      <c r="IE79" t="e">
        <f>AND('Planilla_General_29-11-2012_10_'!J1189,"AAAAAHn2f+4=")</f>
        <v>#VALUE!</v>
      </c>
      <c r="IF79" t="e">
        <f>AND('Planilla_General_29-11-2012_10_'!K1189,"AAAAAHn2f+8=")</f>
        <v>#VALUE!</v>
      </c>
      <c r="IG79" t="e">
        <f>AND('Planilla_General_29-11-2012_10_'!L1189,"AAAAAHn2f/A=")</f>
        <v>#VALUE!</v>
      </c>
      <c r="IH79" t="e">
        <f>AND('Planilla_General_29-11-2012_10_'!M1189,"AAAAAHn2f/E=")</f>
        <v>#VALUE!</v>
      </c>
      <c r="II79" t="e">
        <f>AND('Planilla_General_29-11-2012_10_'!N1189,"AAAAAHn2f/I=")</f>
        <v>#VALUE!</v>
      </c>
      <c r="IJ79" t="e">
        <f>AND('Planilla_General_29-11-2012_10_'!O1189,"AAAAAHn2f/M=")</f>
        <v>#VALUE!</v>
      </c>
      <c r="IK79" t="e">
        <f>AND('Planilla_General_29-11-2012_10_'!P1189,"AAAAAHn2f/Q=")</f>
        <v>#VALUE!</v>
      </c>
      <c r="IL79">
        <f>IF('Planilla_General_29-11-2012_10_'!1190:1190,"AAAAAHn2f/U=",0)</f>
        <v>0</v>
      </c>
      <c r="IM79" t="e">
        <f>AND('Planilla_General_29-11-2012_10_'!A1190,"AAAAAHn2f/Y=")</f>
        <v>#VALUE!</v>
      </c>
      <c r="IN79" t="e">
        <f>AND('Planilla_General_29-11-2012_10_'!B1190,"AAAAAHn2f/c=")</f>
        <v>#VALUE!</v>
      </c>
      <c r="IO79" t="e">
        <f>AND('Planilla_General_29-11-2012_10_'!C1190,"AAAAAHn2f/g=")</f>
        <v>#VALUE!</v>
      </c>
      <c r="IP79" t="e">
        <f>AND('Planilla_General_29-11-2012_10_'!D1190,"AAAAAHn2f/k=")</f>
        <v>#VALUE!</v>
      </c>
      <c r="IQ79" t="e">
        <f>AND('Planilla_General_29-11-2012_10_'!E1190,"AAAAAHn2f/o=")</f>
        <v>#VALUE!</v>
      </c>
      <c r="IR79" t="e">
        <f>AND('Planilla_General_29-11-2012_10_'!F1190,"AAAAAHn2f/s=")</f>
        <v>#VALUE!</v>
      </c>
      <c r="IS79" t="e">
        <f>AND('Planilla_General_29-11-2012_10_'!G1190,"AAAAAHn2f/w=")</f>
        <v>#VALUE!</v>
      </c>
      <c r="IT79" t="e">
        <f>AND('Planilla_General_29-11-2012_10_'!H1190,"AAAAAHn2f/0=")</f>
        <v>#VALUE!</v>
      </c>
      <c r="IU79" t="e">
        <f>AND('Planilla_General_29-11-2012_10_'!I1190,"AAAAAHn2f/4=")</f>
        <v>#VALUE!</v>
      </c>
      <c r="IV79" t="e">
        <f>AND('Planilla_General_29-11-2012_10_'!J1190,"AAAAAHn2f/8=")</f>
        <v>#VALUE!</v>
      </c>
    </row>
    <row r="80" spans="1:256" x14ac:dyDescent="0.25">
      <c r="A80" t="e">
        <f>AND('Planilla_General_29-11-2012_10_'!K1190,"AAAAAGuf/gA=")</f>
        <v>#VALUE!</v>
      </c>
      <c r="B80" t="e">
        <f>AND('Planilla_General_29-11-2012_10_'!L1190,"AAAAAGuf/gE=")</f>
        <v>#VALUE!</v>
      </c>
      <c r="C80" t="e">
        <f>AND('Planilla_General_29-11-2012_10_'!M1190,"AAAAAGuf/gI=")</f>
        <v>#VALUE!</v>
      </c>
      <c r="D80" t="e">
        <f>AND('Planilla_General_29-11-2012_10_'!N1190,"AAAAAGuf/gM=")</f>
        <v>#VALUE!</v>
      </c>
      <c r="E80" t="e">
        <f>AND('Planilla_General_29-11-2012_10_'!O1190,"AAAAAGuf/gQ=")</f>
        <v>#VALUE!</v>
      </c>
      <c r="F80" t="e">
        <f>AND('Planilla_General_29-11-2012_10_'!P1190,"AAAAAGuf/gU=")</f>
        <v>#VALUE!</v>
      </c>
      <c r="G80" t="e">
        <f>IF('Planilla_General_29-11-2012_10_'!1191:1191,"AAAAAGuf/gY=",0)</f>
        <v>#VALUE!</v>
      </c>
      <c r="H80" t="e">
        <f>AND('Planilla_General_29-11-2012_10_'!A1191,"AAAAAGuf/gc=")</f>
        <v>#VALUE!</v>
      </c>
      <c r="I80" t="e">
        <f>AND('Planilla_General_29-11-2012_10_'!B1191,"AAAAAGuf/gg=")</f>
        <v>#VALUE!</v>
      </c>
      <c r="J80" t="e">
        <f>AND('Planilla_General_29-11-2012_10_'!C1191,"AAAAAGuf/gk=")</f>
        <v>#VALUE!</v>
      </c>
      <c r="K80" t="e">
        <f>AND('Planilla_General_29-11-2012_10_'!D1191,"AAAAAGuf/go=")</f>
        <v>#VALUE!</v>
      </c>
      <c r="L80" t="e">
        <f>AND('Planilla_General_29-11-2012_10_'!E1191,"AAAAAGuf/gs=")</f>
        <v>#VALUE!</v>
      </c>
      <c r="M80" t="e">
        <f>AND('Planilla_General_29-11-2012_10_'!F1191,"AAAAAGuf/gw=")</f>
        <v>#VALUE!</v>
      </c>
      <c r="N80" t="e">
        <f>AND('Planilla_General_29-11-2012_10_'!G1191,"AAAAAGuf/g0=")</f>
        <v>#VALUE!</v>
      </c>
      <c r="O80" t="e">
        <f>AND('Planilla_General_29-11-2012_10_'!H1191,"AAAAAGuf/g4=")</f>
        <v>#VALUE!</v>
      </c>
      <c r="P80" t="e">
        <f>AND('Planilla_General_29-11-2012_10_'!I1191,"AAAAAGuf/g8=")</f>
        <v>#VALUE!</v>
      </c>
      <c r="Q80" t="e">
        <f>AND('Planilla_General_29-11-2012_10_'!J1191,"AAAAAGuf/hA=")</f>
        <v>#VALUE!</v>
      </c>
      <c r="R80" t="e">
        <f>AND('Planilla_General_29-11-2012_10_'!K1191,"AAAAAGuf/hE=")</f>
        <v>#VALUE!</v>
      </c>
      <c r="S80" t="e">
        <f>AND('Planilla_General_29-11-2012_10_'!L1191,"AAAAAGuf/hI=")</f>
        <v>#VALUE!</v>
      </c>
      <c r="T80" t="e">
        <f>AND('Planilla_General_29-11-2012_10_'!M1191,"AAAAAGuf/hM=")</f>
        <v>#VALUE!</v>
      </c>
      <c r="U80" t="e">
        <f>AND('Planilla_General_29-11-2012_10_'!N1191,"AAAAAGuf/hQ=")</f>
        <v>#VALUE!</v>
      </c>
      <c r="V80" t="e">
        <f>AND('Planilla_General_29-11-2012_10_'!O1191,"AAAAAGuf/hU=")</f>
        <v>#VALUE!</v>
      </c>
      <c r="W80" t="e">
        <f>AND('Planilla_General_29-11-2012_10_'!P1191,"AAAAAGuf/hY=")</f>
        <v>#VALUE!</v>
      </c>
      <c r="X80">
        <f>IF('Planilla_General_29-11-2012_10_'!1192:1192,"AAAAAGuf/hc=",0)</f>
        <v>0</v>
      </c>
      <c r="Y80" t="e">
        <f>AND('Planilla_General_29-11-2012_10_'!A1192,"AAAAAGuf/hg=")</f>
        <v>#VALUE!</v>
      </c>
      <c r="Z80" t="e">
        <f>AND('Planilla_General_29-11-2012_10_'!B1192,"AAAAAGuf/hk=")</f>
        <v>#VALUE!</v>
      </c>
      <c r="AA80" t="e">
        <f>AND('Planilla_General_29-11-2012_10_'!C1192,"AAAAAGuf/ho=")</f>
        <v>#VALUE!</v>
      </c>
      <c r="AB80" t="e">
        <f>AND('Planilla_General_29-11-2012_10_'!D1192,"AAAAAGuf/hs=")</f>
        <v>#VALUE!</v>
      </c>
      <c r="AC80" t="e">
        <f>AND('Planilla_General_29-11-2012_10_'!E1192,"AAAAAGuf/hw=")</f>
        <v>#VALUE!</v>
      </c>
      <c r="AD80" t="e">
        <f>AND('Planilla_General_29-11-2012_10_'!F1192,"AAAAAGuf/h0=")</f>
        <v>#VALUE!</v>
      </c>
      <c r="AE80" t="e">
        <f>AND('Planilla_General_29-11-2012_10_'!G1192,"AAAAAGuf/h4=")</f>
        <v>#VALUE!</v>
      </c>
      <c r="AF80" t="e">
        <f>AND('Planilla_General_29-11-2012_10_'!H1192,"AAAAAGuf/h8=")</f>
        <v>#VALUE!</v>
      </c>
      <c r="AG80" t="e">
        <f>AND('Planilla_General_29-11-2012_10_'!I1192,"AAAAAGuf/iA=")</f>
        <v>#VALUE!</v>
      </c>
      <c r="AH80" t="e">
        <f>AND('Planilla_General_29-11-2012_10_'!J1192,"AAAAAGuf/iE=")</f>
        <v>#VALUE!</v>
      </c>
      <c r="AI80" t="e">
        <f>AND('Planilla_General_29-11-2012_10_'!K1192,"AAAAAGuf/iI=")</f>
        <v>#VALUE!</v>
      </c>
      <c r="AJ80" t="e">
        <f>AND('Planilla_General_29-11-2012_10_'!L1192,"AAAAAGuf/iM=")</f>
        <v>#VALUE!</v>
      </c>
      <c r="AK80" t="e">
        <f>AND('Planilla_General_29-11-2012_10_'!M1192,"AAAAAGuf/iQ=")</f>
        <v>#VALUE!</v>
      </c>
      <c r="AL80" t="e">
        <f>AND('Planilla_General_29-11-2012_10_'!N1192,"AAAAAGuf/iU=")</f>
        <v>#VALUE!</v>
      </c>
      <c r="AM80" t="e">
        <f>AND('Planilla_General_29-11-2012_10_'!O1192,"AAAAAGuf/iY=")</f>
        <v>#VALUE!</v>
      </c>
      <c r="AN80" t="e">
        <f>AND('Planilla_General_29-11-2012_10_'!P1192,"AAAAAGuf/ic=")</f>
        <v>#VALUE!</v>
      </c>
      <c r="AO80">
        <f>IF('Planilla_General_29-11-2012_10_'!1193:1193,"AAAAAGuf/ig=",0)</f>
        <v>0</v>
      </c>
      <c r="AP80" t="e">
        <f>AND('Planilla_General_29-11-2012_10_'!A1193,"AAAAAGuf/ik=")</f>
        <v>#VALUE!</v>
      </c>
      <c r="AQ80" t="e">
        <f>AND('Planilla_General_29-11-2012_10_'!B1193,"AAAAAGuf/io=")</f>
        <v>#VALUE!</v>
      </c>
      <c r="AR80" t="e">
        <f>AND('Planilla_General_29-11-2012_10_'!C1193,"AAAAAGuf/is=")</f>
        <v>#VALUE!</v>
      </c>
      <c r="AS80" t="e">
        <f>AND('Planilla_General_29-11-2012_10_'!D1193,"AAAAAGuf/iw=")</f>
        <v>#VALUE!</v>
      </c>
      <c r="AT80" t="e">
        <f>AND('Planilla_General_29-11-2012_10_'!E1193,"AAAAAGuf/i0=")</f>
        <v>#VALUE!</v>
      </c>
      <c r="AU80" t="e">
        <f>AND('Planilla_General_29-11-2012_10_'!F1193,"AAAAAGuf/i4=")</f>
        <v>#VALUE!</v>
      </c>
      <c r="AV80" t="e">
        <f>AND('Planilla_General_29-11-2012_10_'!G1193,"AAAAAGuf/i8=")</f>
        <v>#VALUE!</v>
      </c>
      <c r="AW80" t="e">
        <f>AND('Planilla_General_29-11-2012_10_'!H1193,"AAAAAGuf/jA=")</f>
        <v>#VALUE!</v>
      </c>
      <c r="AX80" t="e">
        <f>AND('Planilla_General_29-11-2012_10_'!I1193,"AAAAAGuf/jE=")</f>
        <v>#VALUE!</v>
      </c>
      <c r="AY80" t="e">
        <f>AND('Planilla_General_29-11-2012_10_'!J1193,"AAAAAGuf/jI=")</f>
        <v>#VALUE!</v>
      </c>
      <c r="AZ80" t="e">
        <f>AND('Planilla_General_29-11-2012_10_'!K1193,"AAAAAGuf/jM=")</f>
        <v>#VALUE!</v>
      </c>
      <c r="BA80" t="e">
        <f>AND('Planilla_General_29-11-2012_10_'!L1193,"AAAAAGuf/jQ=")</f>
        <v>#VALUE!</v>
      </c>
      <c r="BB80" t="e">
        <f>AND('Planilla_General_29-11-2012_10_'!M1193,"AAAAAGuf/jU=")</f>
        <v>#VALUE!</v>
      </c>
      <c r="BC80" t="e">
        <f>AND('Planilla_General_29-11-2012_10_'!N1193,"AAAAAGuf/jY=")</f>
        <v>#VALUE!</v>
      </c>
      <c r="BD80" t="e">
        <f>AND('Planilla_General_29-11-2012_10_'!O1193,"AAAAAGuf/jc=")</f>
        <v>#VALUE!</v>
      </c>
      <c r="BE80" t="e">
        <f>AND('Planilla_General_29-11-2012_10_'!P1193,"AAAAAGuf/jg=")</f>
        <v>#VALUE!</v>
      </c>
      <c r="BF80">
        <f>IF('Planilla_General_29-11-2012_10_'!1194:1194,"AAAAAGuf/jk=",0)</f>
        <v>0</v>
      </c>
      <c r="BG80" t="e">
        <f>AND('Planilla_General_29-11-2012_10_'!A1194,"AAAAAGuf/jo=")</f>
        <v>#VALUE!</v>
      </c>
      <c r="BH80" t="e">
        <f>AND('Planilla_General_29-11-2012_10_'!B1194,"AAAAAGuf/js=")</f>
        <v>#VALUE!</v>
      </c>
      <c r="BI80" t="e">
        <f>AND('Planilla_General_29-11-2012_10_'!C1194,"AAAAAGuf/jw=")</f>
        <v>#VALUE!</v>
      </c>
      <c r="BJ80" t="e">
        <f>AND('Planilla_General_29-11-2012_10_'!D1194,"AAAAAGuf/j0=")</f>
        <v>#VALUE!</v>
      </c>
      <c r="BK80" t="e">
        <f>AND('Planilla_General_29-11-2012_10_'!E1194,"AAAAAGuf/j4=")</f>
        <v>#VALUE!</v>
      </c>
      <c r="BL80" t="e">
        <f>AND('Planilla_General_29-11-2012_10_'!F1194,"AAAAAGuf/j8=")</f>
        <v>#VALUE!</v>
      </c>
      <c r="BM80" t="e">
        <f>AND('Planilla_General_29-11-2012_10_'!G1194,"AAAAAGuf/kA=")</f>
        <v>#VALUE!</v>
      </c>
      <c r="BN80" t="e">
        <f>AND('Planilla_General_29-11-2012_10_'!H1194,"AAAAAGuf/kE=")</f>
        <v>#VALUE!</v>
      </c>
      <c r="BO80" t="e">
        <f>AND('Planilla_General_29-11-2012_10_'!I1194,"AAAAAGuf/kI=")</f>
        <v>#VALUE!</v>
      </c>
      <c r="BP80" t="e">
        <f>AND('Planilla_General_29-11-2012_10_'!J1194,"AAAAAGuf/kM=")</f>
        <v>#VALUE!</v>
      </c>
      <c r="BQ80" t="e">
        <f>AND('Planilla_General_29-11-2012_10_'!K1194,"AAAAAGuf/kQ=")</f>
        <v>#VALUE!</v>
      </c>
      <c r="BR80" t="e">
        <f>AND('Planilla_General_29-11-2012_10_'!L1194,"AAAAAGuf/kU=")</f>
        <v>#VALUE!</v>
      </c>
      <c r="BS80" t="e">
        <f>AND('Planilla_General_29-11-2012_10_'!M1194,"AAAAAGuf/kY=")</f>
        <v>#VALUE!</v>
      </c>
      <c r="BT80" t="e">
        <f>AND('Planilla_General_29-11-2012_10_'!N1194,"AAAAAGuf/kc=")</f>
        <v>#VALUE!</v>
      </c>
      <c r="BU80" t="e">
        <f>AND('Planilla_General_29-11-2012_10_'!O1194,"AAAAAGuf/kg=")</f>
        <v>#VALUE!</v>
      </c>
      <c r="BV80" t="e">
        <f>AND('Planilla_General_29-11-2012_10_'!P1194,"AAAAAGuf/kk=")</f>
        <v>#VALUE!</v>
      </c>
      <c r="BW80">
        <f>IF('Planilla_General_29-11-2012_10_'!1195:1195,"AAAAAGuf/ko=",0)</f>
        <v>0</v>
      </c>
      <c r="BX80" t="e">
        <f>AND('Planilla_General_29-11-2012_10_'!A1195,"AAAAAGuf/ks=")</f>
        <v>#VALUE!</v>
      </c>
      <c r="BY80" t="e">
        <f>AND('Planilla_General_29-11-2012_10_'!B1195,"AAAAAGuf/kw=")</f>
        <v>#VALUE!</v>
      </c>
      <c r="BZ80" t="e">
        <f>AND('Planilla_General_29-11-2012_10_'!C1195,"AAAAAGuf/k0=")</f>
        <v>#VALUE!</v>
      </c>
      <c r="CA80" t="e">
        <f>AND('Planilla_General_29-11-2012_10_'!D1195,"AAAAAGuf/k4=")</f>
        <v>#VALUE!</v>
      </c>
      <c r="CB80" t="e">
        <f>AND('Planilla_General_29-11-2012_10_'!E1195,"AAAAAGuf/k8=")</f>
        <v>#VALUE!</v>
      </c>
      <c r="CC80" t="e">
        <f>AND('Planilla_General_29-11-2012_10_'!F1195,"AAAAAGuf/lA=")</f>
        <v>#VALUE!</v>
      </c>
      <c r="CD80" t="e">
        <f>AND('Planilla_General_29-11-2012_10_'!G1195,"AAAAAGuf/lE=")</f>
        <v>#VALUE!</v>
      </c>
      <c r="CE80" t="e">
        <f>AND('Planilla_General_29-11-2012_10_'!H1195,"AAAAAGuf/lI=")</f>
        <v>#VALUE!</v>
      </c>
      <c r="CF80" t="e">
        <f>AND('Planilla_General_29-11-2012_10_'!I1195,"AAAAAGuf/lM=")</f>
        <v>#VALUE!</v>
      </c>
      <c r="CG80" t="e">
        <f>AND('Planilla_General_29-11-2012_10_'!J1195,"AAAAAGuf/lQ=")</f>
        <v>#VALUE!</v>
      </c>
      <c r="CH80" t="e">
        <f>AND('Planilla_General_29-11-2012_10_'!K1195,"AAAAAGuf/lU=")</f>
        <v>#VALUE!</v>
      </c>
      <c r="CI80" t="e">
        <f>AND('Planilla_General_29-11-2012_10_'!L1195,"AAAAAGuf/lY=")</f>
        <v>#VALUE!</v>
      </c>
      <c r="CJ80" t="e">
        <f>AND('Planilla_General_29-11-2012_10_'!M1195,"AAAAAGuf/lc=")</f>
        <v>#VALUE!</v>
      </c>
      <c r="CK80" t="e">
        <f>AND('Planilla_General_29-11-2012_10_'!N1195,"AAAAAGuf/lg=")</f>
        <v>#VALUE!</v>
      </c>
      <c r="CL80" t="e">
        <f>AND('Planilla_General_29-11-2012_10_'!O1195,"AAAAAGuf/lk=")</f>
        <v>#VALUE!</v>
      </c>
      <c r="CM80" t="e">
        <f>AND('Planilla_General_29-11-2012_10_'!P1195,"AAAAAGuf/lo=")</f>
        <v>#VALUE!</v>
      </c>
      <c r="CN80">
        <f>IF('Planilla_General_29-11-2012_10_'!1196:1196,"AAAAAGuf/ls=",0)</f>
        <v>0</v>
      </c>
      <c r="CO80" t="e">
        <f>AND('Planilla_General_29-11-2012_10_'!A1196,"AAAAAGuf/lw=")</f>
        <v>#VALUE!</v>
      </c>
      <c r="CP80" t="e">
        <f>AND('Planilla_General_29-11-2012_10_'!B1196,"AAAAAGuf/l0=")</f>
        <v>#VALUE!</v>
      </c>
      <c r="CQ80" t="e">
        <f>AND('Planilla_General_29-11-2012_10_'!C1196,"AAAAAGuf/l4=")</f>
        <v>#VALUE!</v>
      </c>
      <c r="CR80" t="e">
        <f>AND('Planilla_General_29-11-2012_10_'!D1196,"AAAAAGuf/l8=")</f>
        <v>#VALUE!</v>
      </c>
      <c r="CS80" t="e">
        <f>AND('Planilla_General_29-11-2012_10_'!E1196,"AAAAAGuf/mA=")</f>
        <v>#VALUE!</v>
      </c>
      <c r="CT80" t="e">
        <f>AND('Planilla_General_29-11-2012_10_'!F1196,"AAAAAGuf/mE=")</f>
        <v>#VALUE!</v>
      </c>
      <c r="CU80" t="e">
        <f>AND('Planilla_General_29-11-2012_10_'!G1196,"AAAAAGuf/mI=")</f>
        <v>#VALUE!</v>
      </c>
      <c r="CV80" t="e">
        <f>AND('Planilla_General_29-11-2012_10_'!H1196,"AAAAAGuf/mM=")</f>
        <v>#VALUE!</v>
      </c>
      <c r="CW80" t="e">
        <f>AND('Planilla_General_29-11-2012_10_'!I1196,"AAAAAGuf/mQ=")</f>
        <v>#VALUE!</v>
      </c>
      <c r="CX80" t="e">
        <f>AND('Planilla_General_29-11-2012_10_'!J1196,"AAAAAGuf/mU=")</f>
        <v>#VALUE!</v>
      </c>
      <c r="CY80" t="e">
        <f>AND('Planilla_General_29-11-2012_10_'!K1196,"AAAAAGuf/mY=")</f>
        <v>#VALUE!</v>
      </c>
      <c r="CZ80" t="e">
        <f>AND('Planilla_General_29-11-2012_10_'!L1196,"AAAAAGuf/mc=")</f>
        <v>#VALUE!</v>
      </c>
      <c r="DA80" t="e">
        <f>AND('Planilla_General_29-11-2012_10_'!M1196,"AAAAAGuf/mg=")</f>
        <v>#VALUE!</v>
      </c>
      <c r="DB80" t="e">
        <f>AND('Planilla_General_29-11-2012_10_'!N1196,"AAAAAGuf/mk=")</f>
        <v>#VALUE!</v>
      </c>
      <c r="DC80" t="e">
        <f>AND('Planilla_General_29-11-2012_10_'!O1196,"AAAAAGuf/mo=")</f>
        <v>#VALUE!</v>
      </c>
      <c r="DD80" t="e">
        <f>AND('Planilla_General_29-11-2012_10_'!P1196,"AAAAAGuf/ms=")</f>
        <v>#VALUE!</v>
      </c>
      <c r="DE80">
        <f>IF('Planilla_General_29-11-2012_10_'!1197:1197,"AAAAAGuf/mw=",0)</f>
        <v>0</v>
      </c>
      <c r="DF80" t="e">
        <f>AND('Planilla_General_29-11-2012_10_'!A1197,"AAAAAGuf/m0=")</f>
        <v>#VALUE!</v>
      </c>
      <c r="DG80" t="e">
        <f>AND('Planilla_General_29-11-2012_10_'!B1197,"AAAAAGuf/m4=")</f>
        <v>#VALUE!</v>
      </c>
      <c r="DH80" t="e">
        <f>AND('Planilla_General_29-11-2012_10_'!C1197,"AAAAAGuf/m8=")</f>
        <v>#VALUE!</v>
      </c>
      <c r="DI80" t="e">
        <f>AND('Planilla_General_29-11-2012_10_'!D1197,"AAAAAGuf/nA=")</f>
        <v>#VALUE!</v>
      </c>
      <c r="DJ80" t="e">
        <f>AND('Planilla_General_29-11-2012_10_'!E1197,"AAAAAGuf/nE=")</f>
        <v>#VALUE!</v>
      </c>
      <c r="DK80" t="e">
        <f>AND('Planilla_General_29-11-2012_10_'!F1197,"AAAAAGuf/nI=")</f>
        <v>#VALUE!</v>
      </c>
      <c r="DL80" t="e">
        <f>AND('Planilla_General_29-11-2012_10_'!G1197,"AAAAAGuf/nM=")</f>
        <v>#VALUE!</v>
      </c>
      <c r="DM80" t="e">
        <f>AND('Planilla_General_29-11-2012_10_'!H1197,"AAAAAGuf/nQ=")</f>
        <v>#VALUE!</v>
      </c>
      <c r="DN80" t="e">
        <f>AND('Planilla_General_29-11-2012_10_'!I1197,"AAAAAGuf/nU=")</f>
        <v>#VALUE!</v>
      </c>
      <c r="DO80" t="e">
        <f>AND('Planilla_General_29-11-2012_10_'!J1197,"AAAAAGuf/nY=")</f>
        <v>#VALUE!</v>
      </c>
      <c r="DP80" t="e">
        <f>AND('Planilla_General_29-11-2012_10_'!K1197,"AAAAAGuf/nc=")</f>
        <v>#VALUE!</v>
      </c>
      <c r="DQ80" t="e">
        <f>AND('Planilla_General_29-11-2012_10_'!L1197,"AAAAAGuf/ng=")</f>
        <v>#VALUE!</v>
      </c>
      <c r="DR80" t="e">
        <f>AND('Planilla_General_29-11-2012_10_'!M1197,"AAAAAGuf/nk=")</f>
        <v>#VALUE!</v>
      </c>
      <c r="DS80" t="e">
        <f>AND('Planilla_General_29-11-2012_10_'!N1197,"AAAAAGuf/no=")</f>
        <v>#VALUE!</v>
      </c>
      <c r="DT80" t="e">
        <f>AND('Planilla_General_29-11-2012_10_'!O1197,"AAAAAGuf/ns=")</f>
        <v>#VALUE!</v>
      </c>
      <c r="DU80" t="e">
        <f>AND('Planilla_General_29-11-2012_10_'!P1197,"AAAAAGuf/nw=")</f>
        <v>#VALUE!</v>
      </c>
      <c r="DV80">
        <f>IF('Planilla_General_29-11-2012_10_'!1198:1198,"AAAAAGuf/n0=",0)</f>
        <v>0</v>
      </c>
      <c r="DW80" t="e">
        <f>AND('Planilla_General_29-11-2012_10_'!A1198,"AAAAAGuf/n4=")</f>
        <v>#VALUE!</v>
      </c>
      <c r="DX80" t="e">
        <f>AND('Planilla_General_29-11-2012_10_'!B1198,"AAAAAGuf/n8=")</f>
        <v>#VALUE!</v>
      </c>
      <c r="DY80" t="e">
        <f>AND('Planilla_General_29-11-2012_10_'!C1198,"AAAAAGuf/oA=")</f>
        <v>#VALUE!</v>
      </c>
      <c r="DZ80" t="e">
        <f>AND('Planilla_General_29-11-2012_10_'!D1198,"AAAAAGuf/oE=")</f>
        <v>#VALUE!</v>
      </c>
      <c r="EA80" t="e">
        <f>AND('Planilla_General_29-11-2012_10_'!E1198,"AAAAAGuf/oI=")</f>
        <v>#VALUE!</v>
      </c>
      <c r="EB80" t="e">
        <f>AND('Planilla_General_29-11-2012_10_'!F1198,"AAAAAGuf/oM=")</f>
        <v>#VALUE!</v>
      </c>
      <c r="EC80" t="e">
        <f>AND('Planilla_General_29-11-2012_10_'!G1198,"AAAAAGuf/oQ=")</f>
        <v>#VALUE!</v>
      </c>
      <c r="ED80" t="e">
        <f>AND('Planilla_General_29-11-2012_10_'!H1198,"AAAAAGuf/oU=")</f>
        <v>#VALUE!</v>
      </c>
      <c r="EE80" t="e">
        <f>AND('Planilla_General_29-11-2012_10_'!I1198,"AAAAAGuf/oY=")</f>
        <v>#VALUE!</v>
      </c>
      <c r="EF80" t="e">
        <f>AND('Planilla_General_29-11-2012_10_'!J1198,"AAAAAGuf/oc=")</f>
        <v>#VALUE!</v>
      </c>
      <c r="EG80" t="e">
        <f>AND('Planilla_General_29-11-2012_10_'!K1198,"AAAAAGuf/og=")</f>
        <v>#VALUE!</v>
      </c>
      <c r="EH80" t="e">
        <f>AND('Planilla_General_29-11-2012_10_'!L1198,"AAAAAGuf/ok=")</f>
        <v>#VALUE!</v>
      </c>
      <c r="EI80" t="e">
        <f>AND('Planilla_General_29-11-2012_10_'!M1198,"AAAAAGuf/oo=")</f>
        <v>#VALUE!</v>
      </c>
      <c r="EJ80" t="e">
        <f>AND('Planilla_General_29-11-2012_10_'!N1198,"AAAAAGuf/os=")</f>
        <v>#VALUE!</v>
      </c>
      <c r="EK80" t="e">
        <f>AND('Planilla_General_29-11-2012_10_'!O1198,"AAAAAGuf/ow=")</f>
        <v>#VALUE!</v>
      </c>
      <c r="EL80" t="e">
        <f>AND('Planilla_General_29-11-2012_10_'!P1198,"AAAAAGuf/o0=")</f>
        <v>#VALUE!</v>
      </c>
      <c r="EM80">
        <f>IF('Planilla_General_29-11-2012_10_'!1199:1199,"AAAAAGuf/o4=",0)</f>
        <v>0</v>
      </c>
      <c r="EN80" t="e">
        <f>AND('Planilla_General_29-11-2012_10_'!A1199,"AAAAAGuf/o8=")</f>
        <v>#VALUE!</v>
      </c>
      <c r="EO80" t="e">
        <f>AND('Planilla_General_29-11-2012_10_'!B1199,"AAAAAGuf/pA=")</f>
        <v>#VALUE!</v>
      </c>
      <c r="EP80" t="e">
        <f>AND('Planilla_General_29-11-2012_10_'!C1199,"AAAAAGuf/pE=")</f>
        <v>#VALUE!</v>
      </c>
      <c r="EQ80" t="e">
        <f>AND('Planilla_General_29-11-2012_10_'!D1199,"AAAAAGuf/pI=")</f>
        <v>#VALUE!</v>
      </c>
      <c r="ER80" t="e">
        <f>AND('Planilla_General_29-11-2012_10_'!E1199,"AAAAAGuf/pM=")</f>
        <v>#VALUE!</v>
      </c>
      <c r="ES80" t="e">
        <f>AND('Planilla_General_29-11-2012_10_'!F1199,"AAAAAGuf/pQ=")</f>
        <v>#VALUE!</v>
      </c>
      <c r="ET80" t="e">
        <f>AND('Planilla_General_29-11-2012_10_'!G1199,"AAAAAGuf/pU=")</f>
        <v>#VALUE!</v>
      </c>
      <c r="EU80" t="e">
        <f>AND('Planilla_General_29-11-2012_10_'!H1199,"AAAAAGuf/pY=")</f>
        <v>#VALUE!</v>
      </c>
      <c r="EV80" t="e">
        <f>AND('Planilla_General_29-11-2012_10_'!I1199,"AAAAAGuf/pc=")</f>
        <v>#VALUE!</v>
      </c>
      <c r="EW80" t="e">
        <f>AND('Planilla_General_29-11-2012_10_'!J1199,"AAAAAGuf/pg=")</f>
        <v>#VALUE!</v>
      </c>
      <c r="EX80" t="e">
        <f>AND('Planilla_General_29-11-2012_10_'!K1199,"AAAAAGuf/pk=")</f>
        <v>#VALUE!</v>
      </c>
      <c r="EY80" t="e">
        <f>AND('Planilla_General_29-11-2012_10_'!L1199,"AAAAAGuf/po=")</f>
        <v>#VALUE!</v>
      </c>
      <c r="EZ80" t="e">
        <f>AND('Planilla_General_29-11-2012_10_'!M1199,"AAAAAGuf/ps=")</f>
        <v>#VALUE!</v>
      </c>
      <c r="FA80" t="e">
        <f>AND('Planilla_General_29-11-2012_10_'!N1199,"AAAAAGuf/pw=")</f>
        <v>#VALUE!</v>
      </c>
      <c r="FB80" t="e">
        <f>AND('Planilla_General_29-11-2012_10_'!O1199,"AAAAAGuf/p0=")</f>
        <v>#VALUE!</v>
      </c>
      <c r="FC80" t="e">
        <f>AND('Planilla_General_29-11-2012_10_'!P1199,"AAAAAGuf/p4=")</f>
        <v>#VALUE!</v>
      </c>
      <c r="FD80">
        <f>IF('Planilla_General_29-11-2012_10_'!1200:1200,"AAAAAGuf/p8=",0)</f>
        <v>0</v>
      </c>
      <c r="FE80" t="e">
        <f>AND('Planilla_General_29-11-2012_10_'!A1200,"AAAAAGuf/qA=")</f>
        <v>#VALUE!</v>
      </c>
      <c r="FF80" t="e">
        <f>AND('Planilla_General_29-11-2012_10_'!B1200,"AAAAAGuf/qE=")</f>
        <v>#VALUE!</v>
      </c>
      <c r="FG80" t="e">
        <f>AND('Planilla_General_29-11-2012_10_'!C1200,"AAAAAGuf/qI=")</f>
        <v>#VALUE!</v>
      </c>
      <c r="FH80" t="e">
        <f>AND('Planilla_General_29-11-2012_10_'!D1200,"AAAAAGuf/qM=")</f>
        <v>#VALUE!</v>
      </c>
      <c r="FI80" t="e">
        <f>AND('Planilla_General_29-11-2012_10_'!E1200,"AAAAAGuf/qQ=")</f>
        <v>#VALUE!</v>
      </c>
      <c r="FJ80" t="e">
        <f>AND('Planilla_General_29-11-2012_10_'!F1200,"AAAAAGuf/qU=")</f>
        <v>#VALUE!</v>
      </c>
      <c r="FK80" t="e">
        <f>AND('Planilla_General_29-11-2012_10_'!G1200,"AAAAAGuf/qY=")</f>
        <v>#VALUE!</v>
      </c>
      <c r="FL80" t="e">
        <f>AND('Planilla_General_29-11-2012_10_'!H1200,"AAAAAGuf/qc=")</f>
        <v>#VALUE!</v>
      </c>
      <c r="FM80" t="e">
        <f>AND('Planilla_General_29-11-2012_10_'!I1200,"AAAAAGuf/qg=")</f>
        <v>#VALUE!</v>
      </c>
      <c r="FN80" t="e">
        <f>AND('Planilla_General_29-11-2012_10_'!J1200,"AAAAAGuf/qk=")</f>
        <v>#VALUE!</v>
      </c>
      <c r="FO80" t="e">
        <f>AND('Planilla_General_29-11-2012_10_'!K1200,"AAAAAGuf/qo=")</f>
        <v>#VALUE!</v>
      </c>
      <c r="FP80" t="e">
        <f>AND('Planilla_General_29-11-2012_10_'!L1200,"AAAAAGuf/qs=")</f>
        <v>#VALUE!</v>
      </c>
      <c r="FQ80" t="e">
        <f>AND('Planilla_General_29-11-2012_10_'!M1200,"AAAAAGuf/qw=")</f>
        <v>#VALUE!</v>
      </c>
      <c r="FR80" t="e">
        <f>AND('Planilla_General_29-11-2012_10_'!N1200,"AAAAAGuf/q0=")</f>
        <v>#VALUE!</v>
      </c>
      <c r="FS80" t="e">
        <f>AND('Planilla_General_29-11-2012_10_'!O1200,"AAAAAGuf/q4=")</f>
        <v>#VALUE!</v>
      </c>
      <c r="FT80" t="e">
        <f>AND('Planilla_General_29-11-2012_10_'!P1200,"AAAAAGuf/q8=")</f>
        <v>#VALUE!</v>
      </c>
      <c r="FU80">
        <f>IF('Planilla_General_29-11-2012_10_'!1201:1201,"AAAAAGuf/rA=",0)</f>
        <v>0</v>
      </c>
      <c r="FV80" t="e">
        <f>AND('Planilla_General_29-11-2012_10_'!A1201,"AAAAAGuf/rE=")</f>
        <v>#VALUE!</v>
      </c>
      <c r="FW80" t="e">
        <f>AND('Planilla_General_29-11-2012_10_'!B1201,"AAAAAGuf/rI=")</f>
        <v>#VALUE!</v>
      </c>
      <c r="FX80" t="e">
        <f>AND('Planilla_General_29-11-2012_10_'!C1201,"AAAAAGuf/rM=")</f>
        <v>#VALUE!</v>
      </c>
      <c r="FY80" t="e">
        <f>AND('Planilla_General_29-11-2012_10_'!D1201,"AAAAAGuf/rQ=")</f>
        <v>#VALUE!</v>
      </c>
      <c r="FZ80" t="e">
        <f>AND('Planilla_General_29-11-2012_10_'!E1201,"AAAAAGuf/rU=")</f>
        <v>#VALUE!</v>
      </c>
      <c r="GA80" t="e">
        <f>AND('Planilla_General_29-11-2012_10_'!F1201,"AAAAAGuf/rY=")</f>
        <v>#VALUE!</v>
      </c>
      <c r="GB80" t="e">
        <f>AND('Planilla_General_29-11-2012_10_'!G1201,"AAAAAGuf/rc=")</f>
        <v>#VALUE!</v>
      </c>
      <c r="GC80" t="e">
        <f>AND('Planilla_General_29-11-2012_10_'!H1201,"AAAAAGuf/rg=")</f>
        <v>#VALUE!</v>
      </c>
      <c r="GD80" t="e">
        <f>AND('Planilla_General_29-11-2012_10_'!I1201,"AAAAAGuf/rk=")</f>
        <v>#VALUE!</v>
      </c>
      <c r="GE80" t="e">
        <f>AND('Planilla_General_29-11-2012_10_'!J1201,"AAAAAGuf/ro=")</f>
        <v>#VALUE!</v>
      </c>
      <c r="GF80" t="e">
        <f>AND('Planilla_General_29-11-2012_10_'!K1201,"AAAAAGuf/rs=")</f>
        <v>#VALUE!</v>
      </c>
      <c r="GG80" t="e">
        <f>AND('Planilla_General_29-11-2012_10_'!L1201,"AAAAAGuf/rw=")</f>
        <v>#VALUE!</v>
      </c>
      <c r="GH80" t="e">
        <f>AND('Planilla_General_29-11-2012_10_'!M1201,"AAAAAGuf/r0=")</f>
        <v>#VALUE!</v>
      </c>
      <c r="GI80" t="e">
        <f>AND('Planilla_General_29-11-2012_10_'!N1201,"AAAAAGuf/r4=")</f>
        <v>#VALUE!</v>
      </c>
      <c r="GJ80" t="e">
        <f>AND('Planilla_General_29-11-2012_10_'!O1201,"AAAAAGuf/r8=")</f>
        <v>#VALUE!</v>
      </c>
      <c r="GK80" t="e">
        <f>AND('Planilla_General_29-11-2012_10_'!P1201,"AAAAAGuf/sA=")</f>
        <v>#VALUE!</v>
      </c>
      <c r="GL80">
        <f>IF('Planilla_General_29-11-2012_10_'!1202:1202,"AAAAAGuf/sE=",0)</f>
        <v>0</v>
      </c>
      <c r="GM80" t="e">
        <f>AND('Planilla_General_29-11-2012_10_'!A1202,"AAAAAGuf/sI=")</f>
        <v>#VALUE!</v>
      </c>
      <c r="GN80" t="e">
        <f>AND('Planilla_General_29-11-2012_10_'!B1202,"AAAAAGuf/sM=")</f>
        <v>#VALUE!</v>
      </c>
      <c r="GO80" t="e">
        <f>AND('Planilla_General_29-11-2012_10_'!C1202,"AAAAAGuf/sQ=")</f>
        <v>#VALUE!</v>
      </c>
      <c r="GP80" t="e">
        <f>AND('Planilla_General_29-11-2012_10_'!D1202,"AAAAAGuf/sU=")</f>
        <v>#VALUE!</v>
      </c>
      <c r="GQ80" t="e">
        <f>AND('Planilla_General_29-11-2012_10_'!E1202,"AAAAAGuf/sY=")</f>
        <v>#VALUE!</v>
      </c>
      <c r="GR80" t="e">
        <f>AND('Planilla_General_29-11-2012_10_'!F1202,"AAAAAGuf/sc=")</f>
        <v>#VALUE!</v>
      </c>
      <c r="GS80" t="e">
        <f>AND('Planilla_General_29-11-2012_10_'!G1202,"AAAAAGuf/sg=")</f>
        <v>#VALUE!</v>
      </c>
      <c r="GT80" t="e">
        <f>AND('Planilla_General_29-11-2012_10_'!H1202,"AAAAAGuf/sk=")</f>
        <v>#VALUE!</v>
      </c>
      <c r="GU80" t="e">
        <f>AND('Planilla_General_29-11-2012_10_'!I1202,"AAAAAGuf/so=")</f>
        <v>#VALUE!</v>
      </c>
      <c r="GV80" t="e">
        <f>AND('Planilla_General_29-11-2012_10_'!J1202,"AAAAAGuf/ss=")</f>
        <v>#VALUE!</v>
      </c>
      <c r="GW80" t="e">
        <f>AND('Planilla_General_29-11-2012_10_'!K1202,"AAAAAGuf/sw=")</f>
        <v>#VALUE!</v>
      </c>
      <c r="GX80" t="e">
        <f>AND('Planilla_General_29-11-2012_10_'!L1202,"AAAAAGuf/s0=")</f>
        <v>#VALUE!</v>
      </c>
      <c r="GY80" t="e">
        <f>AND('Planilla_General_29-11-2012_10_'!M1202,"AAAAAGuf/s4=")</f>
        <v>#VALUE!</v>
      </c>
      <c r="GZ80" t="e">
        <f>AND('Planilla_General_29-11-2012_10_'!N1202,"AAAAAGuf/s8=")</f>
        <v>#VALUE!</v>
      </c>
      <c r="HA80" t="e">
        <f>AND('Planilla_General_29-11-2012_10_'!O1202,"AAAAAGuf/tA=")</f>
        <v>#VALUE!</v>
      </c>
      <c r="HB80" t="e">
        <f>AND('Planilla_General_29-11-2012_10_'!P1202,"AAAAAGuf/tE=")</f>
        <v>#VALUE!</v>
      </c>
      <c r="HC80">
        <f>IF('Planilla_General_29-11-2012_10_'!1203:1203,"AAAAAGuf/tI=",0)</f>
        <v>0</v>
      </c>
      <c r="HD80" t="e">
        <f>AND('Planilla_General_29-11-2012_10_'!A1203,"AAAAAGuf/tM=")</f>
        <v>#VALUE!</v>
      </c>
      <c r="HE80" t="e">
        <f>AND('Planilla_General_29-11-2012_10_'!B1203,"AAAAAGuf/tQ=")</f>
        <v>#VALUE!</v>
      </c>
      <c r="HF80" t="e">
        <f>AND('Planilla_General_29-11-2012_10_'!C1203,"AAAAAGuf/tU=")</f>
        <v>#VALUE!</v>
      </c>
      <c r="HG80" t="e">
        <f>AND('Planilla_General_29-11-2012_10_'!D1203,"AAAAAGuf/tY=")</f>
        <v>#VALUE!</v>
      </c>
      <c r="HH80" t="e">
        <f>AND('Planilla_General_29-11-2012_10_'!E1203,"AAAAAGuf/tc=")</f>
        <v>#VALUE!</v>
      </c>
      <c r="HI80" t="e">
        <f>AND('Planilla_General_29-11-2012_10_'!F1203,"AAAAAGuf/tg=")</f>
        <v>#VALUE!</v>
      </c>
      <c r="HJ80" t="e">
        <f>AND('Planilla_General_29-11-2012_10_'!G1203,"AAAAAGuf/tk=")</f>
        <v>#VALUE!</v>
      </c>
      <c r="HK80" t="e">
        <f>AND('Planilla_General_29-11-2012_10_'!H1203,"AAAAAGuf/to=")</f>
        <v>#VALUE!</v>
      </c>
      <c r="HL80" t="e">
        <f>AND('Planilla_General_29-11-2012_10_'!I1203,"AAAAAGuf/ts=")</f>
        <v>#VALUE!</v>
      </c>
      <c r="HM80" t="e">
        <f>AND('Planilla_General_29-11-2012_10_'!J1203,"AAAAAGuf/tw=")</f>
        <v>#VALUE!</v>
      </c>
      <c r="HN80" t="e">
        <f>AND('Planilla_General_29-11-2012_10_'!K1203,"AAAAAGuf/t0=")</f>
        <v>#VALUE!</v>
      </c>
      <c r="HO80" t="e">
        <f>AND('Planilla_General_29-11-2012_10_'!L1203,"AAAAAGuf/t4=")</f>
        <v>#VALUE!</v>
      </c>
      <c r="HP80" t="e">
        <f>AND('Planilla_General_29-11-2012_10_'!M1203,"AAAAAGuf/t8=")</f>
        <v>#VALUE!</v>
      </c>
      <c r="HQ80" t="e">
        <f>AND('Planilla_General_29-11-2012_10_'!N1203,"AAAAAGuf/uA=")</f>
        <v>#VALUE!</v>
      </c>
      <c r="HR80" t="e">
        <f>AND('Planilla_General_29-11-2012_10_'!O1203,"AAAAAGuf/uE=")</f>
        <v>#VALUE!</v>
      </c>
      <c r="HS80" t="e">
        <f>AND('Planilla_General_29-11-2012_10_'!P1203,"AAAAAGuf/uI=")</f>
        <v>#VALUE!</v>
      </c>
      <c r="HT80">
        <f>IF('Planilla_General_29-11-2012_10_'!1204:1204,"AAAAAGuf/uM=",0)</f>
        <v>0</v>
      </c>
      <c r="HU80" t="e">
        <f>AND('Planilla_General_29-11-2012_10_'!A1204,"AAAAAGuf/uQ=")</f>
        <v>#VALUE!</v>
      </c>
      <c r="HV80" t="e">
        <f>AND('Planilla_General_29-11-2012_10_'!B1204,"AAAAAGuf/uU=")</f>
        <v>#VALUE!</v>
      </c>
      <c r="HW80" t="e">
        <f>AND('Planilla_General_29-11-2012_10_'!C1204,"AAAAAGuf/uY=")</f>
        <v>#VALUE!</v>
      </c>
      <c r="HX80" t="e">
        <f>AND('Planilla_General_29-11-2012_10_'!D1204,"AAAAAGuf/uc=")</f>
        <v>#VALUE!</v>
      </c>
      <c r="HY80" t="e">
        <f>AND('Planilla_General_29-11-2012_10_'!E1204,"AAAAAGuf/ug=")</f>
        <v>#VALUE!</v>
      </c>
      <c r="HZ80" t="e">
        <f>AND('Planilla_General_29-11-2012_10_'!F1204,"AAAAAGuf/uk=")</f>
        <v>#VALUE!</v>
      </c>
      <c r="IA80" t="e">
        <f>AND('Planilla_General_29-11-2012_10_'!G1204,"AAAAAGuf/uo=")</f>
        <v>#VALUE!</v>
      </c>
      <c r="IB80" t="e">
        <f>AND('Planilla_General_29-11-2012_10_'!H1204,"AAAAAGuf/us=")</f>
        <v>#VALUE!</v>
      </c>
      <c r="IC80" t="e">
        <f>AND('Planilla_General_29-11-2012_10_'!I1204,"AAAAAGuf/uw=")</f>
        <v>#VALUE!</v>
      </c>
      <c r="ID80" t="e">
        <f>AND('Planilla_General_29-11-2012_10_'!J1204,"AAAAAGuf/u0=")</f>
        <v>#VALUE!</v>
      </c>
      <c r="IE80" t="e">
        <f>AND('Planilla_General_29-11-2012_10_'!K1204,"AAAAAGuf/u4=")</f>
        <v>#VALUE!</v>
      </c>
      <c r="IF80" t="e">
        <f>AND('Planilla_General_29-11-2012_10_'!L1204,"AAAAAGuf/u8=")</f>
        <v>#VALUE!</v>
      </c>
      <c r="IG80" t="e">
        <f>AND('Planilla_General_29-11-2012_10_'!M1204,"AAAAAGuf/vA=")</f>
        <v>#VALUE!</v>
      </c>
      <c r="IH80" t="e">
        <f>AND('Planilla_General_29-11-2012_10_'!N1204,"AAAAAGuf/vE=")</f>
        <v>#VALUE!</v>
      </c>
      <c r="II80" t="e">
        <f>AND('Planilla_General_29-11-2012_10_'!O1204,"AAAAAGuf/vI=")</f>
        <v>#VALUE!</v>
      </c>
      <c r="IJ80" t="e">
        <f>AND('Planilla_General_29-11-2012_10_'!P1204,"AAAAAGuf/vM=")</f>
        <v>#VALUE!</v>
      </c>
      <c r="IK80">
        <f>IF('Planilla_General_29-11-2012_10_'!1205:1205,"AAAAAGuf/vQ=",0)</f>
        <v>0</v>
      </c>
      <c r="IL80" t="e">
        <f>AND('Planilla_General_29-11-2012_10_'!A1205,"AAAAAGuf/vU=")</f>
        <v>#VALUE!</v>
      </c>
      <c r="IM80" t="e">
        <f>AND('Planilla_General_29-11-2012_10_'!B1205,"AAAAAGuf/vY=")</f>
        <v>#VALUE!</v>
      </c>
      <c r="IN80" t="e">
        <f>AND('Planilla_General_29-11-2012_10_'!C1205,"AAAAAGuf/vc=")</f>
        <v>#VALUE!</v>
      </c>
      <c r="IO80" t="e">
        <f>AND('Planilla_General_29-11-2012_10_'!D1205,"AAAAAGuf/vg=")</f>
        <v>#VALUE!</v>
      </c>
      <c r="IP80" t="e">
        <f>AND('Planilla_General_29-11-2012_10_'!E1205,"AAAAAGuf/vk=")</f>
        <v>#VALUE!</v>
      </c>
      <c r="IQ80" t="e">
        <f>AND('Planilla_General_29-11-2012_10_'!F1205,"AAAAAGuf/vo=")</f>
        <v>#VALUE!</v>
      </c>
      <c r="IR80" t="e">
        <f>AND('Planilla_General_29-11-2012_10_'!G1205,"AAAAAGuf/vs=")</f>
        <v>#VALUE!</v>
      </c>
      <c r="IS80" t="e">
        <f>AND('Planilla_General_29-11-2012_10_'!H1205,"AAAAAGuf/vw=")</f>
        <v>#VALUE!</v>
      </c>
      <c r="IT80" t="e">
        <f>AND('Planilla_General_29-11-2012_10_'!I1205,"AAAAAGuf/v0=")</f>
        <v>#VALUE!</v>
      </c>
      <c r="IU80" t="e">
        <f>AND('Planilla_General_29-11-2012_10_'!J1205,"AAAAAGuf/v4=")</f>
        <v>#VALUE!</v>
      </c>
      <c r="IV80" t="e">
        <f>AND('Planilla_General_29-11-2012_10_'!K1205,"AAAAAGuf/v8=")</f>
        <v>#VALUE!</v>
      </c>
    </row>
    <row r="81" spans="1:256" x14ac:dyDescent="0.25">
      <c r="A81" t="e">
        <f>AND('Planilla_General_29-11-2012_10_'!L1205,"AAAAABdd1wA=")</f>
        <v>#VALUE!</v>
      </c>
      <c r="B81" t="e">
        <f>AND('Planilla_General_29-11-2012_10_'!M1205,"AAAAABdd1wE=")</f>
        <v>#VALUE!</v>
      </c>
      <c r="C81" t="e">
        <f>AND('Planilla_General_29-11-2012_10_'!N1205,"AAAAABdd1wI=")</f>
        <v>#VALUE!</v>
      </c>
      <c r="D81" t="e">
        <f>AND('Planilla_General_29-11-2012_10_'!O1205,"AAAAABdd1wM=")</f>
        <v>#VALUE!</v>
      </c>
      <c r="E81" t="e">
        <f>AND('Planilla_General_29-11-2012_10_'!P1205,"AAAAABdd1wQ=")</f>
        <v>#VALUE!</v>
      </c>
      <c r="F81" t="e">
        <f>IF('Planilla_General_29-11-2012_10_'!1206:1206,"AAAAABdd1wU=",0)</f>
        <v>#VALUE!</v>
      </c>
      <c r="G81" t="e">
        <f>AND('Planilla_General_29-11-2012_10_'!A1206,"AAAAABdd1wY=")</f>
        <v>#VALUE!</v>
      </c>
      <c r="H81" t="e">
        <f>AND('Planilla_General_29-11-2012_10_'!B1206,"AAAAABdd1wc=")</f>
        <v>#VALUE!</v>
      </c>
      <c r="I81" t="e">
        <f>AND('Planilla_General_29-11-2012_10_'!C1206,"AAAAABdd1wg=")</f>
        <v>#VALUE!</v>
      </c>
      <c r="J81" t="e">
        <f>AND('Planilla_General_29-11-2012_10_'!D1206,"AAAAABdd1wk=")</f>
        <v>#VALUE!</v>
      </c>
      <c r="K81" t="e">
        <f>AND('Planilla_General_29-11-2012_10_'!E1206,"AAAAABdd1wo=")</f>
        <v>#VALUE!</v>
      </c>
      <c r="L81" t="e">
        <f>AND('Planilla_General_29-11-2012_10_'!F1206,"AAAAABdd1ws=")</f>
        <v>#VALUE!</v>
      </c>
      <c r="M81" t="e">
        <f>AND('Planilla_General_29-11-2012_10_'!G1206,"AAAAABdd1ww=")</f>
        <v>#VALUE!</v>
      </c>
      <c r="N81" t="e">
        <f>AND('Planilla_General_29-11-2012_10_'!H1206,"AAAAABdd1w0=")</f>
        <v>#VALUE!</v>
      </c>
      <c r="O81" t="e">
        <f>AND('Planilla_General_29-11-2012_10_'!I1206,"AAAAABdd1w4=")</f>
        <v>#VALUE!</v>
      </c>
      <c r="P81" t="e">
        <f>AND('Planilla_General_29-11-2012_10_'!J1206,"AAAAABdd1w8=")</f>
        <v>#VALUE!</v>
      </c>
      <c r="Q81" t="e">
        <f>AND('Planilla_General_29-11-2012_10_'!K1206,"AAAAABdd1xA=")</f>
        <v>#VALUE!</v>
      </c>
      <c r="R81" t="e">
        <f>AND('Planilla_General_29-11-2012_10_'!L1206,"AAAAABdd1xE=")</f>
        <v>#VALUE!</v>
      </c>
      <c r="S81" t="e">
        <f>AND('Planilla_General_29-11-2012_10_'!M1206,"AAAAABdd1xI=")</f>
        <v>#VALUE!</v>
      </c>
      <c r="T81" t="e">
        <f>AND('Planilla_General_29-11-2012_10_'!N1206,"AAAAABdd1xM=")</f>
        <v>#VALUE!</v>
      </c>
      <c r="U81" t="e">
        <f>AND('Planilla_General_29-11-2012_10_'!O1206,"AAAAABdd1xQ=")</f>
        <v>#VALUE!</v>
      </c>
      <c r="V81" t="e">
        <f>AND('Planilla_General_29-11-2012_10_'!P1206,"AAAAABdd1xU=")</f>
        <v>#VALUE!</v>
      </c>
      <c r="W81">
        <f>IF('Planilla_General_29-11-2012_10_'!1207:1207,"AAAAABdd1xY=",0)</f>
        <v>0</v>
      </c>
      <c r="X81" t="e">
        <f>AND('Planilla_General_29-11-2012_10_'!A1207,"AAAAABdd1xc=")</f>
        <v>#VALUE!</v>
      </c>
      <c r="Y81" t="e">
        <f>AND('Planilla_General_29-11-2012_10_'!B1207,"AAAAABdd1xg=")</f>
        <v>#VALUE!</v>
      </c>
      <c r="Z81" t="e">
        <f>AND('Planilla_General_29-11-2012_10_'!C1207,"AAAAABdd1xk=")</f>
        <v>#VALUE!</v>
      </c>
      <c r="AA81" t="e">
        <f>AND('Planilla_General_29-11-2012_10_'!D1207,"AAAAABdd1xo=")</f>
        <v>#VALUE!</v>
      </c>
      <c r="AB81" t="e">
        <f>AND('Planilla_General_29-11-2012_10_'!E1207,"AAAAABdd1xs=")</f>
        <v>#VALUE!</v>
      </c>
      <c r="AC81" t="e">
        <f>AND('Planilla_General_29-11-2012_10_'!F1207,"AAAAABdd1xw=")</f>
        <v>#VALUE!</v>
      </c>
      <c r="AD81" t="e">
        <f>AND('Planilla_General_29-11-2012_10_'!G1207,"AAAAABdd1x0=")</f>
        <v>#VALUE!</v>
      </c>
      <c r="AE81" t="e">
        <f>AND('Planilla_General_29-11-2012_10_'!H1207,"AAAAABdd1x4=")</f>
        <v>#VALUE!</v>
      </c>
      <c r="AF81" t="e">
        <f>AND('Planilla_General_29-11-2012_10_'!I1207,"AAAAABdd1x8=")</f>
        <v>#VALUE!</v>
      </c>
      <c r="AG81" t="e">
        <f>AND('Planilla_General_29-11-2012_10_'!J1207,"AAAAABdd1yA=")</f>
        <v>#VALUE!</v>
      </c>
      <c r="AH81" t="e">
        <f>AND('Planilla_General_29-11-2012_10_'!K1207,"AAAAABdd1yE=")</f>
        <v>#VALUE!</v>
      </c>
      <c r="AI81" t="e">
        <f>AND('Planilla_General_29-11-2012_10_'!L1207,"AAAAABdd1yI=")</f>
        <v>#VALUE!</v>
      </c>
      <c r="AJ81" t="e">
        <f>AND('Planilla_General_29-11-2012_10_'!M1207,"AAAAABdd1yM=")</f>
        <v>#VALUE!</v>
      </c>
      <c r="AK81" t="e">
        <f>AND('Planilla_General_29-11-2012_10_'!N1207,"AAAAABdd1yQ=")</f>
        <v>#VALUE!</v>
      </c>
      <c r="AL81" t="e">
        <f>AND('Planilla_General_29-11-2012_10_'!O1207,"AAAAABdd1yU=")</f>
        <v>#VALUE!</v>
      </c>
      <c r="AM81" t="e">
        <f>AND('Planilla_General_29-11-2012_10_'!P1207,"AAAAABdd1yY=")</f>
        <v>#VALUE!</v>
      </c>
      <c r="AN81">
        <f>IF('Planilla_General_29-11-2012_10_'!1208:1208,"AAAAABdd1yc=",0)</f>
        <v>0</v>
      </c>
      <c r="AO81" t="e">
        <f>AND('Planilla_General_29-11-2012_10_'!A1208,"AAAAABdd1yg=")</f>
        <v>#VALUE!</v>
      </c>
      <c r="AP81" t="e">
        <f>AND('Planilla_General_29-11-2012_10_'!B1208,"AAAAABdd1yk=")</f>
        <v>#VALUE!</v>
      </c>
      <c r="AQ81" t="e">
        <f>AND('Planilla_General_29-11-2012_10_'!C1208,"AAAAABdd1yo=")</f>
        <v>#VALUE!</v>
      </c>
      <c r="AR81" t="e">
        <f>AND('Planilla_General_29-11-2012_10_'!D1208,"AAAAABdd1ys=")</f>
        <v>#VALUE!</v>
      </c>
      <c r="AS81" t="e">
        <f>AND('Planilla_General_29-11-2012_10_'!E1208,"AAAAABdd1yw=")</f>
        <v>#VALUE!</v>
      </c>
      <c r="AT81" t="e">
        <f>AND('Planilla_General_29-11-2012_10_'!F1208,"AAAAABdd1y0=")</f>
        <v>#VALUE!</v>
      </c>
      <c r="AU81" t="e">
        <f>AND('Planilla_General_29-11-2012_10_'!G1208,"AAAAABdd1y4=")</f>
        <v>#VALUE!</v>
      </c>
      <c r="AV81" t="e">
        <f>AND('Planilla_General_29-11-2012_10_'!H1208,"AAAAABdd1y8=")</f>
        <v>#VALUE!</v>
      </c>
      <c r="AW81" t="e">
        <f>AND('Planilla_General_29-11-2012_10_'!I1208,"AAAAABdd1zA=")</f>
        <v>#VALUE!</v>
      </c>
      <c r="AX81" t="e">
        <f>AND('Planilla_General_29-11-2012_10_'!J1208,"AAAAABdd1zE=")</f>
        <v>#VALUE!</v>
      </c>
      <c r="AY81" t="e">
        <f>AND('Planilla_General_29-11-2012_10_'!K1208,"AAAAABdd1zI=")</f>
        <v>#VALUE!</v>
      </c>
      <c r="AZ81" t="e">
        <f>AND('Planilla_General_29-11-2012_10_'!L1208,"AAAAABdd1zM=")</f>
        <v>#VALUE!</v>
      </c>
      <c r="BA81" t="e">
        <f>AND('Planilla_General_29-11-2012_10_'!M1208,"AAAAABdd1zQ=")</f>
        <v>#VALUE!</v>
      </c>
      <c r="BB81" t="e">
        <f>AND('Planilla_General_29-11-2012_10_'!N1208,"AAAAABdd1zU=")</f>
        <v>#VALUE!</v>
      </c>
      <c r="BC81" t="e">
        <f>AND('Planilla_General_29-11-2012_10_'!O1208,"AAAAABdd1zY=")</f>
        <v>#VALUE!</v>
      </c>
      <c r="BD81" t="e">
        <f>AND('Planilla_General_29-11-2012_10_'!P1208,"AAAAABdd1zc=")</f>
        <v>#VALUE!</v>
      </c>
      <c r="BE81">
        <f>IF('Planilla_General_29-11-2012_10_'!1209:1209,"AAAAABdd1zg=",0)</f>
        <v>0</v>
      </c>
      <c r="BF81" t="e">
        <f>AND('Planilla_General_29-11-2012_10_'!A1209,"AAAAABdd1zk=")</f>
        <v>#VALUE!</v>
      </c>
      <c r="BG81" t="e">
        <f>AND('Planilla_General_29-11-2012_10_'!B1209,"AAAAABdd1zo=")</f>
        <v>#VALUE!</v>
      </c>
      <c r="BH81" t="e">
        <f>AND('Planilla_General_29-11-2012_10_'!C1209,"AAAAABdd1zs=")</f>
        <v>#VALUE!</v>
      </c>
      <c r="BI81" t="e">
        <f>AND('Planilla_General_29-11-2012_10_'!D1209,"AAAAABdd1zw=")</f>
        <v>#VALUE!</v>
      </c>
      <c r="BJ81" t="e">
        <f>AND('Planilla_General_29-11-2012_10_'!E1209,"AAAAABdd1z0=")</f>
        <v>#VALUE!</v>
      </c>
      <c r="BK81" t="e">
        <f>AND('Planilla_General_29-11-2012_10_'!F1209,"AAAAABdd1z4=")</f>
        <v>#VALUE!</v>
      </c>
      <c r="BL81" t="e">
        <f>AND('Planilla_General_29-11-2012_10_'!G1209,"AAAAABdd1z8=")</f>
        <v>#VALUE!</v>
      </c>
      <c r="BM81" t="e">
        <f>AND('Planilla_General_29-11-2012_10_'!H1209,"AAAAABdd10A=")</f>
        <v>#VALUE!</v>
      </c>
      <c r="BN81" t="e">
        <f>AND('Planilla_General_29-11-2012_10_'!I1209,"AAAAABdd10E=")</f>
        <v>#VALUE!</v>
      </c>
      <c r="BO81" t="e">
        <f>AND('Planilla_General_29-11-2012_10_'!J1209,"AAAAABdd10I=")</f>
        <v>#VALUE!</v>
      </c>
      <c r="BP81" t="e">
        <f>AND('Planilla_General_29-11-2012_10_'!K1209,"AAAAABdd10M=")</f>
        <v>#VALUE!</v>
      </c>
      <c r="BQ81" t="e">
        <f>AND('Planilla_General_29-11-2012_10_'!L1209,"AAAAABdd10Q=")</f>
        <v>#VALUE!</v>
      </c>
      <c r="BR81" t="e">
        <f>AND('Planilla_General_29-11-2012_10_'!M1209,"AAAAABdd10U=")</f>
        <v>#VALUE!</v>
      </c>
      <c r="BS81" t="e">
        <f>AND('Planilla_General_29-11-2012_10_'!N1209,"AAAAABdd10Y=")</f>
        <v>#VALUE!</v>
      </c>
      <c r="BT81" t="e">
        <f>AND('Planilla_General_29-11-2012_10_'!O1209,"AAAAABdd10c=")</f>
        <v>#VALUE!</v>
      </c>
      <c r="BU81" t="e">
        <f>AND('Planilla_General_29-11-2012_10_'!P1209,"AAAAABdd10g=")</f>
        <v>#VALUE!</v>
      </c>
      <c r="BV81">
        <f>IF('Planilla_General_29-11-2012_10_'!1210:1210,"AAAAABdd10k=",0)</f>
        <v>0</v>
      </c>
      <c r="BW81" t="e">
        <f>AND('Planilla_General_29-11-2012_10_'!A1210,"AAAAABdd10o=")</f>
        <v>#VALUE!</v>
      </c>
      <c r="BX81" t="e">
        <f>AND('Planilla_General_29-11-2012_10_'!B1210,"AAAAABdd10s=")</f>
        <v>#VALUE!</v>
      </c>
      <c r="BY81" t="e">
        <f>AND('Planilla_General_29-11-2012_10_'!C1210,"AAAAABdd10w=")</f>
        <v>#VALUE!</v>
      </c>
      <c r="BZ81" t="e">
        <f>AND('Planilla_General_29-11-2012_10_'!D1210,"AAAAABdd100=")</f>
        <v>#VALUE!</v>
      </c>
      <c r="CA81" t="e">
        <f>AND('Planilla_General_29-11-2012_10_'!E1210,"AAAAABdd104=")</f>
        <v>#VALUE!</v>
      </c>
      <c r="CB81" t="e">
        <f>AND('Planilla_General_29-11-2012_10_'!F1210,"AAAAABdd108=")</f>
        <v>#VALUE!</v>
      </c>
      <c r="CC81" t="e">
        <f>AND('Planilla_General_29-11-2012_10_'!G1210,"AAAAABdd11A=")</f>
        <v>#VALUE!</v>
      </c>
      <c r="CD81" t="e">
        <f>AND('Planilla_General_29-11-2012_10_'!H1210,"AAAAABdd11E=")</f>
        <v>#VALUE!</v>
      </c>
      <c r="CE81" t="e">
        <f>AND('Planilla_General_29-11-2012_10_'!I1210,"AAAAABdd11I=")</f>
        <v>#VALUE!</v>
      </c>
      <c r="CF81" t="e">
        <f>AND('Planilla_General_29-11-2012_10_'!J1210,"AAAAABdd11M=")</f>
        <v>#VALUE!</v>
      </c>
      <c r="CG81" t="e">
        <f>AND('Planilla_General_29-11-2012_10_'!K1210,"AAAAABdd11Q=")</f>
        <v>#VALUE!</v>
      </c>
      <c r="CH81" t="e">
        <f>AND('Planilla_General_29-11-2012_10_'!L1210,"AAAAABdd11U=")</f>
        <v>#VALUE!</v>
      </c>
      <c r="CI81" t="e">
        <f>AND('Planilla_General_29-11-2012_10_'!M1210,"AAAAABdd11Y=")</f>
        <v>#VALUE!</v>
      </c>
      <c r="CJ81" t="e">
        <f>AND('Planilla_General_29-11-2012_10_'!N1210,"AAAAABdd11c=")</f>
        <v>#VALUE!</v>
      </c>
      <c r="CK81" t="e">
        <f>AND('Planilla_General_29-11-2012_10_'!O1210,"AAAAABdd11g=")</f>
        <v>#VALUE!</v>
      </c>
      <c r="CL81" t="e">
        <f>AND('Planilla_General_29-11-2012_10_'!P1210,"AAAAABdd11k=")</f>
        <v>#VALUE!</v>
      </c>
      <c r="CM81">
        <f>IF('Planilla_General_29-11-2012_10_'!1211:1211,"AAAAABdd11o=",0)</f>
        <v>0</v>
      </c>
      <c r="CN81" t="e">
        <f>AND('Planilla_General_29-11-2012_10_'!A1211,"AAAAABdd11s=")</f>
        <v>#VALUE!</v>
      </c>
      <c r="CO81" t="e">
        <f>AND('Planilla_General_29-11-2012_10_'!B1211,"AAAAABdd11w=")</f>
        <v>#VALUE!</v>
      </c>
      <c r="CP81" t="e">
        <f>AND('Planilla_General_29-11-2012_10_'!C1211,"AAAAABdd110=")</f>
        <v>#VALUE!</v>
      </c>
      <c r="CQ81" t="e">
        <f>AND('Planilla_General_29-11-2012_10_'!D1211,"AAAAABdd114=")</f>
        <v>#VALUE!</v>
      </c>
      <c r="CR81" t="e">
        <f>AND('Planilla_General_29-11-2012_10_'!E1211,"AAAAABdd118=")</f>
        <v>#VALUE!</v>
      </c>
      <c r="CS81" t="e">
        <f>AND('Planilla_General_29-11-2012_10_'!F1211,"AAAAABdd12A=")</f>
        <v>#VALUE!</v>
      </c>
      <c r="CT81" t="e">
        <f>AND('Planilla_General_29-11-2012_10_'!G1211,"AAAAABdd12E=")</f>
        <v>#VALUE!</v>
      </c>
      <c r="CU81" t="e">
        <f>AND('Planilla_General_29-11-2012_10_'!H1211,"AAAAABdd12I=")</f>
        <v>#VALUE!</v>
      </c>
      <c r="CV81" t="e">
        <f>AND('Planilla_General_29-11-2012_10_'!I1211,"AAAAABdd12M=")</f>
        <v>#VALUE!</v>
      </c>
      <c r="CW81" t="e">
        <f>AND('Planilla_General_29-11-2012_10_'!J1211,"AAAAABdd12Q=")</f>
        <v>#VALUE!</v>
      </c>
      <c r="CX81" t="e">
        <f>AND('Planilla_General_29-11-2012_10_'!K1211,"AAAAABdd12U=")</f>
        <v>#VALUE!</v>
      </c>
      <c r="CY81" t="e">
        <f>AND('Planilla_General_29-11-2012_10_'!L1211,"AAAAABdd12Y=")</f>
        <v>#VALUE!</v>
      </c>
      <c r="CZ81" t="e">
        <f>AND('Planilla_General_29-11-2012_10_'!M1211,"AAAAABdd12c=")</f>
        <v>#VALUE!</v>
      </c>
      <c r="DA81" t="e">
        <f>AND('Planilla_General_29-11-2012_10_'!N1211,"AAAAABdd12g=")</f>
        <v>#VALUE!</v>
      </c>
      <c r="DB81" t="e">
        <f>AND('Planilla_General_29-11-2012_10_'!O1211,"AAAAABdd12k=")</f>
        <v>#VALUE!</v>
      </c>
      <c r="DC81" t="e">
        <f>AND('Planilla_General_29-11-2012_10_'!P1211,"AAAAABdd12o=")</f>
        <v>#VALUE!</v>
      </c>
      <c r="DD81">
        <f>IF('Planilla_General_29-11-2012_10_'!1212:1212,"AAAAABdd12s=",0)</f>
        <v>0</v>
      </c>
      <c r="DE81" t="e">
        <f>AND('Planilla_General_29-11-2012_10_'!A1212,"AAAAABdd12w=")</f>
        <v>#VALUE!</v>
      </c>
      <c r="DF81" t="e">
        <f>AND('Planilla_General_29-11-2012_10_'!B1212,"AAAAABdd120=")</f>
        <v>#VALUE!</v>
      </c>
      <c r="DG81" t="e">
        <f>AND('Planilla_General_29-11-2012_10_'!C1212,"AAAAABdd124=")</f>
        <v>#VALUE!</v>
      </c>
      <c r="DH81" t="e">
        <f>AND('Planilla_General_29-11-2012_10_'!D1212,"AAAAABdd128=")</f>
        <v>#VALUE!</v>
      </c>
      <c r="DI81" t="e">
        <f>AND('Planilla_General_29-11-2012_10_'!E1212,"AAAAABdd13A=")</f>
        <v>#VALUE!</v>
      </c>
      <c r="DJ81" t="e">
        <f>AND('Planilla_General_29-11-2012_10_'!F1212,"AAAAABdd13E=")</f>
        <v>#VALUE!</v>
      </c>
      <c r="DK81" t="e">
        <f>AND('Planilla_General_29-11-2012_10_'!G1212,"AAAAABdd13I=")</f>
        <v>#VALUE!</v>
      </c>
      <c r="DL81" t="e">
        <f>AND('Planilla_General_29-11-2012_10_'!H1212,"AAAAABdd13M=")</f>
        <v>#VALUE!</v>
      </c>
      <c r="DM81" t="e">
        <f>AND('Planilla_General_29-11-2012_10_'!I1212,"AAAAABdd13Q=")</f>
        <v>#VALUE!</v>
      </c>
      <c r="DN81" t="e">
        <f>AND('Planilla_General_29-11-2012_10_'!J1212,"AAAAABdd13U=")</f>
        <v>#VALUE!</v>
      </c>
      <c r="DO81" t="e">
        <f>AND('Planilla_General_29-11-2012_10_'!K1212,"AAAAABdd13Y=")</f>
        <v>#VALUE!</v>
      </c>
      <c r="DP81" t="e">
        <f>AND('Planilla_General_29-11-2012_10_'!L1212,"AAAAABdd13c=")</f>
        <v>#VALUE!</v>
      </c>
      <c r="DQ81" t="e">
        <f>AND('Planilla_General_29-11-2012_10_'!M1212,"AAAAABdd13g=")</f>
        <v>#VALUE!</v>
      </c>
      <c r="DR81" t="e">
        <f>AND('Planilla_General_29-11-2012_10_'!N1212,"AAAAABdd13k=")</f>
        <v>#VALUE!</v>
      </c>
      <c r="DS81" t="e">
        <f>AND('Planilla_General_29-11-2012_10_'!O1212,"AAAAABdd13o=")</f>
        <v>#VALUE!</v>
      </c>
      <c r="DT81" t="e">
        <f>AND('Planilla_General_29-11-2012_10_'!P1212,"AAAAABdd13s=")</f>
        <v>#VALUE!</v>
      </c>
      <c r="DU81">
        <f>IF('Planilla_General_29-11-2012_10_'!1213:1213,"AAAAABdd13w=",0)</f>
        <v>0</v>
      </c>
      <c r="DV81" t="e">
        <f>AND('Planilla_General_29-11-2012_10_'!A1213,"AAAAABdd130=")</f>
        <v>#VALUE!</v>
      </c>
      <c r="DW81" t="e">
        <f>AND('Planilla_General_29-11-2012_10_'!B1213,"AAAAABdd134=")</f>
        <v>#VALUE!</v>
      </c>
      <c r="DX81" t="e">
        <f>AND('Planilla_General_29-11-2012_10_'!C1213,"AAAAABdd138=")</f>
        <v>#VALUE!</v>
      </c>
      <c r="DY81" t="e">
        <f>AND('Planilla_General_29-11-2012_10_'!D1213,"AAAAABdd14A=")</f>
        <v>#VALUE!</v>
      </c>
      <c r="DZ81" t="e">
        <f>AND('Planilla_General_29-11-2012_10_'!E1213,"AAAAABdd14E=")</f>
        <v>#VALUE!</v>
      </c>
      <c r="EA81" t="e">
        <f>AND('Planilla_General_29-11-2012_10_'!F1213,"AAAAABdd14I=")</f>
        <v>#VALUE!</v>
      </c>
      <c r="EB81" t="e">
        <f>AND('Planilla_General_29-11-2012_10_'!G1213,"AAAAABdd14M=")</f>
        <v>#VALUE!</v>
      </c>
      <c r="EC81" t="e">
        <f>AND('Planilla_General_29-11-2012_10_'!H1213,"AAAAABdd14Q=")</f>
        <v>#VALUE!</v>
      </c>
      <c r="ED81" t="e">
        <f>AND('Planilla_General_29-11-2012_10_'!I1213,"AAAAABdd14U=")</f>
        <v>#VALUE!</v>
      </c>
      <c r="EE81" t="e">
        <f>AND('Planilla_General_29-11-2012_10_'!J1213,"AAAAABdd14Y=")</f>
        <v>#VALUE!</v>
      </c>
      <c r="EF81" t="e">
        <f>AND('Planilla_General_29-11-2012_10_'!K1213,"AAAAABdd14c=")</f>
        <v>#VALUE!</v>
      </c>
      <c r="EG81" t="e">
        <f>AND('Planilla_General_29-11-2012_10_'!L1213,"AAAAABdd14g=")</f>
        <v>#VALUE!</v>
      </c>
      <c r="EH81" t="e">
        <f>AND('Planilla_General_29-11-2012_10_'!M1213,"AAAAABdd14k=")</f>
        <v>#VALUE!</v>
      </c>
      <c r="EI81" t="e">
        <f>AND('Planilla_General_29-11-2012_10_'!N1213,"AAAAABdd14o=")</f>
        <v>#VALUE!</v>
      </c>
      <c r="EJ81" t="e">
        <f>AND('Planilla_General_29-11-2012_10_'!O1213,"AAAAABdd14s=")</f>
        <v>#VALUE!</v>
      </c>
      <c r="EK81" t="e">
        <f>AND('Planilla_General_29-11-2012_10_'!P1213,"AAAAABdd14w=")</f>
        <v>#VALUE!</v>
      </c>
      <c r="EL81">
        <f>IF('Planilla_General_29-11-2012_10_'!1214:1214,"AAAAABdd140=",0)</f>
        <v>0</v>
      </c>
      <c r="EM81" t="e">
        <f>AND('Planilla_General_29-11-2012_10_'!A1214,"AAAAABdd144=")</f>
        <v>#VALUE!</v>
      </c>
      <c r="EN81" t="e">
        <f>AND('Planilla_General_29-11-2012_10_'!B1214,"AAAAABdd148=")</f>
        <v>#VALUE!</v>
      </c>
      <c r="EO81" t="e">
        <f>AND('Planilla_General_29-11-2012_10_'!C1214,"AAAAABdd15A=")</f>
        <v>#VALUE!</v>
      </c>
      <c r="EP81" t="e">
        <f>AND('Planilla_General_29-11-2012_10_'!D1214,"AAAAABdd15E=")</f>
        <v>#VALUE!</v>
      </c>
      <c r="EQ81" t="e">
        <f>AND('Planilla_General_29-11-2012_10_'!E1214,"AAAAABdd15I=")</f>
        <v>#VALUE!</v>
      </c>
      <c r="ER81" t="e">
        <f>AND('Planilla_General_29-11-2012_10_'!F1214,"AAAAABdd15M=")</f>
        <v>#VALUE!</v>
      </c>
      <c r="ES81" t="e">
        <f>AND('Planilla_General_29-11-2012_10_'!G1214,"AAAAABdd15Q=")</f>
        <v>#VALUE!</v>
      </c>
      <c r="ET81" t="e">
        <f>AND('Planilla_General_29-11-2012_10_'!H1214,"AAAAABdd15U=")</f>
        <v>#VALUE!</v>
      </c>
      <c r="EU81" t="e">
        <f>AND('Planilla_General_29-11-2012_10_'!I1214,"AAAAABdd15Y=")</f>
        <v>#VALUE!</v>
      </c>
      <c r="EV81" t="e">
        <f>AND('Planilla_General_29-11-2012_10_'!J1214,"AAAAABdd15c=")</f>
        <v>#VALUE!</v>
      </c>
      <c r="EW81" t="e">
        <f>AND('Planilla_General_29-11-2012_10_'!K1214,"AAAAABdd15g=")</f>
        <v>#VALUE!</v>
      </c>
      <c r="EX81" t="e">
        <f>AND('Planilla_General_29-11-2012_10_'!L1214,"AAAAABdd15k=")</f>
        <v>#VALUE!</v>
      </c>
      <c r="EY81" t="e">
        <f>AND('Planilla_General_29-11-2012_10_'!M1214,"AAAAABdd15o=")</f>
        <v>#VALUE!</v>
      </c>
      <c r="EZ81" t="e">
        <f>AND('Planilla_General_29-11-2012_10_'!N1214,"AAAAABdd15s=")</f>
        <v>#VALUE!</v>
      </c>
      <c r="FA81" t="e">
        <f>AND('Planilla_General_29-11-2012_10_'!O1214,"AAAAABdd15w=")</f>
        <v>#VALUE!</v>
      </c>
      <c r="FB81" t="e">
        <f>AND('Planilla_General_29-11-2012_10_'!P1214,"AAAAABdd150=")</f>
        <v>#VALUE!</v>
      </c>
      <c r="FC81">
        <f>IF('Planilla_General_29-11-2012_10_'!1215:1215,"AAAAABdd154=",0)</f>
        <v>0</v>
      </c>
      <c r="FD81" t="e">
        <f>AND('Planilla_General_29-11-2012_10_'!A1215,"AAAAABdd158=")</f>
        <v>#VALUE!</v>
      </c>
      <c r="FE81" t="e">
        <f>AND('Planilla_General_29-11-2012_10_'!B1215,"AAAAABdd16A=")</f>
        <v>#VALUE!</v>
      </c>
      <c r="FF81" t="e">
        <f>AND('Planilla_General_29-11-2012_10_'!C1215,"AAAAABdd16E=")</f>
        <v>#VALUE!</v>
      </c>
      <c r="FG81" t="e">
        <f>AND('Planilla_General_29-11-2012_10_'!D1215,"AAAAABdd16I=")</f>
        <v>#VALUE!</v>
      </c>
      <c r="FH81" t="e">
        <f>AND('Planilla_General_29-11-2012_10_'!E1215,"AAAAABdd16M=")</f>
        <v>#VALUE!</v>
      </c>
      <c r="FI81" t="e">
        <f>AND('Planilla_General_29-11-2012_10_'!F1215,"AAAAABdd16Q=")</f>
        <v>#VALUE!</v>
      </c>
      <c r="FJ81" t="e">
        <f>AND('Planilla_General_29-11-2012_10_'!G1215,"AAAAABdd16U=")</f>
        <v>#VALUE!</v>
      </c>
      <c r="FK81" t="e">
        <f>AND('Planilla_General_29-11-2012_10_'!H1215,"AAAAABdd16Y=")</f>
        <v>#VALUE!</v>
      </c>
      <c r="FL81" t="e">
        <f>AND('Planilla_General_29-11-2012_10_'!I1215,"AAAAABdd16c=")</f>
        <v>#VALUE!</v>
      </c>
      <c r="FM81" t="e">
        <f>AND('Planilla_General_29-11-2012_10_'!J1215,"AAAAABdd16g=")</f>
        <v>#VALUE!</v>
      </c>
      <c r="FN81" t="e">
        <f>AND('Planilla_General_29-11-2012_10_'!K1215,"AAAAABdd16k=")</f>
        <v>#VALUE!</v>
      </c>
      <c r="FO81" t="e">
        <f>AND('Planilla_General_29-11-2012_10_'!L1215,"AAAAABdd16o=")</f>
        <v>#VALUE!</v>
      </c>
      <c r="FP81" t="e">
        <f>AND('Planilla_General_29-11-2012_10_'!M1215,"AAAAABdd16s=")</f>
        <v>#VALUE!</v>
      </c>
      <c r="FQ81" t="e">
        <f>AND('Planilla_General_29-11-2012_10_'!N1215,"AAAAABdd16w=")</f>
        <v>#VALUE!</v>
      </c>
      <c r="FR81" t="e">
        <f>AND('Planilla_General_29-11-2012_10_'!O1215,"AAAAABdd160=")</f>
        <v>#VALUE!</v>
      </c>
      <c r="FS81" t="e">
        <f>AND('Planilla_General_29-11-2012_10_'!P1215,"AAAAABdd164=")</f>
        <v>#VALUE!</v>
      </c>
      <c r="FT81">
        <f>IF('Planilla_General_29-11-2012_10_'!1216:1216,"AAAAABdd168=",0)</f>
        <v>0</v>
      </c>
      <c r="FU81" t="e">
        <f>AND('Planilla_General_29-11-2012_10_'!A1216,"AAAAABdd17A=")</f>
        <v>#VALUE!</v>
      </c>
      <c r="FV81" t="e">
        <f>AND('Planilla_General_29-11-2012_10_'!B1216,"AAAAABdd17E=")</f>
        <v>#VALUE!</v>
      </c>
      <c r="FW81" t="e">
        <f>AND('Planilla_General_29-11-2012_10_'!C1216,"AAAAABdd17I=")</f>
        <v>#VALUE!</v>
      </c>
      <c r="FX81" t="e">
        <f>AND('Planilla_General_29-11-2012_10_'!D1216,"AAAAABdd17M=")</f>
        <v>#VALUE!</v>
      </c>
      <c r="FY81" t="e">
        <f>AND('Planilla_General_29-11-2012_10_'!E1216,"AAAAABdd17Q=")</f>
        <v>#VALUE!</v>
      </c>
      <c r="FZ81" t="e">
        <f>AND('Planilla_General_29-11-2012_10_'!F1216,"AAAAABdd17U=")</f>
        <v>#VALUE!</v>
      </c>
      <c r="GA81" t="e">
        <f>AND('Planilla_General_29-11-2012_10_'!G1216,"AAAAABdd17Y=")</f>
        <v>#VALUE!</v>
      </c>
      <c r="GB81" t="e">
        <f>AND('Planilla_General_29-11-2012_10_'!H1216,"AAAAABdd17c=")</f>
        <v>#VALUE!</v>
      </c>
      <c r="GC81" t="e">
        <f>AND('Planilla_General_29-11-2012_10_'!I1216,"AAAAABdd17g=")</f>
        <v>#VALUE!</v>
      </c>
      <c r="GD81" t="e">
        <f>AND('Planilla_General_29-11-2012_10_'!J1216,"AAAAABdd17k=")</f>
        <v>#VALUE!</v>
      </c>
      <c r="GE81" t="e">
        <f>AND('Planilla_General_29-11-2012_10_'!K1216,"AAAAABdd17o=")</f>
        <v>#VALUE!</v>
      </c>
      <c r="GF81" t="e">
        <f>AND('Planilla_General_29-11-2012_10_'!L1216,"AAAAABdd17s=")</f>
        <v>#VALUE!</v>
      </c>
      <c r="GG81" t="e">
        <f>AND('Planilla_General_29-11-2012_10_'!M1216,"AAAAABdd17w=")</f>
        <v>#VALUE!</v>
      </c>
      <c r="GH81" t="e">
        <f>AND('Planilla_General_29-11-2012_10_'!N1216,"AAAAABdd170=")</f>
        <v>#VALUE!</v>
      </c>
      <c r="GI81" t="e">
        <f>AND('Planilla_General_29-11-2012_10_'!O1216,"AAAAABdd174=")</f>
        <v>#VALUE!</v>
      </c>
      <c r="GJ81" t="e">
        <f>AND('Planilla_General_29-11-2012_10_'!P1216,"AAAAABdd178=")</f>
        <v>#VALUE!</v>
      </c>
      <c r="GK81">
        <f>IF('Planilla_General_29-11-2012_10_'!1217:1217,"AAAAABdd18A=",0)</f>
        <v>0</v>
      </c>
      <c r="GL81" t="e">
        <f>AND('Planilla_General_29-11-2012_10_'!A1217,"AAAAABdd18E=")</f>
        <v>#VALUE!</v>
      </c>
      <c r="GM81" t="e">
        <f>AND('Planilla_General_29-11-2012_10_'!B1217,"AAAAABdd18I=")</f>
        <v>#VALUE!</v>
      </c>
      <c r="GN81" t="e">
        <f>AND('Planilla_General_29-11-2012_10_'!C1217,"AAAAABdd18M=")</f>
        <v>#VALUE!</v>
      </c>
      <c r="GO81" t="e">
        <f>AND('Planilla_General_29-11-2012_10_'!D1217,"AAAAABdd18Q=")</f>
        <v>#VALUE!</v>
      </c>
      <c r="GP81" t="e">
        <f>AND('Planilla_General_29-11-2012_10_'!E1217,"AAAAABdd18U=")</f>
        <v>#VALUE!</v>
      </c>
      <c r="GQ81" t="e">
        <f>AND('Planilla_General_29-11-2012_10_'!F1217,"AAAAABdd18Y=")</f>
        <v>#VALUE!</v>
      </c>
      <c r="GR81" t="e">
        <f>AND('Planilla_General_29-11-2012_10_'!G1217,"AAAAABdd18c=")</f>
        <v>#VALUE!</v>
      </c>
      <c r="GS81" t="e">
        <f>AND('Planilla_General_29-11-2012_10_'!H1217,"AAAAABdd18g=")</f>
        <v>#VALUE!</v>
      </c>
      <c r="GT81" t="e">
        <f>AND('Planilla_General_29-11-2012_10_'!I1217,"AAAAABdd18k=")</f>
        <v>#VALUE!</v>
      </c>
      <c r="GU81" t="e">
        <f>AND('Planilla_General_29-11-2012_10_'!J1217,"AAAAABdd18o=")</f>
        <v>#VALUE!</v>
      </c>
      <c r="GV81" t="e">
        <f>AND('Planilla_General_29-11-2012_10_'!K1217,"AAAAABdd18s=")</f>
        <v>#VALUE!</v>
      </c>
      <c r="GW81" t="e">
        <f>AND('Planilla_General_29-11-2012_10_'!L1217,"AAAAABdd18w=")</f>
        <v>#VALUE!</v>
      </c>
      <c r="GX81" t="e">
        <f>AND('Planilla_General_29-11-2012_10_'!M1217,"AAAAABdd180=")</f>
        <v>#VALUE!</v>
      </c>
      <c r="GY81" t="e">
        <f>AND('Planilla_General_29-11-2012_10_'!N1217,"AAAAABdd184=")</f>
        <v>#VALUE!</v>
      </c>
      <c r="GZ81" t="e">
        <f>AND('Planilla_General_29-11-2012_10_'!O1217,"AAAAABdd188=")</f>
        <v>#VALUE!</v>
      </c>
      <c r="HA81" t="e">
        <f>AND('Planilla_General_29-11-2012_10_'!P1217,"AAAAABdd19A=")</f>
        <v>#VALUE!</v>
      </c>
      <c r="HB81">
        <f>IF('Planilla_General_29-11-2012_10_'!1218:1218,"AAAAABdd19E=",0)</f>
        <v>0</v>
      </c>
      <c r="HC81" t="e">
        <f>AND('Planilla_General_29-11-2012_10_'!A1218,"AAAAABdd19I=")</f>
        <v>#VALUE!</v>
      </c>
      <c r="HD81" t="e">
        <f>AND('Planilla_General_29-11-2012_10_'!B1218,"AAAAABdd19M=")</f>
        <v>#VALUE!</v>
      </c>
      <c r="HE81" t="e">
        <f>AND('Planilla_General_29-11-2012_10_'!C1218,"AAAAABdd19Q=")</f>
        <v>#VALUE!</v>
      </c>
      <c r="HF81" t="e">
        <f>AND('Planilla_General_29-11-2012_10_'!D1218,"AAAAABdd19U=")</f>
        <v>#VALUE!</v>
      </c>
      <c r="HG81" t="e">
        <f>AND('Planilla_General_29-11-2012_10_'!E1218,"AAAAABdd19Y=")</f>
        <v>#VALUE!</v>
      </c>
      <c r="HH81" t="e">
        <f>AND('Planilla_General_29-11-2012_10_'!F1218,"AAAAABdd19c=")</f>
        <v>#VALUE!</v>
      </c>
      <c r="HI81" t="e">
        <f>AND('Planilla_General_29-11-2012_10_'!G1218,"AAAAABdd19g=")</f>
        <v>#VALUE!</v>
      </c>
      <c r="HJ81" t="e">
        <f>AND('Planilla_General_29-11-2012_10_'!H1218,"AAAAABdd19k=")</f>
        <v>#VALUE!</v>
      </c>
      <c r="HK81" t="e">
        <f>AND('Planilla_General_29-11-2012_10_'!I1218,"AAAAABdd19o=")</f>
        <v>#VALUE!</v>
      </c>
      <c r="HL81" t="e">
        <f>AND('Planilla_General_29-11-2012_10_'!J1218,"AAAAABdd19s=")</f>
        <v>#VALUE!</v>
      </c>
      <c r="HM81" t="e">
        <f>AND('Planilla_General_29-11-2012_10_'!K1218,"AAAAABdd19w=")</f>
        <v>#VALUE!</v>
      </c>
      <c r="HN81" t="e">
        <f>AND('Planilla_General_29-11-2012_10_'!L1218,"AAAAABdd190=")</f>
        <v>#VALUE!</v>
      </c>
      <c r="HO81" t="e">
        <f>AND('Planilla_General_29-11-2012_10_'!M1218,"AAAAABdd194=")</f>
        <v>#VALUE!</v>
      </c>
      <c r="HP81" t="e">
        <f>AND('Planilla_General_29-11-2012_10_'!N1218,"AAAAABdd198=")</f>
        <v>#VALUE!</v>
      </c>
      <c r="HQ81" t="e">
        <f>AND('Planilla_General_29-11-2012_10_'!O1218,"AAAAABdd1+A=")</f>
        <v>#VALUE!</v>
      </c>
      <c r="HR81" t="e">
        <f>AND('Planilla_General_29-11-2012_10_'!P1218,"AAAAABdd1+E=")</f>
        <v>#VALUE!</v>
      </c>
      <c r="HS81">
        <f>IF('Planilla_General_29-11-2012_10_'!1219:1219,"AAAAABdd1+I=",0)</f>
        <v>0</v>
      </c>
      <c r="HT81" t="e">
        <f>AND('Planilla_General_29-11-2012_10_'!A1219,"AAAAABdd1+M=")</f>
        <v>#VALUE!</v>
      </c>
      <c r="HU81" t="e">
        <f>AND('Planilla_General_29-11-2012_10_'!B1219,"AAAAABdd1+Q=")</f>
        <v>#VALUE!</v>
      </c>
      <c r="HV81" t="e">
        <f>AND('Planilla_General_29-11-2012_10_'!C1219,"AAAAABdd1+U=")</f>
        <v>#VALUE!</v>
      </c>
      <c r="HW81" t="e">
        <f>AND('Planilla_General_29-11-2012_10_'!D1219,"AAAAABdd1+Y=")</f>
        <v>#VALUE!</v>
      </c>
      <c r="HX81" t="e">
        <f>AND('Planilla_General_29-11-2012_10_'!E1219,"AAAAABdd1+c=")</f>
        <v>#VALUE!</v>
      </c>
      <c r="HY81" t="e">
        <f>AND('Planilla_General_29-11-2012_10_'!F1219,"AAAAABdd1+g=")</f>
        <v>#VALUE!</v>
      </c>
      <c r="HZ81" t="e">
        <f>AND('Planilla_General_29-11-2012_10_'!G1219,"AAAAABdd1+k=")</f>
        <v>#VALUE!</v>
      </c>
      <c r="IA81" t="e">
        <f>AND('Planilla_General_29-11-2012_10_'!H1219,"AAAAABdd1+o=")</f>
        <v>#VALUE!</v>
      </c>
      <c r="IB81" t="e">
        <f>AND('Planilla_General_29-11-2012_10_'!I1219,"AAAAABdd1+s=")</f>
        <v>#VALUE!</v>
      </c>
      <c r="IC81" t="e">
        <f>AND('Planilla_General_29-11-2012_10_'!J1219,"AAAAABdd1+w=")</f>
        <v>#VALUE!</v>
      </c>
      <c r="ID81" t="e">
        <f>AND('Planilla_General_29-11-2012_10_'!K1219,"AAAAABdd1+0=")</f>
        <v>#VALUE!</v>
      </c>
      <c r="IE81" t="e">
        <f>AND('Planilla_General_29-11-2012_10_'!L1219,"AAAAABdd1+4=")</f>
        <v>#VALUE!</v>
      </c>
      <c r="IF81" t="e">
        <f>AND('Planilla_General_29-11-2012_10_'!M1219,"AAAAABdd1+8=")</f>
        <v>#VALUE!</v>
      </c>
      <c r="IG81" t="e">
        <f>AND('Planilla_General_29-11-2012_10_'!N1219,"AAAAABdd1/A=")</f>
        <v>#VALUE!</v>
      </c>
      <c r="IH81" t="e">
        <f>AND('Planilla_General_29-11-2012_10_'!O1219,"AAAAABdd1/E=")</f>
        <v>#VALUE!</v>
      </c>
      <c r="II81" t="e">
        <f>AND('Planilla_General_29-11-2012_10_'!P1219,"AAAAABdd1/I=")</f>
        <v>#VALUE!</v>
      </c>
      <c r="IJ81">
        <f>IF('Planilla_General_29-11-2012_10_'!1220:1220,"AAAAABdd1/M=",0)</f>
        <v>0</v>
      </c>
      <c r="IK81" t="e">
        <f>AND('Planilla_General_29-11-2012_10_'!A1220,"AAAAABdd1/Q=")</f>
        <v>#VALUE!</v>
      </c>
      <c r="IL81" t="e">
        <f>AND('Planilla_General_29-11-2012_10_'!B1220,"AAAAABdd1/U=")</f>
        <v>#VALUE!</v>
      </c>
      <c r="IM81" t="e">
        <f>AND('Planilla_General_29-11-2012_10_'!C1220,"AAAAABdd1/Y=")</f>
        <v>#VALUE!</v>
      </c>
      <c r="IN81" t="e">
        <f>AND('Planilla_General_29-11-2012_10_'!D1220,"AAAAABdd1/c=")</f>
        <v>#VALUE!</v>
      </c>
      <c r="IO81" t="e">
        <f>AND('Planilla_General_29-11-2012_10_'!E1220,"AAAAABdd1/g=")</f>
        <v>#VALUE!</v>
      </c>
      <c r="IP81" t="e">
        <f>AND('Planilla_General_29-11-2012_10_'!F1220,"AAAAABdd1/k=")</f>
        <v>#VALUE!</v>
      </c>
      <c r="IQ81" t="e">
        <f>AND('Planilla_General_29-11-2012_10_'!G1220,"AAAAABdd1/o=")</f>
        <v>#VALUE!</v>
      </c>
      <c r="IR81" t="e">
        <f>AND('Planilla_General_29-11-2012_10_'!H1220,"AAAAABdd1/s=")</f>
        <v>#VALUE!</v>
      </c>
      <c r="IS81" t="e">
        <f>AND('Planilla_General_29-11-2012_10_'!I1220,"AAAAABdd1/w=")</f>
        <v>#VALUE!</v>
      </c>
      <c r="IT81" t="e">
        <f>AND('Planilla_General_29-11-2012_10_'!J1220,"AAAAABdd1/0=")</f>
        <v>#VALUE!</v>
      </c>
      <c r="IU81" t="e">
        <f>AND('Planilla_General_29-11-2012_10_'!K1220,"AAAAABdd1/4=")</f>
        <v>#VALUE!</v>
      </c>
      <c r="IV81" t="e">
        <f>AND('Planilla_General_29-11-2012_10_'!L1220,"AAAAABdd1/8=")</f>
        <v>#VALUE!</v>
      </c>
    </row>
    <row r="82" spans="1:256" x14ac:dyDescent="0.25">
      <c r="A82" t="e">
        <f>AND('Planilla_General_29-11-2012_10_'!M1220,"AAAAAH///wA=")</f>
        <v>#VALUE!</v>
      </c>
      <c r="B82" t="e">
        <f>AND('Planilla_General_29-11-2012_10_'!N1220,"AAAAAH///wE=")</f>
        <v>#VALUE!</v>
      </c>
      <c r="C82" t="e">
        <f>AND('Planilla_General_29-11-2012_10_'!O1220,"AAAAAH///wI=")</f>
        <v>#VALUE!</v>
      </c>
      <c r="D82" t="e">
        <f>AND('Planilla_General_29-11-2012_10_'!P1220,"AAAAAH///wM=")</f>
        <v>#VALUE!</v>
      </c>
      <c r="E82" t="e">
        <f>IF('Planilla_General_29-11-2012_10_'!1221:1221,"AAAAAH///wQ=",0)</f>
        <v>#VALUE!</v>
      </c>
      <c r="F82" t="e">
        <f>AND('Planilla_General_29-11-2012_10_'!A1221,"AAAAAH///wU=")</f>
        <v>#VALUE!</v>
      </c>
      <c r="G82" t="e">
        <f>AND('Planilla_General_29-11-2012_10_'!B1221,"AAAAAH///wY=")</f>
        <v>#VALUE!</v>
      </c>
      <c r="H82" t="e">
        <f>AND('Planilla_General_29-11-2012_10_'!C1221,"AAAAAH///wc=")</f>
        <v>#VALUE!</v>
      </c>
      <c r="I82" t="e">
        <f>AND('Planilla_General_29-11-2012_10_'!D1221,"AAAAAH///wg=")</f>
        <v>#VALUE!</v>
      </c>
      <c r="J82" t="e">
        <f>AND('Planilla_General_29-11-2012_10_'!E1221,"AAAAAH///wk=")</f>
        <v>#VALUE!</v>
      </c>
      <c r="K82" t="e">
        <f>AND('Planilla_General_29-11-2012_10_'!F1221,"AAAAAH///wo=")</f>
        <v>#VALUE!</v>
      </c>
      <c r="L82" t="e">
        <f>AND('Planilla_General_29-11-2012_10_'!G1221,"AAAAAH///ws=")</f>
        <v>#VALUE!</v>
      </c>
      <c r="M82" t="e">
        <f>AND('Planilla_General_29-11-2012_10_'!H1221,"AAAAAH///ww=")</f>
        <v>#VALUE!</v>
      </c>
      <c r="N82" t="e">
        <f>AND('Planilla_General_29-11-2012_10_'!I1221,"AAAAAH///w0=")</f>
        <v>#VALUE!</v>
      </c>
      <c r="O82" t="e">
        <f>AND('Planilla_General_29-11-2012_10_'!J1221,"AAAAAH///w4=")</f>
        <v>#VALUE!</v>
      </c>
      <c r="P82" t="e">
        <f>AND('Planilla_General_29-11-2012_10_'!K1221,"AAAAAH///w8=")</f>
        <v>#VALUE!</v>
      </c>
      <c r="Q82" t="e">
        <f>AND('Planilla_General_29-11-2012_10_'!L1221,"AAAAAH///xA=")</f>
        <v>#VALUE!</v>
      </c>
      <c r="R82" t="e">
        <f>AND('Planilla_General_29-11-2012_10_'!M1221,"AAAAAH///xE=")</f>
        <v>#VALUE!</v>
      </c>
      <c r="S82" t="e">
        <f>AND('Planilla_General_29-11-2012_10_'!N1221,"AAAAAH///xI=")</f>
        <v>#VALUE!</v>
      </c>
      <c r="T82" t="e">
        <f>AND('Planilla_General_29-11-2012_10_'!O1221,"AAAAAH///xM=")</f>
        <v>#VALUE!</v>
      </c>
      <c r="U82" t="e">
        <f>AND('Planilla_General_29-11-2012_10_'!P1221,"AAAAAH///xQ=")</f>
        <v>#VALUE!</v>
      </c>
      <c r="V82">
        <f>IF('Planilla_General_29-11-2012_10_'!1222:1222,"AAAAAH///xU=",0)</f>
        <v>0</v>
      </c>
      <c r="W82" t="e">
        <f>AND('Planilla_General_29-11-2012_10_'!A1222,"AAAAAH///xY=")</f>
        <v>#VALUE!</v>
      </c>
      <c r="X82" t="e">
        <f>AND('Planilla_General_29-11-2012_10_'!B1222,"AAAAAH///xc=")</f>
        <v>#VALUE!</v>
      </c>
      <c r="Y82" t="e">
        <f>AND('Planilla_General_29-11-2012_10_'!C1222,"AAAAAH///xg=")</f>
        <v>#VALUE!</v>
      </c>
      <c r="Z82" t="e">
        <f>AND('Planilla_General_29-11-2012_10_'!D1222,"AAAAAH///xk=")</f>
        <v>#VALUE!</v>
      </c>
      <c r="AA82" t="e">
        <f>AND('Planilla_General_29-11-2012_10_'!E1222,"AAAAAH///xo=")</f>
        <v>#VALUE!</v>
      </c>
      <c r="AB82" t="e">
        <f>AND('Planilla_General_29-11-2012_10_'!F1222,"AAAAAH///xs=")</f>
        <v>#VALUE!</v>
      </c>
      <c r="AC82" t="e">
        <f>AND('Planilla_General_29-11-2012_10_'!G1222,"AAAAAH///xw=")</f>
        <v>#VALUE!</v>
      </c>
      <c r="AD82" t="e">
        <f>AND('Planilla_General_29-11-2012_10_'!H1222,"AAAAAH///x0=")</f>
        <v>#VALUE!</v>
      </c>
      <c r="AE82" t="e">
        <f>AND('Planilla_General_29-11-2012_10_'!I1222,"AAAAAH///x4=")</f>
        <v>#VALUE!</v>
      </c>
      <c r="AF82" t="e">
        <f>AND('Planilla_General_29-11-2012_10_'!J1222,"AAAAAH///x8=")</f>
        <v>#VALUE!</v>
      </c>
      <c r="AG82" t="e">
        <f>AND('Planilla_General_29-11-2012_10_'!K1222,"AAAAAH///yA=")</f>
        <v>#VALUE!</v>
      </c>
      <c r="AH82" t="e">
        <f>AND('Planilla_General_29-11-2012_10_'!L1222,"AAAAAH///yE=")</f>
        <v>#VALUE!</v>
      </c>
      <c r="AI82" t="e">
        <f>AND('Planilla_General_29-11-2012_10_'!M1222,"AAAAAH///yI=")</f>
        <v>#VALUE!</v>
      </c>
      <c r="AJ82" t="e">
        <f>AND('Planilla_General_29-11-2012_10_'!N1222,"AAAAAH///yM=")</f>
        <v>#VALUE!</v>
      </c>
      <c r="AK82" t="e">
        <f>AND('Planilla_General_29-11-2012_10_'!O1222,"AAAAAH///yQ=")</f>
        <v>#VALUE!</v>
      </c>
      <c r="AL82" t="e">
        <f>AND('Planilla_General_29-11-2012_10_'!P1222,"AAAAAH///yU=")</f>
        <v>#VALUE!</v>
      </c>
      <c r="AM82">
        <f>IF('Planilla_General_29-11-2012_10_'!1223:1223,"AAAAAH///yY=",0)</f>
        <v>0</v>
      </c>
      <c r="AN82" t="e">
        <f>AND('Planilla_General_29-11-2012_10_'!A1223,"AAAAAH///yc=")</f>
        <v>#VALUE!</v>
      </c>
      <c r="AO82" t="e">
        <f>AND('Planilla_General_29-11-2012_10_'!B1223,"AAAAAH///yg=")</f>
        <v>#VALUE!</v>
      </c>
      <c r="AP82" t="e">
        <f>AND('Planilla_General_29-11-2012_10_'!C1223,"AAAAAH///yk=")</f>
        <v>#VALUE!</v>
      </c>
      <c r="AQ82" t="e">
        <f>AND('Planilla_General_29-11-2012_10_'!D1223,"AAAAAH///yo=")</f>
        <v>#VALUE!</v>
      </c>
      <c r="AR82" t="e">
        <f>AND('Planilla_General_29-11-2012_10_'!E1223,"AAAAAH///ys=")</f>
        <v>#VALUE!</v>
      </c>
      <c r="AS82" t="e">
        <f>AND('Planilla_General_29-11-2012_10_'!F1223,"AAAAAH///yw=")</f>
        <v>#VALUE!</v>
      </c>
      <c r="AT82" t="e">
        <f>AND('Planilla_General_29-11-2012_10_'!G1223,"AAAAAH///y0=")</f>
        <v>#VALUE!</v>
      </c>
      <c r="AU82" t="e">
        <f>AND('Planilla_General_29-11-2012_10_'!H1223,"AAAAAH///y4=")</f>
        <v>#VALUE!</v>
      </c>
      <c r="AV82" t="e">
        <f>AND('Planilla_General_29-11-2012_10_'!I1223,"AAAAAH///y8=")</f>
        <v>#VALUE!</v>
      </c>
      <c r="AW82" t="e">
        <f>AND('Planilla_General_29-11-2012_10_'!J1223,"AAAAAH///zA=")</f>
        <v>#VALUE!</v>
      </c>
      <c r="AX82" t="e">
        <f>AND('Planilla_General_29-11-2012_10_'!K1223,"AAAAAH///zE=")</f>
        <v>#VALUE!</v>
      </c>
      <c r="AY82" t="e">
        <f>AND('Planilla_General_29-11-2012_10_'!L1223,"AAAAAH///zI=")</f>
        <v>#VALUE!</v>
      </c>
      <c r="AZ82" t="e">
        <f>AND('Planilla_General_29-11-2012_10_'!M1223,"AAAAAH///zM=")</f>
        <v>#VALUE!</v>
      </c>
      <c r="BA82" t="e">
        <f>AND('Planilla_General_29-11-2012_10_'!N1223,"AAAAAH///zQ=")</f>
        <v>#VALUE!</v>
      </c>
      <c r="BB82" t="e">
        <f>AND('Planilla_General_29-11-2012_10_'!O1223,"AAAAAH///zU=")</f>
        <v>#VALUE!</v>
      </c>
      <c r="BC82" t="e">
        <f>AND('Planilla_General_29-11-2012_10_'!P1223,"AAAAAH///zY=")</f>
        <v>#VALUE!</v>
      </c>
      <c r="BD82">
        <f>IF('Planilla_General_29-11-2012_10_'!1224:1224,"AAAAAH///zc=",0)</f>
        <v>0</v>
      </c>
      <c r="BE82" t="e">
        <f>AND('Planilla_General_29-11-2012_10_'!A1224,"AAAAAH///zg=")</f>
        <v>#VALUE!</v>
      </c>
      <c r="BF82" t="e">
        <f>AND('Planilla_General_29-11-2012_10_'!B1224,"AAAAAH///zk=")</f>
        <v>#VALUE!</v>
      </c>
      <c r="BG82" t="e">
        <f>AND('Planilla_General_29-11-2012_10_'!C1224,"AAAAAH///zo=")</f>
        <v>#VALUE!</v>
      </c>
      <c r="BH82" t="e">
        <f>AND('Planilla_General_29-11-2012_10_'!D1224,"AAAAAH///zs=")</f>
        <v>#VALUE!</v>
      </c>
      <c r="BI82" t="e">
        <f>AND('Planilla_General_29-11-2012_10_'!E1224,"AAAAAH///zw=")</f>
        <v>#VALUE!</v>
      </c>
      <c r="BJ82" t="e">
        <f>AND('Planilla_General_29-11-2012_10_'!F1224,"AAAAAH///z0=")</f>
        <v>#VALUE!</v>
      </c>
      <c r="BK82" t="e">
        <f>AND('Planilla_General_29-11-2012_10_'!G1224,"AAAAAH///z4=")</f>
        <v>#VALUE!</v>
      </c>
      <c r="BL82" t="e">
        <f>AND('Planilla_General_29-11-2012_10_'!H1224,"AAAAAH///z8=")</f>
        <v>#VALUE!</v>
      </c>
      <c r="BM82" t="e">
        <f>AND('Planilla_General_29-11-2012_10_'!I1224,"AAAAAH///0A=")</f>
        <v>#VALUE!</v>
      </c>
      <c r="BN82" t="e">
        <f>AND('Planilla_General_29-11-2012_10_'!J1224,"AAAAAH///0E=")</f>
        <v>#VALUE!</v>
      </c>
      <c r="BO82" t="e">
        <f>AND('Planilla_General_29-11-2012_10_'!K1224,"AAAAAH///0I=")</f>
        <v>#VALUE!</v>
      </c>
      <c r="BP82" t="e">
        <f>AND('Planilla_General_29-11-2012_10_'!L1224,"AAAAAH///0M=")</f>
        <v>#VALUE!</v>
      </c>
      <c r="BQ82" t="e">
        <f>AND('Planilla_General_29-11-2012_10_'!M1224,"AAAAAH///0Q=")</f>
        <v>#VALUE!</v>
      </c>
      <c r="BR82" t="e">
        <f>AND('Planilla_General_29-11-2012_10_'!N1224,"AAAAAH///0U=")</f>
        <v>#VALUE!</v>
      </c>
      <c r="BS82" t="e">
        <f>AND('Planilla_General_29-11-2012_10_'!O1224,"AAAAAH///0Y=")</f>
        <v>#VALUE!</v>
      </c>
      <c r="BT82" t="e">
        <f>AND('Planilla_General_29-11-2012_10_'!P1224,"AAAAAH///0c=")</f>
        <v>#VALUE!</v>
      </c>
      <c r="BU82">
        <f>IF('Planilla_General_29-11-2012_10_'!1225:1225,"AAAAAH///0g=",0)</f>
        <v>0</v>
      </c>
      <c r="BV82" t="e">
        <f>AND('Planilla_General_29-11-2012_10_'!A1225,"AAAAAH///0k=")</f>
        <v>#VALUE!</v>
      </c>
      <c r="BW82" t="e">
        <f>AND('Planilla_General_29-11-2012_10_'!B1225,"AAAAAH///0o=")</f>
        <v>#VALUE!</v>
      </c>
      <c r="BX82" t="e">
        <f>AND('Planilla_General_29-11-2012_10_'!C1225,"AAAAAH///0s=")</f>
        <v>#VALUE!</v>
      </c>
      <c r="BY82" t="e">
        <f>AND('Planilla_General_29-11-2012_10_'!D1225,"AAAAAH///0w=")</f>
        <v>#VALUE!</v>
      </c>
      <c r="BZ82" t="e">
        <f>AND('Planilla_General_29-11-2012_10_'!E1225,"AAAAAH///00=")</f>
        <v>#VALUE!</v>
      </c>
      <c r="CA82" t="e">
        <f>AND('Planilla_General_29-11-2012_10_'!F1225,"AAAAAH///04=")</f>
        <v>#VALUE!</v>
      </c>
      <c r="CB82" t="e">
        <f>AND('Planilla_General_29-11-2012_10_'!G1225,"AAAAAH///08=")</f>
        <v>#VALUE!</v>
      </c>
      <c r="CC82" t="e">
        <f>AND('Planilla_General_29-11-2012_10_'!H1225,"AAAAAH///1A=")</f>
        <v>#VALUE!</v>
      </c>
      <c r="CD82" t="e">
        <f>AND('Planilla_General_29-11-2012_10_'!I1225,"AAAAAH///1E=")</f>
        <v>#VALUE!</v>
      </c>
      <c r="CE82" t="e">
        <f>AND('Planilla_General_29-11-2012_10_'!J1225,"AAAAAH///1I=")</f>
        <v>#VALUE!</v>
      </c>
      <c r="CF82" t="e">
        <f>AND('Planilla_General_29-11-2012_10_'!K1225,"AAAAAH///1M=")</f>
        <v>#VALUE!</v>
      </c>
      <c r="CG82" t="e">
        <f>AND('Planilla_General_29-11-2012_10_'!L1225,"AAAAAH///1Q=")</f>
        <v>#VALUE!</v>
      </c>
      <c r="CH82" t="e">
        <f>AND('Planilla_General_29-11-2012_10_'!M1225,"AAAAAH///1U=")</f>
        <v>#VALUE!</v>
      </c>
      <c r="CI82" t="e">
        <f>AND('Planilla_General_29-11-2012_10_'!N1225,"AAAAAH///1Y=")</f>
        <v>#VALUE!</v>
      </c>
      <c r="CJ82" t="e">
        <f>AND('Planilla_General_29-11-2012_10_'!O1225,"AAAAAH///1c=")</f>
        <v>#VALUE!</v>
      </c>
      <c r="CK82" t="e">
        <f>AND('Planilla_General_29-11-2012_10_'!P1225,"AAAAAH///1g=")</f>
        <v>#VALUE!</v>
      </c>
      <c r="CL82">
        <f>IF('Planilla_General_29-11-2012_10_'!1226:1226,"AAAAAH///1k=",0)</f>
        <v>0</v>
      </c>
      <c r="CM82" t="e">
        <f>AND('Planilla_General_29-11-2012_10_'!A1226,"AAAAAH///1o=")</f>
        <v>#VALUE!</v>
      </c>
      <c r="CN82" t="e">
        <f>AND('Planilla_General_29-11-2012_10_'!B1226,"AAAAAH///1s=")</f>
        <v>#VALUE!</v>
      </c>
      <c r="CO82" t="e">
        <f>AND('Planilla_General_29-11-2012_10_'!C1226,"AAAAAH///1w=")</f>
        <v>#VALUE!</v>
      </c>
      <c r="CP82" t="e">
        <f>AND('Planilla_General_29-11-2012_10_'!D1226,"AAAAAH///10=")</f>
        <v>#VALUE!</v>
      </c>
      <c r="CQ82" t="e">
        <f>AND('Planilla_General_29-11-2012_10_'!E1226,"AAAAAH///14=")</f>
        <v>#VALUE!</v>
      </c>
      <c r="CR82" t="e">
        <f>AND('Planilla_General_29-11-2012_10_'!F1226,"AAAAAH///18=")</f>
        <v>#VALUE!</v>
      </c>
      <c r="CS82" t="e">
        <f>AND('Planilla_General_29-11-2012_10_'!G1226,"AAAAAH///2A=")</f>
        <v>#VALUE!</v>
      </c>
      <c r="CT82" t="e">
        <f>AND('Planilla_General_29-11-2012_10_'!H1226,"AAAAAH///2E=")</f>
        <v>#VALUE!</v>
      </c>
      <c r="CU82" t="e">
        <f>AND('Planilla_General_29-11-2012_10_'!I1226,"AAAAAH///2I=")</f>
        <v>#VALUE!</v>
      </c>
      <c r="CV82" t="e">
        <f>AND('Planilla_General_29-11-2012_10_'!J1226,"AAAAAH///2M=")</f>
        <v>#VALUE!</v>
      </c>
      <c r="CW82" t="e">
        <f>AND('Planilla_General_29-11-2012_10_'!K1226,"AAAAAH///2Q=")</f>
        <v>#VALUE!</v>
      </c>
      <c r="CX82" t="e">
        <f>AND('Planilla_General_29-11-2012_10_'!L1226,"AAAAAH///2U=")</f>
        <v>#VALUE!</v>
      </c>
      <c r="CY82" t="e">
        <f>AND('Planilla_General_29-11-2012_10_'!M1226,"AAAAAH///2Y=")</f>
        <v>#VALUE!</v>
      </c>
      <c r="CZ82" t="e">
        <f>AND('Planilla_General_29-11-2012_10_'!N1226,"AAAAAH///2c=")</f>
        <v>#VALUE!</v>
      </c>
      <c r="DA82" t="e">
        <f>AND('Planilla_General_29-11-2012_10_'!O1226,"AAAAAH///2g=")</f>
        <v>#VALUE!</v>
      </c>
      <c r="DB82" t="e">
        <f>AND('Planilla_General_29-11-2012_10_'!P1226,"AAAAAH///2k=")</f>
        <v>#VALUE!</v>
      </c>
      <c r="DC82">
        <f>IF('Planilla_General_29-11-2012_10_'!1227:1227,"AAAAAH///2o=",0)</f>
        <v>0</v>
      </c>
      <c r="DD82" t="e">
        <f>AND('Planilla_General_29-11-2012_10_'!A1227,"AAAAAH///2s=")</f>
        <v>#VALUE!</v>
      </c>
      <c r="DE82" t="e">
        <f>AND('Planilla_General_29-11-2012_10_'!B1227,"AAAAAH///2w=")</f>
        <v>#VALUE!</v>
      </c>
      <c r="DF82" t="e">
        <f>AND('Planilla_General_29-11-2012_10_'!C1227,"AAAAAH///20=")</f>
        <v>#VALUE!</v>
      </c>
      <c r="DG82" t="e">
        <f>AND('Planilla_General_29-11-2012_10_'!D1227,"AAAAAH///24=")</f>
        <v>#VALUE!</v>
      </c>
      <c r="DH82" t="e">
        <f>AND('Planilla_General_29-11-2012_10_'!E1227,"AAAAAH///28=")</f>
        <v>#VALUE!</v>
      </c>
      <c r="DI82" t="e">
        <f>AND('Planilla_General_29-11-2012_10_'!F1227,"AAAAAH///3A=")</f>
        <v>#VALUE!</v>
      </c>
      <c r="DJ82" t="e">
        <f>AND('Planilla_General_29-11-2012_10_'!G1227,"AAAAAH///3E=")</f>
        <v>#VALUE!</v>
      </c>
      <c r="DK82" t="e">
        <f>AND('Planilla_General_29-11-2012_10_'!H1227,"AAAAAH///3I=")</f>
        <v>#VALUE!</v>
      </c>
      <c r="DL82" t="e">
        <f>AND('Planilla_General_29-11-2012_10_'!I1227,"AAAAAH///3M=")</f>
        <v>#VALUE!</v>
      </c>
      <c r="DM82" t="e">
        <f>AND('Planilla_General_29-11-2012_10_'!J1227,"AAAAAH///3Q=")</f>
        <v>#VALUE!</v>
      </c>
      <c r="DN82" t="e">
        <f>AND('Planilla_General_29-11-2012_10_'!K1227,"AAAAAH///3U=")</f>
        <v>#VALUE!</v>
      </c>
      <c r="DO82" t="e">
        <f>AND('Planilla_General_29-11-2012_10_'!L1227,"AAAAAH///3Y=")</f>
        <v>#VALUE!</v>
      </c>
      <c r="DP82" t="e">
        <f>AND('Planilla_General_29-11-2012_10_'!M1227,"AAAAAH///3c=")</f>
        <v>#VALUE!</v>
      </c>
      <c r="DQ82" t="e">
        <f>AND('Planilla_General_29-11-2012_10_'!N1227,"AAAAAH///3g=")</f>
        <v>#VALUE!</v>
      </c>
      <c r="DR82" t="e">
        <f>AND('Planilla_General_29-11-2012_10_'!O1227,"AAAAAH///3k=")</f>
        <v>#VALUE!</v>
      </c>
      <c r="DS82" t="e">
        <f>AND('Planilla_General_29-11-2012_10_'!P1227,"AAAAAH///3o=")</f>
        <v>#VALUE!</v>
      </c>
      <c r="DT82">
        <f>IF('Planilla_General_29-11-2012_10_'!1228:1228,"AAAAAH///3s=",0)</f>
        <v>0</v>
      </c>
      <c r="DU82" t="e">
        <f>AND('Planilla_General_29-11-2012_10_'!A1228,"AAAAAH///3w=")</f>
        <v>#VALUE!</v>
      </c>
      <c r="DV82" t="e">
        <f>AND('Planilla_General_29-11-2012_10_'!B1228,"AAAAAH///30=")</f>
        <v>#VALUE!</v>
      </c>
      <c r="DW82" t="e">
        <f>AND('Planilla_General_29-11-2012_10_'!C1228,"AAAAAH///34=")</f>
        <v>#VALUE!</v>
      </c>
      <c r="DX82" t="e">
        <f>AND('Planilla_General_29-11-2012_10_'!D1228,"AAAAAH///38=")</f>
        <v>#VALUE!</v>
      </c>
      <c r="DY82" t="e">
        <f>AND('Planilla_General_29-11-2012_10_'!E1228,"AAAAAH///4A=")</f>
        <v>#VALUE!</v>
      </c>
      <c r="DZ82" t="e">
        <f>AND('Planilla_General_29-11-2012_10_'!F1228,"AAAAAH///4E=")</f>
        <v>#VALUE!</v>
      </c>
      <c r="EA82" t="e">
        <f>AND('Planilla_General_29-11-2012_10_'!G1228,"AAAAAH///4I=")</f>
        <v>#VALUE!</v>
      </c>
      <c r="EB82" t="e">
        <f>AND('Planilla_General_29-11-2012_10_'!H1228,"AAAAAH///4M=")</f>
        <v>#VALUE!</v>
      </c>
      <c r="EC82" t="e">
        <f>AND('Planilla_General_29-11-2012_10_'!I1228,"AAAAAH///4Q=")</f>
        <v>#VALUE!</v>
      </c>
      <c r="ED82" t="e">
        <f>AND('Planilla_General_29-11-2012_10_'!J1228,"AAAAAH///4U=")</f>
        <v>#VALUE!</v>
      </c>
      <c r="EE82" t="e">
        <f>AND('Planilla_General_29-11-2012_10_'!K1228,"AAAAAH///4Y=")</f>
        <v>#VALUE!</v>
      </c>
      <c r="EF82" t="e">
        <f>AND('Planilla_General_29-11-2012_10_'!L1228,"AAAAAH///4c=")</f>
        <v>#VALUE!</v>
      </c>
      <c r="EG82" t="e">
        <f>AND('Planilla_General_29-11-2012_10_'!M1228,"AAAAAH///4g=")</f>
        <v>#VALUE!</v>
      </c>
      <c r="EH82" t="e">
        <f>AND('Planilla_General_29-11-2012_10_'!N1228,"AAAAAH///4k=")</f>
        <v>#VALUE!</v>
      </c>
      <c r="EI82" t="e">
        <f>AND('Planilla_General_29-11-2012_10_'!O1228,"AAAAAH///4o=")</f>
        <v>#VALUE!</v>
      </c>
      <c r="EJ82" t="e">
        <f>AND('Planilla_General_29-11-2012_10_'!P1228,"AAAAAH///4s=")</f>
        <v>#VALUE!</v>
      </c>
      <c r="EK82">
        <f>IF('Planilla_General_29-11-2012_10_'!1229:1229,"AAAAAH///4w=",0)</f>
        <v>0</v>
      </c>
      <c r="EL82" t="e">
        <f>AND('Planilla_General_29-11-2012_10_'!A1229,"AAAAAH///40=")</f>
        <v>#VALUE!</v>
      </c>
      <c r="EM82" t="e">
        <f>AND('Planilla_General_29-11-2012_10_'!B1229,"AAAAAH///44=")</f>
        <v>#VALUE!</v>
      </c>
      <c r="EN82" t="e">
        <f>AND('Planilla_General_29-11-2012_10_'!C1229,"AAAAAH///48=")</f>
        <v>#VALUE!</v>
      </c>
      <c r="EO82" t="e">
        <f>AND('Planilla_General_29-11-2012_10_'!D1229,"AAAAAH///5A=")</f>
        <v>#VALUE!</v>
      </c>
      <c r="EP82" t="e">
        <f>AND('Planilla_General_29-11-2012_10_'!E1229,"AAAAAH///5E=")</f>
        <v>#VALUE!</v>
      </c>
      <c r="EQ82" t="e">
        <f>AND('Planilla_General_29-11-2012_10_'!F1229,"AAAAAH///5I=")</f>
        <v>#VALUE!</v>
      </c>
      <c r="ER82" t="e">
        <f>AND('Planilla_General_29-11-2012_10_'!G1229,"AAAAAH///5M=")</f>
        <v>#VALUE!</v>
      </c>
      <c r="ES82" t="e">
        <f>AND('Planilla_General_29-11-2012_10_'!H1229,"AAAAAH///5Q=")</f>
        <v>#VALUE!</v>
      </c>
      <c r="ET82" t="e">
        <f>AND('Planilla_General_29-11-2012_10_'!I1229,"AAAAAH///5U=")</f>
        <v>#VALUE!</v>
      </c>
      <c r="EU82" t="e">
        <f>AND('Planilla_General_29-11-2012_10_'!J1229,"AAAAAH///5Y=")</f>
        <v>#VALUE!</v>
      </c>
      <c r="EV82" t="e">
        <f>AND('Planilla_General_29-11-2012_10_'!K1229,"AAAAAH///5c=")</f>
        <v>#VALUE!</v>
      </c>
      <c r="EW82" t="e">
        <f>AND('Planilla_General_29-11-2012_10_'!L1229,"AAAAAH///5g=")</f>
        <v>#VALUE!</v>
      </c>
      <c r="EX82" t="e">
        <f>AND('Planilla_General_29-11-2012_10_'!M1229,"AAAAAH///5k=")</f>
        <v>#VALUE!</v>
      </c>
      <c r="EY82" t="e">
        <f>AND('Planilla_General_29-11-2012_10_'!N1229,"AAAAAH///5o=")</f>
        <v>#VALUE!</v>
      </c>
      <c r="EZ82" t="e">
        <f>AND('Planilla_General_29-11-2012_10_'!O1229,"AAAAAH///5s=")</f>
        <v>#VALUE!</v>
      </c>
      <c r="FA82" t="e">
        <f>AND('Planilla_General_29-11-2012_10_'!P1229,"AAAAAH///5w=")</f>
        <v>#VALUE!</v>
      </c>
      <c r="FB82">
        <f>IF('Planilla_General_29-11-2012_10_'!1230:1230,"AAAAAH///50=",0)</f>
        <v>0</v>
      </c>
      <c r="FC82" t="e">
        <f>AND('Planilla_General_29-11-2012_10_'!A1230,"AAAAAH///54=")</f>
        <v>#VALUE!</v>
      </c>
      <c r="FD82" t="e">
        <f>AND('Planilla_General_29-11-2012_10_'!B1230,"AAAAAH///58=")</f>
        <v>#VALUE!</v>
      </c>
      <c r="FE82" t="e">
        <f>AND('Planilla_General_29-11-2012_10_'!C1230,"AAAAAH///6A=")</f>
        <v>#VALUE!</v>
      </c>
      <c r="FF82" t="e">
        <f>AND('Planilla_General_29-11-2012_10_'!D1230,"AAAAAH///6E=")</f>
        <v>#VALUE!</v>
      </c>
      <c r="FG82" t="e">
        <f>AND('Planilla_General_29-11-2012_10_'!E1230,"AAAAAH///6I=")</f>
        <v>#VALUE!</v>
      </c>
      <c r="FH82" t="e">
        <f>AND('Planilla_General_29-11-2012_10_'!F1230,"AAAAAH///6M=")</f>
        <v>#VALUE!</v>
      </c>
      <c r="FI82" t="e">
        <f>AND('Planilla_General_29-11-2012_10_'!G1230,"AAAAAH///6Q=")</f>
        <v>#VALUE!</v>
      </c>
      <c r="FJ82" t="e">
        <f>AND('Planilla_General_29-11-2012_10_'!H1230,"AAAAAH///6U=")</f>
        <v>#VALUE!</v>
      </c>
      <c r="FK82" t="e">
        <f>AND('Planilla_General_29-11-2012_10_'!I1230,"AAAAAH///6Y=")</f>
        <v>#VALUE!</v>
      </c>
      <c r="FL82" t="e">
        <f>AND('Planilla_General_29-11-2012_10_'!J1230,"AAAAAH///6c=")</f>
        <v>#VALUE!</v>
      </c>
      <c r="FM82" t="e">
        <f>AND('Planilla_General_29-11-2012_10_'!K1230,"AAAAAH///6g=")</f>
        <v>#VALUE!</v>
      </c>
      <c r="FN82" t="e">
        <f>AND('Planilla_General_29-11-2012_10_'!L1230,"AAAAAH///6k=")</f>
        <v>#VALUE!</v>
      </c>
      <c r="FO82" t="e">
        <f>AND('Planilla_General_29-11-2012_10_'!M1230,"AAAAAH///6o=")</f>
        <v>#VALUE!</v>
      </c>
      <c r="FP82" t="e">
        <f>AND('Planilla_General_29-11-2012_10_'!N1230,"AAAAAH///6s=")</f>
        <v>#VALUE!</v>
      </c>
      <c r="FQ82" t="e">
        <f>AND('Planilla_General_29-11-2012_10_'!O1230,"AAAAAH///6w=")</f>
        <v>#VALUE!</v>
      </c>
      <c r="FR82" t="e">
        <f>AND('Planilla_General_29-11-2012_10_'!P1230,"AAAAAH///60=")</f>
        <v>#VALUE!</v>
      </c>
      <c r="FS82">
        <f>IF('Planilla_General_29-11-2012_10_'!1231:1231,"AAAAAH///64=",0)</f>
        <v>0</v>
      </c>
      <c r="FT82" t="e">
        <f>AND('Planilla_General_29-11-2012_10_'!A1231,"AAAAAH///68=")</f>
        <v>#VALUE!</v>
      </c>
      <c r="FU82" t="e">
        <f>AND('Planilla_General_29-11-2012_10_'!B1231,"AAAAAH///7A=")</f>
        <v>#VALUE!</v>
      </c>
      <c r="FV82" t="e">
        <f>AND('Planilla_General_29-11-2012_10_'!C1231,"AAAAAH///7E=")</f>
        <v>#VALUE!</v>
      </c>
      <c r="FW82" t="e">
        <f>AND('Planilla_General_29-11-2012_10_'!D1231,"AAAAAH///7I=")</f>
        <v>#VALUE!</v>
      </c>
      <c r="FX82" t="e">
        <f>AND('Planilla_General_29-11-2012_10_'!E1231,"AAAAAH///7M=")</f>
        <v>#VALUE!</v>
      </c>
      <c r="FY82" t="e">
        <f>AND('Planilla_General_29-11-2012_10_'!F1231,"AAAAAH///7Q=")</f>
        <v>#VALUE!</v>
      </c>
      <c r="FZ82" t="e">
        <f>AND('Planilla_General_29-11-2012_10_'!G1231,"AAAAAH///7U=")</f>
        <v>#VALUE!</v>
      </c>
      <c r="GA82" t="e">
        <f>AND('Planilla_General_29-11-2012_10_'!H1231,"AAAAAH///7Y=")</f>
        <v>#VALUE!</v>
      </c>
      <c r="GB82" t="e">
        <f>AND('Planilla_General_29-11-2012_10_'!I1231,"AAAAAH///7c=")</f>
        <v>#VALUE!</v>
      </c>
      <c r="GC82" t="e">
        <f>AND('Planilla_General_29-11-2012_10_'!J1231,"AAAAAH///7g=")</f>
        <v>#VALUE!</v>
      </c>
      <c r="GD82" t="e">
        <f>AND('Planilla_General_29-11-2012_10_'!K1231,"AAAAAH///7k=")</f>
        <v>#VALUE!</v>
      </c>
      <c r="GE82" t="e">
        <f>AND('Planilla_General_29-11-2012_10_'!L1231,"AAAAAH///7o=")</f>
        <v>#VALUE!</v>
      </c>
      <c r="GF82" t="e">
        <f>AND('Planilla_General_29-11-2012_10_'!M1231,"AAAAAH///7s=")</f>
        <v>#VALUE!</v>
      </c>
      <c r="GG82" t="e">
        <f>AND('Planilla_General_29-11-2012_10_'!N1231,"AAAAAH///7w=")</f>
        <v>#VALUE!</v>
      </c>
      <c r="GH82" t="e">
        <f>AND('Planilla_General_29-11-2012_10_'!O1231,"AAAAAH///70=")</f>
        <v>#VALUE!</v>
      </c>
      <c r="GI82" t="e">
        <f>AND('Planilla_General_29-11-2012_10_'!P1231,"AAAAAH///74=")</f>
        <v>#VALUE!</v>
      </c>
      <c r="GJ82">
        <f>IF('Planilla_General_29-11-2012_10_'!1232:1232,"AAAAAH///78=",0)</f>
        <v>0</v>
      </c>
      <c r="GK82" t="e">
        <f>AND('Planilla_General_29-11-2012_10_'!A1232,"AAAAAH///8A=")</f>
        <v>#VALUE!</v>
      </c>
      <c r="GL82" t="e">
        <f>AND('Planilla_General_29-11-2012_10_'!B1232,"AAAAAH///8E=")</f>
        <v>#VALUE!</v>
      </c>
      <c r="GM82" t="e">
        <f>AND('Planilla_General_29-11-2012_10_'!C1232,"AAAAAH///8I=")</f>
        <v>#VALUE!</v>
      </c>
      <c r="GN82" t="e">
        <f>AND('Planilla_General_29-11-2012_10_'!D1232,"AAAAAH///8M=")</f>
        <v>#VALUE!</v>
      </c>
      <c r="GO82" t="e">
        <f>AND('Planilla_General_29-11-2012_10_'!E1232,"AAAAAH///8Q=")</f>
        <v>#VALUE!</v>
      </c>
      <c r="GP82" t="e">
        <f>AND('Planilla_General_29-11-2012_10_'!F1232,"AAAAAH///8U=")</f>
        <v>#VALUE!</v>
      </c>
      <c r="GQ82" t="e">
        <f>AND('Planilla_General_29-11-2012_10_'!G1232,"AAAAAH///8Y=")</f>
        <v>#VALUE!</v>
      </c>
      <c r="GR82" t="e">
        <f>AND('Planilla_General_29-11-2012_10_'!H1232,"AAAAAH///8c=")</f>
        <v>#VALUE!</v>
      </c>
      <c r="GS82" t="e">
        <f>AND('Planilla_General_29-11-2012_10_'!I1232,"AAAAAH///8g=")</f>
        <v>#VALUE!</v>
      </c>
      <c r="GT82" t="e">
        <f>AND('Planilla_General_29-11-2012_10_'!J1232,"AAAAAH///8k=")</f>
        <v>#VALUE!</v>
      </c>
      <c r="GU82" t="e">
        <f>AND('Planilla_General_29-11-2012_10_'!K1232,"AAAAAH///8o=")</f>
        <v>#VALUE!</v>
      </c>
      <c r="GV82" t="e">
        <f>AND('Planilla_General_29-11-2012_10_'!L1232,"AAAAAH///8s=")</f>
        <v>#VALUE!</v>
      </c>
      <c r="GW82" t="e">
        <f>AND('Planilla_General_29-11-2012_10_'!M1232,"AAAAAH///8w=")</f>
        <v>#VALUE!</v>
      </c>
      <c r="GX82" t="e">
        <f>AND('Planilla_General_29-11-2012_10_'!N1232,"AAAAAH///80=")</f>
        <v>#VALUE!</v>
      </c>
      <c r="GY82" t="e">
        <f>AND('Planilla_General_29-11-2012_10_'!O1232,"AAAAAH///84=")</f>
        <v>#VALUE!</v>
      </c>
      <c r="GZ82" t="e">
        <f>AND('Planilla_General_29-11-2012_10_'!P1232,"AAAAAH///88=")</f>
        <v>#VALUE!</v>
      </c>
      <c r="HA82">
        <f>IF('Planilla_General_29-11-2012_10_'!1233:1233,"AAAAAH///9A=",0)</f>
        <v>0</v>
      </c>
      <c r="HB82" t="e">
        <f>AND('Planilla_General_29-11-2012_10_'!A1233,"AAAAAH///9E=")</f>
        <v>#VALUE!</v>
      </c>
      <c r="HC82" t="e">
        <f>AND('Planilla_General_29-11-2012_10_'!B1233,"AAAAAH///9I=")</f>
        <v>#VALUE!</v>
      </c>
      <c r="HD82" t="e">
        <f>AND('Planilla_General_29-11-2012_10_'!C1233,"AAAAAH///9M=")</f>
        <v>#VALUE!</v>
      </c>
      <c r="HE82" t="e">
        <f>AND('Planilla_General_29-11-2012_10_'!D1233,"AAAAAH///9Q=")</f>
        <v>#VALUE!</v>
      </c>
      <c r="HF82" t="e">
        <f>AND('Planilla_General_29-11-2012_10_'!E1233,"AAAAAH///9U=")</f>
        <v>#VALUE!</v>
      </c>
      <c r="HG82" t="e">
        <f>AND('Planilla_General_29-11-2012_10_'!F1233,"AAAAAH///9Y=")</f>
        <v>#VALUE!</v>
      </c>
      <c r="HH82" t="e">
        <f>AND('Planilla_General_29-11-2012_10_'!G1233,"AAAAAH///9c=")</f>
        <v>#VALUE!</v>
      </c>
      <c r="HI82" t="e">
        <f>AND('Planilla_General_29-11-2012_10_'!H1233,"AAAAAH///9g=")</f>
        <v>#VALUE!</v>
      </c>
      <c r="HJ82" t="e">
        <f>AND('Planilla_General_29-11-2012_10_'!I1233,"AAAAAH///9k=")</f>
        <v>#VALUE!</v>
      </c>
      <c r="HK82" t="e">
        <f>AND('Planilla_General_29-11-2012_10_'!J1233,"AAAAAH///9o=")</f>
        <v>#VALUE!</v>
      </c>
      <c r="HL82" t="e">
        <f>AND('Planilla_General_29-11-2012_10_'!K1233,"AAAAAH///9s=")</f>
        <v>#VALUE!</v>
      </c>
      <c r="HM82" t="e">
        <f>AND('Planilla_General_29-11-2012_10_'!L1233,"AAAAAH///9w=")</f>
        <v>#VALUE!</v>
      </c>
      <c r="HN82" t="e">
        <f>AND('Planilla_General_29-11-2012_10_'!M1233,"AAAAAH///90=")</f>
        <v>#VALUE!</v>
      </c>
      <c r="HO82" t="e">
        <f>AND('Planilla_General_29-11-2012_10_'!N1233,"AAAAAH///94=")</f>
        <v>#VALUE!</v>
      </c>
      <c r="HP82" t="e">
        <f>AND('Planilla_General_29-11-2012_10_'!O1233,"AAAAAH///98=")</f>
        <v>#VALUE!</v>
      </c>
      <c r="HQ82" t="e">
        <f>AND('Planilla_General_29-11-2012_10_'!P1233,"AAAAAH///+A=")</f>
        <v>#VALUE!</v>
      </c>
      <c r="HR82">
        <f>IF('Planilla_General_29-11-2012_10_'!1234:1234,"AAAAAH///+E=",0)</f>
        <v>0</v>
      </c>
      <c r="HS82" t="e">
        <f>AND('Planilla_General_29-11-2012_10_'!A1234,"AAAAAH///+I=")</f>
        <v>#VALUE!</v>
      </c>
      <c r="HT82" t="e">
        <f>AND('Planilla_General_29-11-2012_10_'!B1234,"AAAAAH///+M=")</f>
        <v>#VALUE!</v>
      </c>
      <c r="HU82" t="e">
        <f>AND('Planilla_General_29-11-2012_10_'!C1234,"AAAAAH///+Q=")</f>
        <v>#VALUE!</v>
      </c>
      <c r="HV82" t="e">
        <f>AND('Planilla_General_29-11-2012_10_'!D1234,"AAAAAH///+U=")</f>
        <v>#VALUE!</v>
      </c>
      <c r="HW82" t="e">
        <f>AND('Planilla_General_29-11-2012_10_'!E1234,"AAAAAH///+Y=")</f>
        <v>#VALUE!</v>
      </c>
      <c r="HX82" t="e">
        <f>AND('Planilla_General_29-11-2012_10_'!F1234,"AAAAAH///+c=")</f>
        <v>#VALUE!</v>
      </c>
      <c r="HY82" t="e">
        <f>AND('Planilla_General_29-11-2012_10_'!G1234,"AAAAAH///+g=")</f>
        <v>#VALUE!</v>
      </c>
      <c r="HZ82" t="e">
        <f>AND('Planilla_General_29-11-2012_10_'!H1234,"AAAAAH///+k=")</f>
        <v>#VALUE!</v>
      </c>
      <c r="IA82" t="e">
        <f>AND('Planilla_General_29-11-2012_10_'!I1234,"AAAAAH///+o=")</f>
        <v>#VALUE!</v>
      </c>
      <c r="IB82" t="e">
        <f>AND('Planilla_General_29-11-2012_10_'!J1234,"AAAAAH///+s=")</f>
        <v>#VALUE!</v>
      </c>
      <c r="IC82" t="e">
        <f>AND('Planilla_General_29-11-2012_10_'!K1234,"AAAAAH///+w=")</f>
        <v>#VALUE!</v>
      </c>
      <c r="ID82" t="e">
        <f>AND('Planilla_General_29-11-2012_10_'!L1234,"AAAAAH///+0=")</f>
        <v>#VALUE!</v>
      </c>
      <c r="IE82" t="e">
        <f>AND('Planilla_General_29-11-2012_10_'!M1234,"AAAAAH///+4=")</f>
        <v>#VALUE!</v>
      </c>
      <c r="IF82" t="e">
        <f>AND('Planilla_General_29-11-2012_10_'!N1234,"AAAAAH///+8=")</f>
        <v>#VALUE!</v>
      </c>
      <c r="IG82" t="e">
        <f>AND('Planilla_General_29-11-2012_10_'!O1234,"AAAAAH////A=")</f>
        <v>#VALUE!</v>
      </c>
      <c r="IH82" t="e">
        <f>AND('Planilla_General_29-11-2012_10_'!P1234,"AAAAAH////E=")</f>
        <v>#VALUE!</v>
      </c>
      <c r="II82">
        <f>IF('Planilla_General_29-11-2012_10_'!1235:1235,"AAAAAH////I=",0)</f>
        <v>0</v>
      </c>
      <c r="IJ82" t="e">
        <f>AND('Planilla_General_29-11-2012_10_'!A1235,"AAAAAH////M=")</f>
        <v>#VALUE!</v>
      </c>
      <c r="IK82" t="e">
        <f>AND('Planilla_General_29-11-2012_10_'!B1235,"AAAAAH////Q=")</f>
        <v>#VALUE!</v>
      </c>
      <c r="IL82" t="e">
        <f>AND('Planilla_General_29-11-2012_10_'!C1235,"AAAAAH////U=")</f>
        <v>#VALUE!</v>
      </c>
      <c r="IM82" t="e">
        <f>AND('Planilla_General_29-11-2012_10_'!D1235,"AAAAAH////Y=")</f>
        <v>#VALUE!</v>
      </c>
      <c r="IN82" t="e">
        <f>AND('Planilla_General_29-11-2012_10_'!E1235,"AAAAAH////c=")</f>
        <v>#VALUE!</v>
      </c>
      <c r="IO82" t="e">
        <f>AND('Planilla_General_29-11-2012_10_'!F1235,"AAAAAH////g=")</f>
        <v>#VALUE!</v>
      </c>
      <c r="IP82" t="e">
        <f>AND('Planilla_General_29-11-2012_10_'!G1235,"AAAAAH////k=")</f>
        <v>#VALUE!</v>
      </c>
      <c r="IQ82" t="e">
        <f>AND('Planilla_General_29-11-2012_10_'!H1235,"AAAAAH////o=")</f>
        <v>#VALUE!</v>
      </c>
      <c r="IR82" t="e">
        <f>AND('Planilla_General_29-11-2012_10_'!I1235,"AAAAAH////s=")</f>
        <v>#VALUE!</v>
      </c>
      <c r="IS82" t="e">
        <f>AND('Planilla_General_29-11-2012_10_'!J1235,"AAAAAH////w=")</f>
        <v>#VALUE!</v>
      </c>
      <c r="IT82" t="e">
        <f>AND('Planilla_General_29-11-2012_10_'!K1235,"AAAAAH////0=")</f>
        <v>#VALUE!</v>
      </c>
      <c r="IU82" t="e">
        <f>AND('Planilla_General_29-11-2012_10_'!L1235,"AAAAAH////4=")</f>
        <v>#VALUE!</v>
      </c>
      <c r="IV82" t="e">
        <f>AND('Planilla_General_29-11-2012_10_'!M1235,"AAAAAH////8=")</f>
        <v>#VALUE!</v>
      </c>
    </row>
    <row r="83" spans="1:256" x14ac:dyDescent="0.25">
      <c r="A83" t="e">
        <f>AND('Planilla_General_29-11-2012_10_'!N1235,"AAAAAH+z3wA=")</f>
        <v>#VALUE!</v>
      </c>
      <c r="B83" t="e">
        <f>AND('Planilla_General_29-11-2012_10_'!O1235,"AAAAAH+z3wE=")</f>
        <v>#VALUE!</v>
      </c>
      <c r="C83" t="e">
        <f>AND('Planilla_General_29-11-2012_10_'!P1235,"AAAAAH+z3wI=")</f>
        <v>#VALUE!</v>
      </c>
      <c r="D83" t="e">
        <f>IF('Planilla_General_29-11-2012_10_'!1236:1236,"AAAAAH+z3wM=",0)</f>
        <v>#VALUE!</v>
      </c>
      <c r="E83" t="e">
        <f>AND('Planilla_General_29-11-2012_10_'!A1236,"AAAAAH+z3wQ=")</f>
        <v>#VALUE!</v>
      </c>
      <c r="F83" t="e">
        <f>AND('Planilla_General_29-11-2012_10_'!B1236,"AAAAAH+z3wU=")</f>
        <v>#VALUE!</v>
      </c>
      <c r="G83" t="e">
        <f>AND('Planilla_General_29-11-2012_10_'!C1236,"AAAAAH+z3wY=")</f>
        <v>#VALUE!</v>
      </c>
      <c r="H83" t="e">
        <f>AND('Planilla_General_29-11-2012_10_'!D1236,"AAAAAH+z3wc=")</f>
        <v>#VALUE!</v>
      </c>
      <c r="I83" t="e">
        <f>AND('Planilla_General_29-11-2012_10_'!E1236,"AAAAAH+z3wg=")</f>
        <v>#VALUE!</v>
      </c>
      <c r="J83" t="e">
        <f>AND('Planilla_General_29-11-2012_10_'!F1236,"AAAAAH+z3wk=")</f>
        <v>#VALUE!</v>
      </c>
      <c r="K83" t="e">
        <f>AND('Planilla_General_29-11-2012_10_'!G1236,"AAAAAH+z3wo=")</f>
        <v>#VALUE!</v>
      </c>
      <c r="L83" t="e">
        <f>AND('Planilla_General_29-11-2012_10_'!H1236,"AAAAAH+z3ws=")</f>
        <v>#VALUE!</v>
      </c>
      <c r="M83" t="e">
        <f>AND('Planilla_General_29-11-2012_10_'!I1236,"AAAAAH+z3ww=")</f>
        <v>#VALUE!</v>
      </c>
      <c r="N83" t="e">
        <f>AND('Planilla_General_29-11-2012_10_'!J1236,"AAAAAH+z3w0=")</f>
        <v>#VALUE!</v>
      </c>
      <c r="O83" t="e">
        <f>AND('Planilla_General_29-11-2012_10_'!K1236,"AAAAAH+z3w4=")</f>
        <v>#VALUE!</v>
      </c>
      <c r="P83" t="e">
        <f>AND('Planilla_General_29-11-2012_10_'!L1236,"AAAAAH+z3w8=")</f>
        <v>#VALUE!</v>
      </c>
      <c r="Q83" t="e">
        <f>AND('Planilla_General_29-11-2012_10_'!M1236,"AAAAAH+z3xA=")</f>
        <v>#VALUE!</v>
      </c>
      <c r="R83" t="e">
        <f>AND('Planilla_General_29-11-2012_10_'!N1236,"AAAAAH+z3xE=")</f>
        <v>#VALUE!</v>
      </c>
      <c r="S83" t="e">
        <f>AND('Planilla_General_29-11-2012_10_'!O1236,"AAAAAH+z3xI=")</f>
        <v>#VALUE!</v>
      </c>
      <c r="T83" t="e">
        <f>AND('Planilla_General_29-11-2012_10_'!P1236,"AAAAAH+z3xM=")</f>
        <v>#VALUE!</v>
      </c>
      <c r="U83">
        <f>IF('Planilla_General_29-11-2012_10_'!1237:1237,"AAAAAH+z3xQ=",0)</f>
        <v>0</v>
      </c>
      <c r="V83" t="e">
        <f>AND('Planilla_General_29-11-2012_10_'!A1237,"AAAAAH+z3xU=")</f>
        <v>#VALUE!</v>
      </c>
      <c r="W83" t="e">
        <f>AND('Planilla_General_29-11-2012_10_'!B1237,"AAAAAH+z3xY=")</f>
        <v>#VALUE!</v>
      </c>
      <c r="X83" t="e">
        <f>AND('Planilla_General_29-11-2012_10_'!C1237,"AAAAAH+z3xc=")</f>
        <v>#VALUE!</v>
      </c>
      <c r="Y83" t="e">
        <f>AND('Planilla_General_29-11-2012_10_'!D1237,"AAAAAH+z3xg=")</f>
        <v>#VALUE!</v>
      </c>
      <c r="Z83" t="e">
        <f>AND('Planilla_General_29-11-2012_10_'!E1237,"AAAAAH+z3xk=")</f>
        <v>#VALUE!</v>
      </c>
      <c r="AA83" t="e">
        <f>AND('Planilla_General_29-11-2012_10_'!F1237,"AAAAAH+z3xo=")</f>
        <v>#VALUE!</v>
      </c>
      <c r="AB83" t="e">
        <f>AND('Planilla_General_29-11-2012_10_'!G1237,"AAAAAH+z3xs=")</f>
        <v>#VALUE!</v>
      </c>
      <c r="AC83" t="e">
        <f>AND('Planilla_General_29-11-2012_10_'!H1237,"AAAAAH+z3xw=")</f>
        <v>#VALUE!</v>
      </c>
      <c r="AD83" t="e">
        <f>AND('Planilla_General_29-11-2012_10_'!I1237,"AAAAAH+z3x0=")</f>
        <v>#VALUE!</v>
      </c>
      <c r="AE83" t="e">
        <f>AND('Planilla_General_29-11-2012_10_'!J1237,"AAAAAH+z3x4=")</f>
        <v>#VALUE!</v>
      </c>
      <c r="AF83" t="e">
        <f>AND('Planilla_General_29-11-2012_10_'!K1237,"AAAAAH+z3x8=")</f>
        <v>#VALUE!</v>
      </c>
      <c r="AG83" t="e">
        <f>AND('Planilla_General_29-11-2012_10_'!L1237,"AAAAAH+z3yA=")</f>
        <v>#VALUE!</v>
      </c>
      <c r="AH83" t="e">
        <f>AND('Planilla_General_29-11-2012_10_'!M1237,"AAAAAH+z3yE=")</f>
        <v>#VALUE!</v>
      </c>
      <c r="AI83" t="e">
        <f>AND('Planilla_General_29-11-2012_10_'!N1237,"AAAAAH+z3yI=")</f>
        <v>#VALUE!</v>
      </c>
      <c r="AJ83" t="e">
        <f>AND('Planilla_General_29-11-2012_10_'!O1237,"AAAAAH+z3yM=")</f>
        <v>#VALUE!</v>
      </c>
      <c r="AK83" t="e">
        <f>AND('Planilla_General_29-11-2012_10_'!P1237,"AAAAAH+z3yQ=")</f>
        <v>#VALUE!</v>
      </c>
      <c r="AL83">
        <f>IF('Planilla_General_29-11-2012_10_'!1238:1238,"AAAAAH+z3yU=",0)</f>
        <v>0</v>
      </c>
      <c r="AM83" t="e">
        <f>AND('Planilla_General_29-11-2012_10_'!A1238,"AAAAAH+z3yY=")</f>
        <v>#VALUE!</v>
      </c>
      <c r="AN83" t="e">
        <f>AND('Planilla_General_29-11-2012_10_'!B1238,"AAAAAH+z3yc=")</f>
        <v>#VALUE!</v>
      </c>
      <c r="AO83" t="e">
        <f>AND('Planilla_General_29-11-2012_10_'!C1238,"AAAAAH+z3yg=")</f>
        <v>#VALUE!</v>
      </c>
      <c r="AP83" t="e">
        <f>AND('Planilla_General_29-11-2012_10_'!D1238,"AAAAAH+z3yk=")</f>
        <v>#VALUE!</v>
      </c>
      <c r="AQ83" t="e">
        <f>AND('Planilla_General_29-11-2012_10_'!E1238,"AAAAAH+z3yo=")</f>
        <v>#VALUE!</v>
      </c>
      <c r="AR83" t="e">
        <f>AND('Planilla_General_29-11-2012_10_'!F1238,"AAAAAH+z3ys=")</f>
        <v>#VALUE!</v>
      </c>
      <c r="AS83" t="e">
        <f>AND('Planilla_General_29-11-2012_10_'!G1238,"AAAAAH+z3yw=")</f>
        <v>#VALUE!</v>
      </c>
      <c r="AT83" t="e">
        <f>AND('Planilla_General_29-11-2012_10_'!H1238,"AAAAAH+z3y0=")</f>
        <v>#VALUE!</v>
      </c>
      <c r="AU83" t="e">
        <f>AND('Planilla_General_29-11-2012_10_'!I1238,"AAAAAH+z3y4=")</f>
        <v>#VALUE!</v>
      </c>
      <c r="AV83" t="e">
        <f>AND('Planilla_General_29-11-2012_10_'!J1238,"AAAAAH+z3y8=")</f>
        <v>#VALUE!</v>
      </c>
      <c r="AW83" t="e">
        <f>AND('Planilla_General_29-11-2012_10_'!K1238,"AAAAAH+z3zA=")</f>
        <v>#VALUE!</v>
      </c>
      <c r="AX83" t="e">
        <f>AND('Planilla_General_29-11-2012_10_'!L1238,"AAAAAH+z3zE=")</f>
        <v>#VALUE!</v>
      </c>
      <c r="AY83" t="e">
        <f>AND('Planilla_General_29-11-2012_10_'!M1238,"AAAAAH+z3zI=")</f>
        <v>#VALUE!</v>
      </c>
      <c r="AZ83" t="e">
        <f>AND('Planilla_General_29-11-2012_10_'!N1238,"AAAAAH+z3zM=")</f>
        <v>#VALUE!</v>
      </c>
      <c r="BA83" t="e">
        <f>AND('Planilla_General_29-11-2012_10_'!O1238,"AAAAAH+z3zQ=")</f>
        <v>#VALUE!</v>
      </c>
      <c r="BB83" t="e">
        <f>AND('Planilla_General_29-11-2012_10_'!P1238,"AAAAAH+z3zU=")</f>
        <v>#VALUE!</v>
      </c>
      <c r="BC83">
        <f>IF('Planilla_General_29-11-2012_10_'!1239:1239,"AAAAAH+z3zY=",0)</f>
        <v>0</v>
      </c>
      <c r="BD83" t="e">
        <f>AND('Planilla_General_29-11-2012_10_'!A1239,"AAAAAH+z3zc=")</f>
        <v>#VALUE!</v>
      </c>
      <c r="BE83" t="e">
        <f>AND('Planilla_General_29-11-2012_10_'!B1239,"AAAAAH+z3zg=")</f>
        <v>#VALUE!</v>
      </c>
      <c r="BF83" t="e">
        <f>AND('Planilla_General_29-11-2012_10_'!C1239,"AAAAAH+z3zk=")</f>
        <v>#VALUE!</v>
      </c>
      <c r="BG83" t="e">
        <f>AND('Planilla_General_29-11-2012_10_'!D1239,"AAAAAH+z3zo=")</f>
        <v>#VALUE!</v>
      </c>
      <c r="BH83" t="e">
        <f>AND('Planilla_General_29-11-2012_10_'!E1239,"AAAAAH+z3zs=")</f>
        <v>#VALUE!</v>
      </c>
      <c r="BI83" t="e">
        <f>AND('Planilla_General_29-11-2012_10_'!F1239,"AAAAAH+z3zw=")</f>
        <v>#VALUE!</v>
      </c>
      <c r="BJ83" t="e">
        <f>AND('Planilla_General_29-11-2012_10_'!G1239,"AAAAAH+z3z0=")</f>
        <v>#VALUE!</v>
      </c>
      <c r="BK83" t="e">
        <f>AND('Planilla_General_29-11-2012_10_'!H1239,"AAAAAH+z3z4=")</f>
        <v>#VALUE!</v>
      </c>
      <c r="BL83" t="e">
        <f>AND('Planilla_General_29-11-2012_10_'!I1239,"AAAAAH+z3z8=")</f>
        <v>#VALUE!</v>
      </c>
      <c r="BM83" t="e">
        <f>AND('Planilla_General_29-11-2012_10_'!J1239,"AAAAAH+z30A=")</f>
        <v>#VALUE!</v>
      </c>
      <c r="BN83" t="e">
        <f>AND('Planilla_General_29-11-2012_10_'!K1239,"AAAAAH+z30E=")</f>
        <v>#VALUE!</v>
      </c>
      <c r="BO83" t="e">
        <f>AND('Planilla_General_29-11-2012_10_'!L1239,"AAAAAH+z30I=")</f>
        <v>#VALUE!</v>
      </c>
      <c r="BP83" t="e">
        <f>AND('Planilla_General_29-11-2012_10_'!M1239,"AAAAAH+z30M=")</f>
        <v>#VALUE!</v>
      </c>
      <c r="BQ83" t="e">
        <f>AND('Planilla_General_29-11-2012_10_'!N1239,"AAAAAH+z30Q=")</f>
        <v>#VALUE!</v>
      </c>
      <c r="BR83" t="e">
        <f>AND('Planilla_General_29-11-2012_10_'!O1239,"AAAAAH+z30U=")</f>
        <v>#VALUE!</v>
      </c>
      <c r="BS83" t="e">
        <f>AND('Planilla_General_29-11-2012_10_'!P1239,"AAAAAH+z30Y=")</f>
        <v>#VALUE!</v>
      </c>
      <c r="BT83">
        <f>IF('Planilla_General_29-11-2012_10_'!1240:1240,"AAAAAH+z30c=",0)</f>
        <v>0</v>
      </c>
      <c r="BU83" t="e">
        <f>AND('Planilla_General_29-11-2012_10_'!A1240,"AAAAAH+z30g=")</f>
        <v>#VALUE!</v>
      </c>
      <c r="BV83" t="e">
        <f>AND('Planilla_General_29-11-2012_10_'!B1240,"AAAAAH+z30k=")</f>
        <v>#VALUE!</v>
      </c>
      <c r="BW83" t="e">
        <f>AND('Planilla_General_29-11-2012_10_'!C1240,"AAAAAH+z30o=")</f>
        <v>#VALUE!</v>
      </c>
      <c r="BX83" t="e">
        <f>AND('Planilla_General_29-11-2012_10_'!D1240,"AAAAAH+z30s=")</f>
        <v>#VALUE!</v>
      </c>
      <c r="BY83" t="e">
        <f>AND('Planilla_General_29-11-2012_10_'!E1240,"AAAAAH+z30w=")</f>
        <v>#VALUE!</v>
      </c>
      <c r="BZ83" t="e">
        <f>AND('Planilla_General_29-11-2012_10_'!F1240,"AAAAAH+z300=")</f>
        <v>#VALUE!</v>
      </c>
      <c r="CA83" t="e">
        <f>AND('Planilla_General_29-11-2012_10_'!G1240,"AAAAAH+z304=")</f>
        <v>#VALUE!</v>
      </c>
      <c r="CB83" t="e">
        <f>AND('Planilla_General_29-11-2012_10_'!H1240,"AAAAAH+z308=")</f>
        <v>#VALUE!</v>
      </c>
      <c r="CC83" t="e">
        <f>AND('Planilla_General_29-11-2012_10_'!I1240,"AAAAAH+z31A=")</f>
        <v>#VALUE!</v>
      </c>
      <c r="CD83" t="e">
        <f>AND('Planilla_General_29-11-2012_10_'!J1240,"AAAAAH+z31E=")</f>
        <v>#VALUE!</v>
      </c>
      <c r="CE83" t="e">
        <f>AND('Planilla_General_29-11-2012_10_'!K1240,"AAAAAH+z31I=")</f>
        <v>#VALUE!</v>
      </c>
      <c r="CF83" t="e">
        <f>AND('Planilla_General_29-11-2012_10_'!L1240,"AAAAAH+z31M=")</f>
        <v>#VALUE!</v>
      </c>
      <c r="CG83" t="e">
        <f>AND('Planilla_General_29-11-2012_10_'!M1240,"AAAAAH+z31Q=")</f>
        <v>#VALUE!</v>
      </c>
      <c r="CH83" t="e">
        <f>AND('Planilla_General_29-11-2012_10_'!N1240,"AAAAAH+z31U=")</f>
        <v>#VALUE!</v>
      </c>
      <c r="CI83" t="e">
        <f>AND('Planilla_General_29-11-2012_10_'!O1240,"AAAAAH+z31Y=")</f>
        <v>#VALUE!</v>
      </c>
      <c r="CJ83" t="e">
        <f>AND('Planilla_General_29-11-2012_10_'!P1240,"AAAAAH+z31c=")</f>
        <v>#VALUE!</v>
      </c>
      <c r="CK83">
        <f>IF('Planilla_General_29-11-2012_10_'!1241:1241,"AAAAAH+z31g=",0)</f>
        <v>0</v>
      </c>
      <c r="CL83" t="e">
        <f>AND('Planilla_General_29-11-2012_10_'!A1241,"AAAAAH+z31k=")</f>
        <v>#VALUE!</v>
      </c>
      <c r="CM83" t="e">
        <f>AND('Planilla_General_29-11-2012_10_'!B1241,"AAAAAH+z31o=")</f>
        <v>#VALUE!</v>
      </c>
      <c r="CN83" t="e">
        <f>AND('Planilla_General_29-11-2012_10_'!C1241,"AAAAAH+z31s=")</f>
        <v>#VALUE!</v>
      </c>
      <c r="CO83" t="e">
        <f>AND('Planilla_General_29-11-2012_10_'!D1241,"AAAAAH+z31w=")</f>
        <v>#VALUE!</v>
      </c>
      <c r="CP83" t="e">
        <f>AND('Planilla_General_29-11-2012_10_'!E1241,"AAAAAH+z310=")</f>
        <v>#VALUE!</v>
      </c>
      <c r="CQ83" t="e">
        <f>AND('Planilla_General_29-11-2012_10_'!F1241,"AAAAAH+z314=")</f>
        <v>#VALUE!</v>
      </c>
      <c r="CR83" t="e">
        <f>AND('Planilla_General_29-11-2012_10_'!G1241,"AAAAAH+z318=")</f>
        <v>#VALUE!</v>
      </c>
      <c r="CS83" t="e">
        <f>AND('Planilla_General_29-11-2012_10_'!H1241,"AAAAAH+z32A=")</f>
        <v>#VALUE!</v>
      </c>
      <c r="CT83" t="e">
        <f>AND('Planilla_General_29-11-2012_10_'!I1241,"AAAAAH+z32E=")</f>
        <v>#VALUE!</v>
      </c>
      <c r="CU83" t="e">
        <f>AND('Planilla_General_29-11-2012_10_'!J1241,"AAAAAH+z32I=")</f>
        <v>#VALUE!</v>
      </c>
      <c r="CV83" t="e">
        <f>AND('Planilla_General_29-11-2012_10_'!K1241,"AAAAAH+z32M=")</f>
        <v>#VALUE!</v>
      </c>
      <c r="CW83" t="e">
        <f>AND('Planilla_General_29-11-2012_10_'!L1241,"AAAAAH+z32Q=")</f>
        <v>#VALUE!</v>
      </c>
      <c r="CX83" t="e">
        <f>AND('Planilla_General_29-11-2012_10_'!M1241,"AAAAAH+z32U=")</f>
        <v>#VALUE!</v>
      </c>
      <c r="CY83" t="e">
        <f>AND('Planilla_General_29-11-2012_10_'!N1241,"AAAAAH+z32Y=")</f>
        <v>#VALUE!</v>
      </c>
      <c r="CZ83" t="e">
        <f>AND('Planilla_General_29-11-2012_10_'!O1241,"AAAAAH+z32c=")</f>
        <v>#VALUE!</v>
      </c>
      <c r="DA83" t="e">
        <f>AND('Planilla_General_29-11-2012_10_'!P1241,"AAAAAH+z32g=")</f>
        <v>#VALUE!</v>
      </c>
      <c r="DB83">
        <f>IF('Planilla_General_29-11-2012_10_'!1242:1242,"AAAAAH+z32k=",0)</f>
        <v>0</v>
      </c>
      <c r="DC83" t="e">
        <f>AND('Planilla_General_29-11-2012_10_'!A1242,"AAAAAH+z32o=")</f>
        <v>#VALUE!</v>
      </c>
      <c r="DD83" t="e">
        <f>AND('Planilla_General_29-11-2012_10_'!B1242,"AAAAAH+z32s=")</f>
        <v>#VALUE!</v>
      </c>
      <c r="DE83" t="e">
        <f>AND('Planilla_General_29-11-2012_10_'!C1242,"AAAAAH+z32w=")</f>
        <v>#VALUE!</v>
      </c>
      <c r="DF83" t="e">
        <f>AND('Planilla_General_29-11-2012_10_'!D1242,"AAAAAH+z320=")</f>
        <v>#VALUE!</v>
      </c>
      <c r="DG83" t="e">
        <f>AND('Planilla_General_29-11-2012_10_'!E1242,"AAAAAH+z324=")</f>
        <v>#VALUE!</v>
      </c>
      <c r="DH83" t="e">
        <f>AND('Planilla_General_29-11-2012_10_'!F1242,"AAAAAH+z328=")</f>
        <v>#VALUE!</v>
      </c>
      <c r="DI83" t="e">
        <f>AND('Planilla_General_29-11-2012_10_'!G1242,"AAAAAH+z33A=")</f>
        <v>#VALUE!</v>
      </c>
      <c r="DJ83" t="e">
        <f>AND('Planilla_General_29-11-2012_10_'!H1242,"AAAAAH+z33E=")</f>
        <v>#VALUE!</v>
      </c>
      <c r="DK83" t="e">
        <f>AND('Planilla_General_29-11-2012_10_'!I1242,"AAAAAH+z33I=")</f>
        <v>#VALUE!</v>
      </c>
      <c r="DL83" t="e">
        <f>AND('Planilla_General_29-11-2012_10_'!J1242,"AAAAAH+z33M=")</f>
        <v>#VALUE!</v>
      </c>
      <c r="DM83" t="e">
        <f>AND('Planilla_General_29-11-2012_10_'!K1242,"AAAAAH+z33Q=")</f>
        <v>#VALUE!</v>
      </c>
      <c r="DN83" t="e">
        <f>AND('Planilla_General_29-11-2012_10_'!L1242,"AAAAAH+z33U=")</f>
        <v>#VALUE!</v>
      </c>
      <c r="DO83" t="e">
        <f>AND('Planilla_General_29-11-2012_10_'!M1242,"AAAAAH+z33Y=")</f>
        <v>#VALUE!</v>
      </c>
      <c r="DP83" t="e">
        <f>AND('Planilla_General_29-11-2012_10_'!N1242,"AAAAAH+z33c=")</f>
        <v>#VALUE!</v>
      </c>
      <c r="DQ83" t="e">
        <f>AND('Planilla_General_29-11-2012_10_'!O1242,"AAAAAH+z33g=")</f>
        <v>#VALUE!</v>
      </c>
      <c r="DR83" t="e">
        <f>AND('Planilla_General_29-11-2012_10_'!P1242,"AAAAAH+z33k=")</f>
        <v>#VALUE!</v>
      </c>
      <c r="DS83">
        <f>IF('Planilla_General_29-11-2012_10_'!1243:1243,"AAAAAH+z33o=",0)</f>
        <v>0</v>
      </c>
      <c r="DT83" t="e">
        <f>AND('Planilla_General_29-11-2012_10_'!A1243,"AAAAAH+z33s=")</f>
        <v>#VALUE!</v>
      </c>
      <c r="DU83" t="e">
        <f>AND('Planilla_General_29-11-2012_10_'!B1243,"AAAAAH+z33w=")</f>
        <v>#VALUE!</v>
      </c>
      <c r="DV83" t="e">
        <f>AND('Planilla_General_29-11-2012_10_'!C1243,"AAAAAH+z330=")</f>
        <v>#VALUE!</v>
      </c>
      <c r="DW83" t="e">
        <f>AND('Planilla_General_29-11-2012_10_'!D1243,"AAAAAH+z334=")</f>
        <v>#VALUE!</v>
      </c>
      <c r="DX83" t="e">
        <f>AND('Planilla_General_29-11-2012_10_'!E1243,"AAAAAH+z338=")</f>
        <v>#VALUE!</v>
      </c>
      <c r="DY83" t="e">
        <f>AND('Planilla_General_29-11-2012_10_'!F1243,"AAAAAH+z34A=")</f>
        <v>#VALUE!</v>
      </c>
      <c r="DZ83" t="e">
        <f>AND('Planilla_General_29-11-2012_10_'!G1243,"AAAAAH+z34E=")</f>
        <v>#VALUE!</v>
      </c>
      <c r="EA83" t="e">
        <f>AND('Planilla_General_29-11-2012_10_'!H1243,"AAAAAH+z34I=")</f>
        <v>#VALUE!</v>
      </c>
      <c r="EB83" t="e">
        <f>AND('Planilla_General_29-11-2012_10_'!I1243,"AAAAAH+z34M=")</f>
        <v>#VALUE!</v>
      </c>
      <c r="EC83" t="e">
        <f>AND('Planilla_General_29-11-2012_10_'!J1243,"AAAAAH+z34Q=")</f>
        <v>#VALUE!</v>
      </c>
      <c r="ED83" t="e">
        <f>AND('Planilla_General_29-11-2012_10_'!K1243,"AAAAAH+z34U=")</f>
        <v>#VALUE!</v>
      </c>
      <c r="EE83" t="e">
        <f>AND('Planilla_General_29-11-2012_10_'!L1243,"AAAAAH+z34Y=")</f>
        <v>#VALUE!</v>
      </c>
      <c r="EF83" t="e">
        <f>AND('Planilla_General_29-11-2012_10_'!M1243,"AAAAAH+z34c=")</f>
        <v>#VALUE!</v>
      </c>
      <c r="EG83" t="e">
        <f>AND('Planilla_General_29-11-2012_10_'!N1243,"AAAAAH+z34g=")</f>
        <v>#VALUE!</v>
      </c>
      <c r="EH83" t="e">
        <f>AND('Planilla_General_29-11-2012_10_'!O1243,"AAAAAH+z34k=")</f>
        <v>#VALUE!</v>
      </c>
      <c r="EI83" t="e">
        <f>AND('Planilla_General_29-11-2012_10_'!P1243,"AAAAAH+z34o=")</f>
        <v>#VALUE!</v>
      </c>
      <c r="EJ83">
        <f>IF('Planilla_General_29-11-2012_10_'!1244:1244,"AAAAAH+z34s=",0)</f>
        <v>0</v>
      </c>
      <c r="EK83" t="e">
        <f>AND('Planilla_General_29-11-2012_10_'!A1244,"AAAAAH+z34w=")</f>
        <v>#VALUE!</v>
      </c>
      <c r="EL83" t="e">
        <f>AND('Planilla_General_29-11-2012_10_'!B1244,"AAAAAH+z340=")</f>
        <v>#VALUE!</v>
      </c>
      <c r="EM83" t="e">
        <f>AND('Planilla_General_29-11-2012_10_'!C1244,"AAAAAH+z344=")</f>
        <v>#VALUE!</v>
      </c>
      <c r="EN83" t="e">
        <f>AND('Planilla_General_29-11-2012_10_'!D1244,"AAAAAH+z348=")</f>
        <v>#VALUE!</v>
      </c>
      <c r="EO83" t="e">
        <f>AND('Planilla_General_29-11-2012_10_'!E1244,"AAAAAH+z35A=")</f>
        <v>#VALUE!</v>
      </c>
      <c r="EP83" t="e">
        <f>AND('Planilla_General_29-11-2012_10_'!F1244,"AAAAAH+z35E=")</f>
        <v>#VALUE!</v>
      </c>
      <c r="EQ83" t="e">
        <f>AND('Planilla_General_29-11-2012_10_'!G1244,"AAAAAH+z35I=")</f>
        <v>#VALUE!</v>
      </c>
      <c r="ER83" t="e">
        <f>AND('Planilla_General_29-11-2012_10_'!H1244,"AAAAAH+z35M=")</f>
        <v>#VALUE!</v>
      </c>
      <c r="ES83" t="e">
        <f>AND('Planilla_General_29-11-2012_10_'!I1244,"AAAAAH+z35Q=")</f>
        <v>#VALUE!</v>
      </c>
      <c r="ET83" t="e">
        <f>AND('Planilla_General_29-11-2012_10_'!J1244,"AAAAAH+z35U=")</f>
        <v>#VALUE!</v>
      </c>
      <c r="EU83" t="e">
        <f>AND('Planilla_General_29-11-2012_10_'!K1244,"AAAAAH+z35Y=")</f>
        <v>#VALUE!</v>
      </c>
      <c r="EV83" t="e">
        <f>AND('Planilla_General_29-11-2012_10_'!L1244,"AAAAAH+z35c=")</f>
        <v>#VALUE!</v>
      </c>
      <c r="EW83" t="e">
        <f>AND('Planilla_General_29-11-2012_10_'!M1244,"AAAAAH+z35g=")</f>
        <v>#VALUE!</v>
      </c>
      <c r="EX83" t="e">
        <f>AND('Planilla_General_29-11-2012_10_'!N1244,"AAAAAH+z35k=")</f>
        <v>#VALUE!</v>
      </c>
      <c r="EY83" t="e">
        <f>AND('Planilla_General_29-11-2012_10_'!O1244,"AAAAAH+z35o=")</f>
        <v>#VALUE!</v>
      </c>
      <c r="EZ83" t="e">
        <f>AND('Planilla_General_29-11-2012_10_'!P1244,"AAAAAH+z35s=")</f>
        <v>#VALUE!</v>
      </c>
      <c r="FA83">
        <f>IF('Planilla_General_29-11-2012_10_'!1245:1245,"AAAAAH+z35w=",0)</f>
        <v>0</v>
      </c>
      <c r="FB83" t="e">
        <f>AND('Planilla_General_29-11-2012_10_'!A1245,"AAAAAH+z350=")</f>
        <v>#VALUE!</v>
      </c>
      <c r="FC83" t="e">
        <f>AND('Planilla_General_29-11-2012_10_'!B1245,"AAAAAH+z354=")</f>
        <v>#VALUE!</v>
      </c>
      <c r="FD83" t="e">
        <f>AND('Planilla_General_29-11-2012_10_'!C1245,"AAAAAH+z358=")</f>
        <v>#VALUE!</v>
      </c>
      <c r="FE83" t="e">
        <f>AND('Planilla_General_29-11-2012_10_'!D1245,"AAAAAH+z36A=")</f>
        <v>#VALUE!</v>
      </c>
      <c r="FF83" t="e">
        <f>AND('Planilla_General_29-11-2012_10_'!E1245,"AAAAAH+z36E=")</f>
        <v>#VALUE!</v>
      </c>
      <c r="FG83" t="e">
        <f>AND('Planilla_General_29-11-2012_10_'!F1245,"AAAAAH+z36I=")</f>
        <v>#VALUE!</v>
      </c>
      <c r="FH83" t="e">
        <f>AND('Planilla_General_29-11-2012_10_'!G1245,"AAAAAH+z36M=")</f>
        <v>#VALUE!</v>
      </c>
      <c r="FI83" t="e">
        <f>AND('Planilla_General_29-11-2012_10_'!H1245,"AAAAAH+z36Q=")</f>
        <v>#VALUE!</v>
      </c>
      <c r="FJ83" t="e">
        <f>AND('Planilla_General_29-11-2012_10_'!I1245,"AAAAAH+z36U=")</f>
        <v>#VALUE!</v>
      </c>
      <c r="FK83" t="e">
        <f>AND('Planilla_General_29-11-2012_10_'!J1245,"AAAAAH+z36Y=")</f>
        <v>#VALUE!</v>
      </c>
      <c r="FL83" t="e">
        <f>AND('Planilla_General_29-11-2012_10_'!K1245,"AAAAAH+z36c=")</f>
        <v>#VALUE!</v>
      </c>
      <c r="FM83" t="e">
        <f>AND('Planilla_General_29-11-2012_10_'!L1245,"AAAAAH+z36g=")</f>
        <v>#VALUE!</v>
      </c>
      <c r="FN83" t="e">
        <f>AND('Planilla_General_29-11-2012_10_'!M1245,"AAAAAH+z36k=")</f>
        <v>#VALUE!</v>
      </c>
      <c r="FO83" t="e">
        <f>AND('Planilla_General_29-11-2012_10_'!N1245,"AAAAAH+z36o=")</f>
        <v>#VALUE!</v>
      </c>
      <c r="FP83" t="e">
        <f>AND('Planilla_General_29-11-2012_10_'!O1245,"AAAAAH+z36s=")</f>
        <v>#VALUE!</v>
      </c>
      <c r="FQ83" t="e">
        <f>AND('Planilla_General_29-11-2012_10_'!P1245,"AAAAAH+z36w=")</f>
        <v>#VALUE!</v>
      </c>
      <c r="FR83">
        <f>IF('Planilla_General_29-11-2012_10_'!1246:1246,"AAAAAH+z360=",0)</f>
        <v>0</v>
      </c>
      <c r="FS83" t="e">
        <f>AND('Planilla_General_29-11-2012_10_'!A1246,"AAAAAH+z364=")</f>
        <v>#VALUE!</v>
      </c>
      <c r="FT83" t="e">
        <f>AND('Planilla_General_29-11-2012_10_'!B1246,"AAAAAH+z368=")</f>
        <v>#VALUE!</v>
      </c>
      <c r="FU83" t="e">
        <f>AND('Planilla_General_29-11-2012_10_'!C1246,"AAAAAH+z37A=")</f>
        <v>#VALUE!</v>
      </c>
      <c r="FV83" t="e">
        <f>AND('Planilla_General_29-11-2012_10_'!D1246,"AAAAAH+z37E=")</f>
        <v>#VALUE!</v>
      </c>
      <c r="FW83" t="e">
        <f>AND('Planilla_General_29-11-2012_10_'!E1246,"AAAAAH+z37I=")</f>
        <v>#VALUE!</v>
      </c>
      <c r="FX83" t="e">
        <f>AND('Planilla_General_29-11-2012_10_'!F1246,"AAAAAH+z37M=")</f>
        <v>#VALUE!</v>
      </c>
      <c r="FY83" t="e">
        <f>AND('Planilla_General_29-11-2012_10_'!G1246,"AAAAAH+z37Q=")</f>
        <v>#VALUE!</v>
      </c>
      <c r="FZ83" t="e">
        <f>AND('Planilla_General_29-11-2012_10_'!H1246,"AAAAAH+z37U=")</f>
        <v>#VALUE!</v>
      </c>
      <c r="GA83" t="e">
        <f>AND('Planilla_General_29-11-2012_10_'!I1246,"AAAAAH+z37Y=")</f>
        <v>#VALUE!</v>
      </c>
      <c r="GB83" t="e">
        <f>AND('Planilla_General_29-11-2012_10_'!J1246,"AAAAAH+z37c=")</f>
        <v>#VALUE!</v>
      </c>
      <c r="GC83" t="e">
        <f>AND('Planilla_General_29-11-2012_10_'!K1246,"AAAAAH+z37g=")</f>
        <v>#VALUE!</v>
      </c>
      <c r="GD83" t="e">
        <f>AND('Planilla_General_29-11-2012_10_'!L1246,"AAAAAH+z37k=")</f>
        <v>#VALUE!</v>
      </c>
      <c r="GE83" t="e">
        <f>AND('Planilla_General_29-11-2012_10_'!M1246,"AAAAAH+z37o=")</f>
        <v>#VALUE!</v>
      </c>
      <c r="GF83" t="e">
        <f>AND('Planilla_General_29-11-2012_10_'!N1246,"AAAAAH+z37s=")</f>
        <v>#VALUE!</v>
      </c>
      <c r="GG83" t="e">
        <f>AND('Planilla_General_29-11-2012_10_'!O1246,"AAAAAH+z37w=")</f>
        <v>#VALUE!</v>
      </c>
      <c r="GH83" t="e">
        <f>AND('Planilla_General_29-11-2012_10_'!P1246,"AAAAAH+z370=")</f>
        <v>#VALUE!</v>
      </c>
      <c r="GI83">
        <f>IF('Planilla_General_29-11-2012_10_'!1247:1247,"AAAAAH+z374=",0)</f>
        <v>0</v>
      </c>
      <c r="GJ83" t="e">
        <f>AND('Planilla_General_29-11-2012_10_'!A1247,"AAAAAH+z378=")</f>
        <v>#VALUE!</v>
      </c>
      <c r="GK83" t="e">
        <f>AND('Planilla_General_29-11-2012_10_'!B1247,"AAAAAH+z38A=")</f>
        <v>#VALUE!</v>
      </c>
      <c r="GL83" t="e">
        <f>AND('Planilla_General_29-11-2012_10_'!C1247,"AAAAAH+z38E=")</f>
        <v>#VALUE!</v>
      </c>
      <c r="GM83" t="e">
        <f>AND('Planilla_General_29-11-2012_10_'!D1247,"AAAAAH+z38I=")</f>
        <v>#VALUE!</v>
      </c>
      <c r="GN83" t="e">
        <f>AND('Planilla_General_29-11-2012_10_'!E1247,"AAAAAH+z38M=")</f>
        <v>#VALUE!</v>
      </c>
      <c r="GO83" t="e">
        <f>AND('Planilla_General_29-11-2012_10_'!F1247,"AAAAAH+z38Q=")</f>
        <v>#VALUE!</v>
      </c>
      <c r="GP83" t="e">
        <f>AND('Planilla_General_29-11-2012_10_'!G1247,"AAAAAH+z38U=")</f>
        <v>#VALUE!</v>
      </c>
      <c r="GQ83" t="e">
        <f>AND('Planilla_General_29-11-2012_10_'!H1247,"AAAAAH+z38Y=")</f>
        <v>#VALUE!</v>
      </c>
      <c r="GR83" t="e">
        <f>AND('Planilla_General_29-11-2012_10_'!I1247,"AAAAAH+z38c=")</f>
        <v>#VALUE!</v>
      </c>
      <c r="GS83" t="e">
        <f>AND('Planilla_General_29-11-2012_10_'!J1247,"AAAAAH+z38g=")</f>
        <v>#VALUE!</v>
      </c>
      <c r="GT83" t="e">
        <f>AND('Planilla_General_29-11-2012_10_'!K1247,"AAAAAH+z38k=")</f>
        <v>#VALUE!</v>
      </c>
      <c r="GU83" t="e">
        <f>AND('Planilla_General_29-11-2012_10_'!L1247,"AAAAAH+z38o=")</f>
        <v>#VALUE!</v>
      </c>
      <c r="GV83" t="e">
        <f>AND('Planilla_General_29-11-2012_10_'!M1247,"AAAAAH+z38s=")</f>
        <v>#VALUE!</v>
      </c>
      <c r="GW83" t="e">
        <f>AND('Planilla_General_29-11-2012_10_'!N1247,"AAAAAH+z38w=")</f>
        <v>#VALUE!</v>
      </c>
      <c r="GX83" t="e">
        <f>AND('Planilla_General_29-11-2012_10_'!O1247,"AAAAAH+z380=")</f>
        <v>#VALUE!</v>
      </c>
      <c r="GY83" t="e">
        <f>AND('Planilla_General_29-11-2012_10_'!P1247,"AAAAAH+z384=")</f>
        <v>#VALUE!</v>
      </c>
      <c r="GZ83">
        <f>IF('Planilla_General_29-11-2012_10_'!1248:1248,"AAAAAH+z388=",0)</f>
        <v>0</v>
      </c>
      <c r="HA83" t="e">
        <f>AND('Planilla_General_29-11-2012_10_'!A1248,"AAAAAH+z39A=")</f>
        <v>#VALUE!</v>
      </c>
      <c r="HB83" t="e">
        <f>AND('Planilla_General_29-11-2012_10_'!B1248,"AAAAAH+z39E=")</f>
        <v>#VALUE!</v>
      </c>
      <c r="HC83" t="e">
        <f>AND('Planilla_General_29-11-2012_10_'!C1248,"AAAAAH+z39I=")</f>
        <v>#VALUE!</v>
      </c>
      <c r="HD83" t="e">
        <f>AND('Planilla_General_29-11-2012_10_'!D1248,"AAAAAH+z39M=")</f>
        <v>#VALUE!</v>
      </c>
      <c r="HE83" t="e">
        <f>AND('Planilla_General_29-11-2012_10_'!E1248,"AAAAAH+z39Q=")</f>
        <v>#VALUE!</v>
      </c>
      <c r="HF83" t="e">
        <f>AND('Planilla_General_29-11-2012_10_'!F1248,"AAAAAH+z39U=")</f>
        <v>#VALUE!</v>
      </c>
      <c r="HG83" t="e">
        <f>AND('Planilla_General_29-11-2012_10_'!G1248,"AAAAAH+z39Y=")</f>
        <v>#VALUE!</v>
      </c>
      <c r="HH83" t="e">
        <f>AND('Planilla_General_29-11-2012_10_'!H1248,"AAAAAH+z39c=")</f>
        <v>#VALUE!</v>
      </c>
      <c r="HI83" t="e">
        <f>AND('Planilla_General_29-11-2012_10_'!I1248,"AAAAAH+z39g=")</f>
        <v>#VALUE!</v>
      </c>
      <c r="HJ83" t="e">
        <f>AND('Planilla_General_29-11-2012_10_'!J1248,"AAAAAH+z39k=")</f>
        <v>#VALUE!</v>
      </c>
      <c r="HK83" t="e">
        <f>AND('Planilla_General_29-11-2012_10_'!K1248,"AAAAAH+z39o=")</f>
        <v>#VALUE!</v>
      </c>
      <c r="HL83" t="e">
        <f>AND('Planilla_General_29-11-2012_10_'!L1248,"AAAAAH+z39s=")</f>
        <v>#VALUE!</v>
      </c>
      <c r="HM83" t="e">
        <f>AND('Planilla_General_29-11-2012_10_'!M1248,"AAAAAH+z39w=")</f>
        <v>#VALUE!</v>
      </c>
      <c r="HN83" t="e">
        <f>AND('Planilla_General_29-11-2012_10_'!N1248,"AAAAAH+z390=")</f>
        <v>#VALUE!</v>
      </c>
      <c r="HO83" t="e">
        <f>AND('Planilla_General_29-11-2012_10_'!O1248,"AAAAAH+z394=")</f>
        <v>#VALUE!</v>
      </c>
      <c r="HP83" t="e">
        <f>AND('Planilla_General_29-11-2012_10_'!P1248,"AAAAAH+z398=")</f>
        <v>#VALUE!</v>
      </c>
      <c r="HQ83">
        <f>IF('Planilla_General_29-11-2012_10_'!1249:1249,"AAAAAH+z3+A=",0)</f>
        <v>0</v>
      </c>
      <c r="HR83" t="e">
        <f>AND('Planilla_General_29-11-2012_10_'!A1249,"AAAAAH+z3+E=")</f>
        <v>#VALUE!</v>
      </c>
      <c r="HS83" t="e">
        <f>AND('Planilla_General_29-11-2012_10_'!B1249,"AAAAAH+z3+I=")</f>
        <v>#VALUE!</v>
      </c>
      <c r="HT83" t="e">
        <f>AND('Planilla_General_29-11-2012_10_'!C1249,"AAAAAH+z3+M=")</f>
        <v>#VALUE!</v>
      </c>
      <c r="HU83" t="e">
        <f>AND('Planilla_General_29-11-2012_10_'!D1249,"AAAAAH+z3+Q=")</f>
        <v>#VALUE!</v>
      </c>
      <c r="HV83" t="e">
        <f>AND('Planilla_General_29-11-2012_10_'!E1249,"AAAAAH+z3+U=")</f>
        <v>#VALUE!</v>
      </c>
      <c r="HW83" t="e">
        <f>AND('Planilla_General_29-11-2012_10_'!F1249,"AAAAAH+z3+Y=")</f>
        <v>#VALUE!</v>
      </c>
      <c r="HX83" t="e">
        <f>AND('Planilla_General_29-11-2012_10_'!G1249,"AAAAAH+z3+c=")</f>
        <v>#VALUE!</v>
      </c>
      <c r="HY83" t="e">
        <f>AND('Planilla_General_29-11-2012_10_'!H1249,"AAAAAH+z3+g=")</f>
        <v>#VALUE!</v>
      </c>
      <c r="HZ83" t="e">
        <f>AND('Planilla_General_29-11-2012_10_'!I1249,"AAAAAH+z3+k=")</f>
        <v>#VALUE!</v>
      </c>
      <c r="IA83" t="e">
        <f>AND('Planilla_General_29-11-2012_10_'!J1249,"AAAAAH+z3+o=")</f>
        <v>#VALUE!</v>
      </c>
      <c r="IB83" t="e">
        <f>AND('Planilla_General_29-11-2012_10_'!K1249,"AAAAAH+z3+s=")</f>
        <v>#VALUE!</v>
      </c>
      <c r="IC83" t="e">
        <f>AND('Planilla_General_29-11-2012_10_'!L1249,"AAAAAH+z3+w=")</f>
        <v>#VALUE!</v>
      </c>
      <c r="ID83" t="e">
        <f>AND('Planilla_General_29-11-2012_10_'!M1249,"AAAAAH+z3+0=")</f>
        <v>#VALUE!</v>
      </c>
      <c r="IE83" t="e">
        <f>AND('Planilla_General_29-11-2012_10_'!N1249,"AAAAAH+z3+4=")</f>
        <v>#VALUE!</v>
      </c>
      <c r="IF83" t="e">
        <f>AND('Planilla_General_29-11-2012_10_'!O1249,"AAAAAH+z3+8=")</f>
        <v>#VALUE!</v>
      </c>
      <c r="IG83" t="e">
        <f>AND('Planilla_General_29-11-2012_10_'!P1249,"AAAAAH+z3/A=")</f>
        <v>#VALUE!</v>
      </c>
      <c r="IH83">
        <f>IF('Planilla_General_29-11-2012_10_'!1250:1250,"AAAAAH+z3/E=",0)</f>
        <v>0</v>
      </c>
      <c r="II83" t="e">
        <f>AND('Planilla_General_29-11-2012_10_'!A1250,"AAAAAH+z3/I=")</f>
        <v>#VALUE!</v>
      </c>
      <c r="IJ83" t="e">
        <f>AND('Planilla_General_29-11-2012_10_'!B1250,"AAAAAH+z3/M=")</f>
        <v>#VALUE!</v>
      </c>
      <c r="IK83" t="e">
        <f>AND('Planilla_General_29-11-2012_10_'!C1250,"AAAAAH+z3/Q=")</f>
        <v>#VALUE!</v>
      </c>
      <c r="IL83" t="e">
        <f>AND('Planilla_General_29-11-2012_10_'!D1250,"AAAAAH+z3/U=")</f>
        <v>#VALUE!</v>
      </c>
      <c r="IM83" t="e">
        <f>AND('Planilla_General_29-11-2012_10_'!E1250,"AAAAAH+z3/Y=")</f>
        <v>#VALUE!</v>
      </c>
      <c r="IN83" t="e">
        <f>AND('Planilla_General_29-11-2012_10_'!F1250,"AAAAAH+z3/c=")</f>
        <v>#VALUE!</v>
      </c>
      <c r="IO83" t="e">
        <f>AND('Planilla_General_29-11-2012_10_'!G1250,"AAAAAH+z3/g=")</f>
        <v>#VALUE!</v>
      </c>
      <c r="IP83" t="e">
        <f>AND('Planilla_General_29-11-2012_10_'!H1250,"AAAAAH+z3/k=")</f>
        <v>#VALUE!</v>
      </c>
      <c r="IQ83" t="e">
        <f>AND('Planilla_General_29-11-2012_10_'!I1250,"AAAAAH+z3/o=")</f>
        <v>#VALUE!</v>
      </c>
      <c r="IR83" t="e">
        <f>AND('Planilla_General_29-11-2012_10_'!J1250,"AAAAAH+z3/s=")</f>
        <v>#VALUE!</v>
      </c>
      <c r="IS83" t="e">
        <f>AND('Planilla_General_29-11-2012_10_'!K1250,"AAAAAH+z3/w=")</f>
        <v>#VALUE!</v>
      </c>
      <c r="IT83" t="e">
        <f>AND('Planilla_General_29-11-2012_10_'!L1250,"AAAAAH+z3/0=")</f>
        <v>#VALUE!</v>
      </c>
      <c r="IU83" t="e">
        <f>AND('Planilla_General_29-11-2012_10_'!M1250,"AAAAAH+z3/4=")</f>
        <v>#VALUE!</v>
      </c>
      <c r="IV83" t="e">
        <f>AND('Planilla_General_29-11-2012_10_'!N1250,"AAAAAH+z3/8=")</f>
        <v>#VALUE!</v>
      </c>
    </row>
    <row r="84" spans="1:256" x14ac:dyDescent="0.25">
      <c r="A84" t="e">
        <f>AND('Planilla_General_29-11-2012_10_'!O1250,"AAAAAG08/gA=")</f>
        <v>#VALUE!</v>
      </c>
      <c r="B84" t="e">
        <f>AND('Planilla_General_29-11-2012_10_'!P1250,"AAAAAG08/gE=")</f>
        <v>#VALUE!</v>
      </c>
      <c r="C84" t="str">
        <f>IF('Planilla_General_29-11-2012_10_'!1251:1251,"AAAAAG08/gI=",0)</f>
        <v>AAAAAG08/gI=</v>
      </c>
      <c r="D84" t="e">
        <f>AND('Planilla_General_29-11-2012_10_'!A1251,"AAAAAG08/gM=")</f>
        <v>#VALUE!</v>
      </c>
      <c r="E84" t="e">
        <f>AND('Planilla_General_29-11-2012_10_'!B1251,"AAAAAG08/gQ=")</f>
        <v>#VALUE!</v>
      </c>
      <c r="F84" t="e">
        <f>AND('Planilla_General_29-11-2012_10_'!C1251,"AAAAAG08/gU=")</f>
        <v>#VALUE!</v>
      </c>
      <c r="G84" t="e">
        <f>AND('Planilla_General_29-11-2012_10_'!D1251,"AAAAAG08/gY=")</f>
        <v>#VALUE!</v>
      </c>
      <c r="H84" t="e">
        <f>AND('Planilla_General_29-11-2012_10_'!E1251,"AAAAAG08/gc=")</f>
        <v>#VALUE!</v>
      </c>
      <c r="I84" t="e">
        <f>AND('Planilla_General_29-11-2012_10_'!F1251,"AAAAAG08/gg=")</f>
        <v>#VALUE!</v>
      </c>
      <c r="J84" t="e">
        <f>AND('Planilla_General_29-11-2012_10_'!G1251,"AAAAAG08/gk=")</f>
        <v>#VALUE!</v>
      </c>
      <c r="K84" t="e">
        <f>AND('Planilla_General_29-11-2012_10_'!H1251,"AAAAAG08/go=")</f>
        <v>#VALUE!</v>
      </c>
      <c r="L84" t="e">
        <f>AND('Planilla_General_29-11-2012_10_'!I1251,"AAAAAG08/gs=")</f>
        <v>#VALUE!</v>
      </c>
      <c r="M84" t="e">
        <f>AND('Planilla_General_29-11-2012_10_'!J1251,"AAAAAG08/gw=")</f>
        <v>#VALUE!</v>
      </c>
      <c r="N84" t="e">
        <f>AND('Planilla_General_29-11-2012_10_'!K1251,"AAAAAG08/g0=")</f>
        <v>#VALUE!</v>
      </c>
      <c r="O84" t="e">
        <f>AND('Planilla_General_29-11-2012_10_'!L1251,"AAAAAG08/g4=")</f>
        <v>#VALUE!</v>
      </c>
      <c r="P84" t="e">
        <f>AND('Planilla_General_29-11-2012_10_'!M1251,"AAAAAG08/g8=")</f>
        <v>#VALUE!</v>
      </c>
      <c r="Q84" t="e">
        <f>AND('Planilla_General_29-11-2012_10_'!N1251,"AAAAAG08/hA=")</f>
        <v>#VALUE!</v>
      </c>
      <c r="R84" t="e">
        <f>AND('Planilla_General_29-11-2012_10_'!O1251,"AAAAAG08/hE=")</f>
        <v>#VALUE!</v>
      </c>
      <c r="S84" t="e">
        <f>AND('Planilla_General_29-11-2012_10_'!P1251,"AAAAAG08/hI=")</f>
        <v>#VALUE!</v>
      </c>
      <c r="T84">
        <f>IF('Planilla_General_29-11-2012_10_'!1252:1252,"AAAAAG08/hM=",0)</f>
        <v>0</v>
      </c>
      <c r="U84" t="e">
        <f>AND('Planilla_General_29-11-2012_10_'!A1252,"AAAAAG08/hQ=")</f>
        <v>#VALUE!</v>
      </c>
      <c r="V84" t="e">
        <f>AND('Planilla_General_29-11-2012_10_'!B1252,"AAAAAG08/hU=")</f>
        <v>#VALUE!</v>
      </c>
      <c r="W84" t="e">
        <f>AND('Planilla_General_29-11-2012_10_'!C1252,"AAAAAG08/hY=")</f>
        <v>#VALUE!</v>
      </c>
      <c r="X84" t="e">
        <f>AND('Planilla_General_29-11-2012_10_'!D1252,"AAAAAG08/hc=")</f>
        <v>#VALUE!</v>
      </c>
      <c r="Y84" t="e">
        <f>AND('Planilla_General_29-11-2012_10_'!E1252,"AAAAAG08/hg=")</f>
        <v>#VALUE!</v>
      </c>
      <c r="Z84" t="e">
        <f>AND('Planilla_General_29-11-2012_10_'!F1252,"AAAAAG08/hk=")</f>
        <v>#VALUE!</v>
      </c>
      <c r="AA84" t="e">
        <f>AND('Planilla_General_29-11-2012_10_'!G1252,"AAAAAG08/ho=")</f>
        <v>#VALUE!</v>
      </c>
      <c r="AB84" t="e">
        <f>AND('Planilla_General_29-11-2012_10_'!H1252,"AAAAAG08/hs=")</f>
        <v>#VALUE!</v>
      </c>
      <c r="AC84" t="e">
        <f>AND('Planilla_General_29-11-2012_10_'!I1252,"AAAAAG08/hw=")</f>
        <v>#VALUE!</v>
      </c>
      <c r="AD84" t="e">
        <f>AND('Planilla_General_29-11-2012_10_'!J1252,"AAAAAG08/h0=")</f>
        <v>#VALUE!</v>
      </c>
      <c r="AE84" t="e">
        <f>AND('Planilla_General_29-11-2012_10_'!K1252,"AAAAAG08/h4=")</f>
        <v>#VALUE!</v>
      </c>
      <c r="AF84" t="e">
        <f>AND('Planilla_General_29-11-2012_10_'!L1252,"AAAAAG08/h8=")</f>
        <v>#VALUE!</v>
      </c>
      <c r="AG84" t="e">
        <f>AND('Planilla_General_29-11-2012_10_'!M1252,"AAAAAG08/iA=")</f>
        <v>#VALUE!</v>
      </c>
      <c r="AH84" t="e">
        <f>AND('Planilla_General_29-11-2012_10_'!N1252,"AAAAAG08/iE=")</f>
        <v>#VALUE!</v>
      </c>
      <c r="AI84" t="e">
        <f>AND('Planilla_General_29-11-2012_10_'!O1252,"AAAAAG08/iI=")</f>
        <v>#VALUE!</v>
      </c>
      <c r="AJ84" t="e">
        <f>AND('Planilla_General_29-11-2012_10_'!P1252,"AAAAAG08/iM=")</f>
        <v>#VALUE!</v>
      </c>
      <c r="AK84">
        <f>IF('Planilla_General_29-11-2012_10_'!1253:1253,"AAAAAG08/iQ=",0)</f>
        <v>0</v>
      </c>
      <c r="AL84" t="e">
        <f>AND('Planilla_General_29-11-2012_10_'!A1253,"AAAAAG08/iU=")</f>
        <v>#VALUE!</v>
      </c>
      <c r="AM84" t="e">
        <f>AND('Planilla_General_29-11-2012_10_'!B1253,"AAAAAG08/iY=")</f>
        <v>#VALUE!</v>
      </c>
      <c r="AN84" t="e">
        <f>AND('Planilla_General_29-11-2012_10_'!C1253,"AAAAAG08/ic=")</f>
        <v>#VALUE!</v>
      </c>
      <c r="AO84" t="e">
        <f>AND('Planilla_General_29-11-2012_10_'!D1253,"AAAAAG08/ig=")</f>
        <v>#VALUE!</v>
      </c>
      <c r="AP84" t="e">
        <f>AND('Planilla_General_29-11-2012_10_'!E1253,"AAAAAG08/ik=")</f>
        <v>#VALUE!</v>
      </c>
      <c r="AQ84" t="e">
        <f>AND('Planilla_General_29-11-2012_10_'!F1253,"AAAAAG08/io=")</f>
        <v>#VALUE!</v>
      </c>
      <c r="AR84" t="e">
        <f>AND('Planilla_General_29-11-2012_10_'!G1253,"AAAAAG08/is=")</f>
        <v>#VALUE!</v>
      </c>
      <c r="AS84" t="e">
        <f>AND('Planilla_General_29-11-2012_10_'!H1253,"AAAAAG08/iw=")</f>
        <v>#VALUE!</v>
      </c>
      <c r="AT84" t="e">
        <f>AND('Planilla_General_29-11-2012_10_'!I1253,"AAAAAG08/i0=")</f>
        <v>#VALUE!</v>
      </c>
      <c r="AU84" t="e">
        <f>AND('Planilla_General_29-11-2012_10_'!J1253,"AAAAAG08/i4=")</f>
        <v>#VALUE!</v>
      </c>
      <c r="AV84" t="e">
        <f>AND('Planilla_General_29-11-2012_10_'!K1253,"AAAAAG08/i8=")</f>
        <v>#VALUE!</v>
      </c>
      <c r="AW84" t="e">
        <f>AND('Planilla_General_29-11-2012_10_'!L1253,"AAAAAG08/jA=")</f>
        <v>#VALUE!</v>
      </c>
      <c r="AX84" t="e">
        <f>AND('Planilla_General_29-11-2012_10_'!M1253,"AAAAAG08/jE=")</f>
        <v>#VALUE!</v>
      </c>
      <c r="AY84" t="e">
        <f>AND('Planilla_General_29-11-2012_10_'!N1253,"AAAAAG08/jI=")</f>
        <v>#VALUE!</v>
      </c>
      <c r="AZ84" t="e">
        <f>AND('Planilla_General_29-11-2012_10_'!O1253,"AAAAAG08/jM=")</f>
        <v>#VALUE!</v>
      </c>
      <c r="BA84" t="e">
        <f>AND('Planilla_General_29-11-2012_10_'!P1253,"AAAAAG08/jQ=")</f>
        <v>#VALUE!</v>
      </c>
      <c r="BB84">
        <f>IF('Planilla_General_29-11-2012_10_'!1254:1254,"AAAAAG08/jU=",0)</f>
        <v>0</v>
      </c>
      <c r="BC84" t="e">
        <f>AND('Planilla_General_29-11-2012_10_'!A1254,"AAAAAG08/jY=")</f>
        <v>#VALUE!</v>
      </c>
      <c r="BD84" t="e">
        <f>AND('Planilla_General_29-11-2012_10_'!B1254,"AAAAAG08/jc=")</f>
        <v>#VALUE!</v>
      </c>
      <c r="BE84" t="e">
        <f>AND('Planilla_General_29-11-2012_10_'!C1254,"AAAAAG08/jg=")</f>
        <v>#VALUE!</v>
      </c>
      <c r="BF84" t="e">
        <f>AND('Planilla_General_29-11-2012_10_'!D1254,"AAAAAG08/jk=")</f>
        <v>#VALUE!</v>
      </c>
      <c r="BG84" t="e">
        <f>AND('Planilla_General_29-11-2012_10_'!E1254,"AAAAAG08/jo=")</f>
        <v>#VALUE!</v>
      </c>
      <c r="BH84" t="e">
        <f>AND('Planilla_General_29-11-2012_10_'!F1254,"AAAAAG08/js=")</f>
        <v>#VALUE!</v>
      </c>
      <c r="BI84" t="e">
        <f>AND('Planilla_General_29-11-2012_10_'!G1254,"AAAAAG08/jw=")</f>
        <v>#VALUE!</v>
      </c>
      <c r="BJ84" t="e">
        <f>AND('Planilla_General_29-11-2012_10_'!H1254,"AAAAAG08/j0=")</f>
        <v>#VALUE!</v>
      </c>
      <c r="BK84" t="e">
        <f>AND('Planilla_General_29-11-2012_10_'!I1254,"AAAAAG08/j4=")</f>
        <v>#VALUE!</v>
      </c>
      <c r="BL84" t="e">
        <f>AND('Planilla_General_29-11-2012_10_'!J1254,"AAAAAG08/j8=")</f>
        <v>#VALUE!</v>
      </c>
      <c r="BM84" t="e">
        <f>AND('Planilla_General_29-11-2012_10_'!K1254,"AAAAAG08/kA=")</f>
        <v>#VALUE!</v>
      </c>
      <c r="BN84" t="e">
        <f>AND('Planilla_General_29-11-2012_10_'!L1254,"AAAAAG08/kE=")</f>
        <v>#VALUE!</v>
      </c>
      <c r="BO84" t="e">
        <f>AND('Planilla_General_29-11-2012_10_'!M1254,"AAAAAG08/kI=")</f>
        <v>#VALUE!</v>
      </c>
      <c r="BP84" t="e">
        <f>AND('Planilla_General_29-11-2012_10_'!N1254,"AAAAAG08/kM=")</f>
        <v>#VALUE!</v>
      </c>
      <c r="BQ84" t="e">
        <f>AND('Planilla_General_29-11-2012_10_'!O1254,"AAAAAG08/kQ=")</f>
        <v>#VALUE!</v>
      </c>
      <c r="BR84" t="e">
        <f>AND('Planilla_General_29-11-2012_10_'!P1254,"AAAAAG08/kU=")</f>
        <v>#VALUE!</v>
      </c>
      <c r="BS84">
        <f>IF('Planilla_General_29-11-2012_10_'!1255:1255,"AAAAAG08/kY=",0)</f>
        <v>0</v>
      </c>
      <c r="BT84" t="e">
        <f>AND('Planilla_General_29-11-2012_10_'!A1255,"AAAAAG08/kc=")</f>
        <v>#VALUE!</v>
      </c>
      <c r="BU84" t="e">
        <f>AND('Planilla_General_29-11-2012_10_'!B1255,"AAAAAG08/kg=")</f>
        <v>#VALUE!</v>
      </c>
      <c r="BV84" t="e">
        <f>AND('Planilla_General_29-11-2012_10_'!C1255,"AAAAAG08/kk=")</f>
        <v>#VALUE!</v>
      </c>
      <c r="BW84" t="e">
        <f>AND('Planilla_General_29-11-2012_10_'!D1255,"AAAAAG08/ko=")</f>
        <v>#VALUE!</v>
      </c>
      <c r="BX84" t="e">
        <f>AND('Planilla_General_29-11-2012_10_'!E1255,"AAAAAG08/ks=")</f>
        <v>#VALUE!</v>
      </c>
      <c r="BY84" t="e">
        <f>AND('Planilla_General_29-11-2012_10_'!F1255,"AAAAAG08/kw=")</f>
        <v>#VALUE!</v>
      </c>
      <c r="BZ84" t="e">
        <f>AND('Planilla_General_29-11-2012_10_'!G1255,"AAAAAG08/k0=")</f>
        <v>#VALUE!</v>
      </c>
      <c r="CA84" t="e">
        <f>AND('Planilla_General_29-11-2012_10_'!H1255,"AAAAAG08/k4=")</f>
        <v>#VALUE!</v>
      </c>
      <c r="CB84" t="e">
        <f>AND('Planilla_General_29-11-2012_10_'!I1255,"AAAAAG08/k8=")</f>
        <v>#VALUE!</v>
      </c>
      <c r="CC84" t="e">
        <f>AND('Planilla_General_29-11-2012_10_'!J1255,"AAAAAG08/lA=")</f>
        <v>#VALUE!</v>
      </c>
      <c r="CD84" t="e">
        <f>AND('Planilla_General_29-11-2012_10_'!K1255,"AAAAAG08/lE=")</f>
        <v>#VALUE!</v>
      </c>
      <c r="CE84" t="e">
        <f>AND('Planilla_General_29-11-2012_10_'!L1255,"AAAAAG08/lI=")</f>
        <v>#VALUE!</v>
      </c>
      <c r="CF84" t="e">
        <f>AND('Planilla_General_29-11-2012_10_'!M1255,"AAAAAG08/lM=")</f>
        <v>#VALUE!</v>
      </c>
      <c r="CG84" t="e">
        <f>AND('Planilla_General_29-11-2012_10_'!N1255,"AAAAAG08/lQ=")</f>
        <v>#VALUE!</v>
      </c>
      <c r="CH84" t="e">
        <f>AND('Planilla_General_29-11-2012_10_'!O1255,"AAAAAG08/lU=")</f>
        <v>#VALUE!</v>
      </c>
      <c r="CI84" t="e">
        <f>AND('Planilla_General_29-11-2012_10_'!P1255,"AAAAAG08/lY=")</f>
        <v>#VALUE!</v>
      </c>
      <c r="CJ84">
        <f>IF('Planilla_General_29-11-2012_10_'!1256:1256,"AAAAAG08/lc=",0)</f>
        <v>0</v>
      </c>
      <c r="CK84" t="e">
        <f>AND('Planilla_General_29-11-2012_10_'!A1256,"AAAAAG08/lg=")</f>
        <v>#VALUE!</v>
      </c>
      <c r="CL84" t="e">
        <f>AND('Planilla_General_29-11-2012_10_'!B1256,"AAAAAG08/lk=")</f>
        <v>#VALUE!</v>
      </c>
      <c r="CM84" t="e">
        <f>AND('Planilla_General_29-11-2012_10_'!C1256,"AAAAAG08/lo=")</f>
        <v>#VALUE!</v>
      </c>
      <c r="CN84" t="e">
        <f>AND('Planilla_General_29-11-2012_10_'!D1256,"AAAAAG08/ls=")</f>
        <v>#VALUE!</v>
      </c>
      <c r="CO84" t="e">
        <f>AND('Planilla_General_29-11-2012_10_'!E1256,"AAAAAG08/lw=")</f>
        <v>#VALUE!</v>
      </c>
      <c r="CP84" t="e">
        <f>AND('Planilla_General_29-11-2012_10_'!F1256,"AAAAAG08/l0=")</f>
        <v>#VALUE!</v>
      </c>
      <c r="CQ84" t="e">
        <f>AND('Planilla_General_29-11-2012_10_'!G1256,"AAAAAG08/l4=")</f>
        <v>#VALUE!</v>
      </c>
      <c r="CR84" t="e">
        <f>AND('Planilla_General_29-11-2012_10_'!H1256,"AAAAAG08/l8=")</f>
        <v>#VALUE!</v>
      </c>
      <c r="CS84" t="e">
        <f>AND('Planilla_General_29-11-2012_10_'!I1256,"AAAAAG08/mA=")</f>
        <v>#VALUE!</v>
      </c>
      <c r="CT84" t="e">
        <f>AND('Planilla_General_29-11-2012_10_'!J1256,"AAAAAG08/mE=")</f>
        <v>#VALUE!</v>
      </c>
      <c r="CU84" t="e">
        <f>AND('Planilla_General_29-11-2012_10_'!K1256,"AAAAAG08/mI=")</f>
        <v>#VALUE!</v>
      </c>
      <c r="CV84" t="e">
        <f>AND('Planilla_General_29-11-2012_10_'!L1256,"AAAAAG08/mM=")</f>
        <v>#VALUE!</v>
      </c>
      <c r="CW84" t="e">
        <f>AND('Planilla_General_29-11-2012_10_'!M1256,"AAAAAG08/mQ=")</f>
        <v>#VALUE!</v>
      </c>
      <c r="CX84" t="e">
        <f>AND('Planilla_General_29-11-2012_10_'!N1256,"AAAAAG08/mU=")</f>
        <v>#VALUE!</v>
      </c>
      <c r="CY84" t="e">
        <f>AND('Planilla_General_29-11-2012_10_'!O1256,"AAAAAG08/mY=")</f>
        <v>#VALUE!</v>
      </c>
      <c r="CZ84" t="e">
        <f>AND('Planilla_General_29-11-2012_10_'!P1256,"AAAAAG08/mc=")</f>
        <v>#VALUE!</v>
      </c>
      <c r="DA84">
        <f>IF('Planilla_General_29-11-2012_10_'!1257:1257,"AAAAAG08/mg=",0)</f>
        <v>0</v>
      </c>
      <c r="DB84" t="e">
        <f>AND('Planilla_General_29-11-2012_10_'!A1257,"AAAAAG08/mk=")</f>
        <v>#VALUE!</v>
      </c>
      <c r="DC84" t="e">
        <f>AND('Planilla_General_29-11-2012_10_'!B1257,"AAAAAG08/mo=")</f>
        <v>#VALUE!</v>
      </c>
      <c r="DD84" t="e">
        <f>AND('Planilla_General_29-11-2012_10_'!C1257,"AAAAAG08/ms=")</f>
        <v>#VALUE!</v>
      </c>
      <c r="DE84" t="e">
        <f>AND('Planilla_General_29-11-2012_10_'!D1257,"AAAAAG08/mw=")</f>
        <v>#VALUE!</v>
      </c>
      <c r="DF84" t="e">
        <f>AND('Planilla_General_29-11-2012_10_'!E1257,"AAAAAG08/m0=")</f>
        <v>#VALUE!</v>
      </c>
      <c r="DG84" t="e">
        <f>AND('Planilla_General_29-11-2012_10_'!F1257,"AAAAAG08/m4=")</f>
        <v>#VALUE!</v>
      </c>
      <c r="DH84" t="e">
        <f>AND('Planilla_General_29-11-2012_10_'!G1257,"AAAAAG08/m8=")</f>
        <v>#VALUE!</v>
      </c>
      <c r="DI84" t="e">
        <f>AND('Planilla_General_29-11-2012_10_'!H1257,"AAAAAG08/nA=")</f>
        <v>#VALUE!</v>
      </c>
      <c r="DJ84" t="e">
        <f>AND('Planilla_General_29-11-2012_10_'!I1257,"AAAAAG08/nE=")</f>
        <v>#VALUE!</v>
      </c>
      <c r="DK84" t="e">
        <f>AND('Planilla_General_29-11-2012_10_'!J1257,"AAAAAG08/nI=")</f>
        <v>#VALUE!</v>
      </c>
      <c r="DL84" t="e">
        <f>AND('Planilla_General_29-11-2012_10_'!K1257,"AAAAAG08/nM=")</f>
        <v>#VALUE!</v>
      </c>
      <c r="DM84" t="e">
        <f>AND('Planilla_General_29-11-2012_10_'!L1257,"AAAAAG08/nQ=")</f>
        <v>#VALUE!</v>
      </c>
      <c r="DN84" t="e">
        <f>AND('Planilla_General_29-11-2012_10_'!M1257,"AAAAAG08/nU=")</f>
        <v>#VALUE!</v>
      </c>
      <c r="DO84" t="e">
        <f>AND('Planilla_General_29-11-2012_10_'!N1257,"AAAAAG08/nY=")</f>
        <v>#VALUE!</v>
      </c>
      <c r="DP84" t="e">
        <f>AND('Planilla_General_29-11-2012_10_'!O1257,"AAAAAG08/nc=")</f>
        <v>#VALUE!</v>
      </c>
      <c r="DQ84" t="e">
        <f>AND('Planilla_General_29-11-2012_10_'!P1257,"AAAAAG08/ng=")</f>
        <v>#VALUE!</v>
      </c>
      <c r="DR84">
        <f>IF('Planilla_General_29-11-2012_10_'!1258:1258,"AAAAAG08/nk=",0)</f>
        <v>0</v>
      </c>
      <c r="DS84" t="e">
        <f>AND('Planilla_General_29-11-2012_10_'!A1258,"AAAAAG08/no=")</f>
        <v>#VALUE!</v>
      </c>
      <c r="DT84" t="e">
        <f>AND('Planilla_General_29-11-2012_10_'!B1258,"AAAAAG08/ns=")</f>
        <v>#VALUE!</v>
      </c>
      <c r="DU84" t="e">
        <f>AND('Planilla_General_29-11-2012_10_'!C1258,"AAAAAG08/nw=")</f>
        <v>#VALUE!</v>
      </c>
      <c r="DV84" t="e">
        <f>AND('Planilla_General_29-11-2012_10_'!D1258,"AAAAAG08/n0=")</f>
        <v>#VALUE!</v>
      </c>
      <c r="DW84" t="e">
        <f>AND('Planilla_General_29-11-2012_10_'!E1258,"AAAAAG08/n4=")</f>
        <v>#VALUE!</v>
      </c>
      <c r="DX84" t="e">
        <f>AND('Planilla_General_29-11-2012_10_'!F1258,"AAAAAG08/n8=")</f>
        <v>#VALUE!</v>
      </c>
      <c r="DY84" t="e">
        <f>AND('Planilla_General_29-11-2012_10_'!G1258,"AAAAAG08/oA=")</f>
        <v>#VALUE!</v>
      </c>
      <c r="DZ84" t="e">
        <f>AND('Planilla_General_29-11-2012_10_'!H1258,"AAAAAG08/oE=")</f>
        <v>#VALUE!</v>
      </c>
      <c r="EA84" t="e">
        <f>AND('Planilla_General_29-11-2012_10_'!I1258,"AAAAAG08/oI=")</f>
        <v>#VALUE!</v>
      </c>
      <c r="EB84" t="e">
        <f>AND('Planilla_General_29-11-2012_10_'!J1258,"AAAAAG08/oM=")</f>
        <v>#VALUE!</v>
      </c>
      <c r="EC84" t="e">
        <f>AND('Planilla_General_29-11-2012_10_'!K1258,"AAAAAG08/oQ=")</f>
        <v>#VALUE!</v>
      </c>
      <c r="ED84" t="e">
        <f>AND('Planilla_General_29-11-2012_10_'!L1258,"AAAAAG08/oU=")</f>
        <v>#VALUE!</v>
      </c>
      <c r="EE84" t="e">
        <f>AND('Planilla_General_29-11-2012_10_'!M1258,"AAAAAG08/oY=")</f>
        <v>#VALUE!</v>
      </c>
      <c r="EF84" t="e">
        <f>AND('Planilla_General_29-11-2012_10_'!N1258,"AAAAAG08/oc=")</f>
        <v>#VALUE!</v>
      </c>
      <c r="EG84" t="e">
        <f>AND('Planilla_General_29-11-2012_10_'!O1258,"AAAAAG08/og=")</f>
        <v>#VALUE!</v>
      </c>
      <c r="EH84" t="e">
        <f>AND('Planilla_General_29-11-2012_10_'!P1258,"AAAAAG08/ok=")</f>
        <v>#VALUE!</v>
      </c>
      <c r="EI84">
        <f>IF('Planilla_General_29-11-2012_10_'!1259:1259,"AAAAAG08/oo=",0)</f>
        <v>0</v>
      </c>
      <c r="EJ84" t="e">
        <f>AND('Planilla_General_29-11-2012_10_'!A1259,"AAAAAG08/os=")</f>
        <v>#VALUE!</v>
      </c>
      <c r="EK84" t="e">
        <f>AND('Planilla_General_29-11-2012_10_'!B1259,"AAAAAG08/ow=")</f>
        <v>#VALUE!</v>
      </c>
      <c r="EL84" t="e">
        <f>AND('Planilla_General_29-11-2012_10_'!C1259,"AAAAAG08/o0=")</f>
        <v>#VALUE!</v>
      </c>
      <c r="EM84" t="e">
        <f>AND('Planilla_General_29-11-2012_10_'!D1259,"AAAAAG08/o4=")</f>
        <v>#VALUE!</v>
      </c>
      <c r="EN84" t="e">
        <f>AND('Planilla_General_29-11-2012_10_'!E1259,"AAAAAG08/o8=")</f>
        <v>#VALUE!</v>
      </c>
      <c r="EO84" t="e">
        <f>AND('Planilla_General_29-11-2012_10_'!F1259,"AAAAAG08/pA=")</f>
        <v>#VALUE!</v>
      </c>
      <c r="EP84" t="e">
        <f>AND('Planilla_General_29-11-2012_10_'!G1259,"AAAAAG08/pE=")</f>
        <v>#VALUE!</v>
      </c>
      <c r="EQ84" t="e">
        <f>AND('Planilla_General_29-11-2012_10_'!H1259,"AAAAAG08/pI=")</f>
        <v>#VALUE!</v>
      </c>
      <c r="ER84" t="e">
        <f>AND('Planilla_General_29-11-2012_10_'!I1259,"AAAAAG08/pM=")</f>
        <v>#VALUE!</v>
      </c>
      <c r="ES84" t="e">
        <f>AND('Planilla_General_29-11-2012_10_'!J1259,"AAAAAG08/pQ=")</f>
        <v>#VALUE!</v>
      </c>
      <c r="ET84" t="e">
        <f>AND('Planilla_General_29-11-2012_10_'!K1259,"AAAAAG08/pU=")</f>
        <v>#VALUE!</v>
      </c>
      <c r="EU84" t="e">
        <f>AND('Planilla_General_29-11-2012_10_'!L1259,"AAAAAG08/pY=")</f>
        <v>#VALUE!</v>
      </c>
      <c r="EV84" t="e">
        <f>AND('Planilla_General_29-11-2012_10_'!M1259,"AAAAAG08/pc=")</f>
        <v>#VALUE!</v>
      </c>
      <c r="EW84" t="e">
        <f>AND('Planilla_General_29-11-2012_10_'!N1259,"AAAAAG08/pg=")</f>
        <v>#VALUE!</v>
      </c>
      <c r="EX84" t="e">
        <f>AND('Planilla_General_29-11-2012_10_'!O1259,"AAAAAG08/pk=")</f>
        <v>#VALUE!</v>
      </c>
      <c r="EY84" t="e">
        <f>AND('Planilla_General_29-11-2012_10_'!P1259,"AAAAAG08/po=")</f>
        <v>#VALUE!</v>
      </c>
      <c r="EZ84">
        <f>IF('Planilla_General_29-11-2012_10_'!1260:1260,"AAAAAG08/ps=",0)</f>
        <v>0</v>
      </c>
      <c r="FA84" t="e">
        <f>AND('Planilla_General_29-11-2012_10_'!A1260,"AAAAAG08/pw=")</f>
        <v>#VALUE!</v>
      </c>
      <c r="FB84" t="e">
        <f>AND('Planilla_General_29-11-2012_10_'!B1260,"AAAAAG08/p0=")</f>
        <v>#VALUE!</v>
      </c>
      <c r="FC84" t="e">
        <f>AND('Planilla_General_29-11-2012_10_'!C1260,"AAAAAG08/p4=")</f>
        <v>#VALUE!</v>
      </c>
      <c r="FD84" t="e">
        <f>AND('Planilla_General_29-11-2012_10_'!D1260,"AAAAAG08/p8=")</f>
        <v>#VALUE!</v>
      </c>
      <c r="FE84" t="e">
        <f>AND('Planilla_General_29-11-2012_10_'!E1260,"AAAAAG08/qA=")</f>
        <v>#VALUE!</v>
      </c>
      <c r="FF84" t="e">
        <f>AND('Planilla_General_29-11-2012_10_'!F1260,"AAAAAG08/qE=")</f>
        <v>#VALUE!</v>
      </c>
      <c r="FG84" t="e">
        <f>AND('Planilla_General_29-11-2012_10_'!G1260,"AAAAAG08/qI=")</f>
        <v>#VALUE!</v>
      </c>
      <c r="FH84" t="e">
        <f>AND('Planilla_General_29-11-2012_10_'!H1260,"AAAAAG08/qM=")</f>
        <v>#VALUE!</v>
      </c>
      <c r="FI84" t="e">
        <f>AND('Planilla_General_29-11-2012_10_'!I1260,"AAAAAG08/qQ=")</f>
        <v>#VALUE!</v>
      </c>
      <c r="FJ84" t="e">
        <f>AND('Planilla_General_29-11-2012_10_'!J1260,"AAAAAG08/qU=")</f>
        <v>#VALUE!</v>
      </c>
      <c r="FK84" t="e">
        <f>AND('Planilla_General_29-11-2012_10_'!K1260,"AAAAAG08/qY=")</f>
        <v>#VALUE!</v>
      </c>
      <c r="FL84" t="e">
        <f>AND('Planilla_General_29-11-2012_10_'!L1260,"AAAAAG08/qc=")</f>
        <v>#VALUE!</v>
      </c>
      <c r="FM84" t="e">
        <f>AND('Planilla_General_29-11-2012_10_'!M1260,"AAAAAG08/qg=")</f>
        <v>#VALUE!</v>
      </c>
      <c r="FN84" t="e">
        <f>AND('Planilla_General_29-11-2012_10_'!N1260,"AAAAAG08/qk=")</f>
        <v>#VALUE!</v>
      </c>
      <c r="FO84" t="e">
        <f>AND('Planilla_General_29-11-2012_10_'!O1260,"AAAAAG08/qo=")</f>
        <v>#VALUE!</v>
      </c>
      <c r="FP84" t="e">
        <f>AND('Planilla_General_29-11-2012_10_'!P1260,"AAAAAG08/qs=")</f>
        <v>#VALUE!</v>
      </c>
      <c r="FQ84">
        <f>IF('Planilla_General_29-11-2012_10_'!1261:1261,"AAAAAG08/qw=",0)</f>
        <v>0</v>
      </c>
      <c r="FR84" t="e">
        <f>AND('Planilla_General_29-11-2012_10_'!A1261,"AAAAAG08/q0=")</f>
        <v>#VALUE!</v>
      </c>
      <c r="FS84" t="e">
        <f>AND('Planilla_General_29-11-2012_10_'!B1261,"AAAAAG08/q4=")</f>
        <v>#VALUE!</v>
      </c>
      <c r="FT84" t="e">
        <f>AND('Planilla_General_29-11-2012_10_'!C1261,"AAAAAG08/q8=")</f>
        <v>#VALUE!</v>
      </c>
      <c r="FU84" t="e">
        <f>AND('Planilla_General_29-11-2012_10_'!D1261,"AAAAAG08/rA=")</f>
        <v>#VALUE!</v>
      </c>
      <c r="FV84" t="e">
        <f>AND('Planilla_General_29-11-2012_10_'!E1261,"AAAAAG08/rE=")</f>
        <v>#VALUE!</v>
      </c>
      <c r="FW84" t="e">
        <f>AND('Planilla_General_29-11-2012_10_'!F1261,"AAAAAG08/rI=")</f>
        <v>#VALUE!</v>
      </c>
      <c r="FX84" t="e">
        <f>AND('Planilla_General_29-11-2012_10_'!G1261,"AAAAAG08/rM=")</f>
        <v>#VALUE!</v>
      </c>
      <c r="FY84" t="e">
        <f>AND('Planilla_General_29-11-2012_10_'!H1261,"AAAAAG08/rQ=")</f>
        <v>#VALUE!</v>
      </c>
      <c r="FZ84" t="e">
        <f>AND('Planilla_General_29-11-2012_10_'!I1261,"AAAAAG08/rU=")</f>
        <v>#VALUE!</v>
      </c>
      <c r="GA84" t="e">
        <f>AND('Planilla_General_29-11-2012_10_'!J1261,"AAAAAG08/rY=")</f>
        <v>#VALUE!</v>
      </c>
      <c r="GB84" t="e">
        <f>AND('Planilla_General_29-11-2012_10_'!K1261,"AAAAAG08/rc=")</f>
        <v>#VALUE!</v>
      </c>
      <c r="GC84" t="e">
        <f>AND('Planilla_General_29-11-2012_10_'!L1261,"AAAAAG08/rg=")</f>
        <v>#VALUE!</v>
      </c>
      <c r="GD84" t="e">
        <f>AND('Planilla_General_29-11-2012_10_'!M1261,"AAAAAG08/rk=")</f>
        <v>#VALUE!</v>
      </c>
      <c r="GE84" t="e">
        <f>AND('Planilla_General_29-11-2012_10_'!N1261,"AAAAAG08/ro=")</f>
        <v>#VALUE!</v>
      </c>
      <c r="GF84" t="e">
        <f>AND('Planilla_General_29-11-2012_10_'!O1261,"AAAAAG08/rs=")</f>
        <v>#VALUE!</v>
      </c>
      <c r="GG84" t="e">
        <f>AND('Planilla_General_29-11-2012_10_'!P1261,"AAAAAG08/rw=")</f>
        <v>#VALUE!</v>
      </c>
      <c r="GH84">
        <f>IF('Planilla_General_29-11-2012_10_'!1262:1262,"AAAAAG08/r0=",0)</f>
        <v>0</v>
      </c>
      <c r="GI84" t="e">
        <f>AND('Planilla_General_29-11-2012_10_'!A1262,"AAAAAG08/r4=")</f>
        <v>#VALUE!</v>
      </c>
      <c r="GJ84" t="e">
        <f>AND('Planilla_General_29-11-2012_10_'!B1262,"AAAAAG08/r8=")</f>
        <v>#VALUE!</v>
      </c>
      <c r="GK84" t="e">
        <f>AND('Planilla_General_29-11-2012_10_'!C1262,"AAAAAG08/sA=")</f>
        <v>#VALUE!</v>
      </c>
      <c r="GL84" t="e">
        <f>AND('Planilla_General_29-11-2012_10_'!D1262,"AAAAAG08/sE=")</f>
        <v>#VALUE!</v>
      </c>
      <c r="GM84" t="e">
        <f>AND('Planilla_General_29-11-2012_10_'!E1262,"AAAAAG08/sI=")</f>
        <v>#VALUE!</v>
      </c>
      <c r="GN84" t="e">
        <f>AND('Planilla_General_29-11-2012_10_'!F1262,"AAAAAG08/sM=")</f>
        <v>#VALUE!</v>
      </c>
      <c r="GO84" t="e">
        <f>AND('Planilla_General_29-11-2012_10_'!G1262,"AAAAAG08/sQ=")</f>
        <v>#VALUE!</v>
      </c>
      <c r="GP84" t="e">
        <f>AND('Planilla_General_29-11-2012_10_'!H1262,"AAAAAG08/sU=")</f>
        <v>#VALUE!</v>
      </c>
      <c r="GQ84" t="e">
        <f>AND('Planilla_General_29-11-2012_10_'!I1262,"AAAAAG08/sY=")</f>
        <v>#VALUE!</v>
      </c>
      <c r="GR84" t="e">
        <f>AND('Planilla_General_29-11-2012_10_'!J1262,"AAAAAG08/sc=")</f>
        <v>#VALUE!</v>
      </c>
      <c r="GS84" t="e">
        <f>AND('Planilla_General_29-11-2012_10_'!K1262,"AAAAAG08/sg=")</f>
        <v>#VALUE!</v>
      </c>
      <c r="GT84" t="e">
        <f>AND('Planilla_General_29-11-2012_10_'!L1262,"AAAAAG08/sk=")</f>
        <v>#VALUE!</v>
      </c>
      <c r="GU84" t="e">
        <f>AND('Planilla_General_29-11-2012_10_'!M1262,"AAAAAG08/so=")</f>
        <v>#VALUE!</v>
      </c>
      <c r="GV84" t="e">
        <f>AND('Planilla_General_29-11-2012_10_'!N1262,"AAAAAG08/ss=")</f>
        <v>#VALUE!</v>
      </c>
      <c r="GW84" t="e">
        <f>AND('Planilla_General_29-11-2012_10_'!O1262,"AAAAAG08/sw=")</f>
        <v>#VALUE!</v>
      </c>
      <c r="GX84" t="e">
        <f>AND('Planilla_General_29-11-2012_10_'!P1262,"AAAAAG08/s0=")</f>
        <v>#VALUE!</v>
      </c>
      <c r="GY84">
        <f>IF('Planilla_General_29-11-2012_10_'!1263:1263,"AAAAAG08/s4=",0)</f>
        <v>0</v>
      </c>
      <c r="GZ84" t="e">
        <f>AND('Planilla_General_29-11-2012_10_'!A1263,"AAAAAG08/s8=")</f>
        <v>#VALUE!</v>
      </c>
      <c r="HA84" t="e">
        <f>AND('Planilla_General_29-11-2012_10_'!B1263,"AAAAAG08/tA=")</f>
        <v>#VALUE!</v>
      </c>
      <c r="HB84" t="e">
        <f>AND('Planilla_General_29-11-2012_10_'!C1263,"AAAAAG08/tE=")</f>
        <v>#VALUE!</v>
      </c>
      <c r="HC84" t="e">
        <f>AND('Planilla_General_29-11-2012_10_'!D1263,"AAAAAG08/tI=")</f>
        <v>#VALUE!</v>
      </c>
      <c r="HD84" t="e">
        <f>AND('Planilla_General_29-11-2012_10_'!E1263,"AAAAAG08/tM=")</f>
        <v>#VALUE!</v>
      </c>
      <c r="HE84" t="e">
        <f>AND('Planilla_General_29-11-2012_10_'!F1263,"AAAAAG08/tQ=")</f>
        <v>#VALUE!</v>
      </c>
      <c r="HF84" t="e">
        <f>AND('Planilla_General_29-11-2012_10_'!G1263,"AAAAAG08/tU=")</f>
        <v>#VALUE!</v>
      </c>
      <c r="HG84" t="e">
        <f>AND('Planilla_General_29-11-2012_10_'!H1263,"AAAAAG08/tY=")</f>
        <v>#VALUE!</v>
      </c>
      <c r="HH84" t="e">
        <f>AND('Planilla_General_29-11-2012_10_'!I1263,"AAAAAG08/tc=")</f>
        <v>#VALUE!</v>
      </c>
      <c r="HI84" t="e">
        <f>AND('Planilla_General_29-11-2012_10_'!J1263,"AAAAAG08/tg=")</f>
        <v>#VALUE!</v>
      </c>
      <c r="HJ84" t="e">
        <f>AND('Planilla_General_29-11-2012_10_'!K1263,"AAAAAG08/tk=")</f>
        <v>#VALUE!</v>
      </c>
      <c r="HK84" t="e">
        <f>AND('Planilla_General_29-11-2012_10_'!L1263,"AAAAAG08/to=")</f>
        <v>#VALUE!</v>
      </c>
      <c r="HL84" t="e">
        <f>AND('Planilla_General_29-11-2012_10_'!M1263,"AAAAAG08/ts=")</f>
        <v>#VALUE!</v>
      </c>
      <c r="HM84" t="e">
        <f>AND('Planilla_General_29-11-2012_10_'!N1263,"AAAAAG08/tw=")</f>
        <v>#VALUE!</v>
      </c>
      <c r="HN84" t="e">
        <f>AND('Planilla_General_29-11-2012_10_'!O1263,"AAAAAG08/t0=")</f>
        <v>#VALUE!</v>
      </c>
      <c r="HO84" t="e">
        <f>AND('Planilla_General_29-11-2012_10_'!P1263,"AAAAAG08/t4=")</f>
        <v>#VALUE!</v>
      </c>
      <c r="HP84">
        <f>IF('Planilla_General_29-11-2012_10_'!1264:1264,"AAAAAG08/t8=",0)</f>
        <v>0</v>
      </c>
      <c r="HQ84" t="e">
        <f>AND('Planilla_General_29-11-2012_10_'!A1264,"AAAAAG08/uA=")</f>
        <v>#VALUE!</v>
      </c>
      <c r="HR84" t="e">
        <f>AND('Planilla_General_29-11-2012_10_'!B1264,"AAAAAG08/uE=")</f>
        <v>#VALUE!</v>
      </c>
      <c r="HS84" t="e">
        <f>AND('Planilla_General_29-11-2012_10_'!C1264,"AAAAAG08/uI=")</f>
        <v>#VALUE!</v>
      </c>
      <c r="HT84" t="e">
        <f>AND('Planilla_General_29-11-2012_10_'!D1264,"AAAAAG08/uM=")</f>
        <v>#VALUE!</v>
      </c>
      <c r="HU84" t="e">
        <f>AND('Planilla_General_29-11-2012_10_'!E1264,"AAAAAG08/uQ=")</f>
        <v>#VALUE!</v>
      </c>
      <c r="HV84" t="e">
        <f>AND('Planilla_General_29-11-2012_10_'!F1264,"AAAAAG08/uU=")</f>
        <v>#VALUE!</v>
      </c>
      <c r="HW84" t="e">
        <f>AND('Planilla_General_29-11-2012_10_'!G1264,"AAAAAG08/uY=")</f>
        <v>#VALUE!</v>
      </c>
      <c r="HX84" t="e">
        <f>AND('Planilla_General_29-11-2012_10_'!H1264,"AAAAAG08/uc=")</f>
        <v>#VALUE!</v>
      </c>
      <c r="HY84" t="e">
        <f>AND('Planilla_General_29-11-2012_10_'!I1264,"AAAAAG08/ug=")</f>
        <v>#VALUE!</v>
      </c>
      <c r="HZ84" t="e">
        <f>AND('Planilla_General_29-11-2012_10_'!J1264,"AAAAAG08/uk=")</f>
        <v>#VALUE!</v>
      </c>
      <c r="IA84" t="e">
        <f>AND('Planilla_General_29-11-2012_10_'!K1264,"AAAAAG08/uo=")</f>
        <v>#VALUE!</v>
      </c>
      <c r="IB84" t="e">
        <f>AND('Planilla_General_29-11-2012_10_'!L1264,"AAAAAG08/us=")</f>
        <v>#VALUE!</v>
      </c>
      <c r="IC84" t="e">
        <f>AND('Planilla_General_29-11-2012_10_'!M1264,"AAAAAG08/uw=")</f>
        <v>#VALUE!</v>
      </c>
      <c r="ID84" t="e">
        <f>AND('Planilla_General_29-11-2012_10_'!N1264,"AAAAAG08/u0=")</f>
        <v>#VALUE!</v>
      </c>
      <c r="IE84" t="e">
        <f>AND('Planilla_General_29-11-2012_10_'!O1264,"AAAAAG08/u4=")</f>
        <v>#VALUE!</v>
      </c>
      <c r="IF84" t="e">
        <f>AND('Planilla_General_29-11-2012_10_'!P1264,"AAAAAG08/u8=")</f>
        <v>#VALUE!</v>
      </c>
      <c r="IG84">
        <f>IF('Planilla_General_29-11-2012_10_'!1265:1265,"AAAAAG08/vA=",0)</f>
        <v>0</v>
      </c>
      <c r="IH84" t="e">
        <f>AND('Planilla_General_29-11-2012_10_'!A1265,"AAAAAG08/vE=")</f>
        <v>#VALUE!</v>
      </c>
      <c r="II84" t="e">
        <f>AND('Planilla_General_29-11-2012_10_'!B1265,"AAAAAG08/vI=")</f>
        <v>#VALUE!</v>
      </c>
      <c r="IJ84" t="e">
        <f>AND('Planilla_General_29-11-2012_10_'!C1265,"AAAAAG08/vM=")</f>
        <v>#VALUE!</v>
      </c>
      <c r="IK84" t="e">
        <f>AND('Planilla_General_29-11-2012_10_'!D1265,"AAAAAG08/vQ=")</f>
        <v>#VALUE!</v>
      </c>
      <c r="IL84" t="e">
        <f>AND('Planilla_General_29-11-2012_10_'!E1265,"AAAAAG08/vU=")</f>
        <v>#VALUE!</v>
      </c>
      <c r="IM84" t="e">
        <f>AND('Planilla_General_29-11-2012_10_'!F1265,"AAAAAG08/vY=")</f>
        <v>#VALUE!</v>
      </c>
      <c r="IN84" t="e">
        <f>AND('Planilla_General_29-11-2012_10_'!G1265,"AAAAAG08/vc=")</f>
        <v>#VALUE!</v>
      </c>
      <c r="IO84" t="e">
        <f>AND('Planilla_General_29-11-2012_10_'!H1265,"AAAAAG08/vg=")</f>
        <v>#VALUE!</v>
      </c>
      <c r="IP84" t="e">
        <f>AND('Planilla_General_29-11-2012_10_'!I1265,"AAAAAG08/vk=")</f>
        <v>#VALUE!</v>
      </c>
      <c r="IQ84" t="e">
        <f>AND('Planilla_General_29-11-2012_10_'!J1265,"AAAAAG08/vo=")</f>
        <v>#VALUE!</v>
      </c>
      <c r="IR84" t="e">
        <f>AND('Planilla_General_29-11-2012_10_'!K1265,"AAAAAG08/vs=")</f>
        <v>#VALUE!</v>
      </c>
      <c r="IS84" t="e">
        <f>AND('Planilla_General_29-11-2012_10_'!L1265,"AAAAAG08/vw=")</f>
        <v>#VALUE!</v>
      </c>
      <c r="IT84" t="e">
        <f>AND('Planilla_General_29-11-2012_10_'!M1265,"AAAAAG08/v0=")</f>
        <v>#VALUE!</v>
      </c>
      <c r="IU84" t="e">
        <f>AND('Planilla_General_29-11-2012_10_'!N1265,"AAAAAG08/v4=")</f>
        <v>#VALUE!</v>
      </c>
      <c r="IV84" t="e">
        <f>AND('Planilla_General_29-11-2012_10_'!O1265,"AAAAAG08/v8=")</f>
        <v>#VALUE!</v>
      </c>
    </row>
    <row r="85" spans="1:256" x14ac:dyDescent="0.25">
      <c r="A85" t="e">
        <f>AND('Planilla_General_29-11-2012_10_'!P1265,"AAAAAE3dygA=")</f>
        <v>#VALUE!</v>
      </c>
      <c r="B85" t="e">
        <f>IF('Planilla_General_29-11-2012_10_'!1266:1266,"AAAAAE3dygE=",0)</f>
        <v>#VALUE!</v>
      </c>
      <c r="C85" t="e">
        <f>AND('Planilla_General_29-11-2012_10_'!A1266,"AAAAAE3dygI=")</f>
        <v>#VALUE!</v>
      </c>
      <c r="D85" t="e">
        <f>AND('Planilla_General_29-11-2012_10_'!B1266,"AAAAAE3dygM=")</f>
        <v>#VALUE!</v>
      </c>
      <c r="E85" t="e">
        <f>AND('Planilla_General_29-11-2012_10_'!C1266,"AAAAAE3dygQ=")</f>
        <v>#VALUE!</v>
      </c>
      <c r="F85" t="e">
        <f>AND('Planilla_General_29-11-2012_10_'!D1266,"AAAAAE3dygU=")</f>
        <v>#VALUE!</v>
      </c>
      <c r="G85" t="e">
        <f>AND('Planilla_General_29-11-2012_10_'!E1266,"AAAAAE3dygY=")</f>
        <v>#VALUE!</v>
      </c>
      <c r="H85" t="e">
        <f>AND('Planilla_General_29-11-2012_10_'!F1266,"AAAAAE3dygc=")</f>
        <v>#VALUE!</v>
      </c>
      <c r="I85" t="e">
        <f>AND('Planilla_General_29-11-2012_10_'!G1266,"AAAAAE3dygg=")</f>
        <v>#VALUE!</v>
      </c>
      <c r="J85" t="e">
        <f>AND('Planilla_General_29-11-2012_10_'!H1266,"AAAAAE3dygk=")</f>
        <v>#VALUE!</v>
      </c>
      <c r="K85" t="e">
        <f>AND('Planilla_General_29-11-2012_10_'!I1266,"AAAAAE3dygo=")</f>
        <v>#VALUE!</v>
      </c>
      <c r="L85" t="e">
        <f>AND('Planilla_General_29-11-2012_10_'!J1266,"AAAAAE3dygs=")</f>
        <v>#VALUE!</v>
      </c>
      <c r="M85" t="e">
        <f>AND('Planilla_General_29-11-2012_10_'!K1266,"AAAAAE3dygw=")</f>
        <v>#VALUE!</v>
      </c>
      <c r="N85" t="e">
        <f>AND('Planilla_General_29-11-2012_10_'!L1266,"AAAAAE3dyg0=")</f>
        <v>#VALUE!</v>
      </c>
      <c r="O85" t="e">
        <f>AND('Planilla_General_29-11-2012_10_'!M1266,"AAAAAE3dyg4=")</f>
        <v>#VALUE!</v>
      </c>
      <c r="P85" t="e">
        <f>AND('Planilla_General_29-11-2012_10_'!N1266,"AAAAAE3dyg8=")</f>
        <v>#VALUE!</v>
      </c>
      <c r="Q85" t="e">
        <f>AND('Planilla_General_29-11-2012_10_'!O1266,"AAAAAE3dyhA=")</f>
        <v>#VALUE!</v>
      </c>
      <c r="R85" t="e">
        <f>AND('Planilla_General_29-11-2012_10_'!P1266,"AAAAAE3dyhE=")</f>
        <v>#VALUE!</v>
      </c>
      <c r="S85">
        <f>IF('Planilla_General_29-11-2012_10_'!1267:1267,"AAAAAE3dyhI=",0)</f>
        <v>0</v>
      </c>
      <c r="T85" t="e">
        <f>AND('Planilla_General_29-11-2012_10_'!A1267,"AAAAAE3dyhM=")</f>
        <v>#VALUE!</v>
      </c>
      <c r="U85" t="e">
        <f>AND('Planilla_General_29-11-2012_10_'!B1267,"AAAAAE3dyhQ=")</f>
        <v>#VALUE!</v>
      </c>
      <c r="V85" t="e">
        <f>AND('Planilla_General_29-11-2012_10_'!C1267,"AAAAAE3dyhU=")</f>
        <v>#VALUE!</v>
      </c>
      <c r="W85" t="e">
        <f>AND('Planilla_General_29-11-2012_10_'!D1267,"AAAAAE3dyhY=")</f>
        <v>#VALUE!</v>
      </c>
      <c r="X85" t="e">
        <f>AND('Planilla_General_29-11-2012_10_'!E1267,"AAAAAE3dyhc=")</f>
        <v>#VALUE!</v>
      </c>
      <c r="Y85" t="e">
        <f>AND('Planilla_General_29-11-2012_10_'!F1267,"AAAAAE3dyhg=")</f>
        <v>#VALUE!</v>
      </c>
      <c r="Z85" t="e">
        <f>AND('Planilla_General_29-11-2012_10_'!G1267,"AAAAAE3dyhk=")</f>
        <v>#VALUE!</v>
      </c>
      <c r="AA85" t="e">
        <f>AND('Planilla_General_29-11-2012_10_'!H1267,"AAAAAE3dyho=")</f>
        <v>#VALUE!</v>
      </c>
      <c r="AB85" t="e">
        <f>AND('Planilla_General_29-11-2012_10_'!I1267,"AAAAAE3dyhs=")</f>
        <v>#VALUE!</v>
      </c>
      <c r="AC85" t="e">
        <f>AND('Planilla_General_29-11-2012_10_'!J1267,"AAAAAE3dyhw=")</f>
        <v>#VALUE!</v>
      </c>
      <c r="AD85" t="e">
        <f>AND('Planilla_General_29-11-2012_10_'!K1267,"AAAAAE3dyh0=")</f>
        <v>#VALUE!</v>
      </c>
      <c r="AE85" t="e">
        <f>AND('Planilla_General_29-11-2012_10_'!L1267,"AAAAAE3dyh4=")</f>
        <v>#VALUE!</v>
      </c>
      <c r="AF85" t="e">
        <f>AND('Planilla_General_29-11-2012_10_'!M1267,"AAAAAE3dyh8=")</f>
        <v>#VALUE!</v>
      </c>
      <c r="AG85" t="e">
        <f>AND('Planilla_General_29-11-2012_10_'!N1267,"AAAAAE3dyiA=")</f>
        <v>#VALUE!</v>
      </c>
      <c r="AH85" t="e">
        <f>AND('Planilla_General_29-11-2012_10_'!O1267,"AAAAAE3dyiE=")</f>
        <v>#VALUE!</v>
      </c>
      <c r="AI85" t="e">
        <f>AND('Planilla_General_29-11-2012_10_'!P1267,"AAAAAE3dyiI=")</f>
        <v>#VALUE!</v>
      </c>
      <c r="AJ85">
        <f>IF('Planilla_General_29-11-2012_10_'!1268:1268,"AAAAAE3dyiM=",0)</f>
        <v>0</v>
      </c>
      <c r="AK85" t="e">
        <f>AND('Planilla_General_29-11-2012_10_'!A1268,"AAAAAE3dyiQ=")</f>
        <v>#VALUE!</v>
      </c>
      <c r="AL85" t="e">
        <f>AND('Planilla_General_29-11-2012_10_'!B1268,"AAAAAE3dyiU=")</f>
        <v>#VALUE!</v>
      </c>
      <c r="AM85" t="e">
        <f>AND('Planilla_General_29-11-2012_10_'!C1268,"AAAAAE3dyiY=")</f>
        <v>#VALUE!</v>
      </c>
      <c r="AN85" t="e">
        <f>AND('Planilla_General_29-11-2012_10_'!D1268,"AAAAAE3dyic=")</f>
        <v>#VALUE!</v>
      </c>
      <c r="AO85" t="e">
        <f>AND('Planilla_General_29-11-2012_10_'!E1268,"AAAAAE3dyig=")</f>
        <v>#VALUE!</v>
      </c>
      <c r="AP85" t="e">
        <f>AND('Planilla_General_29-11-2012_10_'!F1268,"AAAAAE3dyik=")</f>
        <v>#VALUE!</v>
      </c>
      <c r="AQ85" t="e">
        <f>AND('Planilla_General_29-11-2012_10_'!G1268,"AAAAAE3dyio=")</f>
        <v>#VALUE!</v>
      </c>
      <c r="AR85" t="e">
        <f>AND('Planilla_General_29-11-2012_10_'!H1268,"AAAAAE3dyis=")</f>
        <v>#VALUE!</v>
      </c>
      <c r="AS85" t="e">
        <f>AND('Planilla_General_29-11-2012_10_'!I1268,"AAAAAE3dyiw=")</f>
        <v>#VALUE!</v>
      </c>
      <c r="AT85" t="e">
        <f>AND('Planilla_General_29-11-2012_10_'!J1268,"AAAAAE3dyi0=")</f>
        <v>#VALUE!</v>
      </c>
      <c r="AU85" t="e">
        <f>AND('Planilla_General_29-11-2012_10_'!K1268,"AAAAAE3dyi4=")</f>
        <v>#VALUE!</v>
      </c>
      <c r="AV85" t="e">
        <f>AND('Planilla_General_29-11-2012_10_'!L1268,"AAAAAE3dyi8=")</f>
        <v>#VALUE!</v>
      </c>
      <c r="AW85" t="e">
        <f>AND('Planilla_General_29-11-2012_10_'!M1268,"AAAAAE3dyjA=")</f>
        <v>#VALUE!</v>
      </c>
      <c r="AX85" t="e">
        <f>AND('Planilla_General_29-11-2012_10_'!N1268,"AAAAAE3dyjE=")</f>
        <v>#VALUE!</v>
      </c>
      <c r="AY85" t="e">
        <f>AND('Planilla_General_29-11-2012_10_'!O1268,"AAAAAE3dyjI=")</f>
        <v>#VALUE!</v>
      </c>
      <c r="AZ85" t="e">
        <f>AND('Planilla_General_29-11-2012_10_'!P1268,"AAAAAE3dyjM=")</f>
        <v>#VALUE!</v>
      </c>
      <c r="BA85">
        <f>IF('Planilla_General_29-11-2012_10_'!1269:1269,"AAAAAE3dyjQ=",0)</f>
        <v>0</v>
      </c>
      <c r="BB85" t="e">
        <f>AND('Planilla_General_29-11-2012_10_'!A1269,"AAAAAE3dyjU=")</f>
        <v>#VALUE!</v>
      </c>
      <c r="BC85" t="e">
        <f>AND('Planilla_General_29-11-2012_10_'!B1269,"AAAAAE3dyjY=")</f>
        <v>#VALUE!</v>
      </c>
      <c r="BD85" t="e">
        <f>AND('Planilla_General_29-11-2012_10_'!C1269,"AAAAAE3dyjc=")</f>
        <v>#VALUE!</v>
      </c>
      <c r="BE85" t="e">
        <f>AND('Planilla_General_29-11-2012_10_'!D1269,"AAAAAE3dyjg=")</f>
        <v>#VALUE!</v>
      </c>
      <c r="BF85" t="e">
        <f>AND('Planilla_General_29-11-2012_10_'!E1269,"AAAAAE3dyjk=")</f>
        <v>#VALUE!</v>
      </c>
      <c r="BG85" t="e">
        <f>AND('Planilla_General_29-11-2012_10_'!F1269,"AAAAAE3dyjo=")</f>
        <v>#VALUE!</v>
      </c>
      <c r="BH85" t="e">
        <f>AND('Planilla_General_29-11-2012_10_'!G1269,"AAAAAE3dyjs=")</f>
        <v>#VALUE!</v>
      </c>
      <c r="BI85" t="e">
        <f>AND('Planilla_General_29-11-2012_10_'!H1269,"AAAAAE3dyjw=")</f>
        <v>#VALUE!</v>
      </c>
      <c r="BJ85" t="e">
        <f>AND('Planilla_General_29-11-2012_10_'!I1269,"AAAAAE3dyj0=")</f>
        <v>#VALUE!</v>
      </c>
      <c r="BK85" t="e">
        <f>AND('Planilla_General_29-11-2012_10_'!J1269,"AAAAAE3dyj4=")</f>
        <v>#VALUE!</v>
      </c>
      <c r="BL85" t="e">
        <f>AND('Planilla_General_29-11-2012_10_'!K1269,"AAAAAE3dyj8=")</f>
        <v>#VALUE!</v>
      </c>
      <c r="BM85" t="e">
        <f>AND('Planilla_General_29-11-2012_10_'!L1269,"AAAAAE3dykA=")</f>
        <v>#VALUE!</v>
      </c>
      <c r="BN85" t="e">
        <f>AND('Planilla_General_29-11-2012_10_'!M1269,"AAAAAE3dykE=")</f>
        <v>#VALUE!</v>
      </c>
      <c r="BO85" t="e">
        <f>AND('Planilla_General_29-11-2012_10_'!N1269,"AAAAAE3dykI=")</f>
        <v>#VALUE!</v>
      </c>
      <c r="BP85" t="e">
        <f>AND('Planilla_General_29-11-2012_10_'!O1269,"AAAAAE3dykM=")</f>
        <v>#VALUE!</v>
      </c>
      <c r="BQ85" t="e">
        <f>AND('Planilla_General_29-11-2012_10_'!P1269,"AAAAAE3dykQ=")</f>
        <v>#VALUE!</v>
      </c>
      <c r="BR85">
        <f>IF('Planilla_General_29-11-2012_10_'!1270:1270,"AAAAAE3dykU=",0)</f>
        <v>0</v>
      </c>
      <c r="BS85" t="e">
        <f>AND('Planilla_General_29-11-2012_10_'!A1270,"AAAAAE3dykY=")</f>
        <v>#VALUE!</v>
      </c>
      <c r="BT85" t="e">
        <f>AND('Planilla_General_29-11-2012_10_'!B1270,"AAAAAE3dykc=")</f>
        <v>#VALUE!</v>
      </c>
      <c r="BU85" t="e">
        <f>AND('Planilla_General_29-11-2012_10_'!C1270,"AAAAAE3dykg=")</f>
        <v>#VALUE!</v>
      </c>
      <c r="BV85" t="e">
        <f>AND('Planilla_General_29-11-2012_10_'!D1270,"AAAAAE3dykk=")</f>
        <v>#VALUE!</v>
      </c>
      <c r="BW85" t="e">
        <f>AND('Planilla_General_29-11-2012_10_'!E1270,"AAAAAE3dyko=")</f>
        <v>#VALUE!</v>
      </c>
      <c r="BX85" t="e">
        <f>AND('Planilla_General_29-11-2012_10_'!F1270,"AAAAAE3dyks=")</f>
        <v>#VALUE!</v>
      </c>
      <c r="BY85" t="e">
        <f>AND('Planilla_General_29-11-2012_10_'!G1270,"AAAAAE3dykw=")</f>
        <v>#VALUE!</v>
      </c>
      <c r="BZ85" t="e">
        <f>AND('Planilla_General_29-11-2012_10_'!H1270,"AAAAAE3dyk0=")</f>
        <v>#VALUE!</v>
      </c>
      <c r="CA85" t="e">
        <f>AND('Planilla_General_29-11-2012_10_'!I1270,"AAAAAE3dyk4=")</f>
        <v>#VALUE!</v>
      </c>
      <c r="CB85" t="e">
        <f>AND('Planilla_General_29-11-2012_10_'!J1270,"AAAAAE3dyk8=")</f>
        <v>#VALUE!</v>
      </c>
      <c r="CC85" t="e">
        <f>AND('Planilla_General_29-11-2012_10_'!K1270,"AAAAAE3dylA=")</f>
        <v>#VALUE!</v>
      </c>
      <c r="CD85" t="e">
        <f>AND('Planilla_General_29-11-2012_10_'!L1270,"AAAAAE3dylE=")</f>
        <v>#VALUE!</v>
      </c>
      <c r="CE85" t="e">
        <f>AND('Planilla_General_29-11-2012_10_'!M1270,"AAAAAE3dylI=")</f>
        <v>#VALUE!</v>
      </c>
      <c r="CF85" t="e">
        <f>AND('Planilla_General_29-11-2012_10_'!N1270,"AAAAAE3dylM=")</f>
        <v>#VALUE!</v>
      </c>
      <c r="CG85" t="e">
        <f>AND('Planilla_General_29-11-2012_10_'!O1270,"AAAAAE3dylQ=")</f>
        <v>#VALUE!</v>
      </c>
      <c r="CH85" t="e">
        <f>AND('Planilla_General_29-11-2012_10_'!P1270,"AAAAAE3dylU=")</f>
        <v>#VALUE!</v>
      </c>
      <c r="CI85">
        <f>IF('Planilla_General_29-11-2012_10_'!1271:1271,"AAAAAE3dylY=",0)</f>
        <v>0</v>
      </c>
      <c r="CJ85" t="e">
        <f>AND('Planilla_General_29-11-2012_10_'!A1271,"AAAAAE3dylc=")</f>
        <v>#VALUE!</v>
      </c>
      <c r="CK85" t="e">
        <f>AND('Planilla_General_29-11-2012_10_'!B1271,"AAAAAE3dylg=")</f>
        <v>#VALUE!</v>
      </c>
      <c r="CL85" t="e">
        <f>AND('Planilla_General_29-11-2012_10_'!C1271,"AAAAAE3dylk=")</f>
        <v>#VALUE!</v>
      </c>
      <c r="CM85" t="e">
        <f>AND('Planilla_General_29-11-2012_10_'!D1271,"AAAAAE3dylo=")</f>
        <v>#VALUE!</v>
      </c>
      <c r="CN85" t="e">
        <f>AND('Planilla_General_29-11-2012_10_'!E1271,"AAAAAE3dyls=")</f>
        <v>#VALUE!</v>
      </c>
      <c r="CO85" t="e">
        <f>AND('Planilla_General_29-11-2012_10_'!F1271,"AAAAAE3dylw=")</f>
        <v>#VALUE!</v>
      </c>
      <c r="CP85" t="e">
        <f>AND('Planilla_General_29-11-2012_10_'!G1271,"AAAAAE3dyl0=")</f>
        <v>#VALUE!</v>
      </c>
      <c r="CQ85" t="e">
        <f>AND('Planilla_General_29-11-2012_10_'!H1271,"AAAAAE3dyl4=")</f>
        <v>#VALUE!</v>
      </c>
      <c r="CR85" t="e">
        <f>AND('Planilla_General_29-11-2012_10_'!I1271,"AAAAAE3dyl8=")</f>
        <v>#VALUE!</v>
      </c>
      <c r="CS85" t="e">
        <f>AND('Planilla_General_29-11-2012_10_'!J1271,"AAAAAE3dymA=")</f>
        <v>#VALUE!</v>
      </c>
      <c r="CT85" t="e">
        <f>AND('Planilla_General_29-11-2012_10_'!K1271,"AAAAAE3dymE=")</f>
        <v>#VALUE!</v>
      </c>
      <c r="CU85" t="e">
        <f>AND('Planilla_General_29-11-2012_10_'!L1271,"AAAAAE3dymI=")</f>
        <v>#VALUE!</v>
      </c>
      <c r="CV85" t="e">
        <f>AND('Planilla_General_29-11-2012_10_'!M1271,"AAAAAE3dymM=")</f>
        <v>#VALUE!</v>
      </c>
      <c r="CW85" t="e">
        <f>AND('Planilla_General_29-11-2012_10_'!N1271,"AAAAAE3dymQ=")</f>
        <v>#VALUE!</v>
      </c>
      <c r="CX85" t="e">
        <f>AND('Planilla_General_29-11-2012_10_'!O1271,"AAAAAE3dymU=")</f>
        <v>#VALUE!</v>
      </c>
      <c r="CY85" t="e">
        <f>AND('Planilla_General_29-11-2012_10_'!P1271,"AAAAAE3dymY=")</f>
        <v>#VALUE!</v>
      </c>
      <c r="CZ85">
        <f>IF('Planilla_General_29-11-2012_10_'!1272:1272,"AAAAAE3dymc=",0)</f>
        <v>0</v>
      </c>
      <c r="DA85" t="e">
        <f>AND('Planilla_General_29-11-2012_10_'!A1272,"AAAAAE3dymg=")</f>
        <v>#VALUE!</v>
      </c>
      <c r="DB85" t="e">
        <f>AND('Planilla_General_29-11-2012_10_'!B1272,"AAAAAE3dymk=")</f>
        <v>#VALUE!</v>
      </c>
      <c r="DC85" t="e">
        <f>AND('Planilla_General_29-11-2012_10_'!C1272,"AAAAAE3dymo=")</f>
        <v>#VALUE!</v>
      </c>
      <c r="DD85" t="e">
        <f>AND('Planilla_General_29-11-2012_10_'!D1272,"AAAAAE3dyms=")</f>
        <v>#VALUE!</v>
      </c>
      <c r="DE85" t="e">
        <f>AND('Planilla_General_29-11-2012_10_'!E1272,"AAAAAE3dymw=")</f>
        <v>#VALUE!</v>
      </c>
      <c r="DF85" t="e">
        <f>AND('Planilla_General_29-11-2012_10_'!F1272,"AAAAAE3dym0=")</f>
        <v>#VALUE!</v>
      </c>
      <c r="DG85" t="e">
        <f>AND('Planilla_General_29-11-2012_10_'!G1272,"AAAAAE3dym4=")</f>
        <v>#VALUE!</v>
      </c>
      <c r="DH85" t="e">
        <f>AND('Planilla_General_29-11-2012_10_'!H1272,"AAAAAE3dym8=")</f>
        <v>#VALUE!</v>
      </c>
      <c r="DI85" t="e">
        <f>AND('Planilla_General_29-11-2012_10_'!I1272,"AAAAAE3dynA=")</f>
        <v>#VALUE!</v>
      </c>
      <c r="DJ85" t="e">
        <f>AND('Planilla_General_29-11-2012_10_'!J1272,"AAAAAE3dynE=")</f>
        <v>#VALUE!</v>
      </c>
      <c r="DK85" t="e">
        <f>AND('Planilla_General_29-11-2012_10_'!K1272,"AAAAAE3dynI=")</f>
        <v>#VALUE!</v>
      </c>
      <c r="DL85" t="e">
        <f>AND('Planilla_General_29-11-2012_10_'!L1272,"AAAAAE3dynM=")</f>
        <v>#VALUE!</v>
      </c>
      <c r="DM85" t="e">
        <f>AND('Planilla_General_29-11-2012_10_'!M1272,"AAAAAE3dynQ=")</f>
        <v>#VALUE!</v>
      </c>
      <c r="DN85" t="e">
        <f>AND('Planilla_General_29-11-2012_10_'!N1272,"AAAAAE3dynU=")</f>
        <v>#VALUE!</v>
      </c>
      <c r="DO85" t="e">
        <f>AND('Planilla_General_29-11-2012_10_'!O1272,"AAAAAE3dynY=")</f>
        <v>#VALUE!</v>
      </c>
      <c r="DP85" t="e">
        <f>AND('Planilla_General_29-11-2012_10_'!P1272,"AAAAAE3dync=")</f>
        <v>#VALUE!</v>
      </c>
      <c r="DQ85">
        <f>IF('Planilla_General_29-11-2012_10_'!1273:1273,"AAAAAE3dyng=",0)</f>
        <v>0</v>
      </c>
      <c r="DR85" t="e">
        <f>AND('Planilla_General_29-11-2012_10_'!A1273,"AAAAAE3dynk=")</f>
        <v>#VALUE!</v>
      </c>
      <c r="DS85" t="e">
        <f>AND('Planilla_General_29-11-2012_10_'!B1273,"AAAAAE3dyno=")</f>
        <v>#VALUE!</v>
      </c>
      <c r="DT85" t="e">
        <f>AND('Planilla_General_29-11-2012_10_'!C1273,"AAAAAE3dyns=")</f>
        <v>#VALUE!</v>
      </c>
      <c r="DU85" t="e">
        <f>AND('Planilla_General_29-11-2012_10_'!D1273,"AAAAAE3dynw=")</f>
        <v>#VALUE!</v>
      </c>
      <c r="DV85" t="e">
        <f>AND('Planilla_General_29-11-2012_10_'!E1273,"AAAAAE3dyn0=")</f>
        <v>#VALUE!</v>
      </c>
      <c r="DW85" t="e">
        <f>AND('Planilla_General_29-11-2012_10_'!F1273,"AAAAAE3dyn4=")</f>
        <v>#VALUE!</v>
      </c>
      <c r="DX85" t="e">
        <f>AND('Planilla_General_29-11-2012_10_'!G1273,"AAAAAE3dyn8=")</f>
        <v>#VALUE!</v>
      </c>
      <c r="DY85" t="e">
        <f>AND('Planilla_General_29-11-2012_10_'!H1273,"AAAAAE3dyoA=")</f>
        <v>#VALUE!</v>
      </c>
      <c r="DZ85" t="e">
        <f>AND('Planilla_General_29-11-2012_10_'!I1273,"AAAAAE3dyoE=")</f>
        <v>#VALUE!</v>
      </c>
      <c r="EA85" t="e">
        <f>AND('Planilla_General_29-11-2012_10_'!J1273,"AAAAAE3dyoI=")</f>
        <v>#VALUE!</v>
      </c>
      <c r="EB85" t="e">
        <f>AND('Planilla_General_29-11-2012_10_'!K1273,"AAAAAE3dyoM=")</f>
        <v>#VALUE!</v>
      </c>
      <c r="EC85" t="e">
        <f>AND('Planilla_General_29-11-2012_10_'!L1273,"AAAAAE3dyoQ=")</f>
        <v>#VALUE!</v>
      </c>
      <c r="ED85" t="e">
        <f>AND('Planilla_General_29-11-2012_10_'!M1273,"AAAAAE3dyoU=")</f>
        <v>#VALUE!</v>
      </c>
      <c r="EE85" t="e">
        <f>AND('Planilla_General_29-11-2012_10_'!N1273,"AAAAAE3dyoY=")</f>
        <v>#VALUE!</v>
      </c>
      <c r="EF85" t="e">
        <f>AND('Planilla_General_29-11-2012_10_'!O1273,"AAAAAE3dyoc=")</f>
        <v>#VALUE!</v>
      </c>
      <c r="EG85" t="e">
        <f>AND('Planilla_General_29-11-2012_10_'!P1273,"AAAAAE3dyog=")</f>
        <v>#VALUE!</v>
      </c>
      <c r="EH85">
        <f>IF('Planilla_General_29-11-2012_10_'!1274:1274,"AAAAAE3dyok=",0)</f>
        <v>0</v>
      </c>
      <c r="EI85" t="e">
        <f>AND('Planilla_General_29-11-2012_10_'!A1274,"AAAAAE3dyoo=")</f>
        <v>#VALUE!</v>
      </c>
      <c r="EJ85" t="e">
        <f>AND('Planilla_General_29-11-2012_10_'!B1274,"AAAAAE3dyos=")</f>
        <v>#VALUE!</v>
      </c>
      <c r="EK85" t="e">
        <f>AND('Planilla_General_29-11-2012_10_'!C1274,"AAAAAE3dyow=")</f>
        <v>#VALUE!</v>
      </c>
      <c r="EL85" t="e">
        <f>AND('Planilla_General_29-11-2012_10_'!D1274,"AAAAAE3dyo0=")</f>
        <v>#VALUE!</v>
      </c>
      <c r="EM85" t="e">
        <f>AND('Planilla_General_29-11-2012_10_'!E1274,"AAAAAE3dyo4=")</f>
        <v>#VALUE!</v>
      </c>
      <c r="EN85" t="e">
        <f>AND('Planilla_General_29-11-2012_10_'!F1274,"AAAAAE3dyo8=")</f>
        <v>#VALUE!</v>
      </c>
      <c r="EO85" t="e">
        <f>AND('Planilla_General_29-11-2012_10_'!G1274,"AAAAAE3dypA=")</f>
        <v>#VALUE!</v>
      </c>
      <c r="EP85" t="e">
        <f>AND('Planilla_General_29-11-2012_10_'!H1274,"AAAAAE3dypE=")</f>
        <v>#VALUE!</v>
      </c>
      <c r="EQ85" t="e">
        <f>AND('Planilla_General_29-11-2012_10_'!I1274,"AAAAAE3dypI=")</f>
        <v>#VALUE!</v>
      </c>
      <c r="ER85" t="e">
        <f>AND('Planilla_General_29-11-2012_10_'!J1274,"AAAAAE3dypM=")</f>
        <v>#VALUE!</v>
      </c>
      <c r="ES85" t="e">
        <f>AND('Planilla_General_29-11-2012_10_'!K1274,"AAAAAE3dypQ=")</f>
        <v>#VALUE!</v>
      </c>
      <c r="ET85" t="e">
        <f>AND('Planilla_General_29-11-2012_10_'!L1274,"AAAAAE3dypU=")</f>
        <v>#VALUE!</v>
      </c>
      <c r="EU85" t="e">
        <f>AND('Planilla_General_29-11-2012_10_'!M1274,"AAAAAE3dypY=")</f>
        <v>#VALUE!</v>
      </c>
      <c r="EV85" t="e">
        <f>AND('Planilla_General_29-11-2012_10_'!N1274,"AAAAAE3dypc=")</f>
        <v>#VALUE!</v>
      </c>
      <c r="EW85" t="e">
        <f>AND('Planilla_General_29-11-2012_10_'!O1274,"AAAAAE3dypg=")</f>
        <v>#VALUE!</v>
      </c>
      <c r="EX85" t="e">
        <f>AND('Planilla_General_29-11-2012_10_'!P1274,"AAAAAE3dypk=")</f>
        <v>#VALUE!</v>
      </c>
      <c r="EY85">
        <f>IF('Planilla_General_29-11-2012_10_'!1275:1275,"AAAAAE3dypo=",0)</f>
        <v>0</v>
      </c>
      <c r="EZ85" t="e">
        <f>AND('Planilla_General_29-11-2012_10_'!A1275,"AAAAAE3dyps=")</f>
        <v>#VALUE!</v>
      </c>
      <c r="FA85" t="e">
        <f>AND('Planilla_General_29-11-2012_10_'!B1275,"AAAAAE3dypw=")</f>
        <v>#VALUE!</v>
      </c>
      <c r="FB85" t="e">
        <f>AND('Planilla_General_29-11-2012_10_'!C1275,"AAAAAE3dyp0=")</f>
        <v>#VALUE!</v>
      </c>
      <c r="FC85" t="e">
        <f>AND('Planilla_General_29-11-2012_10_'!D1275,"AAAAAE3dyp4=")</f>
        <v>#VALUE!</v>
      </c>
      <c r="FD85" t="e">
        <f>AND('Planilla_General_29-11-2012_10_'!E1275,"AAAAAE3dyp8=")</f>
        <v>#VALUE!</v>
      </c>
      <c r="FE85" t="e">
        <f>AND('Planilla_General_29-11-2012_10_'!F1275,"AAAAAE3dyqA=")</f>
        <v>#VALUE!</v>
      </c>
      <c r="FF85" t="e">
        <f>AND('Planilla_General_29-11-2012_10_'!G1275,"AAAAAE3dyqE=")</f>
        <v>#VALUE!</v>
      </c>
      <c r="FG85" t="e">
        <f>AND('Planilla_General_29-11-2012_10_'!H1275,"AAAAAE3dyqI=")</f>
        <v>#VALUE!</v>
      </c>
      <c r="FH85" t="e">
        <f>AND('Planilla_General_29-11-2012_10_'!I1275,"AAAAAE3dyqM=")</f>
        <v>#VALUE!</v>
      </c>
      <c r="FI85" t="e">
        <f>AND('Planilla_General_29-11-2012_10_'!J1275,"AAAAAE3dyqQ=")</f>
        <v>#VALUE!</v>
      </c>
      <c r="FJ85" t="e">
        <f>AND('Planilla_General_29-11-2012_10_'!K1275,"AAAAAE3dyqU=")</f>
        <v>#VALUE!</v>
      </c>
      <c r="FK85" t="e">
        <f>AND('Planilla_General_29-11-2012_10_'!L1275,"AAAAAE3dyqY=")</f>
        <v>#VALUE!</v>
      </c>
      <c r="FL85" t="e">
        <f>AND('Planilla_General_29-11-2012_10_'!M1275,"AAAAAE3dyqc=")</f>
        <v>#VALUE!</v>
      </c>
      <c r="FM85" t="e">
        <f>AND('Planilla_General_29-11-2012_10_'!N1275,"AAAAAE3dyqg=")</f>
        <v>#VALUE!</v>
      </c>
      <c r="FN85" t="e">
        <f>AND('Planilla_General_29-11-2012_10_'!O1275,"AAAAAE3dyqk=")</f>
        <v>#VALUE!</v>
      </c>
      <c r="FO85" t="e">
        <f>AND('Planilla_General_29-11-2012_10_'!P1275,"AAAAAE3dyqo=")</f>
        <v>#VALUE!</v>
      </c>
      <c r="FP85">
        <f>IF('Planilla_General_29-11-2012_10_'!1276:1276,"AAAAAE3dyqs=",0)</f>
        <v>0</v>
      </c>
      <c r="FQ85" t="e">
        <f>AND('Planilla_General_29-11-2012_10_'!A1276,"AAAAAE3dyqw=")</f>
        <v>#VALUE!</v>
      </c>
      <c r="FR85" t="e">
        <f>AND('Planilla_General_29-11-2012_10_'!B1276,"AAAAAE3dyq0=")</f>
        <v>#VALUE!</v>
      </c>
      <c r="FS85" t="e">
        <f>AND('Planilla_General_29-11-2012_10_'!C1276,"AAAAAE3dyq4=")</f>
        <v>#VALUE!</v>
      </c>
      <c r="FT85" t="e">
        <f>AND('Planilla_General_29-11-2012_10_'!D1276,"AAAAAE3dyq8=")</f>
        <v>#VALUE!</v>
      </c>
      <c r="FU85" t="e">
        <f>AND('Planilla_General_29-11-2012_10_'!E1276,"AAAAAE3dyrA=")</f>
        <v>#VALUE!</v>
      </c>
      <c r="FV85" t="e">
        <f>AND('Planilla_General_29-11-2012_10_'!F1276,"AAAAAE3dyrE=")</f>
        <v>#VALUE!</v>
      </c>
      <c r="FW85" t="e">
        <f>AND('Planilla_General_29-11-2012_10_'!G1276,"AAAAAE3dyrI=")</f>
        <v>#VALUE!</v>
      </c>
      <c r="FX85" t="e">
        <f>AND('Planilla_General_29-11-2012_10_'!H1276,"AAAAAE3dyrM=")</f>
        <v>#VALUE!</v>
      </c>
      <c r="FY85" t="e">
        <f>AND('Planilla_General_29-11-2012_10_'!I1276,"AAAAAE3dyrQ=")</f>
        <v>#VALUE!</v>
      </c>
      <c r="FZ85" t="e">
        <f>AND('Planilla_General_29-11-2012_10_'!J1276,"AAAAAE3dyrU=")</f>
        <v>#VALUE!</v>
      </c>
      <c r="GA85" t="e">
        <f>AND('Planilla_General_29-11-2012_10_'!K1276,"AAAAAE3dyrY=")</f>
        <v>#VALUE!</v>
      </c>
      <c r="GB85" t="e">
        <f>AND('Planilla_General_29-11-2012_10_'!L1276,"AAAAAE3dyrc=")</f>
        <v>#VALUE!</v>
      </c>
      <c r="GC85" t="e">
        <f>AND('Planilla_General_29-11-2012_10_'!M1276,"AAAAAE3dyrg=")</f>
        <v>#VALUE!</v>
      </c>
      <c r="GD85" t="e">
        <f>AND('Planilla_General_29-11-2012_10_'!N1276,"AAAAAE3dyrk=")</f>
        <v>#VALUE!</v>
      </c>
      <c r="GE85" t="e">
        <f>AND('Planilla_General_29-11-2012_10_'!O1276,"AAAAAE3dyro=")</f>
        <v>#VALUE!</v>
      </c>
      <c r="GF85" t="e">
        <f>AND('Planilla_General_29-11-2012_10_'!P1276,"AAAAAE3dyrs=")</f>
        <v>#VALUE!</v>
      </c>
      <c r="GG85">
        <f>IF('Planilla_General_29-11-2012_10_'!1277:1277,"AAAAAE3dyrw=",0)</f>
        <v>0</v>
      </c>
      <c r="GH85" t="e">
        <f>AND('Planilla_General_29-11-2012_10_'!A1277,"AAAAAE3dyr0=")</f>
        <v>#VALUE!</v>
      </c>
      <c r="GI85" t="e">
        <f>AND('Planilla_General_29-11-2012_10_'!B1277,"AAAAAE3dyr4=")</f>
        <v>#VALUE!</v>
      </c>
      <c r="GJ85" t="e">
        <f>AND('Planilla_General_29-11-2012_10_'!C1277,"AAAAAE3dyr8=")</f>
        <v>#VALUE!</v>
      </c>
      <c r="GK85" t="e">
        <f>AND('Planilla_General_29-11-2012_10_'!D1277,"AAAAAE3dysA=")</f>
        <v>#VALUE!</v>
      </c>
      <c r="GL85" t="e">
        <f>AND('Planilla_General_29-11-2012_10_'!E1277,"AAAAAE3dysE=")</f>
        <v>#VALUE!</v>
      </c>
      <c r="GM85" t="e">
        <f>AND('Planilla_General_29-11-2012_10_'!F1277,"AAAAAE3dysI=")</f>
        <v>#VALUE!</v>
      </c>
      <c r="GN85" t="e">
        <f>AND('Planilla_General_29-11-2012_10_'!G1277,"AAAAAE3dysM=")</f>
        <v>#VALUE!</v>
      </c>
      <c r="GO85" t="e">
        <f>AND('Planilla_General_29-11-2012_10_'!H1277,"AAAAAE3dysQ=")</f>
        <v>#VALUE!</v>
      </c>
      <c r="GP85" t="e">
        <f>AND('Planilla_General_29-11-2012_10_'!I1277,"AAAAAE3dysU=")</f>
        <v>#VALUE!</v>
      </c>
      <c r="GQ85" t="e">
        <f>AND('Planilla_General_29-11-2012_10_'!J1277,"AAAAAE3dysY=")</f>
        <v>#VALUE!</v>
      </c>
      <c r="GR85" t="e">
        <f>AND('Planilla_General_29-11-2012_10_'!K1277,"AAAAAE3dysc=")</f>
        <v>#VALUE!</v>
      </c>
      <c r="GS85" t="e">
        <f>AND('Planilla_General_29-11-2012_10_'!L1277,"AAAAAE3dysg=")</f>
        <v>#VALUE!</v>
      </c>
      <c r="GT85" t="e">
        <f>AND('Planilla_General_29-11-2012_10_'!M1277,"AAAAAE3dysk=")</f>
        <v>#VALUE!</v>
      </c>
      <c r="GU85" t="e">
        <f>AND('Planilla_General_29-11-2012_10_'!N1277,"AAAAAE3dyso=")</f>
        <v>#VALUE!</v>
      </c>
      <c r="GV85" t="e">
        <f>AND('Planilla_General_29-11-2012_10_'!O1277,"AAAAAE3dyss=")</f>
        <v>#VALUE!</v>
      </c>
      <c r="GW85" t="e">
        <f>AND('Planilla_General_29-11-2012_10_'!P1277,"AAAAAE3dysw=")</f>
        <v>#VALUE!</v>
      </c>
      <c r="GX85">
        <f>IF('Planilla_General_29-11-2012_10_'!1278:1278,"AAAAAE3dys0=",0)</f>
        <v>0</v>
      </c>
      <c r="GY85" t="e">
        <f>AND('Planilla_General_29-11-2012_10_'!A1278,"AAAAAE3dys4=")</f>
        <v>#VALUE!</v>
      </c>
      <c r="GZ85" t="e">
        <f>AND('Planilla_General_29-11-2012_10_'!B1278,"AAAAAE3dys8=")</f>
        <v>#VALUE!</v>
      </c>
      <c r="HA85" t="e">
        <f>AND('Planilla_General_29-11-2012_10_'!C1278,"AAAAAE3dytA=")</f>
        <v>#VALUE!</v>
      </c>
      <c r="HB85" t="e">
        <f>AND('Planilla_General_29-11-2012_10_'!D1278,"AAAAAE3dytE=")</f>
        <v>#VALUE!</v>
      </c>
      <c r="HC85" t="e">
        <f>AND('Planilla_General_29-11-2012_10_'!E1278,"AAAAAE3dytI=")</f>
        <v>#VALUE!</v>
      </c>
      <c r="HD85" t="e">
        <f>AND('Planilla_General_29-11-2012_10_'!F1278,"AAAAAE3dytM=")</f>
        <v>#VALUE!</v>
      </c>
      <c r="HE85" t="e">
        <f>AND('Planilla_General_29-11-2012_10_'!G1278,"AAAAAE3dytQ=")</f>
        <v>#VALUE!</v>
      </c>
      <c r="HF85" t="e">
        <f>AND('Planilla_General_29-11-2012_10_'!H1278,"AAAAAE3dytU=")</f>
        <v>#VALUE!</v>
      </c>
      <c r="HG85" t="e">
        <f>AND('Planilla_General_29-11-2012_10_'!I1278,"AAAAAE3dytY=")</f>
        <v>#VALUE!</v>
      </c>
      <c r="HH85" t="e">
        <f>AND('Planilla_General_29-11-2012_10_'!J1278,"AAAAAE3dytc=")</f>
        <v>#VALUE!</v>
      </c>
      <c r="HI85" t="e">
        <f>AND('Planilla_General_29-11-2012_10_'!K1278,"AAAAAE3dytg=")</f>
        <v>#VALUE!</v>
      </c>
      <c r="HJ85" t="e">
        <f>AND('Planilla_General_29-11-2012_10_'!L1278,"AAAAAE3dytk=")</f>
        <v>#VALUE!</v>
      </c>
      <c r="HK85" t="e">
        <f>AND('Planilla_General_29-11-2012_10_'!M1278,"AAAAAE3dyto=")</f>
        <v>#VALUE!</v>
      </c>
      <c r="HL85" t="e">
        <f>AND('Planilla_General_29-11-2012_10_'!N1278,"AAAAAE3dyts=")</f>
        <v>#VALUE!</v>
      </c>
      <c r="HM85" t="e">
        <f>AND('Planilla_General_29-11-2012_10_'!O1278,"AAAAAE3dytw=")</f>
        <v>#VALUE!</v>
      </c>
      <c r="HN85" t="e">
        <f>AND('Planilla_General_29-11-2012_10_'!P1278,"AAAAAE3dyt0=")</f>
        <v>#VALUE!</v>
      </c>
      <c r="HO85">
        <f>IF('Planilla_General_29-11-2012_10_'!1279:1279,"AAAAAE3dyt4=",0)</f>
        <v>0</v>
      </c>
      <c r="HP85" t="e">
        <f>AND('Planilla_General_29-11-2012_10_'!A1279,"AAAAAE3dyt8=")</f>
        <v>#VALUE!</v>
      </c>
      <c r="HQ85" t="e">
        <f>AND('Planilla_General_29-11-2012_10_'!B1279,"AAAAAE3dyuA=")</f>
        <v>#VALUE!</v>
      </c>
      <c r="HR85" t="e">
        <f>AND('Planilla_General_29-11-2012_10_'!C1279,"AAAAAE3dyuE=")</f>
        <v>#VALUE!</v>
      </c>
      <c r="HS85" t="e">
        <f>AND('Planilla_General_29-11-2012_10_'!D1279,"AAAAAE3dyuI=")</f>
        <v>#VALUE!</v>
      </c>
      <c r="HT85" t="e">
        <f>AND('Planilla_General_29-11-2012_10_'!E1279,"AAAAAE3dyuM=")</f>
        <v>#VALUE!</v>
      </c>
      <c r="HU85" t="e">
        <f>AND('Planilla_General_29-11-2012_10_'!F1279,"AAAAAE3dyuQ=")</f>
        <v>#VALUE!</v>
      </c>
      <c r="HV85" t="e">
        <f>AND('Planilla_General_29-11-2012_10_'!G1279,"AAAAAE3dyuU=")</f>
        <v>#VALUE!</v>
      </c>
      <c r="HW85" t="e">
        <f>AND('Planilla_General_29-11-2012_10_'!H1279,"AAAAAE3dyuY=")</f>
        <v>#VALUE!</v>
      </c>
      <c r="HX85" t="e">
        <f>AND('Planilla_General_29-11-2012_10_'!I1279,"AAAAAE3dyuc=")</f>
        <v>#VALUE!</v>
      </c>
      <c r="HY85" t="e">
        <f>AND('Planilla_General_29-11-2012_10_'!J1279,"AAAAAE3dyug=")</f>
        <v>#VALUE!</v>
      </c>
      <c r="HZ85" t="e">
        <f>AND('Planilla_General_29-11-2012_10_'!K1279,"AAAAAE3dyuk=")</f>
        <v>#VALUE!</v>
      </c>
      <c r="IA85" t="e">
        <f>AND('Planilla_General_29-11-2012_10_'!L1279,"AAAAAE3dyuo=")</f>
        <v>#VALUE!</v>
      </c>
      <c r="IB85" t="e">
        <f>AND('Planilla_General_29-11-2012_10_'!M1279,"AAAAAE3dyus=")</f>
        <v>#VALUE!</v>
      </c>
      <c r="IC85" t="e">
        <f>AND('Planilla_General_29-11-2012_10_'!N1279,"AAAAAE3dyuw=")</f>
        <v>#VALUE!</v>
      </c>
      <c r="ID85" t="e">
        <f>AND('Planilla_General_29-11-2012_10_'!O1279,"AAAAAE3dyu0=")</f>
        <v>#VALUE!</v>
      </c>
      <c r="IE85" t="e">
        <f>AND('Planilla_General_29-11-2012_10_'!P1279,"AAAAAE3dyu4=")</f>
        <v>#VALUE!</v>
      </c>
      <c r="IF85">
        <f>IF('Planilla_General_29-11-2012_10_'!1280:1280,"AAAAAE3dyu8=",0)</f>
        <v>0</v>
      </c>
      <c r="IG85" t="e">
        <f>AND('Planilla_General_29-11-2012_10_'!A1280,"AAAAAE3dyvA=")</f>
        <v>#VALUE!</v>
      </c>
      <c r="IH85" t="e">
        <f>AND('Planilla_General_29-11-2012_10_'!B1280,"AAAAAE3dyvE=")</f>
        <v>#VALUE!</v>
      </c>
      <c r="II85" t="e">
        <f>AND('Planilla_General_29-11-2012_10_'!C1280,"AAAAAE3dyvI=")</f>
        <v>#VALUE!</v>
      </c>
      <c r="IJ85" t="e">
        <f>AND('Planilla_General_29-11-2012_10_'!D1280,"AAAAAE3dyvM=")</f>
        <v>#VALUE!</v>
      </c>
      <c r="IK85" t="e">
        <f>AND('Planilla_General_29-11-2012_10_'!E1280,"AAAAAE3dyvQ=")</f>
        <v>#VALUE!</v>
      </c>
      <c r="IL85" t="e">
        <f>AND('Planilla_General_29-11-2012_10_'!F1280,"AAAAAE3dyvU=")</f>
        <v>#VALUE!</v>
      </c>
      <c r="IM85" t="e">
        <f>AND('Planilla_General_29-11-2012_10_'!G1280,"AAAAAE3dyvY=")</f>
        <v>#VALUE!</v>
      </c>
      <c r="IN85" t="e">
        <f>AND('Planilla_General_29-11-2012_10_'!H1280,"AAAAAE3dyvc=")</f>
        <v>#VALUE!</v>
      </c>
      <c r="IO85" t="e">
        <f>AND('Planilla_General_29-11-2012_10_'!I1280,"AAAAAE3dyvg=")</f>
        <v>#VALUE!</v>
      </c>
      <c r="IP85" t="e">
        <f>AND('Planilla_General_29-11-2012_10_'!J1280,"AAAAAE3dyvk=")</f>
        <v>#VALUE!</v>
      </c>
      <c r="IQ85" t="e">
        <f>AND('Planilla_General_29-11-2012_10_'!K1280,"AAAAAE3dyvo=")</f>
        <v>#VALUE!</v>
      </c>
      <c r="IR85" t="e">
        <f>AND('Planilla_General_29-11-2012_10_'!L1280,"AAAAAE3dyvs=")</f>
        <v>#VALUE!</v>
      </c>
      <c r="IS85" t="e">
        <f>AND('Planilla_General_29-11-2012_10_'!M1280,"AAAAAE3dyvw=")</f>
        <v>#VALUE!</v>
      </c>
      <c r="IT85" t="e">
        <f>AND('Planilla_General_29-11-2012_10_'!N1280,"AAAAAE3dyv0=")</f>
        <v>#VALUE!</v>
      </c>
      <c r="IU85" t="e">
        <f>AND('Planilla_General_29-11-2012_10_'!O1280,"AAAAAE3dyv4=")</f>
        <v>#VALUE!</v>
      </c>
      <c r="IV85" t="e">
        <f>AND('Planilla_General_29-11-2012_10_'!P1280,"AAAAAE3dyv8=")</f>
        <v>#VALUE!</v>
      </c>
    </row>
    <row r="86" spans="1:256" x14ac:dyDescent="0.25">
      <c r="A86" t="e">
        <f>IF('Planilla_General_29-11-2012_10_'!1281:1281,"AAAAAD9veQA=",0)</f>
        <v>#VALUE!</v>
      </c>
      <c r="B86" t="e">
        <f>AND('Planilla_General_29-11-2012_10_'!A1281,"AAAAAD9veQE=")</f>
        <v>#VALUE!</v>
      </c>
      <c r="C86" t="e">
        <f>AND('Planilla_General_29-11-2012_10_'!B1281,"AAAAAD9veQI=")</f>
        <v>#VALUE!</v>
      </c>
      <c r="D86" t="e">
        <f>AND('Planilla_General_29-11-2012_10_'!C1281,"AAAAAD9veQM=")</f>
        <v>#VALUE!</v>
      </c>
      <c r="E86" t="e">
        <f>AND('Planilla_General_29-11-2012_10_'!D1281,"AAAAAD9veQQ=")</f>
        <v>#VALUE!</v>
      </c>
      <c r="F86" t="e">
        <f>AND('Planilla_General_29-11-2012_10_'!E1281,"AAAAAD9veQU=")</f>
        <v>#VALUE!</v>
      </c>
      <c r="G86" t="e">
        <f>AND('Planilla_General_29-11-2012_10_'!F1281,"AAAAAD9veQY=")</f>
        <v>#VALUE!</v>
      </c>
      <c r="H86" t="e">
        <f>AND('Planilla_General_29-11-2012_10_'!G1281,"AAAAAD9veQc=")</f>
        <v>#VALUE!</v>
      </c>
      <c r="I86" t="e">
        <f>AND('Planilla_General_29-11-2012_10_'!H1281,"AAAAAD9veQg=")</f>
        <v>#VALUE!</v>
      </c>
      <c r="J86" t="e">
        <f>AND('Planilla_General_29-11-2012_10_'!I1281,"AAAAAD9veQk=")</f>
        <v>#VALUE!</v>
      </c>
      <c r="K86" t="e">
        <f>AND('Planilla_General_29-11-2012_10_'!J1281,"AAAAAD9veQo=")</f>
        <v>#VALUE!</v>
      </c>
      <c r="L86" t="e">
        <f>AND('Planilla_General_29-11-2012_10_'!K1281,"AAAAAD9veQs=")</f>
        <v>#VALUE!</v>
      </c>
      <c r="M86" t="e">
        <f>AND('Planilla_General_29-11-2012_10_'!L1281,"AAAAAD9veQw=")</f>
        <v>#VALUE!</v>
      </c>
      <c r="N86" t="e">
        <f>AND('Planilla_General_29-11-2012_10_'!M1281,"AAAAAD9veQ0=")</f>
        <v>#VALUE!</v>
      </c>
      <c r="O86" t="e">
        <f>AND('Planilla_General_29-11-2012_10_'!N1281,"AAAAAD9veQ4=")</f>
        <v>#VALUE!</v>
      </c>
      <c r="P86" t="e">
        <f>AND('Planilla_General_29-11-2012_10_'!O1281,"AAAAAD9veQ8=")</f>
        <v>#VALUE!</v>
      </c>
      <c r="Q86" t="e">
        <f>AND('Planilla_General_29-11-2012_10_'!P1281,"AAAAAD9veRA=")</f>
        <v>#VALUE!</v>
      </c>
      <c r="R86">
        <f>IF('Planilla_General_29-11-2012_10_'!1282:1282,"AAAAAD9veRE=",0)</f>
        <v>0</v>
      </c>
      <c r="S86" t="e">
        <f>AND('Planilla_General_29-11-2012_10_'!A1282,"AAAAAD9veRI=")</f>
        <v>#VALUE!</v>
      </c>
      <c r="T86" t="e">
        <f>AND('Planilla_General_29-11-2012_10_'!B1282,"AAAAAD9veRM=")</f>
        <v>#VALUE!</v>
      </c>
      <c r="U86" t="e">
        <f>AND('Planilla_General_29-11-2012_10_'!C1282,"AAAAAD9veRQ=")</f>
        <v>#VALUE!</v>
      </c>
      <c r="V86" t="e">
        <f>AND('Planilla_General_29-11-2012_10_'!D1282,"AAAAAD9veRU=")</f>
        <v>#VALUE!</v>
      </c>
      <c r="W86" t="e">
        <f>AND('Planilla_General_29-11-2012_10_'!E1282,"AAAAAD9veRY=")</f>
        <v>#VALUE!</v>
      </c>
      <c r="X86" t="e">
        <f>AND('Planilla_General_29-11-2012_10_'!F1282,"AAAAAD9veRc=")</f>
        <v>#VALUE!</v>
      </c>
      <c r="Y86" t="e">
        <f>AND('Planilla_General_29-11-2012_10_'!G1282,"AAAAAD9veRg=")</f>
        <v>#VALUE!</v>
      </c>
      <c r="Z86" t="e">
        <f>AND('Planilla_General_29-11-2012_10_'!H1282,"AAAAAD9veRk=")</f>
        <v>#VALUE!</v>
      </c>
      <c r="AA86" t="e">
        <f>AND('Planilla_General_29-11-2012_10_'!I1282,"AAAAAD9veRo=")</f>
        <v>#VALUE!</v>
      </c>
      <c r="AB86" t="e">
        <f>AND('Planilla_General_29-11-2012_10_'!J1282,"AAAAAD9veRs=")</f>
        <v>#VALUE!</v>
      </c>
      <c r="AC86" t="e">
        <f>AND('Planilla_General_29-11-2012_10_'!K1282,"AAAAAD9veRw=")</f>
        <v>#VALUE!</v>
      </c>
      <c r="AD86" t="e">
        <f>AND('Planilla_General_29-11-2012_10_'!L1282,"AAAAAD9veR0=")</f>
        <v>#VALUE!</v>
      </c>
      <c r="AE86" t="e">
        <f>AND('Planilla_General_29-11-2012_10_'!M1282,"AAAAAD9veR4=")</f>
        <v>#VALUE!</v>
      </c>
      <c r="AF86" t="e">
        <f>AND('Planilla_General_29-11-2012_10_'!N1282,"AAAAAD9veR8=")</f>
        <v>#VALUE!</v>
      </c>
      <c r="AG86" t="e">
        <f>AND('Planilla_General_29-11-2012_10_'!O1282,"AAAAAD9veSA=")</f>
        <v>#VALUE!</v>
      </c>
      <c r="AH86" t="e">
        <f>AND('Planilla_General_29-11-2012_10_'!P1282,"AAAAAD9veSE=")</f>
        <v>#VALUE!</v>
      </c>
      <c r="AI86">
        <f>IF('Planilla_General_29-11-2012_10_'!1283:1283,"AAAAAD9veSI=",0)</f>
        <v>0</v>
      </c>
      <c r="AJ86" t="e">
        <f>AND('Planilla_General_29-11-2012_10_'!A1283,"AAAAAD9veSM=")</f>
        <v>#VALUE!</v>
      </c>
      <c r="AK86" t="e">
        <f>AND('Planilla_General_29-11-2012_10_'!B1283,"AAAAAD9veSQ=")</f>
        <v>#VALUE!</v>
      </c>
      <c r="AL86" t="e">
        <f>AND('Planilla_General_29-11-2012_10_'!C1283,"AAAAAD9veSU=")</f>
        <v>#VALUE!</v>
      </c>
      <c r="AM86" t="e">
        <f>AND('Planilla_General_29-11-2012_10_'!D1283,"AAAAAD9veSY=")</f>
        <v>#VALUE!</v>
      </c>
      <c r="AN86" t="e">
        <f>AND('Planilla_General_29-11-2012_10_'!E1283,"AAAAAD9veSc=")</f>
        <v>#VALUE!</v>
      </c>
      <c r="AO86" t="e">
        <f>AND('Planilla_General_29-11-2012_10_'!F1283,"AAAAAD9veSg=")</f>
        <v>#VALUE!</v>
      </c>
      <c r="AP86" t="e">
        <f>AND('Planilla_General_29-11-2012_10_'!G1283,"AAAAAD9veSk=")</f>
        <v>#VALUE!</v>
      </c>
      <c r="AQ86" t="e">
        <f>AND('Planilla_General_29-11-2012_10_'!H1283,"AAAAAD9veSo=")</f>
        <v>#VALUE!</v>
      </c>
      <c r="AR86" t="e">
        <f>AND('Planilla_General_29-11-2012_10_'!I1283,"AAAAAD9veSs=")</f>
        <v>#VALUE!</v>
      </c>
      <c r="AS86" t="e">
        <f>AND('Planilla_General_29-11-2012_10_'!J1283,"AAAAAD9veSw=")</f>
        <v>#VALUE!</v>
      </c>
      <c r="AT86" t="e">
        <f>AND('Planilla_General_29-11-2012_10_'!K1283,"AAAAAD9veS0=")</f>
        <v>#VALUE!</v>
      </c>
      <c r="AU86" t="e">
        <f>AND('Planilla_General_29-11-2012_10_'!L1283,"AAAAAD9veS4=")</f>
        <v>#VALUE!</v>
      </c>
      <c r="AV86" t="e">
        <f>AND('Planilla_General_29-11-2012_10_'!M1283,"AAAAAD9veS8=")</f>
        <v>#VALUE!</v>
      </c>
      <c r="AW86" t="e">
        <f>AND('Planilla_General_29-11-2012_10_'!N1283,"AAAAAD9veTA=")</f>
        <v>#VALUE!</v>
      </c>
      <c r="AX86" t="e">
        <f>AND('Planilla_General_29-11-2012_10_'!O1283,"AAAAAD9veTE=")</f>
        <v>#VALUE!</v>
      </c>
      <c r="AY86" t="e">
        <f>AND('Planilla_General_29-11-2012_10_'!P1283,"AAAAAD9veTI=")</f>
        <v>#VALUE!</v>
      </c>
      <c r="AZ86">
        <f>IF('Planilla_General_29-11-2012_10_'!1284:1284,"AAAAAD9veTM=",0)</f>
        <v>0</v>
      </c>
      <c r="BA86" t="e">
        <f>AND('Planilla_General_29-11-2012_10_'!A1284,"AAAAAD9veTQ=")</f>
        <v>#VALUE!</v>
      </c>
      <c r="BB86" t="e">
        <f>AND('Planilla_General_29-11-2012_10_'!B1284,"AAAAAD9veTU=")</f>
        <v>#VALUE!</v>
      </c>
      <c r="BC86" t="e">
        <f>AND('Planilla_General_29-11-2012_10_'!C1284,"AAAAAD9veTY=")</f>
        <v>#VALUE!</v>
      </c>
      <c r="BD86" t="e">
        <f>AND('Planilla_General_29-11-2012_10_'!D1284,"AAAAAD9veTc=")</f>
        <v>#VALUE!</v>
      </c>
      <c r="BE86" t="e">
        <f>AND('Planilla_General_29-11-2012_10_'!E1284,"AAAAAD9veTg=")</f>
        <v>#VALUE!</v>
      </c>
      <c r="BF86" t="e">
        <f>AND('Planilla_General_29-11-2012_10_'!F1284,"AAAAAD9veTk=")</f>
        <v>#VALUE!</v>
      </c>
      <c r="BG86" t="e">
        <f>AND('Planilla_General_29-11-2012_10_'!G1284,"AAAAAD9veTo=")</f>
        <v>#VALUE!</v>
      </c>
      <c r="BH86" t="e">
        <f>AND('Planilla_General_29-11-2012_10_'!H1284,"AAAAAD9veTs=")</f>
        <v>#VALUE!</v>
      </c>
      <c r="BI86" t="e">
        <f>AND('Planilla_General_29-11-2012_10_'!I1284,"AAAAAD9veTw=")</f>
        <v>#VALUE!</v>
      </c>
      <c r="BJ86" t="e">
        <f>AND('Planilla_General_29-11-2012_10_'!J1284,"AAAAAD9veT0=")</f>
        <v>#VALUE!</v>
      </c>
      <c r="BK86" t="e">
        <f>AND('Planilla_General_29-11-2012_10_'!K1284,"AAAAAD9veT4=")</f>
        <v>#VALUE!</v>
      </c>
      <c r="BL86" t="e">
        <f>AND('Planilla_General_29-11-2012_10_'!L1284,"AAAAAD9veT8=")</f>
        <v>#VALUE!</v>
      </c>
      <c r="BM86" t="e">
        <f>AND('Planilla_General_29-11-2012_10_'!M1284,"AAAAAD9veUA=")</f>
        <v>#VALUE!</v>
      </c>
      <c r="BN86" t="e">
        <f>AND('Planilla_General_29-11-2012_10_'!N1284,"AAAAAD9veUE=")</f>
        <v>#VALUE!</v>
      </c>
      <c r="BO86" t="e">
        <f>AND('Planilla_General_29-11-2012_10_'!O1284,"AAAAAD9veUI=")</f>
        <v>#VALUE!</v>
      </c>
      <c r="BP86" t="e">
        <f>AND('Planilla_General_29-11-2012_10_'!P1284,"AAAAAD9veUM=")</f>
        <v>#VALUE!</v>
      </c>
      <c r="BQ86">
        <f>IF('Planilla_General_29-11-2012_10_'!1285:1285,"AAAAAD9veUQ=",0)</f>
        <v>0</v>
      </c>
      <c r="BR86" t="e">
        <f>AND('Planilla_General_29-11-2012_10_'!A1285,"AAAAAD9veUU=")</f>
        <v>#VALUE!</v>
      </c>
      <c r="BS86" t="e">
        <f>AND('Planilla_General_29-11-2012_10_'!B1285,"AAAAAD9veUY=")</f>
        <v>#VALUE!</v>
      </c>
      <c r="BT86" t="e">
        <f>AND('Planilla_General_29-11-2012_10_'!C1285,"AAAAAD9veUc=")</f>
        <v>#VALUE!</v>
      </c>
      <c r="BU86" t="e">
        <f>AND('Planilla_General_29-11-2012_10_'!D1285,"AAAAAD9veUg=")</f>
        <v>#VALUE!</v>
      </c>
      <c r="BV86" t="e">
        <f>AND('Planilla_General_29-11-2012_10_'!E1285,"AAAAAD9veUk=")</f>
        <v>#VALUE!</v>
      </c>
      <c r="BW86" t="e">
        <f>AND('Planilla_General_29-11-2012_10_'!F1285,"AAAAAD9veUo=")</f>
        <v>#VALUE!</v>
      </c>
      <c r="BX86" t="e">
        <f>AND('Planilla_General_29-11-2012_10_'!G1285,"AAAAAD9veUs=")</f>
        <v>#VALUE!</v>
      </c>
      <c r="BY86" t="e">
        <f>AND('Planilla_General_29-11-2012_10_'!H1285,"AAAAAD9veUw=")</f>
        <v>#VALUE!</v>
      </c>
      <c r="BZ86" t="e">
        <f>AND('Planilla_General_29-11-2012_10_'!I1285,"AAAAAD9veU0=")</f>
        <v>#VALUE!</v>
      </c>
      <c r="CA86" t="e">
        <f>AND('Planilla_General_29-11-2012_10_'!J1285,"AAAAAD9veU4=")</f>
        <v>#VALUE!</v>
      </c>
      <c r="CB86" t="e">
        <f>AND('Planilla_General_29-11-2012_10_'!K1285,"AAAAAD9veU8=")</f>
        <v>#VALUE!</v>
      </c>
      <c r="CC86" t="e">
        <f>AND('Planilla_General_29-11-2012_10_'!L1285,"AAAAAD9veVA=")</f>
        <v>#VALUE!</v>
      </c>
      <c r="CD86" t="e">
        <f>AND('Planilla_General_29-11-2012_10_'!M1285,"AAAAAD9veVE=")</f>
        <v>#VALUE!</v>
      </c>
      <c r="CE86" t="e">
        <f>AND('Planilla_General_29-11-2012_10_'!N1285,"AAAAAD9veVI=")</f>
        <v>#VALUE!</v>
      </c>
      <c r="CF86" t="e">
        <f>AND('Planilla_General_29-11-2012_10_'!O1285,"AAAAAD9veVM=")</f>
        <v>#VALUE!</v>
      </c>
      <c r="CG86" t="e">
        <f>AND('Planilla_General_29-11-2012_10_'!P1285,"AAAAAD9veVQ=")</f>
        <v>#VALUE!</v>
      </c>
      <c r="CH86">
        <f>IF('Planilla_General_29-11-2012_10_'!1286:1286,"AAAAAD9veVU=",0)</f>
        <v>0</v>
      </c>
      <c r="CI86" t="e">
        <f>AND('Planilla_General_29-11-2012_10_'!A1286,"AAAAAD9veVY=")</f>
        <v>#VALUE!</v>
      </c>
      <c r="CJ86" t="e">
        <f>AND('Planilla_General_29-11-2012_10_'!B1286,"AAAAAD9veVc=")</f>
        <v>#VALUE!</v>
      </c>
      <c r="CK86" t="e">
        <f>AND('Planilla_General_29-11-2012_10_'!C1286,"AAAAAD9veVg=")</f>
        <v>#VALUE!</v>
      </c>
      <c r="CL86" t="e">
        <f>AND('Planilla_General_29-11-2012_10_'!D1286,"AAAAAD9veVk=")</f>
        <v>#VALUE!</v>
      </c>
      <c r="CM86" t="e">
        <f>AND('Planilla_General_29-11-2012_10_'!E1286,"AAAAAD9veVo=")</f>
        <v>#VALUE!</v>
      </c>
      <c r="CN86" t="e">
        <f>AND('Planilla_General_29-11-2012_10_'!F1286,"AAAAAD9veVs=")</f>
        <v>#VALUE!</v>
      </c>
      <c r="CO86" t="e">
        <f>AND('Planilla_General_29-11-2012_10_'!G1286,"AAAAAD9veVw=")</f>
        <v>#VALUE!</v>
      </c>
      <c r="CP86" t="e">
        <f>AND('Planilla_General_29-11-2012_10_'!H1286,"AAAAAD9veV0=")</f>
        <v>#VALUE!</v>
      </c>
      <c r="CQ86" t="e">
        <f>AND('Planilla_General_29-11-2012_10_'!I1286,"AAAAAD9veV4=")</f>
        <v>#VALUE!</v>
      </c>
      <c r="CR86" t="e">
        <f>AND('Planilla_General_29-11-2012_10_'!J1286,"AAAAAD9veV8=")</f>
        <v>#VALUE!</v>
      </c>
      <c r="CS86" t="e">
        <f>AND('Planilla_General_29-11-2012_10_'!K1286,"AAAAAD9veWA=")</f>
        <v>#VALUE!</v>
      </c>
      <c r="CT86" t="e">
        <f>AND('Planilla_General_29-11-2012_10_'!L1286,"AAAAAD9veWE=")</f>
        <v>#VALUE!</v>
      </c>
      <c r="CU86" t="e">
        <f>AND('Planilla_General_29-11-2012_10_'!M1286,"AAAAAD9veWI=")</f>
        <v>#VALUE!</v>
      </c>
      <c r="CV86" t="e">
        <f>AND('Planilla_General_29-11-2012_10_'!N1286,"AAAAAD9veWM=")</f>
        <v>#VALUE!</v>
      </c>
      <c r="CW86" t="e">
        <f>AND('Planilla_General_29-11-2012_10_'!O1286,"AAAAAD9veWQ=")</f>
        <v>#VALUE!</v>
      </c>
      <c r="CX86" t="e">
        <f>AND('Planilla_General_29-11-2012_10_'!P1286,"AAAAAD9veWU=")</f>
        <v>#VALUE!</v>
      </c>
      <c r="CY86">
        <f>IF('Planilla_General_29-11-2012_10_'!1287:1287,"AAAAAD9veWY=",0)</f>
        <v>0</v>
      </c>
      <c r="CZ86" t="e">
        <f>AND('Planilla_General_29-11-2012_10_'!A1287,"AAAAAD9veWc=")</f>
        <v>#VALUE!</v>
      </c>
      <c r="DA86" t="e">
        <f>AND('Planilla_General_29-11-2012_10_'!B1287,"AAAAAD9veWg=")</f>
        <v>#VALUE!</v>
      </c>
      <c r="DB86" t="e">
        <f>AND('Planilla_General_29-11-2012_10_'!C1287,"AAAAAD9veWk=")</f>
        <v>#VALUE!</v>
      </c>
      <c r="DC86" t="e">
        <f>AND('Planilla_General_29-11-2012_10_'!D1287,"AAAAAD9veWo=")</f>
        <v>#VALUE!</v>
      </c>
      <c r="DD86" t="e">
        <f>AND('Planilla_General_29-11-2012_10_'!E1287,"AAAAAD9veWs=")</f>
        <v>#VALUE!</v>
      </c>
      <c r="DE86" t="e">
        <f>AND('Planilla_General_29-11-2012_10_'!F1287,"AAAAAD9veWw=")</f>
        <v>#VALUE!</v>
      </c>
      <c r="DF86" t="e">
        <f>AND('Planilla_General_29-11-2012_10_'!G1287,"AAAAAD9veW0=")</f>
        <v>#VALUE!</v>
      </c>
      <c r="DG86" t="e">
        <f>AND('Planilla_General_29-11-2012_10_'!H1287,"AAAAAD9veW4=")</f>
        <v>#VALUE!</v>
      </c>
      <c r="DH86" t="e">
        <f>AND('Planilla_General_29-11-2012_10_'!I1287,"AAAAAD9veW8=")</f>
        <v>#VALUE!</v>
      </c>
      <c r="DI86" t="e">
        <f>AND('Planilla_General_29-11-2012_10_'!J1287,"AAAAAD9veXA=")</f>
        <v>#VALUE!</v>
      </c>
      <c r="DJ86" t="e">
        <f>AND('Planilla_General_29-11-2012_10_'!K1287,"AAAAAD9veXE=")</f>
        <v>#VALUE!</v>
      </c>
      <c r="DK86" t="e">
        <f>AND('Planilla_General_29-11-2012_10_'!L1287,"AAAAAD9veXI=")</f>
        <v>#VALUE!</v>
      </c>
      <c r="DL86" t="e">
        <f>AND('Planilla_General_29-11-2012_10_'!M1287,"AAAAAD9veXM=")</f>
        <v>#VALUE!</v>
      </c>
      <c r="DM86" t="e">
        <f>AND('Planilla_General_29-11-2012_10_'!N1287,"AAAAAD9veXQ=")</f>
        <v>#VALUE!</v>
      </c>
      <c r="DN86" t="e">
        <f>AND('Planilla_General_29-11-2012_10_'!O1287,"AAAAAD9veXU=")</f>
        <v>#VALUE!</v>
      </c>
      <c r="DO86" t="e">
        <f>AND('Planilla_General_29-11-2012_10_'!P1287,"AAAAAD9veXY=")</f>
        <v>#VALUE!</v>
      </c>
      <c r="DP86">
        <f>IF('Planilla_General_29-11-2012_10_'!1288:1288,"AAAAAD9veXc=",0)</f>
        <v>0</v>
      </c>
      <c r="DQ86" t="e">
        <f>AND('Planilla_General_29-11-2012_10_'!A1288,"AAAAAD9veXg=")</f>
        <v>#VALUE!</v>
      </c>
      <c r="DR86" t="e">
        <f>AND('Planilla_General_29-11-2012_10_'!B1288,"AAAAAD9veXk=")</f>
        <v>#VALUE!</v>
      </c>
      <c r="DS86" t="e">
        <f>AND('Planilla_General_29-11-2012_10_'!C1288,"AAAAAD9veXo=")</f>
        <v>#VALUE!</v>
      </c>
      <c r="DT86" t="e">
        <f>AND('Planilla_General_29-11-2012_10_'!D1288,"AAAAAD9veXs=")</f>
        <v>#VALUE!</v>
      </c>
      <c r="DU86" t="e">
        <f>AND('Planilla_General_29-11-2012_10_'!E1288,"AAAAAD9veXw=")</f>
        <v>#VALUE!</v>
      </c>
      <c r="DV86" t="e">
        <f>AND('Planilla_General_29-11-2012_10_'!F1288,"AAAAAD9veX0=")</f>
        <v>#VALUE!</v>
      </c>
      <c r="DW86" t="e">
        <f>AND('Planilla_General_29-11-2012_10_'!G1288,"AAAAAD9veX4=")</f>
        <v>#VALUE!</v>
      </c>
      <c r="DX86" t="e">
        <f>AND('Planilla_General_29-11-2012_10_'!H1288,"AAAAAD9veX8=")</f>
        <v>#VALUE!</v>
      </c>
      <c r="DY86" t="e">
        <f>AND('Planilla_General_29-11-2012_10_'!I1288,"AAAAAD9veYA=")</f>
        <v>#VALUE!</v>
      </c>
      <c r="DZ86" t="e">
        <f>AND('Planilla_General_29-11-2012_10_'!J1288,"AAAAAD9veYE=")</f>
        <v>#VALUE!</v>
      </c>
      <c r="EA86" t="e">
        <f>AND('Planilla_General_29-11-2012_10_'!K1288,"AAAAAD9veYI=")</f>
        <v>#VALUE!</v>
      </c>
      <c r="EB86" t="e">
        <f>AND('Planilla_General_29-11-2012_10_'!L1288,"AAAAAD9veYM=")</f>
        <v>#VALUE!</v>
      </c>
      <c r="EC86" t="e">
        <f>AND('Planilla_General_29-11-2012_10_'!M1288,"AAAAAD9veYQ=")</f>
        <v>#VALUE!</v>
      </c>
      <c r="ED86" t="e">
        <f>AND('Planilla_General_29-11-2012_10_'!N1288,"AAAAAD9veYU=")</f>
        <v>#VALUE!</v>
      </c>
      <c r="EE86" t="e">
        <f>AND('Planilla_General_29-11-2012_10_'!O1288,"AAAAAD9veYY=")</f>
        <v>#VALUE!</v>
      </c>
      <c r="EF86" t="e">
        <f>AND('Planilla_General_29-11-2012_10_'!P1288,"AAAAAD9veYc=")</f>
        <v>#VALUE!</v>
      </c>
      <c r="EG86">
        <f>IF('Planilla_General_29-11-2012_10_'!1289:1289,"AAAAAD9veYg=",0)</f>
        <v>0</v>
      </c>
      <c r="EH86" t="e">
        <f>AND('Planilla_General_29-11-2012_10_'!A1289,"AAAAAD9veYk=")</f>
        <v>#VALUE!</v>
      </c>
      <c r="EI86" t="e">
        <f>AND('Planilla_General_29-11-2012_10_'!B1289,"AAAAAD9veYo=")</f>
        <v>#VALUE!</v>
      </c>
      <c r="EJ86" t="e">
        <f>AND('Planilla_General_29-11-2012_10_'!C1289,"AAAAAD9veYs=")</f>
        <v>#VALUE!</v>
      </c>
      <c r="EK86" t="e">
        <f>AND('Planilla_General_29-11-2012_10_'!D1289,"AAAAAD9veYw=")</f>
        <v>#VALUE!</v>
      </c>
      <c r="EL86" t="e">
        <f>AND('Planilla_General_29-11-2012_10_'!E1289,"AAAAAD9veY0=")</f>
        <v>#VALUE!</v>
      </c>
      <c r="EM86" t="e">
        <f>AND('Planilla_General_29-11-2012_10_'!F1289,"AAAAAD9veY4=")</f>
        <v>#VALUE!</v>
      </c>
      <c r="EN86" t="e">
        <f>AND('Planilla_General_29-11-2012_10_'!G1289,"AAAAAD9veY8=")</f>
        <v>#VALUE!</v>
      </c>
      <c r="EO86" t="e">
        <f>AND('Planilla_General_29-11-2012_10_'!H1289,"AAAAAD9veZA=")</f>
        <v>#VALUE!</v>
      </c>
      <c r="EP86" t="e">
        <f>AND('Planilla_General_29-11-2012_10_'!I1289,"AAAAAD9veZE=")</f>
        <v>#VALUE!</v>
      </c>
      <c r="EQ86" t="e">
        <f>AND('Planilla_General_29-11-2012_10_'!J1289,"AAAAAD9veZI=")</f>
        <v>#VALUE!</v>
      </c>
      <c r="ER86" t="e">
        <f>AND('Planilla_General_29-11-2012_10_'!K1289,"AAAAAD9veZM=")</f>
        <v>#VALUE!</v>
      </c>
      <c r="ES86" t="e">
        <f>AND('Planilla_General_29-11-2012_10_'!L1289,"AAAAAD9veZQ=")</f>
        <v>#VALUE!</v>
      </c>
      <c r="ET86" t="e">
        <f>AND('Planilla_General_29-11-2012_10_'!M1289,"AAAAAD9veZU=")</f>
        <v>#VALUE!</v>
      </c>
      <c r="EU86" t="e">
        <f>AND('Planilla_General_29-11-2012_10_'!N1289,"AAAAAD9veZY=")</f>
        <v>#VALUE!</v>
      </c>
      <c r="EV86" t="e">
        <f>AND('Planilla_General_29-11-2012_10_'!O1289,"AAAAAD9veZc=")</f>
        <v>#VALUE!</v>
      </c>
      <c r="EW86" t="e">
        <f>AND('Planilla_General_29-11-2012_10_'!P1289,"AAAAAD9veZg=")</f>
        <v>#VALUE!</v>
      </c>
      <c r="EX86">
        <f>IF('Planilla_General_29-11-2012_10_'!1290:1290,"AAAAAD9veZk=",0)</f>
        <v>0</v>
      </c>
      <c r="EY86" t="e">
        <f>AND('Planilla_General_29-11-2012_10_'!A1290,"AAAAAD9veZo=")</f>
        <v>#VALUE!</v>
      </c>
      <c r="EZ86" t="e">
        <f>AND('Planilla_General_29-11-2012_10_'!B1290,"AAAAAD9veZs=")</f>
        <v>#VALUE!</v>
      </c>
      <c r="FA86" t="e">
        <f>AND('Planilla_General_29-11-2012_10_'!C1290,"AAAAAD9veZw=")</f>
        <v>#VALUE!</v>
      </c>
      <c r="FB86" t="e">
        <f>AND('Planilla_General_29-11-2012_10_'!D1290,"AAAAAD9veZ0=")</f>
        <v>#VALUE!</v>
      </c>
      <c r="FC86" t="e">
        <f>AND('Planilla_General_29-11-2012_10_'!E1290,"AAAAAD9veZ4=")</f>
        <v>#VALUE!</v>
      </c>
      <c r="FD86" t="e">
        <f>AND('Planilla_General_29-11-2012_10_'!F1290,"AAAAAD9veZ8=")</f>
        <v>#VALUE!</v>
      </c>
      <c r="FE86" t="e">
        <f>AND('Planilla_General_29-11-2012_10_'!G1290,"AAAAAD9veaA=")</f>
        <v>#VALUE!</v>
      </c>
      <c r="FF86" t="e">
        <f>AND('Planilla_General_29-11-2012_10_'!H1290,"AAAAAD9veaE=")</f>
        <v>#VALUE!</v>
      </c>
      <c r="FG86" t="e">
        <f>AND('Planilla_General_29-11-2012_10_'!I1290,"AAAAAD9veaI=")</f>
        <v>#VALUE!</v>
      </c>
      <c r="FH86" t="e">
        <f>AND('Planilla_General_29-11-2012_10_'!J1290,"AAAAAD9veaM=")</f>
        <v>#VALUE!</v>
      </c>
      <c r="FI86" t="e">
        <f>AND('Planilla_General_29-11-2012_10_'!K1290,"AAAAAD9veaQ=")</f>
        <v>#VALUE!</v>
      </c>
      <c r="FJ86" t="e">
        <f>AND('Planilla_General_29-11-2012_10_'!L1290,"AAAAAD9veaU=")</f>
        <v>#VALUE!</v>
      </c>
      <c r="FK86" t="e">
        <f>AND('Planilla_General_29-11-2012_10_'!M1290,"AAAAAD9veaY=")</f>
        <v>#VALUE!</v>
      </c>
      <c r="FL86" t="e">
        <f>AND('Planilla_General_29-11-2012_10_'!N1290,"AAAAAD9veac=")</f>
        <v>#VALUE!</v>
      </c>
      <c r="FM86" t="e">
        <f>AND('Planilla_General_29-11-2012_10_'!O1290,"AAAAAD9veag=")</f>
        <v>#VALUE!</v>
      </c>
      <c r="FN86" t="e">
        <f>AND('Planilla_General_29-11-2012_10_'!P1290,"AAAAAD9veak=")</f>
        <v>#VALUE!</v>
      </c>
      <c r="FO86">
        <f>IF('Planilla_General_29-11-2012_10_'!1291:1291,"AAAAAD9veao=",0)</f>
        <v>0</v>
      </c>
      <c r="FP86" t="e">
        <f>AND('Planilla_General_29-11-2012_10_'!A1291,"AAAAAD9veas=")</f>
        <v>#VALUE!</v>
      </c>
      <c r="FQ86" t="e">
        <f>AND('Planilla_General_29-11-2012_10_'!B1291,"AAAAAD9veaw=")</f>
        <v>#VALUE!</v>
      </c>
      <c r="FR86" t="e">
        <f>AND('Planilla_General_29-11-2012_10_'!C1291,"AAAAAD9vea0=")</f>
        <v>#VALUE!</v>
      </c>
      <c r="FS86" t="e">
        <f>AND('Planilla_General_29-11-2012_10_'!D1291,"AAAAAD9vea4=")</f>
        <v>#VALUE!</v>
      </c>
      <c r="FT86" t="e">
        <f>AND('Planilla_General_29-11-2012_10_'!E1291,"AAAAAD9vea8=")</f>
        <v>#VALUE!</v>
      </c>
      <c r="FU86" t="e">
        <f>AND('Planilla_General_29-11-2012_10_'!F1291,"AAAAAD9vebA=")</f>
        <v>#VALUE!</v>
      </c>
      <c r="FV86" t="e">
        <f>AND('Planilla_General_29-11-2012_10_'!G1291,"AAAAAD9vebE=")</f>
        <v>#VALUE!</v>
      </c>
      <c r="FW86" t="e">
        <f>AND('Planilla_General_29-11-2012_10_'!H1291,"AAAAAD9vebI=")</f>
        <v>#VALUE!</v>
      </c>
      <c r="FX86" t="e">
        <f>AND('Planilla_General_29-11-2012_10_'!I1291,"AAAAAD9vebM=")</f>
        <v>#VALUE!</v>
      </c>
      <c r="FY86" t="e">
        <f>AND('Planilla_General_29-11-2012_10_'!J1291,"AAAAAD9vebQ=")</f>
        <v>#VALUE!</v>
      </c>
      <c r="FZ86" t="e">
        <f>AND('Planilla_General_29-11-2012_10_'!K1291,"AAAAAD9vebU=")</f>
        <v>#VALUE!</v>
      </c>
      <c r="GA86" t="e">
        <f>AND('Planilla_General_29-11-2012_10_'!L1291,"AAAAAD9vebY=")</f>
        <v>#VALUE!</v>
      </c>
      <c r="GB86" t="e">
        <f>AND('Planilla_General_29-11-2012_10_'!M1291,"AAAAAD9vebc=")</f>
        <v>#VALUE!</v>
      </c>
      <c r="GC86" t="e">
        <f>AND('Planilla_General_29-11-2012_10_'!N1291,"AAAAAD9vebg=")</f>
        <v>#VALUE!</v>
      </c>
      <c r="GD86" t="e">
        <f>AND('Planilla_General_29-11-2012_10_'!O1291,"AAAAAD9vebk=")</f>
        <v>#VALUE!</v>
      </c>
      <c r="GE86" t="e">
        <f>AND('Planilla_General_29-11-2012_10_'!P1291,"AAAAAD9vebo=")</f>
        <v>#VALUE!</v>
      </c>
      <c r="GF86">
        <f>IF('Planilla_General_29-11-2012_10_'!1292:1292,"AAAAAD9vebs=",0)</f>
        <v>0</v>
      </c>
      <c r="GG86" t="e">
        <f>AND('Planilla_General_29-11-2012_10_'!A1292,"AAAAAD9vebw=")</f>
        <v>#VALUE!</v>
      </c>
      <c r="GH86" t="e">
        <f>AND('Planilla_General_29-11-2012_10_'!B1292,"AAAAAD9veb0=")</f>
        <v>#VALUE!</v>
      </c>
      <c r="GI86" t="e">
        <f>AND('Planilla_General_29-11-2012_10_'!C1292,"AAAAAD9veb4=")</f>
        <v>#VALUE!</v>
      </c>
      <c r="GJ86" t="e">
        <f>AND('Planilla_General_29-11-2012_10_'!D1292,"AAAAAD9veb8=")</f>
        <v>#VALUE!</v>
      </c>
      <c r="GK86" t="e">
        <f>AND('Planilla_General_29-11-2012_10_'!E1292,"AAAAAD9vecA=")</f>
        <v>#VALUE!</v>
      </c>
      <c r="GL86" t="e">
        <f>AND('Planilla_General_29-11-2012_10_'!F1292,"AAAAAD9vecE=")</f>
        <v>#VALUE!</v>
      </c>
      <c r="GM86" t="e">
        <f>AND('Planilla_General_29-11-2012_10_'!G1292,"AAAAAD9vecI=")</f>
        <v>#VALUE!</v>
      </c>
      <c r="GN86" t="e">
        <f>AND('Planilla_General_29-11-2012_10_'!H1292,"AAAAAD9vecM=")</f>
        <v>#VALUE!</v>
      </c>
      <c r="GO86" t="e">
        <f>AND('Planilla_General_29-11-2012_10_'!I1292,"AAAAAD9vecQ=")</f>
        <v>#VALUE!</v>
      </c>
      <c r="GP86" t="e">
        <f>AND('Planilla_General_29-11-2012_10_'!J1292,"AAAAAD9vecU=")</f>
        <v>#VALUE!</v>
      </c>
      <c r="GQ86" t="e">
        <f>AND('Planilla_General_29-11-2012_10_'!K1292,"AAAAAD9vecY=")</f>
        <v>#VALUE!</v>
      </c>
      <c r="GR86" t="e">
        <f>AND('Planilla_General_29-11-2012_10_'!L1292,"AAAAAD9vecc=")</f>
        <v>#VALUE!</v>
      </c>
      <c r="GS86" t="e">
        <f>AND('Planilla_General_29-11-2012_10_'!M1292,"AAAAAD9vecg=")</f>
        <v>#VALUE!</v>
      </c>
      <c r="GT86" t="e">
        <f>AND('Planilla_General_29-11-2012_10_'!N1292,"AAAAAD9veck=")</f>
        <v>#VALUE!</v>
      </c>
      <c r="GU86" t="e">
        <f>AND('Planilla_General_29-11-2012_10_'!O1292,"AAAAAD9veco=")</f>
        <v>#VALUE!</v>
      </c>
      <c r="GV86" t="e">
        <f>AND('Planilla_General_29-11-2012_10_'!P1292,"AAAAAD9vecs=")</f>
        <v>#VALUE!</v>
      </c>
      <c r="GW86">
        <f>IF('Planilla_General_29-11-2012_10_'!1293:1293,"AAAAAD9vecw=",0)</f>
        <v>0</v>
      </c>
      <c r="GX86" t="e">
        <f>AND('Planilla_General_29-11-2012_10_'!A1293,"AAAAAD9vec0=")</f>
        <v>#VALUE!</v>
      </c>
      <c r="GY86" t="e">
        <f>AND('Planilla_General_29-11-2012_10_'!B1293,"AAAAAD9vec4=")</f>
        <v>#VALUE!</v>
      </c>
      <c r="GZ86" t="e">
        <f>AND('Planilla_General_29-11-2012_10_'!C1293,"AAAAAD9vec8=")</f>
        <v>#VALUE!</v>
      </c>
      <c r="HA86" t="e">
        <f>AND('Planilla_General_29-11-2012_10_'!D1293,"AAAAAD9vedA=")</f>
        <v>#VALUE!</v>
      </c>
      <c r="HB86" t="e">
        <f>AND('Planilla_General_29-11-2012_10_'!E1293,"AAAAAD9vedE=")</f>
        <v>#VALUE!</v>
      </c>
      <c r="HC86" t="e">
        <f>AND('Planilla_General_29-11-2012_10_'!F1293,"AAAAAD9vedI=")</f>
        <v>#VALUE!</v>
      </c>
      <c r="HD86" t="e">
        <f>AND('Planilla_General_29-11-2012_10_'!G1293,"AAAAAD9vedM=")</f>
        <v>#VALUE!</v>
      </c>
      <c r="HE86" t="e">
        <f>AND('Planilla_General_29-11-2012_10_'!H1293,"AAAAAD9vedQ=")</f>
        <v>#VALUE!</v>
      </c>
      <c r="HF86" t="e">
        <f>AND('Planilla_General_29-11-2012_10_'!I1293,"AAAAAD9vedU=")</f>
        <v>#VALUE!</v>
      </c>
      <c r="HG86" t="e">
        <f>AND('Planilla_General_29-11-2012_10_'!J1293,"AAAAAD9vedY=")</f>
        <v>#VALUE!</v>
      </c>
      <c r="HH86" t="e">
        <f>AND('Planilla_General_29-11-2012_10_'!K1293,"AAAAAD9vedc=")</f>
        <v>#VALUE!</v>
      </c>
      <c r="HI86" t="e">
        <f>AND('Planilla_General_29-11-2012_10_'!L1293,"AAAAAD9vedg=")</f>
        <v>#VALUE!</v>
      </c>
      <c r="HJ86" t="e">
        <f>AND('Planilla_General_29-11-2012_10_'!M1293,"AAAAAD9vedk=")</f>
        <v>#VALUE!</v>
      </c>
      <c r="HK86" t="e">
        <f>AND('Planilla_General_29-11-2012_10_'!N1293,"AAAAAD9vedo=")</f>
        <v>#VALUE!</v>
      </c>
      <c r="HL86" t="e">
        <f>AND('Planilla_General_29-11-2012_10_'!O1293,"AAAAAD9veds=")</f>
        <v>#VALUE!</v>
      </c>
      <c r="HM86" t="e">
        <f>AND('Planilla_General_29-11-2012_10_'!P1293,"AAAAAD9vedw=")</f>
        <v>#VALUE!</v>
      </c>
      <c r="HN86">
        <f>IF('Planilla_General_29-11-2012_10_'!1294:1294,"AAAAAD9ved0=",0)</f>
        <v>0</v>
      </c>
      <c r="HO86" t="e">
        <f>AND('Planilla_General_29-11-2012_10_'!A1294,"AAAAAD9ved4=")</f>
        <v>#VALUE!</v>
      </c>
      <c r="HP86" t="e">
        <f>AND('Planilla_General_29-11-2012_10_'!B1294,"AAAAAD9ved8=")</f>
        <v>#VALUE!</v>
      </c>
      <c r="HQ86" t="e">
        <f>AND('Planilla_General_29-11-2012_10_'!C1294,"AAAAAD9veeA=")</f>
        <v>#VALUE!</v>
      </c>
      <c r="HR86" t="e">
        <f>AND('Planilla_General_29-11-2012_10_'!D1294,"AAAAAD9veeE=")</f>
        <v>#VALUE!</v>
      </c>
      <c r="HS86" t="e">
        <f>AND('Planilla_General_29-11-2012_10_'!E1294,"AAAAAD9veeI=")</f>
        <v>#VALUE!</v>
      </c>
      <c r="HT86" t="e">
        <f>AND('Planilla_General_29-11-2012_10_'!F1294,"AAAAAD9veeM=")</f>
        <v>#VALUE!</v>
      </c>
      <c r="HU86" t="e">
        <f>AND('Planilla_General_29-11-2012_10_'!G1294,"AAAAAD9veeQ=")</f>
        <v>#VALUE!</v>
      </c>
      <c r="HV86" t="e">
        <f>AND('Planilla_General_29-11-2012_10_'!H1294,"AAAAAD9veeU=")</f>
        <v>#VALUE!</v>
      </c>
      <c r="HW86" t="e">
        <f>AND('Planilla_General_29-11-2012_10_'!I1294,"AAAAAD9veeY=")</f>
        <v>#VALUE!</v>
      </c>
      <c r="HX86" t="e">
        <f>AND('Planilla_General_29-11-2012_10_'!J1294,"AAAAAD9veec=")</f>
        <v>#VALUE!</v>
      </c>
      <c r="HY86" t="e">
        <f>AND('Planilla_General_29-11-2012_10_'!K1294,"AAAAAD9veeg=")</f>
        <v>#VALUE!</v>
      </c>
      <c r="HZ86" t="e">
        <f>AND('Planilla_General_29-11-2012_10_'!L1294,"AAAAAD9veek=")</f>
        <v>#VALUE!</v>
      </c>
      <c r="IA86" t="e">
        <f>AND('Planilla_General_29-11-2012_10_'!M1294,"AAAAAD9veeo=")</f>
        <v>#VALUE!</v>
      </c>
      <c r="IB86" t="e">
        <f>AND('Planilla_General_29-11-2012_10_'!N1294,"AAAAAD9vees=")</f>
        <v>#VALUE!</v>
      </c>
      <c r="IC86" t="e">
        <f>AND('Planilla_General_29-11-2012_10_'!O1294,"AAAAAD9veew=")</f>
        <v>#VALUE!</v>
      </c>
      <c r="ID86" t="e">
        <f>AND('Planilla_General_29-11-2012_10_'!P1294,"AAAAAD9vee0=")</f>
        <v>#VALUE!</v>
      </c>
      <c r="IE86">
        <f>IF('Planilla_General_29-11-2012_10_'!1295:1295,"AAAAAD9vee4=",0)</f>
        <v>0</v>
      </c>
      <c r="IF86" t="e">
        <f>AND('Planilla_General_29-11-2012_10_'!A1295,"AAAAAD9vee8=")</f>
        <v>#VALUE!</v>
      </c>
      <c r="IG86" t="e">
        <f>AND('Planilla_General_29-11-2012_10_'!B1295,"AAAAAD9vefA=")</f>
        <v>#VALUE!</v>
      </c>
      <c r="IH86" t="e">
        <f>AND('Planilla_General_29-11-2012_10_'!C1295,"AAAAAD9vefE=")</f>
        <v>#VALUE!</v>
      </c>
      <c r="II86" t="e">
        <f>AND('Planilla_General_29-11-2012_10_'!D1295,"AAAAAD9vefI=")</f>
        <v>#VALUE!</v>
      </c>
      <c r="IJ86" t="e">
        <f>AND('Planilla_General_29-11-2012_10_'!E1295,"AAAAAD9vefM=")</f>
        <v>#VALUE!</v>
      </c>
      <c r="IK86" t="e">
        <f>AND('Planilla_General_29-11-2012_10_'!F1295,"AAAAAD9vefQ=")</f>
        <v>#VALUE!</v>
      </c>
      <c r="IL86" t="e">
        <f>AND('Planilla_General_29-11-2012_10_'!G1295,"AAAAAD9vefU=")</f>
        <v>#VALUE!</v>
      </c>
      <c r="IM86" t="e">
        <f>AND('Planilla_General_29-11-2012_10_'!H1295,"AAAAAD9vefY=")</f>
        <v>#VALUE!</v>
      </c>
      <c r="IN86" t="e">
        <f>AND('Planilla_General_29-11-2012_10_'!I1295,"AAAAAD9vefc=")</f>
        <v>#VALUE!</v>
      </c>
      <c r="IO86" t="e">
        <f>AND('Planilla_General_29-11-2012_10_'!J1295,"AAAAAD9vefg=")</f>
        <v>#VALUE!</v>
      </c>
      <c r="IP86" t="e">
        <f>AND('Planilla_General_29-11-2012_10_'!K1295,"AAAAAD9vefk=")</f>
        <v>#VALUE!</v>
      </c>
      <c r="IQ86" t="e">
        <f>AND('Planilla_General_29-11-2012_10_'!L1295,"AAAAAD9vefo=")</f>
        <v>#VALUE!</v>
      </c>
      <c r="IR86" t="e">
        <f>AND('Planilla_General_29-11-2012_10_'!M1295,"AAAAAD9vefs=")</f>
        <v>#VALUE!</v>
      </c>
      <c r="IS86" t="e">
        <f>AND('Planilla_General_29-11-2012_10_'!N1295,"AAAAAD9vefw=")</f>
        <v>#VALUE!</v>
      </c>
      <c r="IT86" t="e">
        <f>AND('Planilla_General_29-11-2012_10_'!O1295,"AAAAAD9vef0=")</f>
        <v>#VALUE!</v>
      </c>
      <c r="IU86" t="e">
        <f>AND('Planilla_General_29-11-2012_10_'!P1295,"AAAAAD9vef4=")</f>
        <v>#VALUE!</v>
      </c>
      <c r="IV86">
        <f>IF('Planilla_General_29-11-2012_10_'!1296:1296,"AAAAAD9vef8=",0)</f>
        <v>0</v>
      </c>
    </row>
    <row r="87" spans="1:256" x14ac:dyDescent="0.25">
      <c r="A87" t="e">
        <f>AND('Planilla_General_29-11-2012_10_'!A1296,"AAAAAE7qzgA=")</f>
        <v>#VALUE!</v>
      </c>
      <c r="B87" t="e">
        <f>AND('Planilla_General_29-11-2012_10_'!B1296,"AAAAAE7qzgE=")</f>
        <v>#VALUE!</v>
      </c>
      <c r="C87" t="e">
        <f>AND('Planilla_General_29-11-2012_10_'!C1296,"AAAAAE7qzgI=")</f>
        <v>#VALUE!</v>
      </c>
      <c r="D87" t="e">
        <f>AND('Planilla_General_29-11-2012_10_'!D1296,"AAAAAE7qzgM=")</f>
        <v>#VALUE!</v>
      </c>
      <c r="E87" t="e">
        <f>AND('Planilla_General_29-11-2012_10_'!E1296,"AAAAAE7qzgQ=")</f>
        <v>#VALUE!</v>
      </c>
      <c r="F87" t="e">
        <f>AND('Planilla_General_29-11-2012_10_'!F1296,"AAAAAE7qzgU=")</f>
        <v>#VALUE!</v>
      </c>
      <c r="G87" t="e">
        <f>AND('Planilla_General_29-11-2012_10_'!G1296,"AAAAAE7qzgY=")</f>
        <v>#VALUE!</v>
      </c>
      <c r="H87" t="e">
        <f>AND('Planilla_General_29-11-2012_10_'!H1296,"AAAAAE7qzgc=")</f>
        <v>#VALUE!</v>
      </c>
      <c r="I87" t="e">
        <f>AND('Planilla_General_29-11-2012_10_'!I1296,"AAAAAE7qzgg=")</f>
        <v>#VALUE!</v>
      </c>
      <c r="J87" t="e">
        <f>AND('Planilla_General_29-11-2012_10_'!J1296,"AAAAAE7qzgk=")</f>
        <v>#VALUE!</v>
      </c>
      <c r="K87" t="e">
        <f>AND('Planilla_General_29-11-2012_10_'!K1296,"AAAAAE7qzgo=")</f>
        <v>#VALUE!</v>
      </c>
      <c r="L87" t="e">
        <f>AND('Planilla_General_29-11-2012_10_'!L1296,"AAAAAE7qzgs=")</f>
        <v>#VALUE!</v>
      </c>
      <c r="M87" t="e">
        <f>AND('Planilla_General_29-11-2012_10_'!M1296,"AAAAAE7qzgw=")</f>
        <v>#VALUE!</v>
      </c>
      <c r="N87" t="e">
        <f>AND('Planilla_General_29-11-2012_10_'!N1296,"AAAAAE7qzg0=")</f>
        <v>#VALUE!</v>
      </c>
      <c r="O87" t="e">
        <f>AND('Planilla_General_29-11-2012_10_'!O1296,"AAAAAE7qzg4=")</f>
        <v>#VALUE!</v>
      </c>
      <c r="P87" t="e">
        <f>AND('Planilla_General_29-11-2012_10_'!P1296,"AAAAAE7qzg8=")</f>
        <v>#VALUE!</v>
      </c>
      <c r="Q87">
        <f>IF('Planilla_General_29-11-2012_10_'!1297:1297,"AAAAAE7qzhA=",0)</f>
        <v>0</v>
      </c>
      <c r="R87" t="e">
        <f>AND('Planilla_General_29-11-2012_10_'!A1297,"AAAAAE7qzhE=")</f>
        <v>#VALUE!</v>
      </c>
      <c r="S87" t="e">
        <f>AND('Planilla_General_29-11-2012_10_'!B1297,"AAAAAE7qzhI=")</f>
        <v>#VALUE!</v>
      </c>
      <c r="T87" t="e">
        <f>AND('Planilla_General_29-11-2012_10_'!C1297,"AAAAAE7qzhM=")</f>
        <v>#VALUE!</v>
      </c>
      <c r="U87" t="e">
        <f>AND('Planilla_General_29-11-2012_10_'!D1297,"AAAAAE7qzhQ=")</f>
        <v>#VALUE!</v>
      </c>
      <c r="V87" t="e">
        <f>AND('Planilla_General_29-11-2012_10_'!E1297,"AAAAAE7qzhU=")</f>
        <v>#VALUE!</v>
      </c>
      <c r="W87" t="e">
        <f>AND('Planilla_General_29-11-2012_10_'!F1297,"AAAAAE7qzhY=")</f>
        <v>#VALUE!</v>
      </c>
      <c r="X87" t="e">
        <f>AND('Planilla_General_29-11-2012_10_'!G1297,"AAAAAE7qzhc=")</f>
        <v>#VALUE!</v>
      </c>
      <c r="Y87" t="e">
        <f>AND('Planilla_General_29-11-2012_10_'!H1297,"AAAAAE7qzhg=")</f>
        <v>#VALUE!</v>
      </c>
      <c r="Z87" t="e">
        <f>AND('Planilla_General_29-11-2012_10_'!I1297,"AAAAAE7qzhk=")</f>
        <v>#VALUE!</v>
      </c>
      <c r="AA87" t="e">
        <f>AND('Planilla_General_29-11-2012_10_'!J1297,"AAAAAE7qzho=")</f>
        <v>#VALUE!</v>
      </c>
      <c r="AB87" t="e">
        <f>AND('Planilla_General_29-11-2012_10_'!K1297,"AAAAAE7qzhs=")</f>
        <v>#VALUE!</v>
      </c>
      <c r="AC87" t="e">
        <f>AND('Planilla_General_29-11-2012_10_'!L1297,"AAAAAE7qzhw=")</f>
        <v>#VALUE!</v>
      </c>
      <c r="AD87" t="e">
        <f>AND('Planilla_General_29-11-2012_10_'!M1297,"AAAAAE7qzh0=")</f>
        <v>#VALUE!</v>
      </c>
      <c r="AE87" t="e">
        <f>AND('Planilla_General_29-11-2012_10_'!N1297,"AAAAAE7qzh4=")</f>
        <v>#VALUE!</v>
      </c>
      <c r="AF87" t="e">
        <f>AND('Planilla_General_29-11-2012_10_'!O1297,"AAAAAE7qzh8=")</f>
        <v>#VALUE!</v>
      </c>
      <c r="AG87" t="e">
        <f>AND('Planilla_General_29-11-2012_10_'!P1297,"AAAAAE7qziA=")</f>
        <v>#VALUE!</v>
      </c>
      <c r="AH87">
        <f>IF('Planilla_General_29-11-2012_10_'!1298:1298,"AAAAAE7qziE=",0)</f>
        <v>0</v>
      </c>
      <c r="AI87" t="e">
        <f>AND('Planilla_General_29-11-2012_10_'!A1298,"AAAAAE7qziI=")</f>
        <v>#VALUE!</v>
      </c>
      <c r="AJ87" t="e">
        <f>AND('Planilla_General_29-11-2012_10_'!B1298,"AAAAAE7qziM=")</f>
        <v>#VALUE!</v>
      </c>
      <c r="AK87" t="e">
        <f>AND('Planilla_General_29-11-2012_10_'!C1298,"AAAAAE7qziQ=")</f>
        <v>#VALUE!</v>
      </c>
      <c r="AL87" t="e">
        <f>AND('Planilla_General_29-11-2012_10_'!D1298,"AAAAAE7qziU=")</f>
        <v>#VALUE!</v>
      </c>
      <c r="AM87" t="e">
        <f>AND('Planilla_General_29-11-2012_10_'!E1298,"AAAAAE7qziY=")</f>
        <v>#VALUE!</v>
      </c>
      <c r="AN87" t="e">
        <f>AND('Planilla_General_29-11-2012_10_'!F1298,"AAAAAE7qzic=")</f>
        <v>#VALUE!</v>
      </c>
      <c r="AO87" t="e">
        <f>AND('Planilla_General_29-11-2012_10_'!G1298,"AAAAAE7qzig=")</f>
        <v>#VALUE!</v>
      </c>
      <c r="AP87" t="e">
        <f>AND('Planilla_General_29-11-2012_10_'!H1298,"AAAAAE7qzik=")</f>
        <v>#VALUE!</v>
      </c>
      <c r="AQ87" t="e">
        <f>AND('Planilla_General_29-11-2012_10_'!I1298,"AAAAAE7qzio=")</f>
        <v>#VALUE!</v>
      </c>
      <c r="AR87" t="e">
        <f>AND('Planilla_General_29-11-2012_10_'!J1298,"AAAAAE7qzis=")</f>
        <v>#VALUE!</v>
      </c>
      <c r="AS87" t="e">
        <f>AND('Planilla_General_29-11-2012_10_'!K1298,"AAAAAE7qziw=")</f>
        <v>#VALUE!</v>
      </c>
      <c r="AT87" t="e">
        <f>AND('Planilla_General_29-11-2012_10_'!L1298,"AAAAAE7qzi0=")</f>
        <v>#VALUE!</v>
      </c>
      <c r="AU87" t="e">
        <f>AND('Planilla_General_29-11-2012_10_'!M1298,"AAAAAE7qzi4=")</f>
        <v>#VALUE!</v>
      </c>
      <c r="AV87" t="e">
        <f>AND('Planilla_General_29-11-2012_10_'!N1298,"AAAAAE7qzi8=")</f>
        <v>#VALUE!</v>
      </c>
      <c r="AW87" t="e">
        <f>AND('Planilla_General_29-11-2012_10_'!O1298,"AAAAAE7qzjA=")</f>
        <v>#VALUE!</v>
      </c>
      <c r="AX87" t="e">
        <f>AND('Planilla_General_29-11-2012_10_'!P1298,"AAAAAE7qzjE=")</f>
        <v>#VALUE!</v>
      </c>
      <c r="AY87">
        <f>IF('Planilla_General_29-11-2012_10_'!1299:1299,"AAAAAE7qzjI=",0)</f>
        <v>0</v>
      </c>
      <c r="AZ87" t="e">
        <f>AND('Planilla_General_29-11-2012_10_'!A1299,"AAAAAE7qzjM=")</f>
        <v>#VALUE!</v>
      </c>
      <c r="BA87" t="e">
        <f>AND('Planilla_General_29-11-2012_10_'!B1299,"AAAAAE7qzjQ=")</f>
        <v>#VALUE!</v>
      </c>
      <c r="BB87" t="e">
        <f>AND('Planilla_General_29-11-2012_10_'!C1299,"AAAAAE7qzjU=")</f>
        <v>#VALUE!</v>
      </c>
      <c r="BC87" t="e">
        <f>AND('Planilla_General_29-11-2012_10_'!D1299,"AAAAAE7qzjY=")</f>
        <v>#VALUE!</v>
      </c>
      <c r="BD87" t="e">
        <f>AND('Planilla_General_29-11-2012_10_'!E1299,"AAAAAE7qzjc=")</f>
        <v>#VALUE!</v>
      </c>
      <c r="BE87" t="e">
        <f>AND('Planilla_General_29-11-2012_10_'!F1299,"AAAAAE7qzjg=")</f>
        <v>#VALUE!</v>
      </c>
      <c r="BF87" t="e">
        <f>AND('Planilla_General_29-11-2012_10_'!G1299,"AAAAAE7qzjk=")</f>
        <v>#VALUE!</v>
      </c>
      <c r="BG87" t="e">
        <f>AND('Planilla_General_29-11-2012_10_'!H1299,"AAAAAE7qzjo=")</f>
        <v>#VALUE!</v>
      </c>
      <c r="BH87" t="e">
        <f>AND('Planilla_General_29-11-2012_10_'!I1299,"AAAAAE7qzjs=")</f>
        <v>#VALUE!</v>
      </c>
      <c r="BI87" t="e">
        <f>AND('Planilla_General_29-11-2012_10_'!J1299,"AAAAAE7qzjw=")</f>
        <v>#VALUE!</v>
      </c>
      <c r="BJ87" t="e">
        <f>AND('Planilla_General_29-11-2012_10_'!K1299,"AAAAAE7qzj0=")</f>
        <v>#VALUE!</v>
      </c>
      <c r="BK87" t="e">
        <f>AND('Planilla_General_29-11-2012_10_'!L1299,"AAAAAE7qzj4=")</f>
        <v>#VALUE!</v>
      </c>
      <c r="BL87" t="e">
        <f>AND('Planilla_General_29-11-2012_10_'!M1299,"AAAAAE7qzj8=")</f>
        <v>#VALUE!</v>
      </c>
      <c r="BM87" t="e">
        <f>AND('Planilla_General_29-11-2012_10_'!N1299,"AAAAAE7qzkA=")</f>
        <v>#VALUE!</v>
      </c>
      <c r="BN87" t="e">
        <f>AND('Planilla_General_29-11-2012_10_'!O1299,"AAAAAE7qzkE=")</f>
        <v>#VALUE!</v>
      </c>
      <c r="BO87" t="e">
        <f>AND('Planilla_General_29-11-2012_10_'!P1299,"AAAAAE7qzkI=")</f>
        <v>#VALUE!</v>
      </c>
      <c r="BP87">
        <f>IF('Planilla_General_29-11-2012_10_'!1300:1300,"AAAAAE7qzkM=",0)</f>
        <v>0</v>
      </c>
      <c r="BQ87" t="e">
        <f>AND('Planilla_General_29-11-2012_10_'!A1300,"AAAAAE7qzkQ=")</f>
        <v>#VALUE!</v>
      </c>
      <c r="BR87" t="e">
        <f>AND('Planilla_General_29-11-2012_10_'!B1300,"AAAAAE7qzkU=")</f>
        <v>#VALUE!</v>
      </c>
      <c r="BS87" t="e">
        <f>AND('Planilla_General_29-11-2012_10_'!C1300,"AAAAAE7qzkY=")</f>
        <v>#VALUE!</v>
      </c>
      <c r="BT87" t="e">
        <f>AND('Planilla_General_29-11-2012_10_'!D1300,"AAAAAE7qzkc=")</f>
        <v>#VALUE!</v>
      </c>
      <c r="BU87" t="e">
        <f>AND('Planilla_General_29-11-2012_10_'!E1300,"AAAAAE7qzkg=")</f>
        <v>#VALUE!</v>
      </c>
      <c r="BV87" t="e">
        <f>AND('Planilla_General_29-11-2012_10_'!F1300,"AAAAAE7qzkk=")</f>
        <v>#VALUE!</v>
      </c>
      <c r="BW87" t="e">
        <f>AND('Planilla_General_29-11-2012_10_'!G1300,"AAAAAE7qzko=")</f>
        <v>#VALUE!</v>
      </c>
      <c r="BX87" t="e">
        <f>AND('Planilla_General_29-11-2012_10_'!H1300,"AAAAAE7qzks=")</f>
        <v>#VALUE!</v>
      </c>
      <c r="BY87" t="e">
        <f>AND('Planilla_General_29-11-2012_10_'!I1300,"AAAAAE7qzkw=")</f>
        <v>#VALUE!</v>
      </c>
      <c r="BZ87" t="e">
        <f>AND('Planilla_General_29-11-2012_10_'!J1300,"AAAAAE7qzk0=")</f>
        <v>#VALUE!</v>
      </c>
      <c r="CA87" t="e">
        <f>AND('Planilla_General_29-11-2012_10_'!K1300,"AAAAAE7qzk4=")</f>
        <v>#VALUE!</v>
      </c>
      <c r="CB87" t="e">
        <f>AND('Planilla_General_29-11-2012_10_'!L1300,"AAAAAE7qzk8=")</f>
        <v>#VALUE!</v>
      </c>
      <c r="CC87" t="e">
        <f>AND('Planilla_General_29-11-2012_10_'!M1300,"AAAAAE7qzlA=")</f>
        <v>#VALUE!</v>
      </c>
      <c r="CD87" t="e">
        <f>AND('Planilla_General_29-11-2012_10_'!N1300,"AAAAAE7qzlE=")</f>
        <v>#VALUE!</v>
      </c>
      <c r="CE87" t="e">
        <f>AND('Planilla_General_29-11-2012_10_'!O1300,"AAAAAE7qzlI=")</f>
        <v>#VALUE!</v>
      </c>
      <c r="CF87" t="e">
        <f>AND('Planilla_General_29-11-2012_10_'!P1300,"AAAAAE7qzlM=")</f>
        <v>#VALUE!</v>
      </c>
      <c r="CG87">
        <f>IF('Planilla_General_29-11-2012_10_'!1301:1301,"AAAAAE7qzlQ=",0)</f>
        <v>0</v>
      </c>
      <c r="CH87" t="e">
        <f>AND('Planilla_General_29-11-2012_10_'!A1301,"AAAAAE7qzlU=")</f>
        <v>#VALUE!</v>
      </c>
      <c r="CI87" t="e">
        <f>AND('Planilla_General_29-11-2012_10_'!B1301,"AAAAAE7qzlY=")</f>
        <v>#VALUE!</v>
      </c>
      <c r="CJ87" t="e">
        <f>AND('Planilla_General_29-11-2012_10_'!C1301,"AAAAAE7qzlc=")</f>
        <v>#VALUE!</v>
      </c>
      <c r="CK87" t="e">
        <f>AND('Planilla_General_29-11-2012_10_'!D1301,"AAAAAE7qzlg=")</f>
        <v>#VALUE!</v>
      </c>
      <c r="CL87" t="e">
        <f>AND('Planilla_General_29-11-2012_10_'!E1301,"AAAAAE7qzlk=")</f>
        <v>#VALUE!</v>
      </c>
      <c r="CM87" t="e">
        <f>AND('Planilla_General_29-11-2012_10_'!F1301,"AAAAAE7qzlo=")</f>
        <v>#VALUE!</v>
      </c>
      <c r="CN87" t="e">
        <f>AND('Planilla_General_29-11-2012_10_'!G1301,"AAAAAE7qzls=")</f>
        <v>#VALUE!</v>
      </c>
      <c r="CO87" t="e">
        <f>AND('Planilla_General_29-11-2012_10_'!H1301,"AAAAAE7qzlw=")</f>
        <v>#VALUE!</v>
      </c>
      <c r="CP87" t="e">
        <f>AND('Planilla_General_29-11-2012_10_'!I1301,"AAAAAE7qzl0=")</f>
        <v>#VALUE!</v>
      </c>
      <c r="CQ87" t="e">
        <f>AND('Planilla_General_29-11-2012_10_'!J1301,"AAAAAE7qzl4=")</f>
        <v>#VALUE!</v>
      </c>
      <c r="CR87" t="e">
        <f>AND('Planilla_General_29-11-2012_10_'!K1301,"AAAAAE7qzl8=")</f>
        <v>#VALUE!</v>
      </c>
      <c r="CS87" t="e">
        <f>AND('Planilla_General_29-11-2012_10_'!L1301,"AAAAAE7qzmA=")</f>
        <v>#VALUE!</v>
      </c>
      <c r="CT87" t="e">
        <f>AND('Planilla_General_29-11-2012_10_'!M1301,"AAAAAE7qzmE=")</f>
        <v>#VALUE!</v>
      </c>
      <c r="CU87" t="e">
        <f>AND('Planilla_General_29-11-2012_10_'!N1301,"AAAAAE7qzmI=")</f>
        <v>#VALUE!</v>
      </c>
      <c r="CV87" t="e">
        <f>AND('Planilla_General_29-11-2012_10_'!O1301,"AAAAAE7qzmM=")</f>
        <v>#VALUE!</v>
      </c>
      <c r="CW87" t="e">
        <f>AND('Planilla_General_29-11-2012_10_'!P1301,"AAAAAE7qzmQ=")</f>
        <v>#VALUE!</v>
      </c>
      <c r="CX87">
        <f>IF('Planilla_General_29-11-2012_10_'!1302:1302,"AAAAAE7qzmU=",0)</f>
        <v>0</v>
      </c>
      <c r="CY87" t="e">
        <f>AND('Planilla_General_29-11-2012_10_'!A1302,"AAAAAE7qzmY=")</f>
        <v>#VALUE!</v>
      </c>
      <c r="CZ87" t="e">
        <f>AND('Planilla_General_29-11-2012_10_'!B1302,"AAAAAE7qzmc=")</f>
        <v>#VALUE!</v>
      </c>
      <c r="DA87" t="e">
        <f>AND('Planilla_General_29-11-2012_10_'!C1302,"AAAAAE7qzmg=")</f>
        <v>#VALUE!</v>
      </c>
      <c r="DB87" t="e">
        <f>AND('Planilla_General_29-11-2012_10_'!D1302,"AAAAAE7qzmk=")</f>
        <v>#VALUE!</v>
      </c>
      <c r="DC87" t="e">
        <f>AND('Planilla_General_29-11-2012_10_'!E1302,"AAAAAE7qzmo=")</f>
        <v>#VALUE!</v>
      </c>
      <c r="DD87" t="e">
        <f>AND('Planilla_General_29-11-2012_10_'!F1302,"AAAAAE7qzms=")</f>
        <v>#VALUE!</v>
      </c>
      <c r="DE87" t="e">
        <f>AND('Planilla_General_29-11-2012_10_'!G1302,"AAAAAE7qzmw=")</f>
        <v>#VALUE!</v>
      </c>
      <c r="DF87" t="e">
        <f>AND('Planilla_General_29-11-2012_10_'!H1302,"AAAAAE7qzm0=")</f>
        <v>#VALUE!</v>
      </c>
      <c r="DG87" t="e">
        <f>AND('Planilla_General_29-11-2012_10_'!I1302,"AAAAAE7qzm4=")</f>
        <v>#VALUE!</v>
      </c>
      <c r="DH87" t="e">
        <f>AND('Planilla_General_29-11-2012_10_'!J1302,"AAAAAE7qzm8=")</f>
        <v>#VALUE!</v>
      </c>
      <c r="DI87" t="e">
        <f>AND('Planilla_General_29-11-2012_10_'!K1302,"AAAAAE7qznA=")</f>
        <v>#VALUE!</v>
      </c>
      <c r="DJ87" t="e">
        <f>AND('Planilla_General_29-11-2012_10_'!L1302,"AAAAAE7qznE=")</f>
        <v>#VALUE!</v>
      </c>
      <c r="DK87" t="e">
        <f>AND('Planilla_General_29-11-2012_10_'!M1302,"AAAAAE7qznI=")</f>
        <v>#VALUE!</v>
      </c>
      <c r="DL87" t="e">
        <f>AND('Planilla_General_29-11-2012_10_'!N1302,"AAAAAE7qznM=")</f>
        <v>#VALUE!</v>
      </c>
      <c r="DM87" t="e">
        <f>AND('Planilla_General_29-11-2012_10_'!O1302,"AAAAAE7qznQ=")</f>
        <v>#VALUE!</v>
      </c>
      <c r="DN87" t="e">
        <f>AND('Planilla_General_29-11-2012_10_'!P1302,"AAAAAE7qznU=")</f>
        <v>#VALUE!</v>
      </c>
      <c r="DO87">
        <f>IF('Planilla_General_29-11-2012_10_'!1303:1303,"AAAAAE7qznY=",0)</f>
        <v>0</v>
      </c>
      <c r="DP87" t="e">
        <f>AND('Planilla_General_29-11-2012_10_'!A1303,"AAAAAE7qznc=")</f>
        <v>#VALUE!</v>
      </c>
      <c r="DQ87" t="e">
        <f>AND('Planilla_General_29-11-2012_10_'!B1303,"AAAAAE7qzng=")</f>
        <v>#VALUE!</v>
      </c>
      <c r="DR87" t="e">
        <f>AND('Planilla_General_29-11-2012_10_'!C1303,"AAAAAE7qznk=")</f>
        <v>#VALUE!</v>
      </c>
      <c r="DS87" t="e">
        <f>AND('Planilla_General_29-11-2012_10_'!D1303,"AAAAAE7qzno=")</f>
        <v>#VALUE!</v>
      </c>
      <c r="DT87" t="e">
        <f>AND('Planilla_General_29-11-2012_10_'!E1303,"AAAAAE7qzns=")</f>
        <v>#VALUE!</v>
      </c>
      <c r="DU87" t="e">
        <f>AND('Planilla_General_29-11-2012_10_'!F1303,"AAAAAE7qznw=")</f>
        <v>#VALUE!</v>
      </c>
      <c r="DV87" t="e">
        <f>AND('Planilla_General_29-11-2012_10_'!G1303,"AAAAAE7qzn0=")</f>
        <v>#VALUE!</v>
      </c>
      <c r="DW87" t="e">
        <f>AND('Planilla_General_29-11-2012_10_'!H1303,"AAAAAE7qzn4=")</f>
        <v>#VALUE!</v>
      </c>
      <c r="DX87" t="e">
        <f>AND('Planilla_General_29-11-2012_10_'!I1303,"AAAAAE7qzn8=")</f>
        <v>#VALUE!</v>
      </c>
      <c r="DY87" t="e">
        <f>AND('Planilla_General_29-11-2012_10_'!J1303,"AAAAAE7qzoA=")</f>
        <v>#VALUE!</v>
      </c>
      <c r="DZ87" t="e">
        <f>AND('Planilla_General_29-11-2012_10_'!K1303,"AAAAAE7qzoE=")</f>
        <v>#VALUE!</v>
      </c>
      <c r="EA87" t="e">
        <f>AND('Planilla_General_29-11-2012_10_'!L1303,"AAAAAE7qzoI=")</f>
        <v>#VALUE!</v>
      </c>
      <c r="EB87" t="e">
        <f>AND('Planilla_General_29-11-2012_10_'!M1303,"AAAAAE7qzoM=")</f>
        <v>#VALUE!</v>
      </c>
      <c r="EC87" t="e">
        <f>AND('Planilla_General_29-11-2012_10_'!N1303,"AAAAAE7qzoQ=")</f>
        <v>#VALUE!</v>
      </c>
      <c r="ED87" t="e">
        <f>AND('Planilla_General_29-11-2012_10_'!O1303,"AAAAAE7qzoU=")</f>
        <v>#VALUE!</v>
      </c>
      <c r="EE87" t="e">
        <f>AND('Planilla_General_29-11-2012_10_'!P1303,"AAAAAE7qzoY=")</f>
        <v>#VALUE!</v>
      </c>
      <c r="EF87">
        <f>IF('Planilla_General_29-11-2012_10_'!1304:1304,"AAAAAE7qzoc=",0)</f>
        <v>0</v>
      </c>
      <c r="EG87" t="e">
        <f>AND('Planilla_General_29-11-2012_10_'!A1304,"AAAAAE7qzog=")</f>
        <v>#VALUE!</v>
      </c>
      <c r="EH87" t="e">
        <f>AND('Planilla_General_29-11-2012_10_'!B1304,"AAAAAE7qzok=")</f>
        <v>#VALUE!</v>
      </c>
      <c r="EI87" t="e">
        <f>AND('Planilla_General_29-11-2012_10_'!C1304,"AAAAAE7qzoo=")</f>
        <v>#VALUE!</v>
      </c>
      <c r="EJ87" t="e">
        <f>AND('Planilla_General_29-11-2012_10_'!D1304,"AAAAAE7qzos=")</f>
        <v>#VALUE!</v>
      </c>
      <c r="EK87" t="e">
        <f>AND('Planilla_General_29-11-2012_10_'!E1304,"AAAAAE7qzow=")</f>
        <v>#VALUE!</v>
      </c>
      <c r="EL87" t="e">
        <f>AND('Planilla_General_29-11-2012_10_'!F1304,"AAAAAE7qzo0=")</f>
        <v>#VALUE!</v>
      </c>
      <c r="EM87" t="e">
        <f>AND('Planilla_General_29-11-2012_10_'!G1304,"AAAAAE7qzo4=")</f>
        <v>#VALUE!</v>
      </c>
      <c r="EN87" t="e">
        <f>AND('Planilla_General_29-11-2012_10_'!H1304,"AAAAAE7qzo8=")</f>
        <v>#VALUE!</v>
      </c>
      <c r="EO87" t="e">
        <f>AND('Planilla_General_29-11-2012_10_'!I1304,"AAAAAE7qzpA=")</f>
        <v>#VALUE!</v>
      </c>
      <c r="EP87" t="e">
        <f>AND('Planilla_General_29-11-2012_10_'!J1304,"AAAAAE7qzpE=")</f>
        <v>#VALUE!</v>
      </c>
      <c r="EQ87" t="e">
        <f>AND('Planilla_General_29-11-2012_10_'!K1304,"AAAAAE7qzpI=")</f>
        <v>#VALUE!</v>
      </c>
      <c r="ER87" t="e">
        <f>AND('Planilla_General_29-11-2012_10_'!L1304,"AAAAAE7qzpM=")</f>
        <v>#VALUE!</v>
      </c>
      <c r="ES87" t="e">
        <f>AND('Planilla_General_29-11-2012_10_'!M1304,"AAAAAE7qzpQ=")</f>
        <v>#VALUE!</v>
      </c>
      <c r="ET87" t="e">
        <f>AND('Planilla_General_29-11-2012_10_'!N1304,"AAAAAE7qzpU=")</f>
        <v>#VALUE!</v>
      </c>
      <c r="EU87" t="e">
        <f>AND('Planilla_General_29-11-2012_10_'!O1304,"AAAAAE7qzpY=")</f>
        <v>#VALUE!</v>
      </c>
      <c r="EV87" t="e">
        <f>AND('Planilla_General_29-11-2012_10_'!P1304,"AAAAAE7qzpc=")</f>
        <v>#VALUE!</v>
      </c>
      <c r="EW87">
        <f>IF('Planilla_General_29-11-2012_10_'!1305:1305,"AAAAAE7qzpg=",0)</f>
        <v>0</v>
      </c>
      <c r="EX87" t="e">
        <f>AND('Planilla_General_29-11-2012_10_'!A1305,"AAAAAE7qzpk=")</f>
        <v>#VALUE!</v>
      </c>
      <c r="EY87" t="e">
        <f>AND('Planilla_General_29-11-2012_10_'!B1305,"AAAAAE7qzpo=")</f>
        <v>#VALUE!</v>
      </c>
      <c r="EZ87" t="e">
        <f>AND('Planilla_General_29-11-2012_10_'!C1305,"AAAAAE7qzps=")</f>
        <v>#VALUE!</v>
      </c>
      <c r="FA87" t="e">
        <f>AND('Planilla_General_29-11-2012_10_'!D1305,"AAAAAE7qzpw=")</f>
        <v>#VALUE!</v>
      </c>
      <c r="FB87" t="e">
        <f>AND('Planilla_General_29-11-2012_10_'!E1305,"AAAAAE7qzp0=")</f>
        <v>#VALUE!</v>
      </c>
      <c r="FC87" t="e">
        <f>AND('Planilla_General_29-11-2012_10_'!F1305,"AAAAAE7qzp4=")</f>
        <v>#VALUE!</v>
      </c>
      <c r="FD87" t="e">
        <f>AND('Planilla_General_29-11-2012_10_'!G1305,"AAAAAE7qzp8=")</f>
        <v>#VALUE!</v>
      </c>
      <c r="FE87" t="e">
        <f>AND('Planilla_General_29-11-2012_10_'!H1305,"AAAAAE7qzqA=")</f>
        <v>#VALUE!</v>
      </c>
      <c r="FF87" t="e">
        <f>AND('Planilla_General_29-11-2012_10_'!I1305,"AAAAAE7qzqE=")</f>
        <v>#VALUE!</v>
      </c>
      <c r="FG87" t="e">
        <f>AND('Planilla_General_29-11-2012_10_'!J1305,"AAAAAE7qzqI=")</f>
        <v>#VALUE!</v>
      </c>
      <c r="FH87" t="e">
        <f>AND('Planilla_General_29-11-2012_10_'!K1305,"AAAAAE7qzqM=")</f>
        <v>#VALUE!</v>
      </c>
      <c r="FI87" t="e">
        <f>AND('Planilla_General_29-11-2012_10_'!L1305,"AAAAAE7qzqQ=")</f>
        <v>#VALUE!</v>
      </c>
      <c r="FJ87" t="e">
        <f>AND('Planilla_General_29-11-2012_10_'!M1305,"AAAAAE7qzqU=")</f>
        <v>#VALUE!</v>
      </c>
      <c r="FK87" t="e">
        <f>AND('Planilla_General_29-11-2012_10_'!N1305,"AAAAAE7qzqY=")</f>
        <v>#VALUE!</v>
      </c>
      <c r="FL87" t="e">
        <f>AND('Planilla_General_29-11-2012_10_'!O1305,"AAAAAE7qzqc=")</f>
        <v>#VALUE!</v>
      </c>
      <c r="FM87" t="e">
        <f>AND('Planilla_General_29-11-2012_10_'!P1305,"AAAAAE7qzqg=")</f>
        <v>#VALUE!</v>
      </c>
      <c r="FN87">
        <f>IF('Planilla_General_29-11-2012_10_'!1306:1306,"AAAAAE7qzqk=",0)</f>
        <v>0</v>
      </c>
      <c r="FO87" t="e">
        <f>AND('Planilla_General_29-11-2012_10_'!A1306,"AAAAAE7qzqo=")</f>
        <v>#VALUE!</v>
      </c>
      <c r="FP87" t="e">
        <f>AND('Planilla_General_29-11-2012_10_'!B1306,"AAAAAE7qzqs=")</f>
        <v>#VALUE!</v>
      </c>
      <c r="FQ87" t="e">
        <f>AND('Planilla_General_29-11-2012_10_'!C1306,"AAAAAE7qzqw=")</f>
        <v>#VALUE!</v>
      </c>
      <c r="FR87" t="e">
        <f>AND('Planilla_General_29-11-2012_10_'!D1306,"AAAAAE7qzq0=")</f>
        <v>#VALUE!</v>
      </c>
      <c r="FS87" t="e">
        <f>AND('Planilla_General_29-11-2012_10_'!E1306,"AAAAAE7qzq4=")</f>
        <v>#VALUE!</v>
      </c>
      <c r="FT87" t="e">
        <f>AND('Planilla_General_29-11-2012_10_'!F1306,"AAAAAE7qzq8=")</f>
        <v>#VALUE!</v>
      </c>
      <c r="FU87" t="e">
        <f>AND('Planilla_General_29-11-2012_10_'!G1306,"AAAAAE7qzrA=")</f>
        <v>#VALUE!</v>
      </c>
      <c r="FV87" t="e">
        <f>AND('Planilla_General_29-11-2012_10_'!H1306,"AAAAAE7qzrE=")</f>
        <v>#VALUE!</v>
      </c>
      <c r="FW87" t="e">
        <f>AND('Planilla_General_29-11-2012_10_'!I1306,"AAAAAE7qzrI=")</f>
        <v>#VALUE!</v>
      </c>
      <c r="FX87" t="e">
        <f>AND('Planilla_General_29-11-2012_10_'!J1306,"AAAAAE7qzrM=")</f>
        <v>#VALUE!</v>
      </c>
      <c r="FY87" t="e">
        <f>AND('Planilla_General_29-11-2012_10_'!K1306,"AAAAAE7qzrQ=")</f>
        <v>#VALUE!</v>
      </c>
      <c r="FZ87" t="e">
        <f>AND('Planilla_General_29-11-2012_10_'!L1306,"AAAAAE7qzrU=")</f>
        <v>#VALUE!</v>
      </c>
      <c r="GA87" t="e">
        <f>AND('Planilla_General_29-11-2012_10_'!M1306,"AAAAAE7qzrY=")</f>
        <v>#VALUE!</v>
      </c>
      <c r="GB87" t="e">
        <f>AND('Planilla_General_29-11-2012_10_'!N1306,"AAAAAE7qzrc=")</f>
        <v>#VALUE!</v>
      </c>
      <c r="GC87" t="e">
        <f>AND('Planilla_General_29-11-2012_10_'!O1306,"AAAAAE7qzrg=")</f>
        <v>#VALUE!</v>
      </c>
      <c r="GD87" t="e">
        <f>AND('Planilla_General_29-11-2012_10_'!P1306,"AAAAAE7qzrk=")</f>
        <v>#VALUE!</v>
      </c>
      <c r="GE87">
        <f>IF('Planilla_General_29-11-2012_10_'!1307:1307,"AAAAAE7qzro=",0)</f>
        <v>0</v>
      </c>
      <c r="GF87" t="e">
        <f>AND('Planilla_General_29-11-2012_10_'!A1307,"AAAAAE7qzrs=")</f>
        <v>#VALUE!</v>
      </c>
      <c r="GG87" t="e">
        <f>AND('Planilla_General_29-11-2012_10_'!B1307,"AAAAAE7qzrw=")</f>
        <v>#VALUE!</v>
      </c>
      <c r="GH87" t="e">
        <f>AND('Planilla_General_29-11-2012_10_'!C1307,"AAAAAE7qzr0=")</f>
        <v>#VALUE!</v>
      </c>
      <c r="GI87" t="e">
        <f>AND('Planilla_General_29-11-2012_10_'!D1307,"AAAAAE7qzr4=")</f>
        <v>#VALUE!</v>
      </c>
      <c r="GJ87" t="e">
        <f>AND('Planilla_General_29-11-2012_10_'!E1307,"AAAAAE7qzr8=")</f>
        <v>#VALUE!</v>
      </c>
      <c r="GK87" t="e">
        <f>AND('Planilla_General_29-11-2012_10_'!F1307,"AAAAAE7qzsA=")</f>
        <v>#VALUE!</v>
      </c>
      <c r="GL87" t="e">
        <f>AND('Planilla_General_29-11-2012_10_'!G1307,"AAAAAE7qzsE=")</f>
        <v>#VALUE!</v>
      </c>
      <c r="GM87" t="e">
        <f>AND('Planilla_General_29-11-2012_10_'!H1307,"AAAAAE7qzsI=")</f>
        <v>#VALUE!</v>
      </c>
      <c r="GN87" t="e">
        <f>AND('Planilla_General_29-11-2012_10_'!I1307,"AAAAAE7qzsM=")</f>
        <v>#VALUE!</v>
      </c>
      <c r="GO87" t="e">
        <f>AND('Planilla_General_29-11-2012_10_'!J1307,"AAAAAE7qzsQ=")</f>
        <v>#VALUE!</v>
      </c>
      <c r="GP87" t="e">
        <f>AND('Planilla_General_29-11-2012_10_'!K1307,"AAAAAE7qzsU=")</f>
        <v>#VALUE!</v>
      </c>
      <c r="GQ87" t="e">
        <f>AND('Planilla_General_29-11-2012_10_'!L1307,"AAAAAE7qzsY=")</f>
        <v>#VALUE!</v>
      </c>
      <c r="GR87" t="e">
        <f>AND('Planilla_General_29-11-2012_10_'!M1307,"AAAAAE7qzsc=")</f>
        <v>#VALUE!</v>
      </c>
      <c r="GS87" t="e">
        <f>AND('Planilla_General_29-11-2012_10_'!N1307,"AAAAAE7qzsg=")</f>
        <v>#VALUE!</v>
      </c>
      <c r="GT87" t="e">
        <f>AND('Planilla_General_29-11-2012_10_'!O1307,"AAAAAE7qzsk=")</f>
        <v>#VALUE!</v>
      </c>
      <c r="GU87" t="e">
        <f>AND('Planilla_General_29-11-2012_10_'!P1307,"AAAAAE7qzso=")</f>
        <v>#VALUE!</v>
      </c>
      <c r="GV87">
        <f>IF('Planilla_General_29-11-2012_10_'!1308:1308,"AAAAAE7qzss=",0)</f>
        <v>0</v>
      </c>
      <c r="GW87" t="e">
        <f>AND('Planilla_General_29-11-2012_10_'!A1308,"AAAAAE7qzsw=")</f>
        <v>#VALUE!</v>
      </c>
      <c r="GX87" t="e">
        <f>AND('Planilla_General_29-11-2012_10_'!B1308,"AAAAAE7qzs0=")</f>
        <v>#VALUE!</v>
      </c>
      <c r="GY87" t="e">
        <f>AND('Planilla_General_29-11-2012_10_'!C1308,"AAAAAE7qzs4=")</f>
        <v>#VALUE!</v>
      </c>
      <c r="GZ87" t="e">
        <f>AND('Planilla_General_29-11-2012_10_'!D1308,"AAAAAE7qzs8=")</f>
        <v>#VALUE!</v>
      </c>
      <c r="HA87" t="e">
        <f>AND('Planilla_General_29-11-2012_10_'!E1308,"AAAAAE7qztA=")</f>
        <v>#VALUE!</v>
      </c>
      <c r="HB87" t="e">
        <f>AND('Planilla_General_29-11-2012_10_'!F1308,"AAAAAE7qztE=")</f>
        <v>#VALUE!</v>
      </c>
      <c r="HC87" t="e">
        <f>AND('Planilla_General_29-11-2012_10_'!G1308,"AAAAAE7qztI=")</f>
        <v>#VALUE!</v>
      </c>
      <c r="HD87" t="e">
        <f>AND('Planilla_General_29-11-2012_10_'!H1308,"AAAAAE7qztM=")</f>
        <v>#VALUE!</v>
      </c>
      <c r="HE87" t="e">
        <f>AND('Planilla_General_29-11-2012_10_'!I1308,"AAAAAE7qztQ=")</f>
        <v>#VALUE!</v>
      </c>
      <c r="HF87" t="e">
        <f>AND('Planilla_General_29-11-2012_10_'!J1308,"AAAAAE7qztU=")</f>
        <v>#VALUE!</v>
      </c>
      <c r="HG87" t="e">
        <f>AND('Planilla_General_29-11-2012_10_'!K1308,"AAAAAE7qztY=")</f>
        <v>#VALUE!</v>
      </c>
      <c r="HH87" t="e">
        <f>AND('Planilla_General_29-11-2012_10_'!L1308,"AAAAAE7qztc=")</f>
        <v>#VALUE!</v>
      </c>
      <c r="HI87" t="e">
        <f>AND('Planilla_General_29-11-2012_10_'!M1308,"AAAAAE7qztg=")</f>
        <v>#VALUE!</v>
      </c>
      <c r="HJ87" t="e">
        <f>AND('Planilla_General_29-11-2012_10_'!N1308,"AAAAAE7qztk=")</f>
        <v>#VALUE!</v>
      </c>
      <c r="HK87" t="e">
        <f>AND('Planilla_General_29-11-2012_10_'!O1308,"AAAAAE7qzto=")</f>
        <v>#VALUE!</v>
      </c>
      <c r="HL87" t="e">
        <f>AND('Planilla_General_29-11-2012_10_'!P1308,"AAAAAE7qzts=")</f>
        <v>#VALUE!</v>
      </c>
      <c r="HM87">
        <f>IF('Planilla_General_29-11-2012_10_'!1309:1309,"AAAAAE7qztw=",0)</f>
        <v>0</v>
      </c>
      <c r="HN87" t="e">
        <f>AND('Planilla_General_29-11-2012_10_'!A1309,"AAAAAE7qzt0=")</f>
        <v>#VALUE!</v>
      </c>
      <c r="HO87" t="e">
        <f>AND('Planilla_General_29-11-2012_10_'!B1309,"AAAAAE7qzt4=")</f>
        <v>#VALUE!</v>
      </c>
      <c r="HP87" t="e">
        <f>AND('Planilla_General_29-11-2012_10_'!C1309,"AAAAAE7qzt8=")</f>
        <v>#VALUE!</v>
      </c>
      <c r="HQ87" t="e">
        <f>AND('Planilla_General_29-11-2012_10_'!D1309,"AAAAAE7qzuA=")</f>
        <v>#VALUE!</v>
      </c>
      <c r="HR87" t="e">
        <f>AND('Planilla_General_29-11-2012_10_'!E1309,"AAAAAE7qzuE=")</f>
        <v>#VALUE!</v>
      </c>
      <c r="HS87" t="e">
        <f>AND('Planilla_General_29-11-2012_10_'!F1309,"AAAAAE7qzuI=")</f>
        <v>#VALUE!</v>
      </c>
      <c r="HT87" t="e">
        <f>AND('Planilla_General_29-11-2012_10_'!G1309,"AAAAAE7qzuM=")</f>
        <v>#VALUE!</v>
      </c>
      <c r="HU87" t="e">
        <f>AND('Planilla_General_29-11-2012_10_'!H1309,"AAAAAE7qzuQ=")</f>
        <v>#VALUE!</v>
      </c>
      <c r="HV87" t="e">
        <f>AND('Planilla_General_29-11-2012_10_'!I1309,"AAAAAE7qzuU=")</f>
        <v>#VALUE!</v>
      </c>
      <c r="HW87" t="e">
        <f>AND('Planilla_General_29-11-2012_10_'!J1309,"AAAAAE7qzuY=")</f>
        <v>#VALUE!</v>
      </c>
      <c r="HX87" t="e">
        <f>AND('Planilla_General_29-11-2012_10_'!K1309,"AAAAAE7qzuc=")</f>
        <v>#VALUE!</v>
      </c>
      <c r="HY87" t="e">
        <f>AND('Planilla_General_29-11-2012_10_'!L1309,"AAAAAE7qzug=")</f>
        <v>#VALUE!</v>
      </c>
      <c r="HZ87" t="e">
        <f>AND('Planilla_General_29-11-2012_10_'!M1309,"AAAAAE7qzuk=")</f>
        <v>#VALUE!</v>
      </c>
      <c r="IA87" t="e">
        <f>AND('Planilla_General_29-11-2012_10_'!N1309,"AAAAAE7qzuo=")</f>
        <v>#VALUE!</v>
      </c>
      <c r="IB87" t="e">
        <f>AND('Planilla_General_29-11-2012_10_'!O1309,"AAAAAE7qzus=")</f>
        <v>#VALUE!</v>
      </c>
      <c r="IC87" t="e">
        <f>AND('Planilla_General_29-11-2012_10_'!P1309,"AAAAAE7qzuw=")</f>
        <v>#VALUE!</v>
      </c>
      <c r="ID87">
        <f>IF('Planilla_General_29-11-2012_10_'!1310:1310,"AAAAAE7qzu0=",0)</f>
        <v>0</v>
      </c>
      <c r="IE87" t="e">
        <f>AND('Planilla_General_29-11-2012_10_'!A1310,"AAAAAE7qzu4=")</f>
        <v>#VALUE!</v>
      </c>
      <c r="IF87" t="e">
        <f>AND('Planilla_General_29-11-2012_10_'!B1310,"AAAAAE7qzu8=")</f>
        <v>#VALUE!</v>
      </c>
      <c r="IG87" t="e">
        <f>AND('Planilla_General_29-11-2012_10_'!C1310,"AAAAAE7qzvA=")</f>
        <v>#VALUE!</v>
      </c>
      <c r="IH87" t="e">
        <f>AND('Planilla_General_29-11-2012_10_'!D1310,"AAAAAE7qzvE=")</f>
        <v>#VALUE!</v>
      </c>
      <c r="II87" t="e">
        <f>AND('Planilla_General_29-11-2012_10_'!E1310,"AAAAAE7qzvI=")</f>
        <v>#VALUE!</v>
      </c>
      <c r="IJ87" t="e">
        <f>AND('Planilla_General_29-11-2012_10_'!F1310,"AAAAAE7qzvM=")</f>
        <v>#VALUE!</v>
      </c>
      <c r="IK87" t="e">
        <f>AND('Planilla_General_29-11-2012_10_'!G1310,"AAAAAE7qzvQ=")</f>
        <v>#VALUE!</v>
      </c>
      <c r="IL87" t="e">
        <f>AND('Planilla_General_29-11-2012_10_'!H1310,"AAAAAE7qzvU=")</f>
        <v>#VALUE!</v>
      </c>
      <c r="IM87" t="e">
        <f>AND('Planilla_General_29-11-2012_10_'!I1310,"AAAAAE7qzvY=")</f>
        <v>#VALUE!</v>
      </c>
      <c r="IN87" t="e">
        <f>AND('Planilla_General_29-11-2012_10_'!J1310,"AAAAAE7qzvc=")</f>
        <v>#VALUE!</v>
      </c>
      <c r="IO87" t="e">
        <f>AND('Planilla_General_29-11-2012_10_'!K1310,"AAAAAE7qzvg=")</f>
        <v>#VALUE!</v>
      </c>
      <c r="IP87" t="e">
        <f>AND('Planilla_General_29-11-2012_10_'!L1310,"AAAAAE7qzvk=")</f>
        <v>#VALUE!</v>
      </c>
      <c r="IQ87" t="e">
        <f>AND('Planilla_General_29-11-2012_10_'!M1310,"AAAAAE7qzvo=")</f>
        <v>#VALUE!</v>
      </c>
      <c r="IR87" t="e">
        <f>AND('Planilla_General_29-11-2012_10_'!N1310,"AAAAAE7qzvs=")</f>
        <v>#VALUE!</v>
      </c>
      <c r="IS87" t="e">
        <f>AND('Planilla_General_29-11-2012_10_'!O1310,"AAAAAE7qzvw=")</f>
        <v>#VALUE!</v>
      </c>
      <c r="IT87" t="e">
        <f>AND('Planilla_General_29-11-2012_10_'!P1310,"AAAAAE7qzv0=")</f>
        <v>#VALUE!</v>
      </c>
      <c r="IU87">
        <f>IF('Planilla_General_29-11-2012_10_'!1311:1311,"AAAAAE7qzv4=",0)</f>
        <v>0</v>
      </c>
      <c r="IV87" t="e">
        <f>AND('Planilla_General_29-11-2012_10_'!A1311,"AAAAAE7qzv8=")</f>
        <v>#VALUE!</v>
      </c>
    </row>
    <row r="88" spans="1:256" x14ac:dyDescent="0.25">
      <c r="A88" t="e">
        <f>AND('Planilla_General_29-11-2012_10_'!B1311,"AAAAAHdPmwA=")</f>
        <v>#VALUE!</v>
      </c>
      <c r="B88" t="e">
        <f>AND('Planilla_General_29-11-2012_10_'!C1311,"AAAAAHdPmwE=")</f>
        <v>#VALUE!</v>
      </c>
      <c r="C88" t="e">
        <f>AND('Planilla_General_29-11-2012_10_'!D1311,"AAAAAHdPmwI=")</f>
        <v>#VALUE!</v>
      </c>
      <c r="D88" t="e">
        <f>AND('Planilla_General_29-11-2012_10_'!E1311,"AAAAAHdPmwM=")</f>
        <v>#VALUE!</v>
      </c>
      <c r="E88" t="e">
        <f>AND('Planilla_General_29-11-2012_10_'!F1311,"AAAAAHdPmwQ=")</f>
        <v>#VALUE!</v>
      </c>
      <c r="F88" t="e">
        <f>AND('Planilla_General_29-11-2012_10_'!G1311,"AAAAAHdPmwU=")</f>
        <v>#VALUE!</v>
      </c>
      <c r="G88" t="e">
        <f>AND('Planilla_General_29-11-2012_10_'!H1311,"AAAAAHdPmwY=")</f>
        <v>#VALUE!</v>
      </c>
      <c r="H88" t="e">
        <f>AND('Planilla_General_29-11-2012_10_'!I1311,"AAAAAHdPmwc=")</f>
        <v>#VALUE!</v>
      </c>
      <c r="I88" t="e">
        <f>AND('Planilla_General_29-11-2012_10_'!J1311,"AAAAAHdPmwg=")</f>
        <v>#VALUE!</v>
      </c>
      <c r="J88" t="e">
        <f>AND('Planilla_General_29-11-2012_10_'!K1311,"AAAAAHdPmwk=")</f>
        <v>#VALUE!</v>
      </c>
      <c r="K88" t="e">
        <f>AND('Planilla_General_29-11-2012_10_'!L1311,"AAAAAHdPmwo=")</f>
        <v>#VALUE!</v>
      </c>
      <c r="L88" t="e">
        <f>AND('Planilla_General_29-11-2012_10_'!M1311,"AAAAAHdPmws=")</f>
        <v>#VALUE!</v>
      </c>
      <c r="M88" t="e">
        <f>AND('Planilla_General_29-11-2012_10_'!N1311,"AAAAAHdPmww=")</f>
        <v>#VALUE!</v>
      </c>
      <c r="N88" t="e">
        <f>AND('Planilla_General_29-11-2012_10_'!O1311,"AAAAAHdPmw0=")</f>
        <v>#VALUE!</v>
      </c>
      <c r="O88" t="e">
        <f>AND('Planilla_General_29-11-2012_10_'!P1311,"AAAAAHdPmw4=")</f>
        <v>#VALUE!</v>
      </c>
      <c r="P88">
        <f>IF('Planilla_General_29-11-2012_10_'!1312:1312,"AAAAAHdPmw8=",0)</f>
        <v>0</v>
      </c>
      <c r="Q88" t="e">
        <f>AND('Planilla_General_29-11-2012_10_'!A1312,"AAAAAHdPmxA=")</f>
        <v>#VALUE!</v>
      </c>
      <c r="R88" t="e">
        <f>AND('Planilla_General_29-11-2012_10_'!B1312,"AAAAAHdPmxE=")</f>
        <v>#VALUE!</v>
      </c>
      <c r="S88" t="e">
        <f>AND('Planilla_General_29-11-2012_10_'!C1312,"AAAAAHdPmxI=")</f>
        <v>#VALUE!</v>
      </c>
      <c r="T88" t="e">
        <f>AND('Planilla_General_29-11-2012_10_'!D1312,"AAAAAHdPmxM=")</f>
        <v>#VALUE!</v>
      </c>
      <c r="U88" t="e">
        <f>AND('Planilla_General_29-11-2012_10_'!E1312,"AAAAAHdPmxQ=")</f>
        <v>#VALUE!</v>
      </c>
      <c r="V88" t="e">
        <f>AND('Planilla_General_29-11-2012_10_'!F1312,"AAAAAHdPmxU=")</f>
        <v>#VALUE!</v>
      </c>
      <c r="W88" t="e">
        <f>AND('Planilla_General_29-11-2012_10_'!G1312,"AAAAAHdPmxY=")</f>
        <v>#VALUE!</v>
      </c>
      <c r="X88" t="e">
        <f>AND('Planilla_General_29-11-2012_10_'!H1312,"AAAAAHdPmxc=")</f>
        <v>#VALUE!</v>
      </c>
      <c r="Y88" t="e">
        <f>AND('Planilla_General_29-11-2012_10_'!I1312,"AAAAAHdPmxg=")</f>
        <v>#VALUE!</v>
      </c>
      <c r="Z88" t="e">
        <f>AND('Planilla_General_29-11-2012_10_'!J1312,"AAAAAHdPmxk=")</f>
        <v>#VALUE!</v>
      </c>
      <c r="AA88" t="e">
        <f>AND('Planilla_General_29-11-2012_10_'!K1312,"AAAAAHdPmxo=")</f>
        <v>#VALUE!</v>
      </c>
      <c r="AB88" t="e">
        <f>AND('Planilla_General_29-11-2012_10_'!L1312,"AAAAAHdPmxs=")</f>
        <v>#VALUE!</v>
      </c>
      <c r="AC88" t="e">
        <f>AND('Planilla_General_29-11-2012_10_'!M1312,"AAAAAHdPmxw=")</f>
        <v>#VALUE!</v>
      </c>
      <c r="AD88" t="e">
        <f>AND('Planilla_General_29-11-2012_10_'!N1312,"AAAAAHdPmx0=")</f>
        <v>#VALUE!</v>
      </c>
      <c r="AE88" t="e">
        <f>AND('Planilla_General_29-11-2012_10_'!O1312,"AAAAAHdPmx4=")</f>
        <v>#VALUE!</v>
      </c>
      <c r="AF88" t="e">
        <f>AND('Planilla_General_29-11-2012_10_'!P1312,"AAAAAHdPmx8=")</f>
        <v>#VALUE!</v>
      </c>
      <c r="AG88">
        <f>IF('Planilla_General_29-11-2012_10_'!1313:1313,"AAAAAHdPmyA=",0)</f>
        <v>0</v>
      </c>
      <c r="AH88" t="e">
        <f>AND('Planilla_General_29-11-2012_10_'!A1313,"AAAAAHdPmyE=")</f>
        <v>#VALUE!</v>
      </c>
      <c r="AI88" t="e">
        <f>AND('Planilla_General_29-11-2012_10_'!B1313,"AAAAAHdPmyI=")</f>
        <v>#VALUE!</v>
      </c>
      <c r="AJ88" t="e">
        <f>AND('Planilla_General_29-11-2012_10_'!C1313,"AAAAAHdPmyM=")</f>
        <v>#VALUE!</v>
      </c>
      <c r="AK88" t="e">
        <f>AND('Planilla_General_29-11-2012_10_'!D1313,"AAAAAHdPmyQ=")</f>
        <v>#VALUE!</v>
      </c>
      <c r="AL88" t="e">
        <f>AND('Planilla_General_29-11-2012_10_'!E1313,"AAAAAHdPmyU=")</f>
        <v>#VALUE!</v>
      </c>
      <c r="AM88" t="e">
        <f>AND('Planilla_General_29-11-2012_10_'!F1313,"AAAAAHdPmyY=")</f>
        <v>#VALUE!</v>
      </c>
      <c r="AN88" t="e">
        <f>AND('Planilla_General_29-11-2012_10_'!G1313,"AAAAAHdPmyc=")</f>
        <v>#VALUE!</v>
      </c>
      <c r="AO88" t="e">
        <f>AND('Planilla_General_29-11-2012_10_'!H1313,"AAAAAHdPmyg=")</f>
        <v>#VALUE!</v>
      </c>
      <c r="AP88" t="e">
        <f>AND('Planilla_General_29-11-2012_10_'!I1313,"AAAAAHdPmyk=")</f>
        <v>#VALUE!</v>
      </c>
      <c r="AQ88" t="e">
        <f>AND('Planilla_General_29-11-2012_10_'!J1313,"AAAAAHdPmyo=")</f>
        <v>#VALUE!</v>
      </c>
      <c r="AR88" t="e">
        <f>AND('Planilla_General_29-11-2012_10_'!K1313,"AAAAAHdPmys=")</f>
        <v>#VALUE!</v>
      </c>
      <c r="AS88" t="e">
        <f>AND('Planilla_General_29-11-2012_10_'!L1313,"AAAAAHdPmyw=")</f>
        <v>#VALUE!</v>
      </c>
      <c r="AT88" t="e">
        <f>AND('Planilla_General_29-11-2012_10_'!M1313,"AAAAAHdPmy0=")</f>
        <v>#VALUE!</v>
      </c>
      <c r="AU88" t="e">
        <f>AND('Planilla_General_29-11-2012_10_'!N1313,"AAAAAHdPmy4=")</f>
        <v>#VALUE!</v>
      </c>
      <c r="AV88" t="e">
        <f>AND('Planilla_General_29-11-2012_10_'!O1313,"AAAAAHdPmy8=")</f>
        <v>#VALUE!</v>
      </c>
      <c r="AW88" t="e">
        <f>AND('Planilla_General_29-11-2012_10_'!P1313,"AAAAAHdPmzA=")</f>
        <v>#VALUE!</v>
      </c>
      <c r="AX88">
        <f>IF('Planilla_General_29-11-2012_10_'!1314:1314,"AAAAAHdPmzE=",0)</f>
        <v>0</v>
      </c>
      <c r="AY88" t="e">
        <f>AND('Planilla_General_29-11-2012_10_'!A1314,"AAAAAHdPmzI=")</f>
        <v>#VALUE!</v>
      </c>
      <c r="AZ88" t="e">
        <f>AND('Planilla_General_29-11-2012_10_'!B1314,"AAAAAHdPmzM=")</f>
        <v>#VALUE!</v>
      </c>
      <c r="BA88" t="e">
        <f>AND('Planilla_General_29-11-2012_10_'!C1314,"AAAAAHdPmzQ=")</f>
        <v>#VALUE!</v>
      </c>
      <c r="BB88" t="e">
        <f>AND('Planilla_General_29-11-2012_10_'!D1314,"AAAAAHdPmzU=")</f>
        <v>#VALUE!</v>
      </c>
      <c r="BC88" t="e">
        <f>AND('Planilla_General_29-11-2012_10_'!E1314,"AAAAAHdPmzY=")</f>
        <v>#VALUE!</v>
      </c>
      <c r="BD88" t="e">
        <f>AND('Planilla_General_29-11-2012_10_'!F1314,"AAAAAHdPmzc=")</f>
        <v>#VALUE!</v>
      </c>
      <c r="BE88" t="e">
        <f>AND('Planilla_General_29-11-2012_10_'!G1314,"AAAAAHdPmzg=")</f>
        <v>#VALUE!</v>
      </c>
      <c r="BF88" t="e">
        <f>AND('Planilla_General_29-11-2012_10_'!H1314,"AAAAAHdPmzk=")</f>
        <v>#VALUE!</v>
      </c>
      <c r="BG88" t="e">
        <f>AND('Planilla_General_29-11-2012_10_'!I1314,"AAAAAHdPmzo=")</f>
        <v>#VALUE!</v>
      </c>
      <c r="BH88" t="e">
        <f>AND('Planilla_General_29-11-2012_10_'!J1314,"AAAAAHdPmzs=")</f>
        <v>#VALUE!</v>
      </c>
      <c r="BI88" t="e">
        <f>AND('Planilla_General_29-11-2012_10_'!K1314,"AAAAAHdPmzw=")</f>
        <v>#VALUE!</v>
      </c>
      <c r="BJ88" t="e">
        <f>AND('Planilla_General_29-11-2012_10_'!L1314,"AAAAAHdPmz0=")</f>
        <v>#VALUE!</v>
      </c>
      <c r="BK88" t="e">
        <f>AND('Planilla_General_29-11-2012_10_'!M1314,"AAAAAHdPmz4=")</f>
        <v>#VALUE!</v>
      </c>
      <c r="BL88" t="e">
        <f>AND('Planilla_General_29-11-2012_10_'!N1314,"AAAAAHdPmz8=")</f>
        <v>#VALUE!</v>
      </c>
      <c r="BM88" t="e">
        <f>AND('Planilla_General_29-11-2012_10_'!O1314,"AAAAAHdPm0A=")</f>
        <v>#VALUE!</v>
      </c>
      <c r="BN88" t="e">
        <f>AND('Planilla_General_29-11-2012_10_'!P1314,"AAAAAHdPm0E=")</f>
        <v>#VALUE!</v>
      </c>
      <c r="BO88">
        <f>IF('Planilla_General_29-11-2012_10_'!1315:1315,"AAAAAHdPm0I=",0)</f>
        <v>0</v>
      </c>
      <c r="BP88" t="e">
        <f>AND('Planilla_General_29-11-2012_10_'!A1315,"AAAAAHdPm0M=")</f>
        <v>#VALUE!</v>
      </c>
      <c r="BQ88" t="e">
        <f>AND('Planilla_General_29-11-2012_10_'!B1315,"AAAAAHdPm0Q=")</f>
        <v>#VALUE!</v>
      </c>
      <c r="BR88" t="e">
        <f>AND('Planilla_General_29-11-2012_10_'!C1315,"AAAAAHdPm0U=")</f>
        <v>#VALUE!</v>
      </c>
      <c r="BS88" t="e">
        <f>AND('Planilla_General_29-11-2012_10_'!D1315,"AAAAAHdPm0Y=")</f>
        <v>#VALUE!</v>
      </c>
      <c r="BT88" t="e">
        <f>AND('Planilla_General_29-11-2012_10_'!E1315,"AAAAAHdPm0c=")</f>
        <v>#VALUE!</v>
      </c>
      <c r="BU88" t="e">
        <f>AND('Planilla_General_29-11-2012_10_'!F1315,"AAAAAHdPm0g=")</f>
        <v>#VALUE!</v>
      </c>
      <c r="BV88" t="e">
        <f>AND('Planilla_General_29-11-2012_10_'!G1315,"AAAAAHdPm0k=")</f>
        <v>#VALUE!</v>
      </c>
      <c r="BW88" t="e">
        <f>AND('Planilla_General_29-11-2012_10_'!H1315,"AAAAAHdPm0o=")</f>
        <v>#VALUE!</v>
      </c>
      <c r="BX88" t="e">
        <f>AND('Planilla_General_29-11-2012_10_'!I1315,"AAAAAHdPm0s=")</f>
        <v>#VALUE!</v>
      </c>
      <c r="BY88" t="e">
        <f>AND('Planilla_General_29-11-2012_10_'!J1315,"AAAAAHdPm0w=")</f>
        <v>#VALUE!</v>
      </c>
      <c r="BZ88" t="e">
        <f>AND('Planilla_General_29-11-2012_10_'!K1315,"AAAAAHdPm00=")</f>
        <v>#VALUE!</v>
      </c>
      <c r="CA88" t="e">
        <f>AND('Planilla_General_29-11-2012_10_'!L1315,"AAAAAHdPm04=")</f>
        <v>#VALUE!</v>
      </c>
      <c r="CB88" t="e">
        <f>AND('Planilla_General_29-11-2012_10_'!M1315,"AAAAAHdPm08=")</f>
        <v>#VALUE!</v>
      </c>
      <c r="CC88" t="e">
        <f>AND('Planilla_General_29-11-2012_10_'!N1315,"AAAAAHdPm1A=")</f>
        <v>#VALUE!</v>
      </c>
      <c r="CD88" t="e">
        <f>AND('Planilla_General_29-11-2012_10_'!O1315,"AAAAAHdPm1E=")</f>
        <v>#VALUE!</v>
      </c>
      <c r="CE88" t="e">
        <f>AND('Planilla_General_29-11-2012_10_'!P1315,"AAAAAHdPm1I=")</f>
        <v>#VALUE!</v>
      </c>
      <c r="CF88">
        <f>IF('Planilla_General_29-11-2012_10_'!1316:1316,"AAAAAHdPm1M=",0)</f>
        <v>0</v>
      </c>
      <c r="CG88" t="e">
        <f>AND('Planilla_General_29-11-2012_10_'!A1316,"AAAAAHdPm1Q=")</f>
        <v>#VALUE!</v>
      </c>
      <c r="CH88" t="e">
        <f>AND('Planilla_General_29-11-2012_10_'!B1316,"AAAAAHdPm1U=")</f>
        <v>#VALUE!</v>
      </c>
      <c r="CI88" t="e">
        <f>AND('Planilla_General_29-11-2012_10_'!C1316,"AAAAAHdPm1Y=")</f>
        <v>#VALUE!</v>
      </c>
      <c r="CJ88" t="e">
        <f>AND('Planilla_General_29-11-2012_10_'!D1316,"AAAAAHdPm1c=")</f>
        <v>#VALUE!</v>
      </c>
      <c r="CK88" t="e">
        <f>AND('Planilla_General_29-11-2012_10_'!E1316,"AAAAAHdPm1g=")</f>
        <v>#VALUE!</v>
      </c>
      <c r="CL88" t="e">
        <f>AND('Planilla_General_29-11-2012_10_'!F1316,"AAAAAHdPm1k=")</f>
        <v>#VALUE!</v>
      </c>
      <c r="CM88" t="e">
        <f>AND('Planilla_General_29-11-2012_10_'!G1316,"AAAAAHdPm1o=")</f>
        <v>#VALUE!</v>
      </c>
      <c r="CN88" t="e">
        <f>AND('Planilla_General_29-11-2012_10_'!H1316,"AAAAAHdPm1s=")</f>
        <v>#VALUE!</v>
      </c>
      <c r="CO88" t="e">
        <f>AND('Planilla_General_29-11-2012_10_'!I1316,"AAAAAHdPm1w=")</f>
        <v>#VALUE!</v>
      </c>
      <c r="CP88" t="e">
        <f>AND('Planilla_General_29-11-2012_10_'!J1316,"AAAAAHdPm10=")</f>
        <v>#VALUE!</v>
      </c>
      <c r="CQ88" t="e">
        <f>AND('Planilla_General_29-11-2012_10_'!K1316,"AAAAAHdPm14=")</f>
        <v>#VALUE!</v>
      </c>
      <c r="CR88" t="e">
        <f>AND('Planilla_General_29-11-2012_10_'!L1316,"AAAAAHdPm18=")</f>
        <v>#VALUE!</v>
      </c>
      <c r="CS88" t="e">
        <f>AND('Planilla_General_29-11-2012_10_'!M1316,"AAAAAHdPm2A=")</f>
        <v>#VALUE!</v>
      </c>
      <c r="CT88" t="e">
        <f>AND('Planilla_General_29-11-2012_10_'!N1316,"AAAAAHdPm2E=")</f>
        <v>#VALUE!</v>
      </c>
      <c r="CU88" t="e">
        <f>AND('Planilla_General_29-11-2012_10_'!O1316,"AAAAAHdPm2I=")</f>
        <v>#VALUE!</v>
      </c>
      <c r="CV88" t="e">
        <f>AND('Planilla_General_29-11-2012_10_'!P1316,"AAAAAHdPm2M=")</f>
        <v>#VALUE!</v>
      </c>
      <c r="CW88">
        <f>IF('Planilla_General_29-11-2012_10_'!1317:1317,"AAAAAHdPm2Q=",0)</f>
        <v>0</v>
      </c>
      <c r="CX88" t="e">
        <f>AND('Planilla_General_29-11-2012_10_'!A1317,"AAAAAHdPm2U=")</f>
        <v>#VALUE!</v>
      </c>
      <c r="CY88" t="e">
        <f>AND('Planilla_General_29-11-2012_10_'!B1317,"AAAAAHdPm2Y=")</f>
        <v>#VALUE!</v>
      </c>
      <c r="CZ88" t="e">
        <f>AND('Planilla_General_29-11-2012_10_'!C1317,"AAAAAHdPm2c=")</f>
        <v>#VALUE!</v>
      </c>
      <c r="DA88" t="e">
        <f>AND('Planilla_General_29-11-2012_10_'!D1317,"AAAAAHdPm2g=")</f>
        <v>#VALUE!</v>
      </c>
      <c r="DB88" t="e">
        <f>AND('Planilla_General_29-11-2012_10_'!E1317,"AAAAAHdPm2k=")</f>
        <v>#VALUE!</v>
      </c>
      <c r="DC88" t="e">
        <f>AND('Planilla_General_29-11-2012_10_'!F1317,"AAAAAHdPm2o=")</f>
        <v>#VALUE!</v>
      </c>
      <c r="DD88" t="e">
        <f>AND('Planilla_General_29-11-2012_10_'!G1317,"AAAAAHdPm2s=")</f>
        <v>#VALUE!</v>
      </c>
      <c r="DE88" t="e">
        <f>AND('Planilla_General_29-11-2012_10_'!H1317,"AAAAAHdPm2w=")</f>
        <v>#VALUE!</v>
      </c>
      <c r="DF88" t="e">
        <f>AND('Planilla_General_29-11-2012_10_'!I1317,"AAAAAHdPm20=")</f>
        <v>#VALUE!</v>
      </c>
      <c r="DG88" t="e">
        <f>AND('Planilla_General_29-11-2012_10_'!J1317,"AAAAAHdPm24=")</f>
        <v>#VALUE!</v>
      </c>
      <c r="DH88" t="e">
        <f>AND('Planilla_General_29-11-2012_10_'!K1317,"AAAAAHdPm28=")</f>
        <v>#VALUE!</v>
      </c>
      <c r="DI88" t="e">
        <f>AND('Planilla_General_29-11-2012_10_'!L1317,"AAAAAHdPm3A=")</f>
        <v>#VALUE!</v>
      </c>
      <c r="DJ88" t="e">
        <f>AND('Planilla_General_29-11-2012_10_'!M1317,"AAAAAHdPm3E=")</f>
        <v>#VALUE!</v>
      </c>
      <c r="DK88" t="e">
        <f>AND('Planilla_General_29-11-2012_10_'!N1317,"AAAAAHdPm3I=")</f>
        <v>#VALUE!</v>
      </c>
      <c r="DL88" t="e">
        <f>AND('Planilla_General_29-11-2012_10_'!O1317,"AAAAAHdPm3M=")</f>
        <v>#VALUE!</v>
      </c>
      <c r="DM88" t="e">
        <f>AND('Planilla_General_29-11-2012_10_'!P1317,"AAAAAHdPm3Q=")</f>
        <v>#VALUE!</v>
      </c>
      <c r="DN88">
        <f>IF('Planilla_General_29-11-2012_10_'!1318:1318,"AAAAAHdPm3U=",0)</f>
        <v>0</v>
      </c>
      <c r="DO88" t="e">
        <f>AND('Planilla_General_29-11-2012_10_'!A1318,"AAAAAHdPm3Y=")</f>
        <v>#VALUE!</v>
      </c>
      <c r="DP88" t="e">
        <f>AND('Planilla_General_29-11-2012_10_'!B1318,"AAAAAHdPm3c=")</f>
        <v>#VALUE!</v>
      </c>
      <c r="DQ88" t="e">
        <f>AND('Planilla_General_29-11-2012_10_'!C1318,"AAAAAHdPm3g=")</f>
        <v>#VALUE!</v>
      </c>
      <c r="DR88" t="e">
        <f>AND('Planilla_General_29-11-2012_10_'!D1318,"AAAAAHdPm3k=")</f>
        <v>#VALUE!</v>
      </c>
      <c r="DS88" t="e">
        <f>AND('Planilla_General_29-11-2012_10_'!E1318,"AAAAAHdPm3o=")</f>
        <v>#VALUE!</v>
      </c>
      <c r="DT88" t="e">
        <f>AND('Planilla_General_29-11-2012_10_'!F1318,"AAAAAHdPm3s=")</f>
        <v>#VALUE!</v>
      </c>
      <c r="DU88" t="e">
        <f>AND('Planilla_General_29-11-2012_10_'!G1318,"AAAAAHdPm3w=")</f>
        <v>#VALUE!</v>
      </c>
      <c r="DV88" t="e">
        <f>AND('Planilla_General_29-11-2012_10_'!H1318,"AAAAAHdPm30=")</f>
        <v>#VALUE!</v>
      </c>
      <c r="DW88" t="e">
        <f>AND('Planilla_General_29-11-2012_10_'!I1318,"AAAAAHdPm34=")</f>
        <v>#VALUE!</v>
      </c>
      <c r="DX88" t="e">
        <f>AND('Planilla_General_29-11-2012_10_'!J1318,"AAAAAHdPm38=")</f>
        <v>#VALUE!</v>
      </c>
      <c r="DY88" t="e">
        <f>AND('Planilla_General_29-11-2012_10_'!K1318,"AAAAAHdPm4A=")</f>
        <v>#VALUE!</v>
      </c>
      <c r="DZ88" t="e">
        <f>AND('Planilla_General_29-11-2012_10_'!L1318,"AAAAAHdPm4E=")</f>
        <v>#VALUE!</v>
      </c>
      <c r="EA88" t="e">
        <f>AND('Planilla_General_29-11-2012_10_'!M1318,"AAAAAHdPm4I=")</f>
        <v>#VALUE!</v>
      </c>
      <c r="EB88" t="e">
        <f>AND('Planilla_General_29-11-2012_10_'!N1318,"AAAAAHdPm4M=")</f>
        <v>#VALUE!</v>
      </c>
      <c r="EC88" t="e">
        <f>AND('Planilla_General_29-11-2012_10_'!O1318,"AAAAAHdPm4Q=")</f>
        <v>#VALUE!</v>
      </c>
      <c r="ED88" t="e">
        <f>AND('Planilla_General_29-11-2012_10_'!P1318,"AAAAAHdPm4U=")</f>
        <v>#VALUE!</v>
      </c>
      <c r="EE88">
        <f>IF('Planilla_General_29-11-2012_10_'!1319:1319,"AAAAAHdPm4Y=",0)</f>
        <v>0</v>
      </c>
      <c r="EF88" t="e">
        <f>AND('Planilla_General_29-11-2012_10_'!A1319,"AAAAAHdPm4c=")</f>
        <v>#VALUE!</v>
      </c>
      <c r="EG88" t="e">
        <f>AND('Planilla_General_29-11-2012_10_'!B1319,"AAAAAHdPm4g=")</f>
        <v>#VALUE!</v>
      </c>
      <c r="EH88" t="e">
        <f>AND('Planilla_General_29-11-2012_10_'!C1319,"AAAAAHdPm4k=")</f>
        <v>#VALUE!</v>
      </c>
      <c r="EI88" t="e">
        <f>AND('Planilla_General_29-11-2012_10_'!D1319,"AAAAAHdPm4o=")</f>
        <v>#VALUE!</v>
      </c>
      <c r="EJ88" t="e">
        <f>AND('Planilla_General_29-11-2012_10_'!E1319,"AAAAAHdPm4s=")</f>
        <v>#VALUE!</v>
      </c>
      <c r="EK88" t="e">
        <f>AND('Planilla_General_29-11-2012_10_'!F1319,"AAAAAHdPm4w=")</f>
        <v>#VALUE!</v>
      </c>
      <c r="EL88" t="e">
        <f>AND('Planilla_General_29-11-2012_10_'!G1319,"AAAAAHdPm40=")</f>
        <v>#VALUE!</v>
      </c>
      <c r="EM88" t="e">
        <f>AND('Planilla_General_29-11-2012_10_'!H1319,"AAAAAHdPm44=")</f>
        <v>#VALUE!</v>
      </c>
      <c r="EN88" t="e">
        <f>AND('Planilla_General_29-11-2012_10_'!I1319,"AAAAAHdPm48=")</f>
        <v>#VALUE!</v>
      </c>
      <c r="EO88" t="e">
        <f>AND('Planilla_General_29-11-2012_10_'!J1319,"AAAAAHdPm5A=")</f>
        <v>#VALUE!</v>
      </c>
      <c r="EP88" t="e">
        <f>AND('Planilla_General_29-11-2012_10_'!K1319,"AAAAAHdPm5E=")</f>
        <v>#VALUE!</v>
      </c>
      <c r="EQ88" t="e">
        <f>AND('Planilla_General_29-11-2012_10_'!L1319,"AAAAAHdPm5I=")</f>
        <v>#VALUE!</v>
      </c>
      <c r="ER88" t="e">
        <f>AND('Planilla_General_29-11-2012_10_'!M1319,"AAAAAHdPm5M=")</f>
        <v>#VALUE!</v>
      </c>
      <c r="ES88" t="e">
        <f>AND('Planilla_General_29-11-2012_10_'!N1319,"AAAAAHdPm5Q=")</f>
        <v>#VALUE!</v>
      </c>
      <c r="ET88" t="e">
        <f>AND('Planilla_General_29-11-2012_10_'!O1319,"AAAAAHdPm5U=")</f>
        <v>#VALUE!</v>
      </c>
      <c r="EU88" t="e">
        <f>AND('Planilla_General_29-11-2012_10_'!P1319,"AAAAAHdPm5Y=")</f>
        <v>#VALUE!</v>
      </c>
      <c r="EV88">
        <f>IF('Planilla_General_29-11-2012_10_'!1320:1320,"AAAAAHdPm5c=",0)</f>
        <v>0</v>
      </c>
      <c r="EW88" t="e">
        <f>AND('Planilla_General_29-11-2012_10_'!A1320,"AAAAAHdPm5g=")</f>
        <v>#VALUE!</v>
      </c>
      <c r="EX88" t="e">
        <f>AND('Planilla_General_29-11-2012_10_'!B1320,"AAAAAHdPm5k=")</f>
        <v>#VALUE!</v>
      </c>
      <c r="EY88" t="e">
        <f>AND('Planilla_General_29-11-2012_10_'!C1320,"AAAAAHdPm5o=")</f>
        <v>#VALUE!</v>
      </c>
      <c r="EZ88" t="e">
        <f>AND('Planilla_General_29-11-2012_10_'!D1320,"AAAAAHdPm5s=")</f>
        <v>#VALUE!</v>
      </c>
      <c r="FA88" t="e">
        <f>AND('Planilla_General_29-11-2012_10_'!E1320,"AAAAAHdPm5w=")</f>
        <v>#VALUE!</v>
      </c>
      <c r="FB88" t="e">
        <f>AND('Planilla_General_29-11-2012_10_'!F1320,"AAAAAHdPm50=")</f>
        <v>#VALUE!</v>
      </c>
      <c r="FC88" t="e">
        <f>AND('Planilla_General_29-11-2012_10_'!G1320,"AAAAAHdPm54=")</f>
        <v>#VALUE!</v>
      </c>
      <c r="FD88" t="e">
        <f>AND('Planilla_General_29-11-2012_10_'!H1320,"AAAAAHdPm58=")</f>
        <v>#VALUE!</v>
      </c>
      <c r="FE88" t="e">
        <f>AND('Planilla_General_29-11-2012_10_'!I1320,"AAAAAHdPm6A=")</f>
        <v>#VALUE!</v>
      </c>
      <c r="FF88" t="e">
        <f>AND('Planilla_General_29-11-2012_10_'!J1320,"AAAAAHdPm6E=")</f>
        <v>#VALUE!</v>
      </c>
      <c r="FG88" t="e">
        <f>AND('Planilla_General_29-11-2012_10_'!K1320,"AAAAAHdPm6I=")</f>
        <v>#VALUE!</v>
      </c>
      <c r="FH88" t="e">
        <f>AND('Planilla_General_29-11-2012_10_'!L1320,"AAAAAHdPm6M=")</f>
        <v>#VALUE!</v>
      </c>
      <c r="FI88" t="e">
        <f>AND('Planilla_General_29-11-2012_10_'!M1320,"AAAAAHdPm6Q=")</f>
        <v>#VALUE!</v>
      </c>
      <c r="FJ88" t="e">
        <f>AND('Planilla_General_29-11-2012_10_'!N1320,"AAAAAHdPm6U=")</f>
        <v>#VALUE!</v>
      </c>
      <c r="FK88" t="e">
        <f>AND('Planilla_General_29-11-2012_10_'!O1320,"AAAAAHdPm6Y=")</f>
        <v>#VALUE!</v>
      </c>
      <c r="FL88" t="e">
        <f>AND('Planilla_General_29-11-2012_10_'!P1320,"AAAAAHdPm6c=")</f>
        <v>#VALUE!</v>
      </c>
      <c r="FM88">
        <f>IF('Planilla_General_29-11-2012_10_'!1321:1321,"AAAAAHdPm6g=",0)</f>
        <v>0</v>
      </c>
      <c r="FN88" t="e">
        <f>AND('Planilla_General_29-11-2012_10_'!A1321,"AAAAAHdPm6k=")</f>
        <v>#VALUE!</v>
      </c>
      <c r="FO88" t="e">
        <f>AND('Planilla_General_29-11-2012_10_'!B1321,"AAAAAHdPm6o=")</f>
        <v>#VALUE!</v>
      </c>
      <c r="FP88" t="e">
        <f>AND('Planilla_General_29-11-2012_10_'!C1321,"AAAAAHdPm6s=")</f>
        <v>#VALUE!</v>
      </c>
      <c r="FQ88" t="e">
        <f>AND('Planilla_General_29-11-2012_10_'!D1321,"AAAAAHdPm6w=")</f>
        <v>#VALUE!</v>
      </c>
      <c r="FR88" t="e">
        <f>AND('Planilla_General_29-11-2012_10_'!E1321,"AAAAAHdPm60=")</f>
        <v>#VALUE!</v>
      </c>
      <c r="FS88" t="e">
        <f>AND('Planilla_General_29-11-2012_10_'!F1321,"AAAAAHdPm64=")</f>
        <v>#VALUE!</v>
      </c>
      <c r="FT88" t="e">
        <f>AND('Planilla_General_29-11-2012_10_'!G1321,"AAAAAHdPm68=")</f>
        <v>#VALUE!</v>
      </c>
      <c r="FU88" t="e">
        <f>AND('Planilla_General_29-11-2012_10_'!H1321,"AAAAAHdPm7A=")</f>
        <v>#VALUE!</v>
      </c>
      <c r="FV88" t="e">
        <f>AND('Planilla_General_29-11-2012_10_'!I1321,"AAAAAHdPm7E=")</f>
        <v>#VALUE!</v>
      </c>
      <c r="FW88" t="e">
        <f>AND('Planilla_General_29-11-2012_10_'!J1321,"AAAAAHdPm7I=")</f>
        <v>#VALUE!</v>
      </c>
      <c r="FX88" t="e">
        <f>AND('Planilla_General_29-11-2012_10_'!K1321,"AAAAAHdPm7M=")</f>
        <v>#VALUE!</v>
      </c>
      <c r="FY88" t="e">
        <f>AND('Planilla_General_29-11-2012_10_'!L1321,"AAAAAHdPm7Q=")</f>
        <v>#VALUE!</v>
      </c>
      <c r="FZ88" t="e">
        <f>AND('Planilla_General_29-11-2012_10_'!M1321,"AAAAAHdPm7U=")</f>
        <v>#VALUE!</v>
      </c>
      <c r="GA88" t="e">
        <f>AND('Planilla_General_29-11-2012_10_'!N1321,"AAAAAHdPm7Y=")</f>
        <v>#VALUE!</v>
      </c>
      <c r="GB88" t="e">
        <f>AND('Planilla_General_29-11-2012_10_'!O1321,"AAAAAHdPm7c=")</f>
        <v>#VALUE!</v>
      </c>
      <c r="GC88" t="e">
        <f>AND('Planilla_General_29-11-2012_10_'!P1321,"AAAAAHdPm7g=")</f>
        <v>#VALUE!</v>
      </c>
      <c r="GD88">
        <f>IF('Planilla_General_29-11-2012_10_'!1322:1322,"AAAAAHdPm7k=",0)</f>
        <v>0</v>
      </c>
      <c r="GE88" t="e">
        <f>AND('Planilla_General_29-11-2012_10_'!A1322,"AAAAAHdPm7o=")</f>
        <v>#VALUE!</v>
      </c>
      <c r="GF88" t="e">
        <f>AND('Planilla_General_29-11-2012_10_'!B1322,"AAAAAHdPm7s=")</f>
        <v>#VALUE!</v>
      </c>
      <c r="GG88" t="e">
        <f>AND('Planilla_General_29-11-2012_10_'!C1322,"AAAAAHdPm7w=")</f>
        <v>#VALUE!</v>
      </c>
      <c r="GH88" t="e">
        <f>AND('Planilla_General_29-11-2012_10_'!D1322,"AAAAAHdPm70=")</f>
        <v>#VALUE!</v>
      </c>
      <c r="GI88" t="e">
        <f>AND('Planilla_General_29-11-2012_10_'!E1322,"AAAAAHdPm74=")</f>
        <v>#VALUE!</v>
      </c>
      <c r="GJ88" t="e">
        <f>AND('Planilla_General_29-11-2012_10_'!F1322,"AAAAAHdPm78=")</f>
        <v>#VALUE!</v>
      </c>
      <c r="GK88" t="e">
        <f>AND('Planilla_General_29-11-2012_10_'!G1322,"AAAAAHdPm8A=")</f>
        <v>#VALUE!</v>
      </c>
      <c r="GL88" t="e">
        <f>AND('Planilla_General_29-11-2012_10_'!H1322,"AAAAAHdPm8E=")</f>
        <v>#VALUE!</v>
      </c>
      <c r="GM88" t="e">
        <f>AND('Planilla_General_29-11-2012_10_'!I1322,"AAAAAHdPm8I=")</f>
        <v>#VALUE!</v>
      </c>
      <c r="GN88" t="e">
        <f>AND('Planilla_General_29-11-2012_10_'!J1322,"AAAAAHdPm8M=")</f>
        <v>#VALUE!</v>
      </c>
      <c r="GO88" t="e">
        <f>AND('Planilla_General_29-11-2012_10_'!K1322,"AAAAAHdPm8Q=")</f>
        <v>#VALUE!</v>
      </c>
      <c r="GP88" t="e">
        <f>AND('Planilla_General_29-11-2012_10_'!L1322,"AAAAAHdPm8U=")</f>
        <v>#VALUE!</v>
      </c>
      <c r="GQ88" t="e">
        <f>AND('Planilla_General_29-11-2012_10_'!M1322,"AAAAAHdPm8Y=")</f>
        <v>#VALUE!</v>
      </c>
      <c r="GR88" t="e">
        <f>AND('Planilla_General_29-11-2012_10_'!N1322,"AAAAAHdPm8c=")</f>
        <v>#VALUE!</v>
      </c>
      <c r="GS88" t="e">
        <f>AND('Planilla_General_29-11-2012_10_'!O1322,"AAAAAHdPm8g=")</f>
        <v>#VALUE!</v>
      </c>
      <c r="GT88" t="e">
        <f>AND('Planilla_General_29-11-2012_10_'!P1322,"AAAAAHdPm8k=")</f>
        <v>#VALUE!</v>
      </c>
      <c r="GU88">
        <f>IF('Planilla_General_29-11-2012_10_'!1323:1323,"AAAAAHdPm8o=",0)</f>
        <v>0</v>
      </c>
      <c r="GV88" t="e">
        <f>AND('Planilla_General_29-11-2012_10_'!A1323,"AAAAAHdPm8s=")</f>
        <v>#VALUE!</v>
      </c>
      <c r="GW88" t="e">
        <f>AND('Planilla_General_29-11-2012_10_'!B1323,"AAAAAHdPm8w=")</f>
        <v>#VALUE!</v>
      </c>
      <c r="GX88" t="e">
        <f>AND('Planilla_General_29-11-2012_10_'!C1323,"AAAAAHdPm80=")</f>
        <v>#VALUE!</v>
      </c>
      <c r="GY88" t="e">
        <f>AND('Planilla_General_29-11-2012_10_'!D1323,"AAAAAHdPm84=")</f>
        <v>#VALUE!</v>
      </c>
      <c r="GZ88" t="e">
        <f>AND('Planilla_General_29-11-2012_10_'!E1323,"AAAAAHdPm88=")</f>
        <v>#VALUE!</v>
      </c>
      <c r="HA88" t="e">
        <f>AND('Planilla_General_29-11-2012_10_'!F1323,"AAAAAHdPm9A=")</f>
        <v>#VALUE!</v>
      </c>
      <c r="HB88" t="e">
        <f>AND('Planilla_General_29-11-2012_10_'!G1323,"AAAAAHdPm9E=")</f>
        <v>#VALUE!</v>
      </c>
      <c r="HC88" t="e">
        <f>AND('Planilla_General_29-11-2012_10_'!H1323,"AAAAAHdPm9I=")</f>
        <v>#VALUE!</v>
      </c>
      <c r="HD88" t="e">
        <f>AND('Planilla_General_29-11-2012_10_'!I1323,"AAAAAHdPm9M=")</f>
        <v>#VALUE!</v>
      </c>
      <c r="HE88" t="e">
        <f>AND('Planilla_General_29-11-2012_10_'!J1323,"AAAAAHdPm9Q=")</f>
        <v>#VALUE!</v>
      </c>
      <c r="HF88" t="e">
        <f>AND('Planilla_General_29-11-2012_10_'!K1323,"AAAAAHdPm9U=")</f>
        <v>#VALUE!</v>
      </c>
      <c r="HG88" t="e">
        <f>AND('Planilla_General_29-11-2012_10_'!L1323,"AAAAAHdPm9Y=")</f>
        <v>#VALUE!</v>
      </c>
      <c r="HH88" t="e">
        <f>AND('Planilla_General_29-11-2012_10_'!M1323,"AAAAAHdPm9c=")</f>
        <v>#VALUE!</v>
      </c>
      <c r="HI88" t="e">
        <f>AND('Planilla_General_29-11-2012_10_'!N1323,"AAAAAHdPm9g=")</f>
        <v>#VALUE!</v>
      </c>
      <c r="HJ88" t="e">
        <f>AND('Planilla_General_29-11-2012_10_'!O1323,"AAAAAHdPm9k=")</f>
        <v>#VALUE!</v>
      </c>
      <c r="HK88" t="e">
        <f>AND('Planilla_General_29-11-2012_10_'!P1323,"AAAAAHdPm9o=")</f>
        <v>#VALUE!</v>
      </c>
      <c r="HL88">
        <f>IF('Planilla_General_29-11-2012_10_'!1324:1324,"AAAAAHdPm9s=",0)</f>
        <v>0</v>
      </c>
      <c r="HM88" t="e">
        <f>AND('Planilla_General_29-11-2012_10_'!A1324,"AAAAAHdPm9w=")</f>
        <v>#VALUE!</v>
      </c>
      <c r="HN88" t="e">
        <f>AND('Planilla_General_29-11-2012_10_'!B1324,"AAAAAHdPm90=")</f>
        <v>#VALUE!</v>
      </c>
      <c r="HO88" t="e">
        <f>AND('Planilla_General_29-11-2012_10_'!C1324,"AAAAAHdPm94=")</f>
        <v>#VALUE!</v>
      </c>
      <c r="HP88" t="e">
        <f>AND('Planilla_General_29-11-2012_10_'!D1324,"AAAAAHdPm98=")</f>
        <v>#VALUE!</v>
      </c>
      <c r="HQ88" t="e">
        <f>AND('Planilla_General_29-11-2012_10_'!E1324,"AAAAAHdPm+A=")</f>
        <v>#VALUE!</v>
      </c>
      <c r="HR88" t="e">
        <f>AND('Planilla_General_29-11-2012_10_'!F1324,"AAAAAHdPm+E=")</f>
        <v>#VALUE!</v>
      </c>
      <c r="HS88" t="e">
        <f>AND('Planilla_General_29-11-2012_10_'!G1324,"AAAAAHdPm+I=")</f>
        <v>#VALUE!</v>
      </c>
      <c r="HT88" t="e">
        <f>AND('Planilla_General_29-11-2012_10_'!H1324,"AAAAAHdPm+M=")</f>
        <v>#VALUE!</v>
      </c>
      <c r="HU88" t="e">
        <f>AND('Planilla_General_29-11-2012_10_'!I1324,"AAAAAHdPm+Q=")</f>
        <v>#VALUE!</v>
      </c>
      <c r="HV88" t="e">
        <f>AND('Planilla_General_29-11-2012_10_'!J1324,"AAAAAHdPm+U=")</f>
        <v>#VALUE!</v>
      </c>
      <c r="HW88" t="e">
        <f>AND('Planilla_General_29-11-2012_10_'!K1324,"AAAAAHdPm+Y=")</f>
        <v>#VALUE!</v>
      </c>
      <c r="HX88" t="e">
        <f>AND('Planilla_General_29-11-2012_10_'!L1324,"AAAAAHdPm+c=")</f>
        <v>#VALUE!</v>
      </c>
      <c r="HY88" t="e">
        <f>AND('Planilla_General_29-11-2012_10_'!M1324,"AAAAAHdPm+g=")</f>
        <v>#VALUE!</v>
      </c>
      <c r="HZ88" t="e">
        <f>AND('Planilla_General_29-11-2012_10_'!N1324,"AAAAAHdPm+k=")</f>
        <v>#VALUE!</v>
      </c>
      <c r="IA88" t="e">
        <f>AND('Planilla_General_29-11-2012_10_'!O1324,"AAAAAHdPm+o=")</f>
        <v>#VALUE!</v>
      </c>
      <c r="IB88" t="e">
        <f>AND('Planilla_General_29-11-2012_10_'!P1324,"AAAAAHdPm+s=")</f>
        <v>#VALUE!</v>
      </c>
      <c r="IC88">
        <f>IF('Planilla_General_29-11-2012_10_'!1325:1325,"AAAAAHdPm+w=",0)</f>
        <v>0</v>
      </c>
      <c r="ID88" t="e">
        <f>AND('Planilla_General_29-11-2012_10_'!A1325,"AAAAAHdPm+0=")</f>
        <v>#VALUE!</v>
      </c>
      <c r="IE88" t="e">
        <f>AND('Planilla_General_29-11-2012_10_'!B1325,"AAAAAHdPm+4=")</f>
        <v>#VALUE!</v>
      </c>
      <c r="IF88" t="e">
        <f>AND('Planilla_General_29-11-2012_10_'!C1325,"AAAAAHdPm+8=")</f>
        <v>#VALUE!</v>
      </c>
      <c r="IG88" t="e">
        <f>AND('Planilla_General_29-11-2012_10_'!D1325,"AAAAAHdPm/A=")</f>
        <v>#VALUE!</v>
      </c>
      <c r="IH88" t="e">
        <f>AND('Planilla_General_29-11-2012_10_'!E1325,"AAAAAHdPm/E=")</f>
        <v>#VALUE!</v>
      </c>
      <c r="II88" t="e">
        <f>AND('Planilla_General_29-11-2012_10_'!F1325,"AAAAAHdPm/I=")</f>
        <v>#VALUE!</v>
      </c>
      <c r="IJ88" t="e">
        <f>AND('Planilla_General_29-11-2012_10_'!G1325,"AAAAAHdPm/M=")</f>
        <v>#VALUE!</v>
      </c>
      <c r="IK88" t="e">
        <f>AND('Planilla_General_29-11-2012_10_'!H1325,"AAAAAHdPm/Q=")</f>
        <v>#VALUE!</v>
      </c>
      <c r="IL88" t="e">
        <f>AND('Planilla_General_29-11-2012_10_'!I1325,"AAAAAHdPm/U=")</f>
        <v>#VALUE!</v>
      </c>
      <c r="IM88" t="e">
        <f>AND('Planilla_General_29-11-2012_10_'!J1325,"AAAAAHdPm/Y=")</f>
        <v>#VALUE!</v>
      </c>
      <c r="IN88" t="e">
        <f>AND('Planilla_General_29-11-2012_10_'!K1325,"AAAAAHdPm/c=")</f>
        <v>#VALUE!</v>
      </c>
      <c r="IO88" t="e">
        <f>AND('Planilla_General_29-11-2012_10_'!L1325,"AAAAAHdPm/g=")</f>
        <v>#VALUE!</v>
      </c>
      <c r="IP88" t="e">
        <f>AND('Planilla_General_29-11-2012_10_'!M1325,"AAAAAHdPm/k=")</f>
        <v>#VALUE!</v>
      </c>
      <c r="IQ88" t="e">
        <f>AND('Planilla_General_29-11-2012_10_'!N1325,"AAAAAHdPm/o=")</f>
        <v>#VALUE!</v>
      </c>
      <c r="IR88" t="e">
        <f>AND('Planilla_General_29-11-2012_10_'!O1325,"AAAAAHdPm/s=")</f>
        <v>#VALUE!</v>
      </c>
      <c r="IS88" t="e">
        <f>AND('Planilla_General_29-11-2012_10_'!P1325,"AAAAAHdPm/w=")</f>
        <v>#VALUE!</v>
      </c>
      <c r="IT88">
        <f>IF('Planilla_General_29-11-2012_10_'!1326:1326,"AAAAAHdPm/0=",0)</f>
        <v>0</v>
      </c>
      <c r="IU88" t="e">
        <f>AND('Planilla_General_29-11-2012_10_'!A1326,"AAAAAHdPm/4=")</f>
        <v>#VALUE!</v>
      </c>
      <c r="IV88" t="e">
        <f>AND('Planilla_General_29-11-2012_10_'!B1326,"AAAAAHdPm/8=")</f>
        <v>#VALUE!</v>
      </c>
    </row>
    <row r="89" spans="1:256" x14ac:dyDescent="0.25">
      <c r="A89" t="e">
        <f>AND('Planilla_General_29-11-2012_10_'!C1326,"AAAAADfr+QA=")</f>
        <v>#VALUE!</v>
      </c>
      <c r="B89" t="e">
        <f>AND('Planilla_General_29-11-2012_10_'!D1326,"AAAAADfr+QE=")</f>
        <v>#VALUE!</v>
      </c>
      <c r="C89" t="e">
        <f>AND('Planilla_General_29-11-2012_10_'!E1326,"AAAAADfr+QI=")</f>
        <v>#VALUE!</v>
      </c>
      <c r="D89" t="e">
        <f>AND('Planilla_General_29-11-2012_10_'!F1326,"AAAAADfr+QM=")</f>
        <v>#VALUE!</v>
      </c>
      <c r="E89" t="e">
        <f>AND('Planilla_General_29-11-2012_10_'!G1326,"AAAAADfr+QQ=")</f>
        <v>#VALUE!</v>
      </c>
      <c r="F89" t="e">
        <f>AND('Planilla_General_29-11-2012_10_'!H1326,"AAAAADfr+QU=")</f>
        <v>#VALUE!</v>
      </c>
      <c r="G89" t="e">
        <f>AND('Planilla_General_29-11-2012_10_'!I1326,"AAAAADfr+QY=")</f>
        <v>#VALUE!</v>
      </c>
      <c r="H89" t="e">
        <f>AND('Planilla_General_29-11-2012_10_'!J1326,"AAAAADfr+Qc=")</f>
        <v>#VALUE!</v>
      </c>
      <c r="I89" t="e">
        <f>AND('Planilla_General_29-11-2012_10_'!K1326,"AAAAADfr+Qg=")</f>
        <v>#VALUE!</v>
      </c>
      <c r="J89" t="e">
        <f>AND('Planilla_General_29-11-2012_10_'!L1326,"AAAAADfr+Qk=")</f>
        <v>#VALUE!</v>
      </c>
      <c r="K89" t="e">
        <f>AND('Planilla_General_29-11-2012_10_'!M1326,"AAAAADfr+Qo=")</f>
        <v>#VALUE!</v>
      </c>
      <c r="L89" t="e">
        <f>AND('Planilla_General_29-11-2012_10_'!N1326,"AAAAADfr+Qs=")</f>
        <v>#VALUE!</v>
      </c>
      <c r="M89" t="e">
        <f>AND('Planilla_General_29-11-2012_10_'!O1326,"AAAAADfr+Qw=")</f>
        <v>#VALUE!</v>
      </c>
      <c r="N89" t="e">
        <f>AND('Planilla_General_29-11-2012_10_'!P1326,"AAAAADfr+Q0=")</f>
        <v>#VALUE!</v>
      </c>
      <c r="O89" t="str">
        <f>IF('Planilla_General_29-11-2012_10_'!1327:1327,"AAAAADfr+Q4=",0)</f>
        <v>AAAAADfr+Q4=</v>
      </c>
      <c r="P89" t="e">
        <f>AND('Planilla_General_29-11-2012_10_'!A1327,"AAAAADfr+Q8=")</f>
        <v>#VALUE!</v>
      </c>
      <c r="Q89" t="e">
        <f>AND('Planilla_General_29-11-2012_10_'!B1327,"AAAAADfr+RA=")</f>
        <v>#VALUE!</v>
      </c>
      <c r="R89" t="e">
        <f>AND('Planilla_General_29-11-2012_10_'!C1327,"AAAAADfr+RE=")</f>
        <v>#VALUE!</v>
      </c>
      <c r="S89" t="e">
        <f>AND('Planilla_General_29-11-2012_10_'!D1327,"AAAAADfr+RI=")</f>
        <v>#VALUE!</v>
      </c>
      <c r="T89" t="e">
        <f>AND('Planilla_General_29-11-2012_10_'!E1327,"AAAAADfr+RM=")</f>
        <v>#VALUE!</v>
      </c>
      <c r="U89" t="e">
        <f>AND('Planilla_General_29-11-2012_10_'!F1327,"AAAAADfr+RQ=")</f>
        <v>#VALUE!</v>
      </c>
      <c r="V89" t="e">
        <f>AND('Planilla_General_29-11-2012_10_'!G1327,"AAAAADfr+RU=")</f>
        <v>#VALUE!</v>
      </c>
      <c r="W89" t="e">
        <f>AND('Planilla_General_29-11-2012_10_'!H1327,"AAAAADfr+RY=")</f>
        <v>#VALUE!</v>
      </c>
      <c r="X89" t="e">
        <f>AND('Planilla_General_29-11-2012_10_'!I1327,"AAAAADfr+Rc=")</f>
        <v>#VALUE!</v>
      </c>
      <c r="Y89" t="e">
        <f>AND('Planilla_General_29-11-2012_10_'!J1327,"AAAAADfr+Rg=")</f>
        <v>#VALUE!</v>
      </c>
      <c r="Z89" t="e">
        <f>AND('Planilla_General_29-11-2012_10_'!K1327,"AAAAADfr+Rk=")</f>
        <v>#VALUE!</v>
      </c>
      <c r="AA89" t="e">
        <f>AND('Planilla_General_29-11-2012_10_'!L1327,"AAAAADfr+Ro=")</f>
        <v>#VALUE!</v>
      </c>
      <c r="AB89" t="e">
        <f>AND('Planilla_General_29-11-2012_10_'!M1327,"AAAAADfr+Rs=")</f>
        <v>#VALUE!</v>
      </c>
      <c r="AC89" t="e">
        <f>AND('Planilla_General_29-11-2012_10_'!N1327,"AAAAADfr+Rw=")</f>
        <v>#VALUE!</v>
      </c>
      <c r="AD89" t="e">
        <f>AND('Planilla_General_29-11-2012_10_'!O1327,"AAAAADfr+R0=")</f>
        <v>#VALUE!</v>
      </c>
      <c r="AE89" t="e">
        <f>AND('Planilla_General_29-11-2012_10_'!P1327,"AAAAADfr+R4=")</f>
        <v>#VALUE!</v>
      </c>
      <c r="AF89">
        <f>IF('Planilla_General_29-11-2012_10_'!1328:1328,"AAAAADfr+R8=",0)</f>
        <v>0</v>
      </c>
      <c r="AG89" t="e">
        <f>AND('Planilla_General_29-11-2012_10_'!A1328,"AAAAADfr+SA=")</f>
        <v>#VALUE!</v>
      </c>
      <c r="AH89" t="e">
        <f>AND('Planilla_General_29-11-2012_10_'!B1328,"AAAAADfr+SE=")</f>
        <v>#VALUE!</v>
      </c>
      <c r="AI89" t="e">
        <f>AND('Planilla_General_29-11-2012_10_'!C1328,"AAAAADfr+SI=")</f>
        <v>#VALUE!</v>
      </c>
      <c r="AJ89" t="e">
        <f>AND('Planilla_General_29-11-2012_10_'!D1328,"AAAAADfr+SM=")</f>
        <v>#VALUE!</v>
      </c>
      <c r="AK89" t="e">
        <f>AND('Planilla_General_29-11-2012_10_'!E1328,"AAAAADfr+SQ=")</f>
        <v>#VALUE!</v>
      </c>
      <c r="AL89" t="e">
        <f>AND('Planilla_General_29-11-2012_10_'!F1328,"AAAAADfr+SU=")</f>
        <v>#VALUE!</v>
      </c>
      <c r="AM89" t="e">
        <f>AND('Planilla_General_29-11-2012_10_'!G1328,"AAAAADfr+SY=")</f>
        <v>#VALUE!</v>
      </c>
      <c r="AN89" t="e">
        <f>AND('Planilla_General_29-11-2012_10_'!H1328,"AAAAADfr+Sc=")</f>
        <v>#VALUE!</v>
      </c>
      <c r="AO89" t="e">
        <f>AND('Planilla_General_29-11-2012_10_'!I1328,"AAAAADfr+Sg=")</f>
        <v>#VALUE!</v>
      </c>
      <c r="AP89" t="e">
        <f>AND('Planilla_General_29-11-2012_10_'!J1328,"AAAAADfr+Sk=")</f>
        <v>#VALUE!</v>
      </c>
      <c r="AQ89" t="e">
        <f>AND('Planilla_General_29-11-2012_10_'!K1328,"AAAAADfr+So=")</f>
        <v>#VALUE!</v>
      </c>
      <c r="AR89" t="e">
        <f>AND('Planilla_General_29-11-2012_10_'!L1328,"AAAAADfr+Ss=")</f>
        <v>#VALUE!</v>
      </c>
      <c r="AS89" t="e">
        <f>AND('Planilla_General_29-11-2012_10_'!M1328,"AAAAADfr+Sw=")</f>
        <v>#VALUE!</v>
      </c>
      <c r="AT89" t="e">
        <f>AND('Planilla_General_29-11-2012_10_'!N1328,"AAAAADfr+S0=")</f>
        <v>#VALUE!</v>
      </c>
      <c r="AU89" t="e">
        <f>AND('Planilla_General_29-11-2012_10_'!O1328,"AAAAADfr+S4=")</f>
        <v>#VALUE!</v>
      </c>
      <c r="AV89" t="e">
        <f>AND('Planilla_General_29-11-2012_10_'!P1328,"AAAAADfr+S8=")</f>
        <v>#VALUE!</v>
      </c>
      <c r="AW89">
        <f>IF('Planilla_General_29-11-2012_10_'!1329:1329,"AAAAADfr+TA=",0)</f>
        <v>0</v>
      </c>
      <c r="AX89" t="e">
        <f>AND('Planilla_General_29-11-2012_10_'!A1329,"AAAAADfr+TE=")</f>
        <v>#VALUE!</v>
      </c>
      <c r="AY89" t="e">
        <f>AND('Planilla_General_29-11-2012_10_'!B1329,"AAAAADfr+TI=")</f>
        <v>#VALUE!</v>
      </c>
      <c r="AZ89" t="e">
        <f>AND('Planilla_General_29-11-2012_10_'!C1329,"AAAAADfr+TM=")</f>
        <v>#VALUE!</v>
      </c>
      <c r="BA89" t="e">
        <f>AND('Planilla_General_29-11-2012_10_'!D1329,"AAAAADfr+TQ=")</f>
        <v>#VALUE!</v>
      </c>
      <c r="BB89" t="e">
        <f>AND('Planilla_General_29-11-2012_10_'!E1329,"AAAAADfr+TU=")</f>
        <v>#VALUE!</v>
      </c>
      <c r="BC89" t="e">
        <f>AND('Planilla_General_29-11-2012_10_'!F1329,"AAAAADfr+TY=")</f>
        <v>#VALUE!</v>
      </c>
      <c r="BD89" t="e">
        <f>AND('Planilla_General_29-11-2012_10_'!G1329,"AAAAADfr+Tc=")</f>
        <v>#VALUE!</v>
      </c>
      <c r="BE89" t="e">
        <f>AND('Planilla_General_29-11-2012_10_'!H1329,"AAAAADfr+Tg=")</f>
        <v>#VALUE!</v>
      </c>
      <c r="BF89" t="e">
        <f>AND('Planilla_General_29-11-2012_10_'!I1329,"AAAAADfr+Tk=")</f>
        <v>#VALUE!</v>
      </c>
      <c r="BG89" t="e">
        <f>AND('Planilla_General_29-11-2012_10_'!J1329,"AAAAADfr+To=")</f>
        <v>#VALUE!</v>
      </c>
      <c r="BH89" t="e">
        <f>AND('Planilla_General_29-11-2012_10_'!K1329,"AAAAADfr+Ts=")</f>
        <v>#VALUE!</v>
      </c>
      <c r="BI89" t="e">
        <f>AND('Planilla_General_29-11-2012_10_'!L1329,"AAAAADfr+Tw=")</f>
        <v>#VALUE!</v>
      </c>
      <c r="BJ89" t="e">
        <f>AND('Planilla_General_29-11-2012_10_'!M1329,"AAAAADfr+T0=")</f>
        <v>#VALUE!</v>
      </c>
      <c r="BK89" t="e">
        <f>AND('Planilla_General_29-11-2012_10_'!N1329,"AAAAADfr+T4=")</f>
        <v>#VALUE!</v>
      </c>
      <c r="BL89" t="e">
        <f>AND('Planilla_General_29-11-2012_10_'!O1329,"AAAAADfr+T8=")</f>
        <v>#VALUE!</v>
      </c>
      <c r="BM89" t="e">
        <f>AND('Planilla_General_29-11-2012_10_'!P1329,"AAAAADfr+UA=")</f>
        <v>#VALUE!</v>
      </c>
      <c r="BN89">
        <f>IF('Planilla_General_29-11-2012_10_'!1330:1330,"AAAAADfr+UE=",0)</f>
        <v>0</v>
      </c>
      <c r="BO89" t="e">
        <f>AND('Planilla_General_29-11-2012_10_'!A1330,"AAAAADfr+UI=")</f>
        <v>#VALUE!</v>
      </c>
      <c r="BP89" t="e">
        <f>AND('Planilla_General_29-11-2012_10_'!B1330,"AAAAADfr+UM=")</f>
        <v>#VALUE!</v>
      </c>
      <c r="BQ89" t="e">
        <f>AND('Planilla_General_29-11-2012_10_'!C1330,"AAAAADfr+UQ=")</f>
        <v>#VALUE!</v>
      </c>
      <c r="BR89" t="e">
        <f>AND('Planilla_General_29-11-2012_10_'!D1330,"AAAAADfr+UU=")</f>
        <v>#VALUE!</v>
      </c>
      <c r="BS89" t="e">
        <f>AND('Planilla_General_29-11-2012_10_'!E1330,"AAAAADfr+UY=")</f>
        <v>#VALUE!</v>
      </c>
      <c r="BT89" t="e">
        <f>AND('Planilla_General_29-11-2012_10_'!F1330,"AAAAADfr+Uc=")</f>
        <v>#VALUE!</v>
      </c>
      <c r="BU89" t="e">
        <f>AND('Planilla_General_29-11-2012_10_'!G1330,"AAAAADfr+Ug=")</f>
        <v>#VALUE!</v>
      </c>
      <c r="BV89" t="e">
        <f>AND('Planilla_General_29-11-2012_10_'!H1330,"AAAAADfr+Uk=")</f>
        <v>#VALUE!</v>
      </c>
      <c r="BW89" t="e">
        <f>AND('Planilla_General_29-11-2012_10_'!I1330,"AAAAADfr+Uo=")</f>
        <v>#VALUE!</v>
      </c>
      <c r="BX89" t="e">
        <f>AND('Planilla_General_29-11-2012_10_'!J1330,"AAAAADfr+Us=")</f>
        <v>#VALUE!</v>
      </c>
      <c r="BY89" t="e">
        <f>AND('Planilla_General_29-11-2012_10_'!K1330,"AAAAADfr+Uw=")</f>
        <v>#VALUE!</v>
      </c>
      <c r="BZ89" t="e">
        <f>AND('Planilla_General_29-11-2012_10_'!L1330,"AAAAADfr+U0=")</f>
        <v>#VALUE!</v>
      </c>
      <c r="CA89" t="e">
        <f>AND('Planilla_General_29-11-2012_10_'!M1330,"AAAAADfr+U4=")</f>
        <v>#VALUE!</v>
      </c>
      <c r="CB89" t="e">
        <f>AND('Planilla_General_29-11-2012_10_'!N1330,"AAAAADfr+U8=")</f>
        <v>#VALUE!</v>
      </c>
      <c r="CC89" t="e">
        <f>AND('Planilla_General_29-11-2012_10_'!O1330,"AAAAADfr+VA=")</f>
        <v>#VALUE!</v>
      </c>
      <c r="CD89" t="e">
        <f>AND('Planilla_General_29-11-2012_10_'!P1330,"AAAAADfr+VE=")</f>
        <v>#VALUE!</v>
      </c>
      <c r="CE89">
        <f>IF('Planilla_General_29-11-2012_10_'!1331:1331,"AAAAADfr+VI=",0)</f>
        <v>0</v>
      </c>
      <c r="CF89" t="e">
        <f>AND('Planilla_General_29-11-2012_10_'!A1331,"AAAAADfr+VM=")</f>
        <v>#VALUE!</v>
      </c>
      <c r="CG89" t="e">
        <f>AND('Planilla_General_29-11-2012_10_'!B1331,"AAAAADfr+VQ=")</f>
        <v>#VALUE!</v>
      </c>
      <c r="CH89" t="e">
        <f>AND('Planilla_General_29-11-2012_10_'!C1331,"AAAAADfr+VU=")</f>
        <v>#VALUE!</v>
      </c>
      <c r="CI89" t="e">
        <f>AND('Planilla_General_29-11-2012_10_'!D1331,"AAAAADfr+VY=")</f>
        <v>#VALUE!</v>
      </c>
      <c r="CJ89" t="e">
        <f>AND('Planilla_General_29-11-2012_10_'!E1331,"AAAAADfr+Vc=")</f>
        <v>#VALUE!</v>
      </c>
      <c r="CK89" t="e">
        <f>AND('Planilla_General_29-11-2012_10_'!F1331,"AAAAADfr+Vg=")</f>
        <v>#VALUE!</v>
      </c>
      <c r="CL89" t="e">
        <f>AND('Planilla_General_29-11-2012_10_'!G1331,"AAAAADfr+Vk=")</f>
        <v>#VALUE!</v>
      </c>
      <c r="CM89" t="e">
        <f>AND('Planilla_General_29-11-2012_10_'!H1331,"AAAAADfr+Vo=")</f>
        <v>#VALUE!</v>
      </c>
      <c r="CN89" t="e">
        <f>AND('Planilla_General_29-11-2012_10_'!I1331,"AAAAADfr+Vs=")</f>
        <v>#VALUE!</v>
      </c>
      <c r="CO89" t="e">
        <f>AND('Planilla_General_29-11-2012_10_'!J1331,"AAAAADfr+Vw=")</f>
        <v>#VALUE!</v>
      </c>
      <c r="CP89" t="e">
        <f>AND('Planilla_General_29-11-2012_10_'!K1331,"AAAAADfr+V0=")</f>
        <v>#VALUE!</v>
      </c>
      <c r="CQ89" t="e">
        <f>AND('Planilla_General_29-11-2012_10_'!L1331,"AAAAADfr+V4=")</f>
        <v>#VALUE!</v>
      </c>
      <c r="CR89" t="e">
        <f>AND('Planilla_General_29-11-2012_10_'!M1331,"AAAAADfr+V8=")</f>
        <v>#VALUE!</v>
      </c>
      <c r="CS89" t="e">
        <f>AND('Planilla_General_29-11-2012_10_'!N1331,"AAAAADfr+WA=")</f>
        <v>#VALUE!</v>
      </c>
      <c r="CT89" t="e">
        <f>AND('Planilla_General_29-11-2012_10_'!O1331,"AAAAADfr+WE=")</f>
        <v>#VALUE!</v>
      </c>
      <c r="CU89" t="e">
        <f>AND('Planilla_General_29-11-2012_10_'!P1331,"AAAAADfr+WI=")</f>
        <v>#VALUE!</v>
      </c>
      <c r="CV89">
        <f>IF('Planilla_General_29-11-2012_10_'!1332:1332,"AAAAADfr+WM=",0)</f>
        <v>0</v>
      </c>
      <c r="CW89" t="e">
        <f>AND('Planilla_General_29-11-2012_10_'!A1332,"AAAAADfr+WQ=")</f>
        <v>#VALUE!</v>
      </c>
      <c r="CX89" t="e">
        <f>AND('Planilla_General_29-11-2012_10_'!B1332,"AAAAADfr+WU=")</f>
        <v>#VALUE!</v>
      </c>
      <c r="CY89" t="e">
        <f>AND('Planilla_General_29-11-2012_10_'!C1332,"AAAAADfr+WY=")</f>
        <v>#VALUE!</v>
      </c>
      <c r="CZ89" t="e">
        <f>AND('Planilla_General_29-11-2012_10_'!D1332,"AAAAADfr+Wc=")</f>
        <v>#VALUE!</v>
      </c>
      <c r="DA89" t="e">
        <f>AND('Planilla_General_29-11-2012_10_'!E1332,"AAAAADfr+Wg=")</f>
        <v>#VALUE!</v>
      </c>
      <c r="DB89" t="e">
        <f>AND('Planilla_General_29-11-2012_10_'!F1332,"AAAAADfr+Wk=")</f>
        <v>#VALUE!</v>
      </c>
      <c r="DC89" t="e">
        <f>AND('Planilla_General_29-11-2012_10_'!G1332,"AAAAADfr+Wo=")</f>
        <v>#VALUE!</v>
      </c>
      <c r="DD89" t="e">
        <f>AND('Planilla_General_29-11-2012_10_'!H1332,"AAAAADfr+Ws=")</f>
        <v>#VALUE!</v>
      </c>
      <c r="DE89" t="e">
        <f>AND('Planilla_General_29-11-2012_10_'!I1332,"AAAAADfr+Ww=")</f>
        <v>#VALUE!</v>
      </c>
      <c r="DF89" t="e">
        <f>AND('Planilla_General_29-11-2012_10_'!J1332,"AAAAADfr+W0=")</f>
        <v>#VALUE!</v>
      </c>
      <c r="DG89" t="e">
        <f>AND('Planilla_General_29-11-2012_10_'!K1332,"AAAAADfr+W4=")</f>
        <v>#VALUE!</v>
      </c>
      <c r="DH89" t="e">
        <f>AND('Planilla_General_29-11-2012_10_'!L1332,"AAAAADfr+W8=")</f>
        <v>#VALUE!</v>
      </c>
      <c r="DI89" t="e">
        <f>AND('Planilla_General_29-11-2012_10_'!M1332,"AAAAADfr+XA=")</f>
        <v>#VALUE!</v>
      </c>
      <c r="DJ89" t="e">
        <f>AND('Planilla_General_29-11-2012_10_'!N1332,"AAAAADfr+XE=")</f>
        <v>#VALUE!</v>
      </c>
      <c r="DK89" t="e">
        <f>AND('Planilla_General_29-11-2012_10_'!O1332,"AAAAADfr+XI=")</f>
        <v>#VALUE!</v>
      </c>
      <c r="DL89" t="e">
        <f>AND('Planilla_General_29-11-2012_10_'!P1332,"AAAAADfr+XM=")</f>
        <v>#VALUE!</v>
      </c>
      <c r="DM89">
        <f>IF('Planilla_General_29-11-2012_10_'!1333:1333,"AAAAADfr+XQ=",0)</f>
        <v>0</v>
      </c>
      <c r="DN89" t="e">
        <f>AND('Planilla_General_29-11-2012_10_'!A1333,"AAAAADfr+XU=")</f>
        <v>#VALUE!</v>
      </c>
      <c r="DO89" t="e">
        <f>AND('Planilla_General_29-11-2012_10_'!B1333,"AAAAADfr+XY=")</f>
        <v>#VALUE!</v>
      </c>
      <c r="DP89" t="e">
        <f>AND('Planilla_General_29-11-2012_10_'!C1333,"AAAAADfr+Xc=")</f>
        <v>#VALUE!</v>
      </c>
      <c r="DQ89" t="e">
        <f>AND('Planilla_General_29-11-2012_10_'!D1333,"AAAAADfr+Xg=")</f>
        <v>#VALUE!</v>
      </c>
      <c r="DR89" t="e">
        <f>AND('Planilla_General_29-11-2012_10_'!E1333,"AAAAADfr+Xk=")</f>
        <v>#VALUE!</v>
      </c>
      <c r="DS89" t="e">
        <f>AND('Planilla_General_29-11-2012_10_'!F1333,"AAAAADfr+Xo=")</f>
        <v>#VALUE!</v>
      </c>
      <c r="DT89" t="e">
        <f>AND('Planilla_General_29-11-2012_10_'!G1333,"AAAAADfr+Xs=")</f>
        <v>#VALUE!</v>
      </c>
      <c r="DU89" t="e">
        <f>AND('Planilla_General_29-11-2012_10_'!H1333,"AAAAADfr+Xw=")</f>
        <v>#VALUE!</v>
      </c>
      <c r="DV89" t="e">
        <f>AND('Planilla_General_29-11-2012_10_'!I1333,"AAAAADfr+X0=")</f>
        <v>#VALUE!</v>
      </c>
      <c r="DW89" t="e">
        <f>AND('Planilla_General_29-11-2012_10_'!J1333,"AAAAADfr+X4=")</f>
        <v>#VALUE!</v>
      </c>
      <c r="DX89" t="e">
        <f>AND('Planilla_General_29-11-2012_10_'!K1333,"AAAAADfr+X8=")</f>
        <v>#VALUE!</v>
      </c>
      <c r="DY89" t="e">
        <f>AND('Planilla_General_29-11-2012_10_'!L1333,"AAAAADfr+YA=")</f>
        <v>#VALUE!</v>
      </c>
      <c r="DZ89" t="e">
        <f>AND('Planilla_General_29-11-2012_10_'!M1333,"AAAAADfr+YE=")</f>
        <v>#VALUE!</v>
      </c>
      <c r="EA89" t="e">
        <f>AND('Planilla_General_29-11-2012_10_'!N1333,"AAAAADfr+YI=")</f>
        <v>#VALUE!</v>
      </c>
      <c r="EB89" t="e">
        <f>AND('Planilla_General_29-11-2012_10_'!O1333,"AAAAADfr+YM=")</f>
        <v>#VALUE!</v>
      </c>
      <c r="EC89" t="e">
        <f>AND('Planilla_General_29-11-2012_10_'!P1333,"AAAAADfr+YQ=")</f>
        <v>#VALUE!</v>
      </c>
      <c r="ED89">
        <f>IF('Planilla_General_29-11-2012_10_'!1334:1334,"AAAAADfr+YU=",0)</f>
        <v>0</v>
      </c>
      <c r="EE89" t="e">
        <f>AND('Planilla_General_29-11-2012_10_'!A1334,"AAAAADfr+YY=")</f>
        <v>#VALUE!</v>
      </c>
      <c r="EF89" t="e">
        <f>AND('Planilla_General_29-11-2012_10_'!B1334,"AAAAADfr+Yc=")</f>
        <v>#VALUE!</v>
      </c>
      <c r="EG89" t="e">
        <f>AND('Planilla_General_29-11-2012_10_'!C1334,"AAAAADfr+Yg=")</f>
        <v>#VALUE!</v>
      </c>
      <c r="EH89" t="e">
        <f>AND('Planilla_General_29-11-2012_10_'!D1334,"AAAAADfr+Yk=")</f>
        <v>#VALUE!</v>
      </c>
      <c r="EI89" t="e">
        <f>AND('Planilla_General_29-11-2012_10_'!E1334,"AAAAADfr+Yo=")</f>
        <v>#VALUE!</v>
      </c>
      <c r="EJ89" t="e">
        <f>AND('Planilla_General_29-11-2012_10_'!F1334,"AAAAADfr+Ys=")</f>
        <v>#VALUE!</v>
      </c>
      <c r="EK89" t="e">
        <f>AND('Planilla_General_29-11-2012_10_'!G1334,"AAAAADfr+Yw=")</f>
        <v>#VALUE!</v>
      </c>
      <c r="EL89" t="e">
        <f>AND('Planilla_General_29-11-2012_10_'!H1334,"AAAAADfr+Y0=")</f>
        <v>#VALUE!</v>
      </c>
      <c r="EM89" t="e">
        <f>AND('Planilla_General_29-11-2012_10_'!I1334,"AAAAADfr+Y4=")</f>
        <v>#VALUE!</v>
      </c>
      <c r="EN89" t="e">
        <f>AND('Planilla_General_29-11-2012_10_'!J1334,"AAAAADfr+Y8=")</f>
        <v>#VALUE!</v>
      </c>
      <c r="EO89" t="e">
        <f>AND('Planilla_General_29-11-2012_10_'!K1334,"AAAAADfr+ZA=")</f>
        <v>#VALUE!</v>
      </c>
      <c r="EP89" t="e">
        <f>AND('Planilla_General_29-11-2012_10_'!L1334,"AAAAADfr+ZE=")</f>
        <v>#VALUE!</v>
      </c>
      <c r="EQ89" t="e">
        <f>AND('Planilla_General_29-11-2012_10_'!M1334,"AAAAADfr+ZI=")</f>
        <v>#VALUE!</v>
      </c>
      <c r="ER89" t="e">
        <f>AND('Planilla_General_29-11-2012_10_'!N1334,"AAAAADfr+ZM=")</f>
        <v>#VALUE!</v>
      </c>
      <c r="ES89" t="e">
        <f>AND('Planilla_General_29-11-2012_10_'!O1334,"AAAAADfr+ZQ=")</f>
        <v>#VALUE!</v>
      </c>
      <c r="ET89" t="e">
        <f>AND('Planilla_General_29-11-2012_10_'!P1334,"AAAAADfr+ZU=")</f>
        <v>#VALUE!</v>
      </c>
      <c r="EU89">
        <f>IF('Planilla_General_29-11-2012_10_'!1335:1335,"AAAAADfr+ZY=",0)</f>
        <v>0</v>
      </c>
      <c r="EV89" t="e">
        <f>AND('Planilla_General_29-11-2012_10_'!A1335,"AAAAADfr+Zc=")</f>
        <v>#VALUE!</v>
      </c>
      <c r="EW89" t="e">
        <f>AND('Planilla_General_29-11-2012_10_'!B1335,"AAAAADfr+Zg=")</f>
        <v>#VALUE!</v>
      </c>
      <c r="EX89" t="e">
        <f>AND('Planilla_General_29-11-2012_10_'!C1335,"AAAAADfr+Zk=")</f>
        <v>#VALUE!</v>
      </c>
      <c r="EY89" t="e">
        <f>AND('Planilla_General_29-11-2012_10_'!D1335,"AAAAADfr+Zo=")</f>
        <v>#VALUE!</v>
      </c>
      <c r="EZ89" t="e">
        <f>AND('Planilla_General_29-11-2012_10_'!E1335,"AAAAADfr+Zs=")</f>
        <v>#VALUE!</v>
      </c>
      <c r="FA89" t="e">
        <f>AND('Planilla_General_29-11-2012_10_'!F1335,"AAAAADfr+Zw=")</f>
        <v>#VALUE!</v>
      </c>
      <c r="FB89" t="e">
        <f>AND('Planilla_General_29-11-2012_10_'!G1335,"AAAAADfr+Z0=")</f>
        <v>#VALUE!</v>
      </c>
      <c r="FC89" t="e">
        <f>AND('Planilla_General_29-11-2012_10_'!H1335,"AAAAADfr+Z4=")</f>
        <v>#VALUE!</v>
      </c>
      <c r="FD89" t="e">
        <f>AND('Planilla_General_29-11-2012_10_'!I1335,"AAAAADfr+Z8=")</f>
        <v>#VALUE!</v>
      </c>
      <c r="FE89" t="e">
        <f>AND('Planilla_General_29-11-2012_10_'!J1335,"AAAAADfr+aA=")</f>
        <v>#VALUE!</v>
      </c>
      <c r="FF89" t="e">
        <f>AND('Planilla_General_29-11-2012_10_'!K1335,"AAAAADfr+aE=")</f>
        <v>#VALUE!</v>
      </c>
      <c r="FG89" t="e">
        <f>AND('Planilla_General_29-11-2012_10_'!L1335,"AAAAADfr+aI=")</f>
        <v>#VALUE!</v>
      </c>
      <c r="FH89" t="e">
        <f>AND('Planilla_General_29-11-2012_10_'!M1335,"AAAAADfr+aM=")</f>
        <v>#VALUE!</v>
      </c>
      <c r="FI89" t="e">
        <f>AND('Planilla_General_29-11-2012_10_'!N1335,"AAAAADfr+aQ=")</f>
        <v>#VALUE!</v>
      </c>
      <c r="FJ89" t="e">
        <f>AND('Planilla_General_29-11-2012_10_'!O1335,"AAAAADfr+aU=")</f>
        <v>#VALUE!</v>
      </c>
      <c r="FK89" t="e">
        <f>AND('Planilla_General_29-11-2012_10_'!P1335,"AAAAADfr+aY=")</f>
        <v>#VALUE!</v>
      </c>
      <c r="FL89">
        <f>IF('Planilla_General_29-11-2012_10_'!1336:1336,"AAAAADfr+ac=",0)</f>
        <v>0</v>
      </c>
      <c r="FM89" t="e">
        <f>AND('Planilla_General_29-11-2012_10_'!A1336,"AAAAADfr+ag=")</f>
        <v>#VALUE!</v>
      </c>
      <c r="FN89" t="e">
        <f>AND('Planilla_General_29-11-2012_10_'!B1336,"AAAAADfr+ak=")</f>
        <v>#VALUE!</v>
      </c>
      <c r="FO89" t="e">
        <f>AND('Planilla_General_29-11-2012_10_'!C1336,"AAAAADfr+ao=")</f>
        <v>#VALUE!</v>
      </c>
      <c r="FP89" t="e">
        <f>AND('Planilla_General_29-11-2012_10_'!D1336,"AAAAADfr+as=")</f>
        <v>#VALUE!</v>
      </c>
      <c r="FQ89" t="e">
        <f>AND('Planilla_General_29-11-2012_10_'!E1336,"AAAAADfr+aw=")</f>
        <v>#VALUE!</v>
      </c>
      <c r="FR89" t="e">
        <f>AND('Planilla_General_29-11-2012_10_'!F1336,"AAAAADfr+a0=")</f>
        <v>#VALUE!</v>
      </c>
      <c r="FS89" t="e">
        <f>AND('Planilla_General_29-11-2012_10_'!G1336,"AAAAADfr+a4=")</f>
        <v>#VALUE!</v>
      </c>
      <c r="FT89" t="e">
        <f>AND('Planilla_General_29-11-2012_10_'!H1336,"AAAAADfr+a8=")</f>
        <v>#VALUE!</v>
      </c>
      <c r="FU89" t="e">
        <f>AND('Planilla_General_29-11-2012_10_'!I1336,"AAAAADfr+bA=")</f>
        <v>#VALUE!</v>
      </c>
      <c r="FV89" t="e">
        <f>AND('Planilla_General_29-11-2012_10_'!J1336,"AAAAADfr+bE=")</f>
        <v>#VALUE!</v>
      </c>
      <c r="FW89" t="e">
        <f>AND('Planilla_General_29-11-2012_10_'!K1336,"AAAAADfr+bI=")</f>
        <v>#VALUE!</v>
      </c>
      <c r="FX89" t="e">
        <f>AND('Planilla_General_29-11-2012_10_'!L1336,"AAAAADfr+bM=")</f>
        <v>#VALUE!</v>
      </c>
      <c r="FY89" t="e">
        <f>AND('Planilla_General_29-11-2012_10_'!M1336,"AAAAADfr+bQ=")</f>
        <v>#VALUE!</v>
      </c>
      <c r="FZ89" t="e">
        <f>AND('Planilla_General_29-11-2012_10_'!N1336,"AAAAADfr+bU=")</f>
        <v>#VALUE!</v>
      </c>
      <c r="GA89" t="e">
        <f>AND('Planilla_General_29-11-2012_10_'!O1336,"AAAAADfr+bY=")</f>
        <v>#VALUE!</v>
      </c>
      <c r="GB89" t="e">
        <f>AND('Planilla_General_29-11-2012_10_'!P1336,"AAAAADfr+bc=")</f>
        <v>#VALUE!</v>
      </c>
      <c r="GC89">
        <f>IF('Planilla_General_29-11-2012_10_'!1337:1337,"AAAAADfr+bg=",0)</f>
        <v>0</v>
      </c>
      <c r="GD89" t="e">
        <f>AND('Planilla_General_29-11-2012_10_'!A1337,"AAAAADfr+bk=")</f>
        <v>#VALUE!</v>
      </c>
      <c r="GE89" t="e">
        <f>AND('Planilla_General_29-11-2012_10_'!B1337,"AAAAADfr+bo=")</f>
        <v>#VALUE!</v>
      </c>
      <c r="GF89" t="e">
        <f>AND('Planilla_General_29-11-2012_10_'!C1337,"AAAAADfr+bs=")</f>
        <v>#VALUE!</v>
      </c>
      <c r="GG89" t="e">
        <f>AND('Planilla_General_29-11-2012_10_'!D1337,"AAAAADfr+bw=")</f>
        <v>#VALUE!</v>
      </c>
      <c r="GH89" t="e">
        <f>AND('Planilla_General_29-11-2012_10_'!E1337,"AAAAADfr+b0=")</f>
        <v>#VALUE!</v>
      </c>
      <c r="GI89" t="e">
        <f>AND('Planilla_General_29-11-2012_10_'!F1337,"AAAAADfr+b4=")</f>
        <v>#VALUE!</v>
      </c>
      <c r="GJ89" t="e">
        <f>AND('Planilla_General_29-11-2012_10_'!G1337,"AAAAADfr+b8=")</f>
        <v>#VALUE!</v>
      </c>
      <c r="GK89" t="e">
        <f>AND('Planilla_General_29-11-2012_10_'!H1337,"AAAAADfr+cA=")</f>
        <v>#VALUE!</v>
      </c>
      <c r="GL89" t="e">
        <f>AND('Planilla_General_29-11-2012_10_'!I1337,"AAAAADfr+cE=")</f>
        <v>#VALUE!</v>
      </c>
      <c r="GM89" t="e">
        <f>AND('Planilla_General_29-11-2012_10_'!J1337,"AAAAADfr+cI=")</f>
        <v>#VALUE!</v>
      </c>
      <c r="GN89" t="e">
        <f>AND('Planilla_General_29-11-2012_10_'!K1337,"AAAAADfr+cM=")</f>
        <v>#VALUE!</v>
      </c>
      <c r="GO89" t="e">
        <f>AND('Planilla_General_29-11-2012_10_'!L1337,"AAAAADfr+cQ=")</f>
        <v>#VALUE!</v>
      </c>
      <c r="GP89" t="e">
        <f>AND('Planilla_General_29-11-2012_10_'!M1337,"AAAAADfr+cU=")</f>
        <v>#VALUE!</v>
      </c>
      <c r="GQ89" t="e">
        <f>AND('Planilla_General_29-11-2012_10_'!N1337,"AAAAADfr+cY=")</f>
        <v>#VALUE!</v>
      </c>
      <c r="GR89" t="e">
        <f>AND('Planilla_General_29-11-2012_10_'!O1337,"AAAAADfr+cc=")</f>
        <v>#VALUE!</v>
      </c>
      <c r="GS89" t="e">
        <f>AND('Planilla_General_29-11-2012_10_'!P1337,"AAAAADfr+cg=")</f>
        <v>#VALUE!</v>
      </c>
      <c r="GT89">
        <f>IF('Planilla_General_29-11-2012_10_'!1338:1338,"AAAAADfr+ck=",0)</f>
        <v>0</v>
      </c>
      <c r="GU89" t="e">
        <f>AND('Planilla_General_29-11-2012_10_'!A1338,"AAAAADfr+co=")</f>
        <v>#VALUE!</v>
      </c>
      <c r="GV89" t="e">
        <f>AND('Planilla_General_29-11-2012_10_'!B1338,"AAAAADfr+cs=")</f>
        <v>#VALUE!</v>
      </c>
      <c r="GW89" t="e">
        <f>AND('Planilla_General_29-11-2012_10_'!C1338,"AAAAADfr+cw=")</f>
        <v>#VALUE!</v>
      </c>
      <c r="GX89" t="e">
        <f>AND('Planilla_General_29-11-2012_10_'!D1338,"AAAAADfr+c0=")</f>
        <v>#VALUE!</v>
      </c>
      <c r="GY89" t="e">
        <f>AND('Planilla_General_29-11-2012_10_'!E1338,"AAAAADfr+c4=")</f>
        <v>#VALUE!</v>
      </c>
      <c r="GZ89" t="e">
        <f>AND('Planilla_General_29-11-2012_10_'!F1338,"AAAAADfr+c8=")</f>
        <v>#VALUE!</v>
      </c>
      <c r="HA89" t="e">
        <f>AND('Planilla_General_29-11-2012_10_'!G1338,"AAAAADfr+dA=")</f>
        <v>#VALUE!</v>
      </c>
      <c r="HB89" t="e">
        <f>AND('Planilla_General_29-11-2012_10_'!H1338,"AAAAADfr+dE=")</f>
        <v>#VALUE!</v>
      </c>
      <c r="HC89" t="e">
        <f>AND('Planilla_General_29-11-2012_10_'!I1338,"AAAAADfr+dI=")</f>
        <v>#VALUE!</v>
      </c>
      <c r="HD89" t="e">
        <f>AND('Planilla_General_29-11-2012_10_'!J1338,"AAAAADfr+dM=")</f>
        <v>#VALUE!</v>
      </c>
      <c r="HE89" t="e">
        <f>AND('Planilla_General_29-11-2012_10_'!K1338,"AAAAADfr+dQ=")</f>
        <v>#VALUE!</v>
      </c>
      <c r="HF89" t="e">
        <f>AND('Planilla_General_29-11-2012_10_'!L1338,"AAAAADfr+dU=")</f>
        <v>#VALUE!</v>
      </c>
      <c r="HG89" t="e">
        <f>AND('Planilla_General_29-11-2012_10_'!M1338,"AAAAADfr+dY=")</f>
        <v>#VALUE!</v>
      </c>
      <c r="HH89" t="e">
        <f>AND('Planilla_General_29-11-2012_10_'!N1338,"AAAAADfr+dc=")</f>
        <v>#VALUE!</v>
      </c>
      <c r="HI89" t="e">
        <f>AND('Planilla_General_29-11-2012_10_'!O1338,"AAAAADfr+dg=")</f>
        <v>#VALUE!</v>
      </c>
      <c r="HJ89" t="e">
        <f>AND('Planilla_General_29-11-2012_10_'!P1338,"AAAAADfr+dk=")</f>
        <v>#VALUE!</v>
      </c>
      <c r="HK89">
        <f>IF('Planilla_General_29-11-2012_10_'!1339:1339,"AAAAADfr+do=",0)</f>
        <v>0</v>
      </c>
      <c r="HL89" t="e">
        <f>AND('Planilla_General_29-11-2012_10_'!A1339,"AAAAADfr+ds=")</f>
        <v>#VALUE!</v>
      </c>
      <c r="HM89" t="e">
        <f>AND('Planilla_General_29-11-2012_10_'!B1339,"AAAAADfr+dw=")</f>
        <v>#VALUE!</v>
      </c>
      <c r="HN89" t="e">
        <f>AND('Planilla_General_29-11-2012_10_'!C1339,"AAAAADfr+d0=")</f>
        <v>#VALUE!</v>
      </c>
      <c r="HO89" t="e">
        <f>AND('Planilla_General_29-11-2012_10_'!D1339,"AAAAADfr+d4=")</f>
        <v>#VALUE!</v>
      </c>
      <c r="HP89" t="e">
        <f>AND('Planilla_General_29-11-2012_10_'!E1339,"AAAAADfr+d8=")</f>
        <v>#VALUE!</v>
      </c>
      <c r="HQ89" t="e">
        <f>AND('Planilla_General_29-11-2012_10_'!F1339,"AAAAADfr+eA=")</f>
        <v>#VALUE!</v>
      </c>
      <c r="HR89" t="e">
        <f>AND('Planilla_General_29-11-2012_10_'!G1339,"AAAAADfr+eE=")</f>
        <v>#VALUE!</v>
      </c>
      <c r="HS89" t="e">
        <f>AND('Planilla_General_29-11-2012_10_'!H1339,"AAAAADfr+eI=")</f>
        <v>#VALUE!</v>
      </c>
      <c r="HT89" t="e">
        <f>AND('Planilla_General_29-11-2012_10_'!I1339,"AAAAADfr+eM=")</f>
        <v>#VALUE!</v>
      </c>
      <c r="HU89" t="e">
        <f>AND('Planilla_General_29-11-2012_10_'!J1339,"AAAAADfr+eQ=")</f>
        <v>#VALUE!</v>
      </c>
      <c r="HV89" t="e">
        <f>AND('Planilla_General_29-11-2012_10_'!K1339,"AAAAADfr+eU=")</f>
        <v>#VALUE!</v>
      </c>
      <c r="HW89" t="e">
        <f>AND('Planilla_General_29-11-2012_10_'!L1339,"AAAAADfr+eY=")</f>
        <v>#VALUE!</v>
      </c>
      <c r="HX89" t="e">
        <f>AND('Planilla_General_29-11-2012_10_'!M1339,"AAAAADfr+ec=")</f>
        <v>#VALUE!</v>
      </c>
      <c r="HY89" t="e">
        <f>AND('Planilla_General_29-11-2012_10_'!N1339,"AAAAADfr+eg=")</f>
        <v>#VALUE!</v>
      </c>
      <c r="HZ89" t="e">
        <f>AND('Planilla_General_29-11-2012_10_'!O1339,"AAAAADfr+ek=")</f>
        <v>#VALUE!</v>
      </c>
      <c r="IA89" t="e">
        <f>AND('Planilla_General_29-11-2012_10_'!P1339,"AAAAADfr+eo=")</f>
        <v>#VALUE!</v>
      </c>
      <c r="IB89">
        <f>IF('Planilla_General_29-11-2012_10_'!1340:1340,"AAAAADfr+es=",0)</f>
        <v>0</v>
      </c>
      <c r="IC89" t="e">
        <f>AND('Planilla_General_29-11-2012_10_'!A1340,"AAAAADfr+ew=")</f>
        <v>#VALUE!</v>
      </c>
      <c r="ID89" t="e">
        <f>AND('Planilla_General_29-11-2012_10_'!B1340,"AAAAADfr+e0=")</f>
        <v>#VALUE!</v>
      </c>
      <c r="IE89" t="e">
        <f>AND('Planilla_General_29-11-2012_10_'!C1340,"AAAAADfr+e4=")</f>
        <v>#VALUE!</v>
      </c>
      <c r="IF89" t="e">
        <f>AND('Planilla_General_29-11-2012_10_'!D1340,"AAAAADfr+e8=")</f>
        <v>#VALUE!</v>
      </c>
      <c r="IG89" t="e">
        <f>AND('Planilla_General_29-11-2012_10_'!E1340,"AAAAADfr+fA=")</f>
        <v>#VALUE!</v>
      </c>
      <c r="IH89" t="e">
        <f>AND('Planilla_General_29-11-2012_10_'!F1340,"AAAAADfr+fE=")</f>
        <v>#VALUE!</v>
      </c>
      <c r="II89" t="e">
        <f>AND('Planilla_General_29-11-2012_10_'!G1340,"AAAAADfr+fI=")</f>
        <v>#VALUE!</v>
      </c>
      <c r="IJ89" t="e">
        <f>AND('Planilla_General_29-11-2012_10_'!H1340,"AAAAADfr+fM=")</f>
        <v>#VALUE!</v>
      </c>
      <c r="IK89" t="e">
        <f>AND('Planilla_General_29-11-2012_10_'!I1340,"AAAAADfr+fQ=")</f>
        <v>#VALUE!</v>
      </c>
      <c r="IL89" t="e">
        <f>AND('Planilla_General_29-11-2012_10_'!J1340,"AAAAADfr+fU=")</f>
        <v>#VALUE!</v>
      </c>
      <c r="IM89" t="e">
        <f>AND('Planilla_General_29-11-2012_10_'!K1340,"AAAAADfr+fY=")</f>
        <v>#VALUE!</v>
      </c>
      <c r="IN89" t="e">
        <f>AND('Planilla_General_29-11-2012_10_'!L1340,"AAAAADfr+fc=")</f>
        <v>#VALUE!</v>
      </c>
      <c r="IO89" t="e">
        <f>AND('Planilla_General_29-11-2012_10_'!M1340,"AAAAADfr+fg=")</f>
        <v>#VALUE!</v>
      </c>
      <c r="IP89" t="e">
        <f>AND('Planilla_General_29-11-2012_10_'!N1340,"AAAAADfr+fk=")</f>
        <v>#VALUE!</v>
      </c>
      <c r="IQ89" t="e">
        <f>AND('Planilla_General_29-11-2012_10_'!O1340,"AAAAADfr+fo=")</f>
        <v>#VALUE!</v>
      </c>
      <c r="IR89" t="e">
        <f>AND('Planilla_General_29-11-2012_10_'!P1340,"AAAAADfr+fs=")</f>
        <v>#VALUE!</v>
      </c>
      <c r="IS89">
        <f>IF('Planilla_General_29-11-2012_10_'!1341:1341,"AAAAADfr+fw=",0)</f>
        <v>0</v>
      </c>
      <c r="IT89" t="e">
        <f>AND('Planilla_General_29-11-2012_10_'!A1341,"AAAAADfr+f0=")</f>
        <v>#VALUE!</v>
      </c>
      <c r="IU89" t="e">
        <f>AND('Planilla_General_29-11-2012_10_'!B1341,"AAAAADfr+f4=")</f>
        <v>#VALUE!</v>
      </c>
      <c r="IV89" t="e">
        <f>AND('Planilla_General_29-11-2012_10_'!C1341,"AAAAADfr+f8=")</f>
        <v>#VALUE!</v>
      </c>
    </row>
    <row r="90" spans="1:256" x14ac:dyDescent="0.25">
      <c r="A90" t="e">
        <f>AND('Planilla_General_29-11-2012_10_'!D1341,"AAAAAGv/igA=")</f>
        <v>#VALUE!</v>
      </c>
      <c r="B90" t="e">
        <f>AND('Planilla_General_29-11-2012_10_'!E1341,"AAAAAGv/igE=")</f>
        <v>#VALUE!</v>
      </c>
      <c r="C90" t="e">
        <f>AND('Planilla_General_29-11-2012_10_'!F1341,"AAAAAGv/igI=")</f>
        <v>#VALUE!</v>
      </c>
      <c r="D90" t="e">
        <f>AND('Planilla_General_29-11-2012_10_'!G1341,"AAAAAGv/igM=")</f>
        <v>#VALUE!</v>
      </c>
      <c r="E90" t="e">
        <f>AND('Planilla_General_29-11-2012_10_'!H1341,"AAAAAGv/igQ=")</f>
        <v>#VALUE!</v>
      </c>
      <c r="F90" t="e">
        <f>AND('Planilla_General_29-11-2012_10_'!I1341,"AAAAAGv/igU=")</f>
        <v>#VALUE!</v>
      </c>
      <c r="G90" t="e">
        <f>AND('Planilla_General_29-11-2012_10_'!J1341,"AAAAAGv/igY=")</f>
        <v>#VALUE!</v>
      </c>
      <c r="H90" t="e">
        <f>AND('Planilla_General_29-11-2012_10_'!K1341,"AAAAAGv/igc=")</f>
        <v>#VALUE!</v>
      </c>
      <c r="I90" t="e">
        <f>AND('Planilla_General_29-11-2012_10_'!L1341,"AAAAAGv/igg=")</f>
        <v>#VALUE!</v>
      </c>
      <c r="J90" t="e">
        <f>AND('Planilla_General_29-11-2012_10_'!M1341,"AAAAAGv/igk=")</f>
        <v>#VALUE!</v>
      </c>
      <c r="K90" t="e">
        <f>AND('Planilla_General_29-11-2012_10_'!N1341,"AAAAAGv/igo=")</f>
        <v>#VALUE!</v>
      </c>
      <c r="L90" t="e">
        <f>AND('Planilla_General_29-11-2012_10_'!O1341,"AAAAAGv/igs=")</f>
        <v>#VALUE!</v>
      </c>
      <c r="M90" t="e">
        <f>AND('Planilla_General_29-11-2012_10_'!P1341,"AAAAAGv/igw=")</f>
        <v>#VALUE!</v>
      </c>
      <c r="N90" t="str">
        <f>IF('Planilla_General_29-11-2012_10_'!1342:1342,"AAAAAGv/ig0=",0)</f>
        <v>AAAAAGv/ig0=</v>
      </c>
      <c r="O90" t="e">
        <f>AND('Planilla_General_29-11-2012_10_'!A1342,"AAAAAGv/ig4=")</f>
        <v>#VALUE!</v>
      </c>
      <c r="P90" t="e">
        <f>AND('Planilla_General_29-11-2012_10_'!B1342,"AAAAAGv/ig8=")</f>
        <v>#VALUE!</v>
      </c>
      <c r="Q90" t="e">
        <f>AND('Planilla_General_29-11-2012_10_'!C1342,"AAAAAGv/ihA=")</f>
        <v>#VALUE!</v>
      </c>
      <c r="R90" t="e">
        <f>AND('Planilla_General_29-11-2012_10_'!D1342,"AAAAAGv/ihE=")</f>
        <v>#VALUE!</v>
      </c>
      <c r="S90" t="e">
        <f>AND('Planilla_General_29-11-2012_10_'!E1342,"AAAAAGv/ihI=")</f>
        <v>#VALUE!</v>
      </c>
      <c r="T90" t="e">
        <f>AND('Planilla_General_29-11-2012_10_'!F1342,"AAAAAGv/ihM=")</f>
        <v>#VALUE!</v>
      </c>
      <c r="U90" t="e">
        <f>AND('Planilla_General_29-11-2012_10_'!G1342,"AAAAAGv/ihQ=")</f>
        <v>#VALUE!</v>
      </c>
      <c r="V90" t="e">
        <f>AND('Planilla_General_29-11-2012_10_'!H1342,"AAAAAGv/ihU=")</f>
        <v>#VALUE!</v>
      </c>
      <c r="W90" t="e">
        <f>AND('Planilla_General_29-11-2012_10_'!I1342,"AAAAAGv/ihY=")</f>
        <v>#VALUE!</v>
      </c>
      <c r="X90" t="e">
        <f>AND('Planilla_General_29-11-2012_10_'!J1342,"AAAAAGv/ihc=")</f>
        <v>#VALUE!</v>
      </c>
      <c r="Y90" t="e">
        <f>AND('Planilla_General_29-11-2012_10_'!K1342,"AAAAAGv/ihg=")</f>
        <v>#VALUE!</v>
      </c>
      <c r="Z90" t="e">
        <f>AND('Planilla_General_29-11-2012_10_'!L1342,"AAAAAGv/ihk=")</f>
        <v>#VALUE!</v>
      </c>
      <c r="AA90" t="e">
        <f>AND('Planilla_General_29-11-2012_10_'!M1342,"AAAAAGv/iho=")</f>
        <v>#VALUE!</v>
      </c>
      <c r="AB90" t="e">
        <f>AND('Planilla_General_29-11-2012_10_'!N1342,"AAAAAGv/ihs=")</f>
        <v>#VALUE!</v>
      </c>
      <c r="AC90" t="e">
        <f>AND('Planilla_General_29-11-2012_10_'!O1342,"AAAAAGv/ihw=")</f>
        <v>#VALUE!</v>
      </c>
      <c r="AD90" t="e">
        <f>AND('Planilla_General_29-11-2012_10_'!P1342,"AAAAAGv/ih0=")</f>
        <v>#VALUE!</v>
      </c>
      <c r="AE90">
        <f>IF('Planilla_General_29-11-2012_10_'!1343:1343,"AAAAAGv/ih4=",0)</f>
        <v>0</v>
      </c>
      <c r="AF90" t="e">
        <f>AND('Planilla_General_29-11-2012_10_'!A1343,"AAAAAGv/ih8=")</f>
        <v>#VALUE!</v>
      </c>
      <c r="AG90" t="e">
        <f>AND('Planilla_General_29-11-2012_10_'!B1343,"AAAAAGv/iiA=")</f>
        <v>#VALUE!</v>
      </c>
      <c r="AH90" t="e">
        <f>AND('Planilla_General_29-11-2012_10_'!C1343,"AAAAAGv/iiE=")</f>
        <v>#VALUE!</v>
      </c>
      <c r="AI90" t="e">
        <f>AND('Planilla_General_29-11-2012_10_'!D1343,"AAAAAGv/iiI=")</f>
        <v>#VALUE!</v>
      </c>
      <c r="AJ90" t="e">
        <f>AND('Planilla_General_29-11-2012_10_'!E1343,"AAAAAGv/iiM=")</f>
        <v>#VALUE!</v>
      </c>
      <c r="AK90" t="e">
        <f>AND('Planilla_General_29-11-2012_10_'!F1343,"AAAAAGv/iiQ=")</f>
        <v>#VALUE!</v>
      </c>
      <c r="AL90" t="e">
        <f>AND('Planilla_General_29-11-2012_10_'!G1343,"AAAAAGv/iiU=")</f>
        <v>#VALUE!</v>
      </c>
      <c r="AM90" t="e">
        <f>AND('Planilla_General_29-11-2012_10_'!H1343,"AAAAAGv/iiY=")</f>
        <v>#VALUE!</v>
      </c>
      <c r="AN90" t="e">
        <f>AND('Planilla_General_29-11-2012_10_'!I1343,"AAAAAGv/iic=")</f>
        <v>#VALUE!</v>
      </c>
      <c r="AO90" t="e">
        <f>AND('Planilla_General_29-11-2012_10_'!J1343,"AAAAAGv/iig=")</f>
        <v>#VALUE!</v>
      </c>
      <c r="AP90" t="e">
        <f>AND('Planilla_General_29-11-2012_10_'!K1343,"AAAAAGv/iik=")</f>
        <v>#VALUE!</v>
      </c>
      <c r="AQ90" t="e">
        <f>AND('Planilla_General_29-11-2012_10_'!L1343,"AAAAAGv/iio=")</f>
        <v>#VALUE!</v>
      </c>
      <c r="AR90" t="e">
        <f>AND('Planilla_General_29-11-2012_10_'!M1343,"AAAAAGv/iis=")</f>
        <v>#VALUE!</v>
      </c>
      <c r="AS90" t="e">
        <f>AND('Planilla_General_29-11-2012_10_'!N1343,"AAAAAGv/iiw=")</f>
        <v>#VALUE!</v>
      </c>
      <c r="AT90" t="e">
        <f>AND('Planilla_General_29-11-2012_10_'!O1343,"AAAAAGv/ii0=")</f>
        <v>#VALUE!</v>
      </c>
      <c r="AU90" t="e">
        <f>AND('Planilla_General_29-11-2012_10_'!P1343,"AAAAAGv/ii4=")</f>
        <v>#VALUE!</v>
      </c>
      <c r="AV90">
        <f>IF('Planilla_General_29-11-2012_10_'!1344:1344,"AAAAAGv/ii8=",0)</f>
        <v>0</v>
      </c>
      <c r="AW90" t="e">
        <f>AND('Planilla_General_29-11-2012_10_'!A1344,"AAAAAGv/ijA=")</f>
        <v>#VALUE!</v>
      </c>
      <c r="AX90" t="e">
        <f>AND('Planilla_General_29-11-2012_10_'!B1344,"AAAAAGv/ijE=")</f>
        <v>#VALUE!</v>
      </c>
      <c r="AY90" t="e">
        <f>AND('Planilla_General_29-11-2012_10_'!C1344,"AAAAAGv/ijI=")</f>
        <v>#VALUE!</v>
      </c>
      <c r="AZ90" t="e">
        <f>AND('Planilla_General_29-11-2012_10_'!D1344,"AAAAAGv/ijM=")</f>
        <v>#VALUE!</v>
      </c>
      <c r="BA90" t="e">
        <f>AND('Planilla_General_29-11-2012_10_'!E1344,"AAAAAGv/ijQ=")</f>
        <v>#VALUE!</v>
      </c>
      <c r="BB90" t="e">
        <f>AND('Planilla_General_29-11-2012_10_'!F1344,"AAAAAGv/ijU=")</f>
        <v>#VALUE!</v>
      </c>
      <c r="BC90" t="e">
        <f>AND('Planilla_General_29-11-2012_10_'!G1344,"AAAAAGv/ijY=")</f>
        <v>#VALUE!</v>
      </c>
      <c r="BD90" t="e">
        <f>AND('Planilla_General_29-11-2012_10_'!H1344,"AAAAAGv/ijc=")</f>
        <v>#VALUE!</v>
      </c>
      <c r="BE90" t="e">
        <f>AND('Planilla_General_29-11-2012_10_'!I1344,"AAAAAGv/ijg=")</f>
        <v>#VALUE!</v>
      </c>
      <c r="BF90" t="e">
        <f>AND('Planilla_General_29-11-2012_10_'!J1344,"AAAAAGv/ijk=")</f>
        <v>#VALUE!</v>
      </c>
      <c r="BG90" t="e">
        <f>AND('Planilla_General_29-11-2012_10_'!K1344,"AAAAAGv/ijo=")</f>
        <v>#VALUE!</v>
      </c>
      <c r="BH90" t="e">
        <f>AND('Planilla_General_29-11-2012_10_'!L1344,"AAAAAGv/ijs=")</f>
        <v>#VALUE!</v>
      </c>
      <c r="BI90" t="e">
        <f>AND('Planilla_General_29-11-2012_10_'!M1344,"AAAAAGv/ijw=")</f>
        <v>#VALUE!</v>
      </c>
      <c r="BJ90" t="e">
        <f>AND('Planilla_General_29-11-2012_10_'!N1344,"AAAAAGv/ij0=")</f>
        <v>#VALUE!</v>
      </c>
      <c r="BK90" t="e">
        <f>AND('Planilla_General_29-11-2012_10_'!O1344,"AAAAAGv/ij4=")</f>
        <v>#VALUE!</v>
      </c>
      <c r="BL90" t="e">
        <f>AND('Planilla_General_29-11-2012_10_'!P1344,"AAAAAGv/ij8=")</f>
        <v>#VALUE!</v>
      </c>
      <c r="BM90">
        <f>IF('Planilla_General_29-11-2012_10_'!1345:1345,"AAAAAGv/ikA=",0)</f>
        <v>0</v>
      </c>
      <c r="BN90" t="e">
        <f>AND('Planilla_General_29-11-2012_10_'!A1345,"AAAAAGv/ikE=")</f>
        <v>#VALUE!</v>
      </c>
      <c r="BO90" t="e">
        <f>AND('Planilla_General_29-11-2012_10_'!B1345,"AAAAAGv/ikI=")</f>
        <v>#VALUE!</v>
      </c>
      <c r="BP90" t="e">
        <f>AND('Planilla_General_29-11-2012_10_'!C1345,"AAAAAGv/ikM=")</f>
        <v>#VALUE!</v>
      </c>
      <c r="BQ90" t="e">
        <f>AND('Planilla_General_29-11-2012_10_'!D1345,"AAAAAGv/ikQ=")</f>
        <v>#VALUE!</v>
      </c>
      <c r="BR90" t="e">
        <f>AND('Planilla_General_29-11-2012_10_'!E1345,"AAAAAGv/ikU=")</f>
        <v>#VALUE!</v>
      </c>
      <c r="BS90" t="e">
        <f>AND('Planilla_General_29-11-2012_10_'!F1345,"AAAAAGv/ikY=")</f>
        <v>#VALUE!</v>
      </c>
      <c r="BT90" t="e">
        <f>AND('Planilla_General_29-11-2012_10_'!G1345,"AAAAAGv/ikc=")</f>
        <v>#VALUE!</v>
      </c>
      <c r="BU90" t="e">
        <f>AND('Planilla_General_29-11-2012_10_'!H1345,"AAAAAGv/ikg=")</f>
        <v>#VALUE!</v>
      </c>
      <c r="BV90" t="e">
        <f>AND('Planilla_General_29-11-2012_10_'!I1345,"AAAAAGv/ikk=")</f>
        <v>#VALUE!</v>
      </c>
      <c r="BW90" t="e">
        <f>AND('Planilla_General_29-11-2012_10_'!J1345,"AAAAAGv/iko=")</f>
        <v>#VALUE!</v>
      </c>
      <c r="BX90" t="e">
        <f>AND('Planilla_General_29-11-2012_10_'!K1345,"AAAAAGv/iks=")</f>
        <v>#VALUE!</v>
      </c>
      <c r="BY90" t="e">
        <f>AND('Planilla_General_29-11-2012_10_'!L1345,"AAAAAGv/ikw=")</f>
        <v>#VALUE!</v>
      </c>
      <c r="BZ90" t="e">
        <f>AND('Planilla_General_29-11-2012_10_'!M1345,"AAAAAGv/ik0=")</f>
        <v>#VALUE!</v>
      </c>
      <c r="CA90" t="e">
        <f>AND('Planilla_General_29-11-2012_10_'!N1345,"AAAAAGv/ik4=")</f>
        <v>#VALUE!</v>
      </c>
      <c r="CB90" t="e">
        <f>AND('Planilla_General_29-11-2012_10_'!O1345,"AAAAAGv/ik8=")</f>
        <v>#VALUE!</v>
      </c>
      <c r="CC90" t="e">
        <f>AND('Planilla_General_29-11-2012_10_'!P1345,"AAAAAGv/ilA=")</f>
        <v>#VALUE!</v>
      </c>
      <c r="CD90">
        <f>IF('Planilla_General_29-11-2012_10_'!1346:1346,"AAAAAGv/ilE=",0)</f>
        <v>0</v>
      </c>
      <c r="CE90" t="e">
        <f>AND('Planilla_General_29-11-2012_10_'!A1346,"AAAAAGv/ilI=")</f>
        <v>#VALUE!</v>
      </c>
      <c r="CF90" t="e">
        <f>AND('Planilla_General_29-11-2012_10_'!B1346,"AAAAAGv/ilM=")</f>
        <v>#VALUE!</v>
      </c>
      <c r="CG90" t="e">
        <f>AND('Planilla_General_29-11-2012_10_'!C1346,"AAAAAGv/ilQ=")</f>
        <v>#VALUE!</v>
      </c>
      <c r="CH90" t="e">
        <f>AND('Planilla_General_29-11-2012_10_'!D1346,"AAAAAGv/ilU=")</f>
        <v>#VALUE!</v>
      </c>
      <c r="CI90" t="e">
        <f>AND('Planilla_General_29-11-2012_10_'!E1346,"AAAAAGv/ilY=")</f>
        <v>#VALUE!</v>
      </c>
      <c r="CJ90" t="e">
        <f>AND('Planilla_General_29-11-2012_10_'!F1346,"AAAAAGv/ilc=")</f>
        <v>#VALUE!</v>
      </c>
      <c r="CK90" t="e">
        <f>AND('Planilla_General_29-11-2012_10_'!G1346,"AAAAAGv/ilg=")</f>
        <v>#VALUE!</v>
      </c>
      <c r="CL90" t="e">
        <f>AND('Planilla_General_29-11-2012_10_'!H1346,"AAAAAGv/ilk=")</f>
        <v>#VALUE!</v>
      </c>
      <c r="CM90" t="e">
        <f>AND('Planilla_General_29-11-2012_10_'!I1346,"AAAAAGv/ilo=")</f>
        <v>#VALUE!</v>
      </c>
      <c r="CN90" t="e">
        <f>AND('Planilla_General_29-11-2012_10_'!J1346,"AAAAAGv/ils=")</f>
        <v>#VALUE!</v>
      </c>
      <c r="CO90" t="e">
        <f>AND('Planilla_General_29-11-2012_10_'!K1346,"AAAAAGv/ilw=")</f>
        <v>#VALUE!</v>
      </c>
      <c r="CP90" t="e">
        <f>AND('Planilla_General_29-11-2012_10_'!L1346,"AAAAAGv/il0=")</f>
        <v>#VALUE!</v>
      </c>
      <c r="CQ90" t="e">
        <f>AND('Planilla_General_29-11-2012_10_'!M1346,"AAAAAGv/il4=")</f>
        <v>#VALUE!</v>
      </c>
      <c r="CR90" t="e">
        <f>AND('Planilla_General_29-11-2012_10_'!N1346,"AAAAAGv/il8=")</f>
        <v>#VALUE!</v>
      </c>
      <c r="CS90" t="e">
        <f>AND('Planilla_General_29-11-2012_10_'!O1346,"AAAAAGv/imA=")</f>
        <v>#VALUE!</v>
      </c>
      <c r="CT90" t="e">
        <f>AND('Planilla_General_29-11-2012_10_'!P1346,"AAAAAGv/imE=")</f>
        <v>#VALUE!</v>
      </c>
      <c r="CU90">
        <f>IF('Planilla_General_29-11-2012_10_'!1347:1347,"AAAAAGv/imI=",0)</f>
        <v>0</v>
      </c>
      <c r="CV90" t="e">
        <f>AND('Planilla_General_29-11-2012_10_'!A1347,"AAAAAGv/imM=")</f>
        <v>#VALUE!</v>
      </c>
      <c r="CW90" t="e">
        <f>AND('Planilla_General_29-11-2012_10_'!B1347,"AAAAAGv/imQ=")</f>
        <v>#VALUE!</v>
      </c>
      <c r="CX90" t="e">
        <f>AND('Planilla_General_29-11-2012_10_'!C1347,"AAAAAGv/imU=")</f>
        <v>#VALUE!</v>
      </c>
      <c r="CY90" t="e">
        <f>AND('Planilla_General_29-11-2012_10_'!D1347,"AAAAAGv/imY=")</f>
        <v>#VALUE!</v>
      </c>
      <c r="CZ90" t="e">
        <f>AND('Planilla_General_29-11-2012_10_'!E1347,"AAAAAGv/imc=")</f>
        <v>#VALUE!</v>
      </c>
      <c r="DA90" t="e">
        <f>AND('Planilla_General_29-11-2012_10_'!F1347,"AAAAAGv/img=")</f>
        <v>#VALUE!</v>
      </c>
      <c r="DB90" t="e">
        <f>AND('Planilla_General_29-11-2012_10_'!G1347,"AAAAAGv/imk=")</f>
        <v>#VALUE!</v>
      </c>
      <c r="DC90" t="e">
        <f>AND('Planilla_General_29-11-2012_10_'!H1347,"AAAAAGv/imo=")</f>
        <v>#VALUE!</v>
      </c>
      <c r="DD90" t="e">
        <f>AND('Planilla_General_29-11-2012_10_'!I1347,"AAAAAGv/ims=")</f>
        <v>#VALUE!</v>
      </c>
      <c r="DE90" t="e">
        <f>AND('Planilla_General_29-11-2012_10_'!J1347,"AAAAAGv/imw=")</f>
        <v>#VALUE!</v>
      </c>
      <c r="DF90" t="e">
        <f>AND('Planilla_General_29-11-2012_10_'!K1347,"AAAAAGv/im0=")</f>
        <v>#VALUE!</v>
      </c>
      <c r="DG90" t="e">
        <f>AND('Planilla_General_29-11-2012_10_'!L1347,"AAAAAGv/im4=")</f>
        <v>#VALUE!</v>
      </c>
      <c r="DH90" t="e">
        <f>AND('Planilla_General_29-11-2012_10_'!M1347,"AAAAAGv/im8=")</f>
        <v>#VALUE!</v>
      </c>
      <c r="DI90" t="e">
        <f>AND('Planilla_General_29-11-2012_10_'!N1347,"AAAAAGv/inA=")</f>
        <v>#VALUE!</v>
      </c>
      <c r="DJ90" t="e">
        <f>AND('Planilla_General_29-11-2012_10_'!O1347,"AAAAAGv/inE=")</f>
        <v>#VALUE!</v>
      </c>
      <c r="DK90" t="e">
        <f>AND('Planilla_General_29-11-2012_10_'!P1347,"AAAAAGv/inI=")</f>
        <v>#VALUE!</v>
      </c>
      <c r="DL90">
        <f>IF('Planilla_General_29-11-2012_10_'!1348:1348,"AAAAAGv/inM=",0)</f>
        <v>0</v>
      </c>
      <c r="DM90" t="e">
        <f>AND('Planilla_General_29-11-2012_10_'!A1348,"AAAAAGv/inQ=")</f>
        <v>#VALUE!</v>
      </c>
      <c r="DN90" t="e">
        <f>AND('Planilla_General_29-11-2012_10_'!B1348,"AAAAAGv/inU=")</f>
        <v>#VALUE!</v>
      </c>
      <c r="DO90" t="e">
        <f>AND('Planilla_General_29-11-2012_10_'!C1348,"AAAAAGv/inY=")</f>
        <v>#VALUE!</v>
      </c>
      <c r="DP90" t="e">
        <f>AND('Planilla_General_29-11-2012_10_'!D1348,"AAAAAGv/inc=")</f>
        <v>#VALUE!</v>
      </c>
      <c r="DQ90" t="e">
        <f>AND('Planilla_General_29-11-2012_10_'!E1348,"AAAAAGv/ing=")</f>
        <v>#VALUE!</v>
      </c>
      <c r="DR90" t="e">
        <f>AND('Planilla_General_29-11-2012_10_'!F1348,"AAAAAGv/ink=")</f>
        <v>#VALUE!</v>
      </c>
      <c r="DS90" t="e">
        <f>AND('Planilla_General_29-11-2012_10_'!G1348,"AAAAAGv/ino=")</f>
        <v>#VALUE!</v>
      </c>
      <c r="DT90" t="e">
        <f>AND('Planilla_General_29-11-2012_10_'!H1348,"AAAAAGv/ins=")</f>
        <v>#VALUE!</v>
      </c>
      <c r="DU90" t="e">
        <f>AND('Planilla_General_29-11-2012_10_'!I1348,"AAAAAGv/inw=")</f>
        <v>#VALUE!</v>
      </c>
      <c r="DV90" t="e">
        <f>AND('Planilla_General_29-11-2012_10_'!J1348,"AAAAAGv/in0=")</f>
        <v>#VALUE!</v>
      </c>
      <c r="DW90" t="e">
        <f>AND('Planilla_General_29-11-2012_10_'!K1348,"AAAAAGv/in4=")</f>
        <v>#VALUE!</v>
      </c>
      <c r="DX90" t="e">
        <f>AND('Planilla_General_29-11-2012_10_'!L1348,"AAAAAGv/in8=")</f>
        <v>#VALUE!</v>
      </c>
      <c r="DY90" t="e">
        <f>AND('Planilla_General_29-11-2012_10_'!M1348,"AAAAAGv/ioA=")</f>
        <v>#VALUE!</v>
      </c>
      <c r="DZ90" t="e">
        <f>AND('Planilla_General_29-11-2012_10_'!N1348,"AAAAAGv/ioE=")</f>
        <v>#VALUE!</v>
      </c>
      <c r="EA90" t="e">
        <f>AND('Planilla_General_29-11-2012_10_'!O1348,"AAAAAGv/ioI=")</f>
        <v>#VALUE!</v>
      </c>
      <c r="EB90" t="e">
        <f>AND('Planilla_General_29-11-2012_10_'!P1348,"AAAAAGv/ioM=")</f>
        <v>#VALUE!</v>
      </c>
      <c r="EC90">
        <f>IF('Planilla_General_29-11-2012_10_'!1349:1349,"AAAAAGv/ioQ=",0)</f>
        <v>0</v>
      </c>
      <c r="ED90" t="e">
        <f>AND('Planilla_General_29-11-2012_10_'!A1349,"AAAAAGv/ioU=")</f>
        <v>#VALUE!</v>
      </c>
      <c r="EE90" t="e">
        <f>AND('Planilla_General_29-11-2012_10_'!B1349,"AAAAAGv/ioY=")</f>
        <v>#VALUE!</v>
      </c>
      <c r="EF90" t="e">
        <f>AND('Planilla_General_29-11-2012_10_'!C1349,"AAAAAGv/ioc=")</f>
        <v>#VALUE!</v>
      </c>
      <c r="EG90" t="e">
        <f>AND('Planilla_General_29-11-2012_10_'!D1349,"AAAAAGv/iog=")</f>
        <v>#VALUE!</v>
      </c>
      <c r="EH90" t="e">
        <f>AND('Planilla_General_29-11-2012_10_'!E1349,"AAAAAGv/iok=")</f>
        <v>#VALUE!</v>
      </c>
      <c r="EI90" t="e">
        <f>AND('Planilla_General_29-11-2012_10_'!F1349,"AAAAAGv/ioo=")</f>
        <v>#VALUE!</v>
      </c>
      <c r="EJ90" t="e">
        <f>AND('Planilla_General_29-11-2012_10_'!G1349,"AAAAAGv/ios=")</f>
        <v>#VALUE!</v>
      </c>
      <c r="EK90" t="e">
        <f>AND('Planilla_General_29-11-2012_10_'!H1349,"AAAAAGv/iow=")</f>
        <v>#VALUE!</v>
      </c>
      <c r="EL90" t="e">
        <f>AND('Planilla_General_29-11-2012_10_'!I1349,"AAAAAGv/io0=")</f>
        <v>#VALUE!</v>
      </c>
      <c r="EM90" t="e">
        <f>AND('Planilla_General_29-11-2012_10_'!J1349,"AAAAAGv/io4=")</f>
        <v>#VALUE!</v>
      </c>
      <c r="EN90" t="e">
        <f>AND('Planilla_General_29-11-2012_10_'!K1349,"AAAAAGv/io8=")</f>
        <v>#VALUE!</v>
      </c>
      <c r="EO90" t="e">
        <f>AND('Planilla_General_29-11-2012_10_'!L1349,"AAAAAGv/ipA=")</f>
        <v>#VALUE!</v>
      </c>
      <c r="EP90" t="e">
        <f>AND('Planilla_General_29-11-2012_10_'!M1349,"AAAAAGv/ipE=")</f>
        <v>#VALUE!</v>
      </c>
      <c r="EQ90" t="e">
        <f>AND('Planilla_General_29-11-2012_10_'!N1349,"AAAAAGv/ipI=")</f>
        <v>#VALUE!</v>
      </c>
      <c r="ER90" t="e">
        <f>AND('Planilla_General_29-11-2012_10_'!O1349,"AAAAAGv/ipM=")</f>
        <v>#VALUE!</v>
      </c>
      <c r="ES90" t="e">
        <f>AND('Planilla_General_29-11-2012_10_'!P1349,"AAAAAGv/ipQ=")</f>
        <v>#VALUE!</v>
      </c>
      <c r="ET90">
        <f>IF('Planilla_General_29-11-2012_10_'!1350:1350,"AAAAAGv/ipU=",0)</f>
        <v>0</v>
      </c>
      <c r="EU90" t="e">
        <f>AND('Planilla_General_29-11-2012_10_'!A1350,"AAAAAGv/ipY=")</f>
        <v>#VALUE!</v>
      </c>
      <c r="EV90" t="e">
        <f>AND('Planilla_General_29-11-2012_10_'!B1350,"AAAAAGv/ipc=")</f>
        <v>#VALUE!</v>
      </c>
      <c r="EW90" t="e">
        <f>AND('Planilla_General_29-11-2012_10_'!C1350,"AAAAAGv/ipg=")</f>
        <v>#VALUE!</v>
      </c>
      <c r="EX90" t="e">
        <f>AND('Planilla_General_29-11-2012_10_'!D1350,"AAAAAGv/ipk=")</f>
        <v>#VALUE!</v>
      </c>
      <c r="EY90" t="e">
        <f>AND('Planilla_General_29-11-2012_10_'!E1350,"AAAAAGv/ipo=")</f>
        <v>#VALUE!</v>
      </c>
      <c r="EZ90" t="e">
        <f>AND('Planilla_General_29-11-2012_10_'!F1350,"AAAAAGv/ips=")</f>
        <v>#VALUE!</v>
      </c>
      <c r="FA90" t="e">
        <f>AND('Planilla_General_29-11-2012_10_'!G1350,"AAAAAGv/ipw=")</f>
        <v>#VALUE!</v>
      </c>
      <c r="FB90" t="e">
        <f>AND('Planilla_General_29-11-2012_10_'!H1350,"AAAAAGv/ip0=")</f>
        <v>#VALUE!</v>
      </c>
      <c r="FC90" t="e">
        <f>AND('Planilla_General_29-11-2012_10_'!I1350,"AAAAAGv/ip4=")</f>
        <v>#VALUE!</v>
      </c>
      <c r="FD90" t="e">
        <f>AND('Planilla_General_29-11-2012_10_'!J1350,"AAAAAGv/ip8=")</f>
        <v>#VALUE!</v>
      </c>
      <c r="FE90" t="e">
        <f>AND('Planilla_General_29-11-2012_10_'!K1350,"AAAAAGv/iqA=")</f>
        <v>#VALUE!</v>
      </c>
      <c r="FF90" t="e">
        <f>AND('Planilla_General_29-11-2012_10_'!L1350,"AAAAAGv/iqE=")</f>
        <v>#VALUE!</v>
      </c>
      <c r="FG90" t="e">
        <f>AND('Planilla_General_29-11-2012_10_'!M1350,"AAAAAGv/iqI=")</f>
        <v>#VALUE!</v>
      </c>
      <c r="FH90" t="e">
        <f>AND('Planilla_General_29-11-2012_10_'!N1350,"AAAAAGv/iqM=")</f>
        <v>#VALUE!</v>
      </c>
      <c r="FI90" t="e">
        <f>AND('Planilla_General_29-11-2012_10_'!O1350,"AAAAAGv/iqQ=")</f>
        <v>#VALUE!</v>
      </c>
      <c r="FJ90" t="e">
        <f>AND('Planilla_General_29-11-2012_10_'!P1350,"AAAAAGv/iqU=")</f>
        <v>#VALUE!</v>
      </c>
      <c r="FK90">
        <f>IF('Planilla_General_29-11-2012_10_'!1351:1351,"AAAAAGv/iqY=",0)</f>
        <v>0</v>
      </c>
      <c r="FL90" t="e">
        <f>AND('Planilla_General_29-11-2012_10_'!A1351,"AAAAAGv/iqc=")</f>
        <v>#VALUE!</v>
      </c>
      <c r="FM90" t="e">
        <f>AND('Planilla_General_29-11-2012_10_'!B1351,"AAAAAGv/iqg=")</f>
        <v>#VALUE!</v>
      </c>
      <c r="FN90" t="e">
        <f>AND('Planilla_General_29-11-2012_10_'!C1351,"AAAAAGv/iqk=")</f>
        <v>#VALUE!</v>
      </c>
      <c r="FO90" t="e">
        <f>AND('Planilla_General_29-11-2012_10_'!D1351,"AAAAAGv/iqo=")</f>
        <v>#VALUE!</v>
      </c>
      <c r="FP90" t="e">
        <f>AND('Planilla_General_29-11-2012_10_'!E1351,"AAAAAGv/iqs=")</f>
        <v>#VALUE!</v>
      </c>
      <c r="FQ90" t="e">
        <f>AND('Planilla_General_29-11-2012_10_'!F1351,"AAAAAGv/iqw=")</f>
        <v>#VALUE!</v>
      </c>
      <c r="FR90" t="e">
        <f>AND('Planilla_General_29-11-2012_10_'!G1351,"AAAAAGv/iq0=")</f>
        <v>#VALUE!</v>
      </c>
      <c r="FS90" t="e">
        <f>AND('Planilla_General_29-11-2012_10_'!H1351,"AAAAAGv/iq4=")</f>
        <v>#VALUE!</v>
      </c>
      <c r="FT90" t="e">
        <f>AND('Planilla_General_29-11-2012_10_'!I1351,"AAAAAGv/iq8=")</f>
        <v>#VALUE!</v>
      </c>
      <c r="FU90" t="e">
        <f>AND('Planilla_General_29-11-2012_10_'!J1351,"AAAAAGv/irA=")</f>
        <v>#VALUE!</v>
      </c>
      <c r="FV90" t="e">
        <f>AND('Planilla_General_29-11-2012_10_'!K1351,"AAAAAGv/irE=")</f>
        <v>#VALUE!</v>
      </c>
      <c r="FW90" t="e">
        <f>AND('Planilla_General_29-11-2012_10_'!L1351,"AAAAAGv/irI=")</f>
        <v>#VALUE!</v>
      </c>
      <c r="FX90" t="e">
        <f>AND('Planilla_General_29-11-2012_10_'!M1351,"AAAAAGv/irM=")</f>
        <v>#VALUE!</v>
      </c>
      <c r="FY90" t="e">
        <f>AND('Planilla_General_29-11-2012_10_'!N1351,"AAAAAGv/irQ=")</f>
        <v>#VALUE!</v>
      </c>
      <c r="FZ90" t="e">
        <f>AND('Planilla_General_29-11-2012_10_'!O1351,"AAAAAGv/irU=")</f>
        <v>#VALUE!</v>
      </c>
      <c r="GA90" t="e">
        <f>AND('Planilla_General_29-11-2012_10_'!P1351,"AAAAAGv/irY=")</f>
        <v>#VALUE!</v>
      </c>
      <c r="GB90">
        <f>IF('Planilla_General_29-11-2012_10_'!1352:1352,"AAAAAGv/irc=",0)</f>
        <v>0</v>
      </c>
      <c r="GC90" t="e">
        <f>AND('Planilla_General_29-11-2012_10_'!A1352,"AAAAAGv/irg=")</f>
        <v>#VALUE!</v>
      </c>
      <c r="GD90" t="e">
        <f>AND('Planilla_General_29-11-2012_10_'!B1352,"AAAAAGv/irk=")</f>
        <v>#VALUE!</v>
      </c>
      <c r="GE90" t="e">
        <f>AND('Planilla_General_29-11-2012_10_'!C1352,"AAAAAGv/iro=")</f>
        <v>#VALUE!</v>
      </c>
      <c r="GF90" t="e">
        <f>AND('Planilla_General_29-11-2012_10_'!D1352,"AAAAAGv/irs=")</f>
        <v>#VALUE!</v>
      </c>
      <c r="GG90" t="e">
        <f>AND('Planilla_General_29-11-2012_10_'!E1352,"AAAAAGv/irw=")</f>
        <v>#VALUE!</v>
      </c>
      <c r="GH90" t="e">
        <f>AND('Planilla_General_29-11-2012_10_'!F1352,"AAAAAGv/ir0=")</f>
        <v>#VALUE!</v>
      </c>
      <c r="GI90" t="e">
        <f>AND('Planilla_General_29-11-2012_10_'!G1352,"AAAAAGv/ir4=")</f>
        <v>#VALUE!</v>
      </c>
      <c r="GJ90" t="e">
        <f>AND('Planilla_General_29-11-2012_10_'!H1352,"AAAAAGv/ir8=")</f>
        <v>#VALUE!</v>
      </c>
      <c r="GK90" t="e">
        <f>AND('Planilla_General_29-11-2012_10_'!I1352,"AAAAAGv/isA=")</f>
        <v>#VALUE!</v>
      </c>
      <c r="GL90" t="e">
        <f>AND('Planilla_General_29-11-2012_10_'!J1352,"AAAAAGv/isE=")</f>
        <v>#VALUE!</v>
      </c>
      <c r="GM90" t="e">
        <f>AND('Planilla_General_29-11-2012_10_'!K1352,"AAAAAGv/isI=")</f>
        <v>#VALUE!</v>
      </c>
      <c r="GN90" t="e">
        <f>AND('Planilla_General_29-11-2012_10_'!L1352,"AAAAAGv/isM=")</f>
        <v>#VALUE!</v>
      </c>
      <c r="GO90" t="e">
        <f>AND('Planilla_General_29-11-2012_10_'!M1352,"AAAAAGv/isQ=")</f>
        <v>#VALUE!</v>
      </c>
      <c r="GP90" t="e">
        <f>AND('Planilla_General_29-11-2012_10_'!N1352,"AAAAAGv/isU=")</f>
        <v>#VALUE!</v>
      </c>
      <c r="GQ90" t="e">
        <f>AND('Planilla_General_29-11-2012_10_'!O1352,"AAAAAGv/isY=")</f>
        <v>#VALUE!</v>
      </c>
      <c r="GR90" t="e">
        <f>AND('Planilla_General_29-11-2012_10_'!P1352,"AAAAAGv/isc=")</f>
        <v>#VALUE!</v>
      </c>
      <c r="GS90">
        <f>IF('Planilla_General_29-11-2012_10_'!1353:1353,"AAAAAGv/isg=",0)</f>
        <v>0</v>
      </c>
      <c r="GT90" t="e">
        <f>AND('Planilla_General_29-11-2012_10_'!A1353,"AAAAAGv/isk=")</f>
        <v>#VALUE!</v>
      </c>
      <c r="GU90" t="e">
        <f>AND('Planilla_General_29-11-2012_10_'!B1353,"AAAAAGv/iso=")</f>
        <v>#VALUE!</v>
      </c>
      <c r="GV90" t="e">
        <f>AND('Planilla_General_29-11-2012_10_'!C1353,"AAAAAGv/iss=")</f>
        <v>#VALUE!</v>
      </c>
      <c r="GW90" t="e">
        <f>AND('Planilla_General_29-11-2012_10_'!D1353,"AAAAAGv/isw=")</f>
        <v>#VALUE!</v>
      </c>
      <c r="GX90" t="e">
        <f>AND('Planilla_General_29-11-2012_10_'!E1353,"AAAAAGv/is0=")</f>
        <v>#VALUE!</v>
      </c>
      <c r="GY90" t="e">
        <f>AND('Planilla_General_29-11-2012_10_'!F1353,"AAAAAGv/is4=")</f>
        <v>#VALUE!</v>
      </c>
      <c r="GZ90" t="e">
        <f>AND('Planilla_General_29-11-2012_10_'!G1353,"AAAAAGv/is8=")</f>
        <v>#VALUE!</v>
      </c>
      <c r="HA90" t="e">
        <f>AND('Planilla_General_29-11-2012_10_'!H1353,"AAAAAGv/itA=")</f>
        <v>#VALUE!</v>
      </c>
      <c r="HB90" t="e">
        <f>AND('Planilla_General_29-11-2012_10_'!I1353,"AAAAAGv/itE=")</f>
        <v>#VALUE!</v>
      </c>
      <c r="HC90" t="e">
        <f>AND('Planilla_General_29-11-2012_10_'!J1353,"AAAAAGv/itI=")</f>
        <v>#VALUE!</v>
      </c>
      <c r="HD90" t="e">
        <f>AND('Planilla_General_29-11-2012_10_'!K1353,"AAAAAGv/itM=")</f>
        <v>#VALUE!</v>
      </c>
      <c r="HE90" t="e">
        <f>AND('Planilla_General_29-11-2012_10_'!L1353,"AAAAAGv/itQ=")</f>
        <v>#VALUE!</v>
      </c>
      <c r="HF90" t="e">
        <f>AND('Planilla_General_29-11-2012_10_'!M1353,"AAAAAGv/itU=")</f>
        <v>#VALUE!</v>
      </c>
      <c r="HG90" t="e">
        <f>AND('Planilla_General_29-11-2012_10_'!N1353,"AAAAAGv/itY=")</f>
        <v>#VALUE!</v>
      </c>
      <c r="HH90" t="e">
        <f>AND('Planilla_General_29-11-2012_10_'!O1353,"AAAAAGv/itc=")</f>
        <v>#VALUE!</v>
      </c>
      <c r="HI90" t="e">
        <f>AND('Planilla_General_29-11-2012_10_'!P1353,"AAAAAGv/itg=")</f>
        <v>#VALUE!</v>
      </c>
      <c r="HJ90">
        <f>IF('Planilla_General_29-11-2012_10_'!1354:1354,"AAAAAGv/itk=",0)</f>
        <v>0</v>
      </c>
      <c r="HK90" t="e">
        <f>AND('Planilla_General_29-11-2012_10_'!A1354,"AAAAAGv/ito=")</f>
        <v>#VALUE!</v>
      </c>
      <c r="HL90" t="e">
        <f>AND('Planilla_General_29-11-2012_10_'!B1354,"AAAAAGv/its=")</f>
        <v>#VALUE!</v>
      </c>
      <c r="HM90" t="e">
        <f>AND('Planilla_General_29-11-2012_10_'!C1354,"AAAAAGv/itw=")</f>
        <v>#VALUE!</v>
      </c>
      <c r="HN90" t="e">
        <f>AND('Planilla_General_29-11-2012_10_'!D1354,"AAAAAGv/it0=")</f>
        <v>#VALUE!</v>
      </c>
      <c r="HO90" t="e">
        <f>AND('Planilla_General_29-11-2012_10_'!E1354,"AAAAAGv/it4=")</f>
        <v>#VALUE!</v>
      </c>
      <c r="HP90" t="e">
        <f>AND('Planilla_General_29-11-2012_10_'!F1354,"AAAAAGv/it8=")</f>
        <v>#VALUE!</v>
      </c>
      <c r="HQ90" t="e">
        <f>AND('Planilla_General_29-11-2012_10_'!G1354,"AAAAAGv/iuA=")</f>
        <v>#VALUE!</v>
      </c>
      <c r="HR90" t="e">
        <f>AND('Planilla_General_29-11-2012_10_'!H1354,"AAAAAGv/iuE=")</f>
        <v>#VALUE!</v>
      </c>
      <c r="HS90" t="e">
        <f>AND('Planilla_General_29-11-2012_10_'!I1354,"AAAAAGv/iuI=")</f>
        <v>#VALUE!</v>
      </c>
      <c r="HT90" t="e">
        <f>AND('Planilla_General_29-11-2012_10_'!J1354,"AAAAAGv/iuM=")</f>
        <v>#VALUE!</v>
      </c>
      <c r="HU90" t="e">
        <f>AND('Planilla_General_29-11-2012_10_'!K1354,"AAAAAGv/iuQ=")</f>
        <v>#VALUE!</v>
      </c>
      <c r="HV90" t="e">
        <f>AND('Planilla_General_29-11-2012_10_'!L1354,"AAAAAGv/iuU=")</f>
        <v>#VALUE!</v>
      </c>
      <c r="HW90" t="e">
        <f>AND('Planilla_General_29-11-2012_10_'!M1354,"AAAAAGv/iuY=")</f>
        <v>#VALUE!</v>
      </c>
      <c r="HX90" t="e">
        <f>AND('Planilla_General_29-11-2012_10_'!N1354,"AAAAAGv/iuc=")</f>
        <v>#VALUE!</v>
      </c>
      <c r="HY90" t="e">
        <f>AND('Planilla_General_29-11-2012_10_'!O1354,"AAAAAGv/iug=")</f>
        <v>#VALUE!</v>
      </c>
      <c r="HZ90" t="e">
        <f>AND('Planilla_General_29-11-2012_10_'!P1354,"AAAAAGv/iuk=")</f>
        <v>#VALUE!</v>
      </c>
      <c r="IA90">
        <f>IF('Planilla_General_29-11-2012_10_'!1355:1355,"AAAAAGv/iuo=",0)</f>
        <v>0</v>
      </c>
      <c r="IB90" t="e">
        <f>AND('Planilla_General_29-11-2012_10_'!A1355,"AAAAAGv/ius=")</f>
        <v>#VALUE!</v>
      </c>
      <c r="IC90" t="e">
        <f>AND('Planilla_General_29-11-2012_10_'!B1355,"AAAAAGv/iuw=")</f>
        <v>#VALUE!</v>
      </c>
      <c r="ID90" t="e">
        <f>AND('Planilla_General_29-11-2012_10_'!C1355,"AAAAAGv/iu0=")</f>
        <v>#VALUE!</v>
      </c>
      <c r="IE90" t="e">
        <f>AND('Planilla_General_29-11-2012_10_'!D1355,"AAAAAGv/iu4=")</f>
        <v>#VALUE!</v>
      </c>
      <c r="IF90" t="e">
        <f>AND('Planilla_General_29-11-2012_10_'!E1355,"AAAAAGv/iu8=")</f>
        <v>#VALUE!</v>
      </c>
      <c r="IG90" t="e">
        <f>AND('Planilla_General_29-11-2012_10_'!F1355,"AAAAAGv/ivA=")</f>
        <v>#VALUE!</v>
      </c>
      <c r="IH90" t="e">
        <f>AND('Planilla_General_29-11-2012_10_'!G1355,"AAAAAGv/ivE=")</f>
        <v>#VALUE!</v>
      </c>
      <c r="II90" t="e">
        <f>AND('Planilla_General_29-11-2012_10_'!H1355,"AAAAAGv/ivI=")</f>
        <v>#VALUE!</v>
      </c>
      <c r="IJ90" t="e">
        <f>AND('Planilla_General_29-11-2012_10_'!I1355,"AAAAAGv/ivM=")</f>
        <v>#VALUE!</v>
      </c>
      <c r="IK90" t="e">
        <f>AND('Planilla_General_29-11-2012_10_'!J1355,"AAAAAGv/ivQ=")</f>
        <v>#VALUE!</v>
      </c>
      <c r="IL90" t="e">
        <f>AND('Planilla_General_29-11-2012_10_'!K1355,"AAAAAGv/ivU=")</f>
        <v>#VALUE!</v>
      </c>
      <c r="IM90" t="e">
        <f>AND('Planilla_General_29-11-2012_10_'!L1355,"AAAAAGv/ivY=")</f>
        <v>#VALUE!</v>
      </c>
      <c r="IN90" t="e">
        <f>AND('Planilla_General_29-11-2012_10_'!M1355,"AAAAAGv/ivc=")</f>
        <v>#VALUE!</v>
      </c>
      <c r="IO90" t="e">
        <f>AND('Planilla_General_29-11-2012_10_'!N1355,"AAAAAGv/ivg=")</f>
        <v>#VALUE!</v>
      </c>
      <c r="IP90" t="e">
        <f>AND('Planilla_General_29-11-2012_10_'!O1355,"AAAAAGv/ivk=")</f>
        <v>#VALUE!</v>
      </c>
      <c r="IQ90" t="e">
        <f>AND('Planilla_General_29-11-2012_10_'!P1355,"AAAAAGv/ivo=")</f>
        <v>#VALUE!</v>
      </c>
      <c r="IR90">
        <f>IF('Planilla_General_29-11-2012_10_'!1356:1356,"AAAAAGv/ivs=",0)</f>
        <v>0</v>
      </c>
      <c r="IS90" t="e">
        <f>AND('Planilla_General_29-11-2012_10_'!A1356,"AAAAAGv/ivw=")</f>
        <v>#VALUE!</v>
      </c>
      <c r="IT90" t="e">
        <f>AND('Planilla_General_29-11-2012_10_'!B1356,"AAAAAGv/iv0=")</f>
        <v>#VALUE!</v>
      </c>
      <c r="IU90" t="e">
        <f>AND('Planilla_General_29-11-2012_10_'!C1356,"AAAAAGv/iv4=")</f>
        <v>#VALUE!</v>
      </c>
      <c r="IV90" t="e">
        <f>AND('Planilla_General_29-11-2012_10_'!D1356,"AAAAAGv/iv8=")</f>
        <v>#VALUE!</v>
      </c>
    </row>
    <row r="91" spans="1:256" x14ac:dyDescent="0.25">
      <c r="A91" t="e">
        <f>AND('Planilla_General_29-11-2012_10_'!E1356,"AAAAAB2f7wA=")</f>
        <v>#VALUE!</v>
      </c>
      <c r="B91" t="e">
        <f>AND('Planilla_General_29-11-2012_10_'!F1356,"AAAAAB2f7wE=")</f>
        <v>#VALUE!</v>
      </c>
      <c r="C91" t="e">
        <f>AND('Planilla_General_29-11-2012_10_'!G1356,"AAAAAB2f7wI=")</f>
        <v>#VALUE!</v>
      </c>
      <c r="D91" t="e">
        <f>AND('Planilla_General_29-11-2012_10_'!H1356,"AAAAAB2f7wM=")</f>
        <v>#VALUE!</v>
      </c>
      <c r="E91" t="e">
        <f>AND('Planilla_General_29-11-2012_10_'!I1356,"AAAAAB2f7wQ=")</f>
        <v>#VALUE!</v>
      </c>
      <c r="F91" t="e">
        <f>AND('Planilla_General_29-11-2012_10_'!J1356,"AAAAAB2f7wU=")</f>
        <v>#VALUE!</v>
      </c>
      <c r="G91" t="e">
        <f>AND('Planilla_General_29-11-2012_10_'!K1356,"AAAAAB2f7wY=")</f>
        <v>#VALUE!</v>
      </c>
      <c r="H91" t="e">
        <f>AND('Planilla_General_29-11-2012_10_'!L1356,"AAAAAB2f7wc=")</f>
        <v>#VALUE!</v>
      </c>
      <c r="I91" t="e">
        <f>AND('Planilla_General_29-11-2012_10_'!M1356,"AAAAAB2f7wg=")</f>
        <v>#VALUE!</v>
      </c>
      <c r="J91" t="e">
        <f>AND('Planilla_General_29-11-2012_10_'!N1356,"AAAAAB2f7wk=")</f>
        <v>#VALUE!</v>
      </c>
      <c r="K91" t="e">
        <f>AND('Planilla_General_29-11-2012_10_'!O1356,"AAAAAB2f7wo=")</f>
        <v>#VALUE!</v>
      </c>
      <c r="L91" t="e">
        <f>AND('Planilla_General_29-11-2012_10_'!P1356,"AAAAAB2f7ws=")</f>
        <v>#VALUE!</v>
      </c>
      <c r="M91" t="str">
        <f>IF('Planilla_General_29-11-2012_10_'!1357:1357,"AAAAAB2f7ww=",0)</f>
        <v>AAAAAB2f7ww=</v>
      </c>
      <c r="N91" t="e">
        <f>AND('Planilla_General_29-11-2012_10_'!A1357,"AAAAAB2f7w0=")</f>
        <v>#VALUE!</v>
      </c>
      <c r="O91" t="e">
        <f>AND('Planilla_General_29-11-2012_10_'!B1357,"AAAAAB2f7w4=")</f>
        <v>#VALUE!</v>
      </c>
      <c r="P91" t="e">
        <f>AND('Planilla_General_29-11-2012_10_'!C1357,"AAAAAB2f7w8=")</f>
        <v>#VALUE!</v>
      </c>
      <c r="Q91" t="e">
        <f>AND('Planilla_General_29-11-2012_10_'!D1357,"AAAAAB2f7xA=")</f>
        <v>#VALUE!</v>
      </c>
      <c r="R91" t="e">
        <f>AND('Planilla_General_29-11-2012_10_'!E1357,"AAAAAB2f7xE=")</f>
        <v>#VALUE!</v>
      </c>
      <c r="S91" t="e">
        <f>AND('Planilla_General_29-11-2012_10_'!F1357,"AAAAAB2f7xI=")</f>
        <v>#VALUE!</v>
      </c>
      <c r="T91" t="e">
        <f>AND('Planilla_General_29-11-2012_10_'!G1357,"AAAAAB2f7xM=")</f>
        <v>#VALUE!</v>
      </c>
      <c r="U91" t="e">
        <f>AND('Planilla_General_29-11-2012_10_'!H1357,"AAAAAB2f7xQ=")</f>
        <v>#VALUE!</v>
      </c>
      <c r="V91" t="e">
        <f>AND('Planilla_General_29-11-2012_10_'!I1357,"AAAAAB2f7xU=")</f>
        <v>#VALUE!</v>
      </c>
      <c r="W91" t="e">
        <f>AND('Planilla_General_29-11-2012_10_'!J1357,"AAAAAB2f7xY=")</f>
        <v>#VALUE!</v>
      </c>
      <c r="X91" t="e">
        <f>AND('Planilla_General_29-11-2012_10_'!K1357,"AAAAAB2f7xc=")</f>
        <v>#VALUE!</v>
      </c>
      <c r="Y91" t="e">
        <f>AND('Planilla_General_29-11-2012_10_'!L1357,"AAAAAB2f7xg=")</f>
        <v>#VALUE!</v>
      </c>
      <c r="Z91" t="e">
        <f>AND('Planilla_General_29-11-2012_10_'!M1357,"AAAAAB2f7xk=")</f>
        <v>#VALUE!</v>
      </c>
      <c r="AA91" t="e">
        <f>AND('Planilla_General_29-11-2012_10_'!N1357,"AAAAAB2f7xo=")</f>
        <v>#VALUE!</v>
      </c>
      <c r="AB91" t="e">
        <f>AND('Planilla_General_29-11-2012_10_'!O1357,"AAAAAB2f7xs=")</f>
        <v>#VALUE!</v>
      </c>
      <c r="AC91" t="e">
        <f>AND('Planilla_General_29-11-2012_10_'!P1357,"AAAAAB2f7xw=")</f>
        <v>#VALUE!</v>
      </c>
      <c r="AD91">
        <f>IF('Planilla_General_29-11-2012_10_'!1358:1358,"AAAAAB2f7x0=",0)</f>
        <v>0</v>
      </c>
      <c r="AE91" t="e">
        <f>AND('Planilla_General_29-11-2012_10_'!A1358,"AAAAAB2f7x4=")</f>
        <v>#VALUE!</v>
      </c>
      <c r="AF91" t="e">
        <f>AND('Planilla_General_29-11-2012_10_'!B1358,"AAAAAB2f7x8=")</f>
        <v>#VALUE!</v>
      </c>
      <c r="AG91" t="e">
        <f>AND('Planilla_General_29-11-2012_10_'!C1358,"AAAAAB2f7yA=")</f>
        <v>#VALUE!</v>
      </c>
      <c r="AH91" t="e">
        <f>AND('Planilla_General_29-11-2012_10_'!D1358,"AAAAAB2f7yE=")</f>
        <v>#VALUE!</v>
      </c>
      <c r="AI91" t="e">
        <f>AND('Planilla_General_29-11-2012_10_'!E1358,"AAAAAB2f7yI=")</f>
        <v>#VALUE!</v>
      </c>
      <c r="AJ91" t="e">
        <f>AND('Planilla_General_29-11-2012_10_'!F1358,"AAAAAB2f7yM=")</f>
        <v>#VALUE!</v>
      </c>
      <c r="AK91" t="e">
        <f>AND('Planilla_General_29-11-2012_10_'!G1358,"AAAAAB2f7yQ=")</f>
        <v>#VALUE!</v>
      </c>
      <c r="AL91" t="e">
        <f>AND('Planilla_General_29-11-2012_10_'!H1358,"AAAAAB2f7yU=")</f>
        <v>#VALUE!</v>
      </c>
      <c r="AM91" t="e">
        <f>AND('Planilla_General_29-11-2012_10_'!I1358,"AAAAAB2f7yY=")</f>
        <v>#VALUE!</v>
      </c>
      <c r="AN91" t="e">
        <f>AND('Planilla_General_29-11-2012_10_'!J1358,"AAAAAB2f7yc=")</f>
        <v>#VALUE!</v>
      </c>
      <c r="AO91" t="e">
        <f>AND('Planilla_General_29-11-2012_10_'!K1358,"AAAAAB2f7yg=")</f>
        <v>#VALUE!</v>
      </c>
      <c r="AP91" t="e">
        <f>AND('Planilla_General_29-11-2012_10_'!L1358,"AAAAAB2f7yk=")</f>
        <v>#VALUE!</v>
      </c>
      <c r="AQ91" t="e">
        <f>AND('Planilla_General_29-11-2012_10_'!M1358,"AAAAAB2f7yo=")</f>
        <v>#VALUE!</v>
      </c>
      <c r="AR91" t="e">
        <f>AND('Planilla_General_29-11-2012_10_'!N1358,"AAAAAB2f7ys=")</f>
        <v>#VALUE!</v>
      </c>
      <c r="AS91" t="e">
        <f>AND('Planilla_General_29-11-2012_10_'!O1358,"AAAAAB2f7yw=")</f>
        <v>#VALUE!</v>
      </c>
      <c r="AT91" t="e">
        <f>AND('Planilla_General_29-11-2012_10_'!P1358,"AAAAAB2f7y0=")</f>
        <v>#VALUE!</v>
      </c>
      <c r="AU91">
        <f>IF('Planilla_General_29-11-2012_10_'!1359:1359,"AAAAAB2f7y4=",0)</f>
        <v>0</v>
      </c>
      <c r="AV91" t="e">
        <f>AND('Planilla_General_29-11-2012_10_'!A1359,"AAAAAB2f7y8=")</f>
        <v>#VALUE!</v>
      </c>
      <c r="AW91" t="e">
        <f>AND('Planilla_General_29-11-2012_10_'!B1359,"AAAAAB2f7zA=")</f>
        <v>#VALUE!</v>
      </c>
      <c r="AX91" t="e">
        <f>AND('Planilla_General_29-11-2012_10_'!C1359,"AAAAAB2f7zE=")</f>
        <v>#VALUE!</v>
      </c>
      <c r="AY91" t="e">
        <f>AND('Planilla_General_29-11-2012_10_'!D1359,"AAAAAB2f7zI=")</f>
        <v>#VALUE!</v>
      </c>
      <c r="AZ91" t="e">
        <f>AND('Planilla_General_29-11-2012_10_'!E1359,"AAAAAB2f7zM=")</f>
        <v>#VALUE!</v>
      </c>
      <c r="BA91" t="e">
        <f>AND('Planilla_General_29-11-2012_10_'!F1359,"AAAAAB2f7zQ=")</f>
        <v>#VALUE!</v>
      </c>
      <c r="BB91" t="e">
        <f>AND('Planilla_General_29-11-2012_10_'!G1359,"AAAAAB2f7zU=")</f>
        <v>#VALUE!</v>
      </c>
      <c r="BC91" t="e">
        <f>AND('Planilla_General_29-11-2012_10_'!H1359,"AAAAAB2f7zY=")</f>
        <v>#VALUE!</v>
      </c>
      <c r="BD91" t="e">
        <f>AND('Planilla_General_29-11-2012_10_'!I1359,"AAAAAB2f7zc=")</f>
        <v>#VALUE!</v>
      </c>
      <c r="BE91" t="e">
        <f>AND('Planilla_General_29-11-2012_10_'!J1359,"AAAAAB2f7zg=")</f>
        <v>#VALUE!</v>
      </c>
      <c r="BF91" t="e">
        <f>AND('Planilla_General_29-11-2012_10_'!K1359,"AAAAAB2f7zk=")</f>
        <v>#VALUE!</v>
      </c>
      <c r="BG91" t="e">
        <f>AND('Planilla_General_29-11-2012_10_'!L1359,"AAAAAB2f7zo=")</f>
        <v>#VALUE!</v>
      </c>
      <c r="BH91" t="e">
        <f>AND('Planilla_General_29-11-2012_10_'!M1359,"AAAAAB2f7zs=")</f>
        <v>#VALUE!</v>
      </c>
      <c r="BI91" t="e">
        <f>AND('Planilla_General_29-11-2012_10_'!N1359,"AAAAAB2f7zw=")</f>
        <v>#VALUE!</v>
      </c>
      <c r="BJ91" t="e">
        <f>AND('Planilla_General_29-11-2012_10_'!O1359,"AAAAAB2f7z0=")</f>
        <v>#VALUE!</v>
      </c>
      <c r="BK91" t="e">
        <f>AND('Planilla_General_29-11-2012_10_'!P1359,"AAAAAB2f7z4=")</f>
        <v>#VALUE!</v>
      </c>
      <c r="BL91">
        <f>IF('Planilla_General_29-11-2012_10_'!1360:1360,"AAAAAB2f7z8=",0)</f>
        <v>0</v>
      </c>
      <c r="BM91" t="e">
        <f>AND('Planilla_General_29-11-2012_10_'!A1360,"AAAAAB2f70A=")</f>
        <v>#VALUE!</v>
      </c>
      <c r="BN91" t="e">
        <f>AND('Planilla_General_29-11-2012_10_'!B1360,"AAAAAB2f70E=")</f>
        <v>#VALUE!</v>
      </c>
      <c r="BO91" t="e">
        <f>AND('Planilla_General_29-11-2012_10_'!C1360,"AAAAAB2f70I=")</f>
        <v>#VALUE!</v>
      </c>
      <c r="BP91" t="e">
        <f>AND('Planilla_General_29-11-2012_10_'!D1360,"AAAAAB2f70M=")</f>
        <v>#VALUE!</v>
      </c>
      <c r="BQ91" t="e">
        <f>AND('Planilla_General_29-11-2012_10_'!E1360,"AAAAAB2f70Q=")</f>
        <v>#VALUE!</v>
      </c>
      <c r="BR91" t="e">
        <f>AND('Planilla_General_29-11-2012_10_'!F1360,"AAAAAB2f70U=")</f>
        <v>#VALUE!</v>
      </c>
      <c r="BS91" t="e">
        <f>AND('Planilla_General_29-11-2012_10_'!G1360,"AAAAAB2f70Y=")</f>
        <v>#VALUE!</v>
      </c>
      <c r="BT91" t="e">
        <f>AND('Planilla_General_29-11-2012_10_'!H1360,"AAAAAB2f70c=")</f>
        <v>#VALUE!</v>
      </c>
      <c r="BU91" t="e">
        <f>AND('Planilla_General_29-11-2012_10_'!I1360,"AAAAAB2f70g=")</f>
        <v>#VALUE!</v>
      </c>
      <c r="BV91" t="e">
        <f>AND('Planilla_General_29-11-2012_10_'!J1360,"AAAAAB2f70k=")</f>
        <v>#VALUE!</v>
      </c>
      <c r="BW91" t="e">
        <f>AND('Planilla_General_29-11-2012_10_'!K1360,"AAAAAB2f70o=")</f>
        <v>#VALUE!</v>
      </c>
      <c r="BX91" t="e">
        <f>AND('Planilla_General_29-11-2012_10_'!L1360,"AAAAAB2f70s=")</f>
        <v>#VALUE!</v>
      </c>
      <c r="BY91" t="e">
        <f>AND('Planilla_General_29-11-2012_10_'!M1360,"AAAAAB2f70w=")</f>
        <v>#VALUE!</v>
      </c>
      <c r="BZ91" t="e">
        <f>AND('Planilla_General_29-11-2012_10_'!N1360,"AAAAAB2f700=")</f>
        <v>#VALUE!</v>
      </c>
      <c r="CA91" t="e">
        <f>AND('Planilla_General_29-11-2012_10_'!O1360,"AAAAAB2f704=")</f>
        <v>#VALUE!</v>
      </c>
      <c r="CB91" t="e">
        <f>AND('Planilla_General_29-11-2012_10_'!P1360,"AAAAAB2f708=")</f>
        <v>#VALUE!</v>
      </c>
      <c r="CC91">
        <f>IF('Planilla_General_29-11-2012_10_'!1361:1361,"AAAAAB2f71A=",0)</f>
        <v>0</v>
      </c>
      <c r="CD91" t="e">
        <f>AND('Planilla_General_29-11-2012_10_'!A1361,"AAAAAB2f71E=")</f>
        <v>#VALUE!</v>
      </c>
      <c r="CE91" t="e">
        <f>AND('Planilla_General_29-11-2012_10_'!B1361,"AAAAAB2f71I=")</f>
        <v>#VALUE!</v>
      </c>
      <c r="CF91" t="e">
        <f>AND('Planilla_General_29-11-2012_10_'!C1361,"AAAAAB2f71M=")</f>
        <v>#VALUE!</v>
      </c>
      <c r="CG91" t="e">
        <f>AND('Planilla_General_29-11-2012_10_'!D1361,"AAAAAB2f71Q=")</f>
        <v>#VALUE!</v>
      </c>
      <c r="CH91" t="e">
        <f>AND('Planilla_General_29-11-2012_10_'!E1361,"AAAAAB2f71U=")</f>
        <v>#VALUE!</v>
      </c>
      <c r="CI91" t="e">
        <f>AND('Planilla_General_29-11-2012_10_'!F1361,"AAAAAB2f71Y=")</f>
        <v>#VALUE!</v>
      </c>
      <c r="CJ91" t="e">
        <f>AND('Planilla_General_29-11-2012_10_'!G1361,"AAAAAB2f71c=")</f>
        <v>#VALUE!</v>
      </c>
      <c r="CK91" t="e">
        <f>AND('Planilla_General_29-11-2012_10_'!H1361,"AAAAAB2f71g=")</f>
        <v>#VALUE!</v>
      </c>
      <c r="CL91" t="e">
        <f>AND('Planilla_General_29-11-2012_10_'!I1361,"AAAAAB2f71k=")</f>
        <v>#VALUE!</v>
      </c>
      <c r="CM91" t="e">
        <f>AND('Planilla_General_29-11-2012_10_'!J1361,"AAAAAB2f71o=")</f>
        <v>#VALUE!</v>
      </c>
      <c r="CN91" t="e">
        <f>AND('Planilla_General_29-11-2012_10_'!K1361,"AAAAAB2f71s=")</f>
        <v>#VALUE!</v>
      </c>
      <c r="CO91" t="e">
        <f>AND('Planilla_General_29-11-2012_10_'!L1361,"AAAAAB2f71w=")</f>
        <v>#VALUE!</v>
      </c>
      <c r="CP91" t="e">
        <f>AND('Planilla_General_29-11-2012_10_'!M1361,"AAAAAB2f710=")</f>
        <v>#VALUE!</v>
      </c>
      <c r="CQ91" t="e">
        <f>AND('Planilla_General_29-11-2012_10_'!N1361,"AAAAAB2f714=")</f>
        <v>#VALUE!</v>
      </c>
      <c r="CR91" t="e">
        <f>AND('Planilla_General_29-11-2012_10_'!O1361,"AAAAAB2f718=")</f>
        <v>#VALUE!</v>
      </c>
      <c r="CS91" t="e">
        <f>AND('Planilla_General_29-11-2012_10_'!P1361,"AAAAAB2f72A=")</f>
        <v>#VALUE!</v>
      </c>
      <c r="CT91">
        <f>IF('Planilla_General_29-11-2012_10_'!1362:1362,"AAAAAB2f72E=",0)</f>
        <v>0</v>
      </c>
      <c r="CU91" t="e">
        <f>AND('Planilla_General_29-11-2012_10_'!A1362,"AAAAAB2f72I=")</f>
        <v>#VALUE!</v>
      </c>
      <c r="CV91" t="e">
        <f>AND('Planilla_General_29-11-2012_10_'!B1362,"AAAAAB2f72M=")</f>
        <v>#VALUE!</v>
      </c>
      <c r="CW91" t="e">
        <f>AND('Planilla_General_29-11-2012_10_'!C1362,"AAAAAB2f72Q=")</f>
        <v>#VALUE!</v>
      </c>
      <c r="CX91" t="e">
        <f>AND('Planilla_General_29-11-2012_10_'!D1362,"AAAAAB2f72U=")</f>
        <v>#VALUE!</v>
      </c>
      <c r="CY91" t="e">
        <f>AND('Planilla_General_29-11-2012_10_'!E1362,"AAAAAB2f72Y=")</f>
        <v>#VALUE!</v>
      </c>
      <c r="CZ91" t="e">
        <f>AND('Planilla_General_29-11-2012_10_'!F1362,"AAAAAB2f72c=")</f>
        <v>#VALUE!</v>
      </c>
      <c r="DA91" t="e">
        <f>AND('Planilla_General_29-11-2012_10_'!G1362,"AAAAAB2f72g=")</f>
        <v>#VALUE!</v>
      </c>
      <c r="DB91" t="e">
        <f>AND('Planilla_General_29-11-2012_10_'!H1362,"AAAAAB2f72k=")</f>
        <v>#VALUE!</v>
      </c>
      <c r="DC91" t="e">
        <f>AND('Planilla_General_29-11-2012_10_'!I1362,"AAAAAB2f72o=")</f>
        <v>#VALUE!</v>
      </c>
      <c r="DD91" t="e">
        <f>AND('Planilla_General_29-11-2012_10_'!J1362,"AAAAAB2f72s=")</f>
        <v>#VALUE!</v>
      </c>
      <c r="DE91" t="e">
        <f>AND('Planilla_General_29-11-2012_10_'!K1362,"AAAAAB2f72w=")</f>
        <v>#VALUE!</v>
      </c>
      <c r="DF91" t="e">
        <f>AND('Planilla_General_29-11-2012_10_'!L1362,"AAAAAB2f720=")</f>
        <v>#VALUE!</v>
      </c>
      <c r="DG91" t="e">
        <f>AND('Planilla_General_29-11-2012_10_'!M1362,"AAAAAB2f724=")</f>
        <v>#VALUE!</v>
      </c>
      <c r="DH91" t="e">
        <f>AND('Planilla_General_29-11-2012_10_'!N1362,"AAAAAB2f728=")</f>
        <v>#VALUE!</v>
      </c>
      <c r="DI91" t="e">
        <f>AND('Planilla_General_29-11-2012_10_'!O1362,"AAAAAB2f73A=")</f>
        <v>#VALUE!</v>
      </c>
      <c r="DJ91" t="e">
        <f>AND('Planilla_General_29-11-2012_10_'!P1362,"AAAAAB2f73E=")</f>
        <v>#VALUE!</v>
      </c>
      <c r="DK91">
        <f>IF('Planilla_General_29-11-2012_10_'!1363:1363,"AAAAAB2f73I=",0)</f>
        <v>0</v>
      </c>
      <c r="DL91" t="e">
        <f>AND('Planilla_General_29-11-2012_10_'!A1363,"AAAAAB2f73M=")</f>
        <v>#VALUE!</v>
      </c>
      <c r="DM91" t="e">
        <f>AND('Planilla_General_29-11-2012_10_'!B1363,"AAAAAB2f73Q=")</f>
        <v>#VALUE!</v>
      </c>
      <c r="DN91" t="e">
        <f>AND('Planilla_General_29-11-2012_10_'!C1363,"AAAAAB2f73U=")</f>
        <v>#VALUE!</v>
      </c>
      <c r="DO91" t="e">
        <f>AND('Planilla_General_29-11-2012_10_'!D1363,"AAAAAB2f73Y=")</f>
        <v>#VALUE!</v>
      </c>
      <c r="DP91" t="e">
        <f>AND('Planilla_General_29-11-2012_10_'!E1363,"AAAAAB2f73c=")</f>
        <v>#VALUE!</v>
      </c>
      <c r="DQ91" t="e">
        <f>AND('Planilla_General_29-11-2012_10_'!F1363,"AAAAAB2f73g=")</f>
        <v>#VALUE!</v>
      </c>
      <c r="DR91" t="e">
        <f>AND('Planilla_General_29-11-2012_10_'!G1363,"AAAAAB2f73k=")</f>
        <v>#VALUE!</v>
      </c>
      <c r="DS91" t="e">
        <f>AND('Planilla_General_29-11-2012_10_'!H1363,"AAAAAB2f73o=")</f>
        <v>#VALUE!</v>
      </c>
      <c r="DT91" t="e">
        <f>AND('Planilla_General_29-11-2012_10_'!I1363,"AAAAAB2f73s=")</f>
        <v>#VALUE!</v>
      </c>
      <c r="DU91" t="e">
        <f>AND('Planilla_General_29-11-2012_10_'!J1363,"AAAAAB2f73w=")</f>
        <v>#VALUE!</v>
      </c>
      <c r="DV91" t="e">
        <f>AND('Planilla_General_29-11-2012_10_'!K1363,"AAAAAB2f730=")</f>
        <v>#VALUE!</v>
      </c>
      <c r="DW91" t="e">
        <f>AND('Planilla_General_29-11-2012_10_'!L1363,"AAAAAB2f734=")</f>
        <v>#VALUE!</v>
      </c>
      <c r="DX91" t="e">
        <f>AND('Planilla_General_29-11-2012_10_'!M1363,"AAAAAB2f738=")</f>
        <v>#VALUE!</v>
      </c>
      <c r="DY91" t="e">
        <f>AND('Planilla_General_29-11-2012_10_'!N1363,"AAAAAB2f74A=")</f>
        <v>#VALUE!</v>
      </c>
      <c r="DZ91" t="e">
        <f>AND('Planilla_General_29-11-2012_10_'!O1363,"AAAAAB2f74E=")</f>
        <v>#VALUE!</v>
      </c>
      <c r="EA91" t="e">
        <f>AND('Planilla_General_29-11-2012_10_'!P1363,"AAAAAB2f74I=")</f>
        <v>#VALUE!</v>
      </c>
      <c r="EB91">
        <f>IF('Planilla_General_29-11-2012_10_'!1364:1364,"AAAAAB2f74M=",0)</f>
        <v>0</v>
      </c>
      <c r="EC91" t="e">
        <f>AND('Planilla_General_29-11-2012_10_'!A1364,"AAAAAB2f74Q=")</f>
        <v>#VALUE!</v>
      </c>
      <c r="ED91" t="e">
        <f>AND('Planilla_General_29-11-2012_10_'!B1364,"AAAAAB2f74U=")</f>
        <v>#VALUE!</v>
      </c>
      <c r="EE91" t="e">
        <f>AND('Planilla_General_29-11-2012_10_'!C1364,"AAAAAB2f74Y=")</f>
        <v>#VALUE!</v>
      </c>
      <c r="EF91" t="e">
        <f>AND('Planilla_General_29-11-2012_10_'!D1364,"AAAAAB2f74c=")</f>
        <v>#VALUE!</v>
      </c>
      <c r="EG91" t="e">
        <f>AND('Planilla_General_29-11-2012_10_'!E1364,"AAAAAB2f74g=")</f>
        <v>#VALUE!</v>
      </c>
      <c r="EH91" t="e">
        <f>AND('Planilla_General_29-11-2012_10_'!F1364,"AAAAAB2f74k=")</f>
        <v>#VALUE!</v>
      </c>
      <c r="EI91" t="e">
        <f>AND('Planilla_General_29-11-2012_10_'!G1364,"AAAAAB2f74o=")</f>
        <v>#VALUE!</v>
      </c>
      <c r="EJ91" t="e">
        <f>AND('Planilla_General_29-11-2012_10_'!H1364,"AAAAAB2f74s=")</f>
        <v>#VALUE!</v>
      </c>
      <c r="EK91" t="e">
        <f>AND('Planilla_General_29-11-2012_10_'!I1364,"AAAAAB2f74w=")</f>
        <v>#VALUE!</v>
      </c>
      <c r="EL91" t="e">
        <f>AND('Planilla_General_29-11-2012_10_'!J1364,"AAAAAB2f740=")</f>
        <v>#VALUE!</v>
      </c>
      <c r="EM91" t="e">
        <f>AND('Planilla_General_29-11-2012_10_'!K1364,"AAAAAB2f744=")</f>
        <v>#VALUE!</v>
      </c>
      <c r="EN91" t="e">
        <f>AND('Planilla_General_29-11-2012_10_'!L1364,"AAAAAB2f748=")</f>
        <v>#VALUE!</v>
      </c>
      <c r="EO91" t="e">
        <f>AND('Planilla_General_29-11-2012_10_'!M1364,"AAAAAB2f75A=")</f>
        <v>#VALUE!</v>
      </c>
      <c r="EP91" t="e">
        <f>AND('Planilla_General_29-11-2012_10_'!N1364,"AAAAAB2f75E=")</f>
        <v>#VALUE!</v>
      </c>
      <c r="EQ91" t="e">
        <f>AND('Planilla_General_29-11-2012_10_'!O1364,"AAAAAB2f75I=")</f>
        <v>#VALUE!</v>
      </c>
      <c r="ER91" t="e">
        <f>AND('Planilla_General_29-11-2012_10_'!P1364,"AAAAAB2f75M=")</f>
        <v>#VALUE!</v>
      </c>
      <c r="ES91">
        <f>IF('Planilla_General_29-11-2012_10_'!1365:1365,"AAAAAB2f75Q=",0)</f>
        <v>0</v>
      </c>
      <c r="ET91" t="e">
        <f>AND('Planilla_General_29-11-2012_10_'!A1365,"AAAAAB2f75U=")</f>
        <v>#VALUE!</v>
      </c>
      <c r="EU91" t="e">
        <f>AND('Planilla_General_29-11-2012_10_'!B1365,"AAAAAB2f75Y=")</f>
        <v>#VALUE!</v>
      </c>
      <c r="EV91" t="e">
        <f>AND('Planilla_General_29-11-2012_10_'!C1365,"AAAAAB2f75c=")</f>
        <v>#VALUE!</v>
      </c>
      <c r="EW91" t="e">
        <f>AND('Planilla_General_29-11-2012_10_'!D1365,"AAAAAB2f75g=")</f>
        <v>#VALUE!</v>
      </c>
      <c r="EX91" t="e">
        <f>AND('Planilla_General_29-11-2012_10_'!E1365,"AAAAAB2f75k=")</f>
        <v>#VALUE!</v>
      </c>
      <c r="EY91" t="e">
        <f>AND('Planilla_General_29-11-2012_10_'!F1365,"AAAAAB2f75o=")</f>
        <v>#VALUE!</v>
      </c>
      <c r="EZ91" t="e">
        <f>AND('Planilla_General_29-11-2012_10_'!G1365,"AAAAAB2f75s=")</f>
        <v>#VALUE!</v>
      </c>
      <c r="FA91" t="e">
        <f>AND('Planilla_General_29-11-2012_10_'!H1365,"AAAAAB2f75w=")</f>
        <v>#VALUE!</v>
      </c>
      <c r="FB91" t="e">
        <f>AND('Planilla_General_29-11-2012_10_'!I1365,"AAAAAB2f750=")</f>
        <v>#VALUE!</v>
      </c>
      <c r="FC91" t="e">
        <f>AND('Planilla_General_29-11-2012_10_'!J1365,"AAAAAB2f754=")</f>
        <v>#VALUE!</v>
      </c>
      <c r="FD91" t="e">
        <f>AND('Planilla_General_29-11-2012_10_'!K1365,"AAAAAB2f758=")</f>
        <v>#VALUE!</v>
      </c>
      <c r="FE91" t="e">
        <f>AND('Planilla_General_29-11-2012_10_'!L1365,"AAAAAB2f76A=")</f>
        <v>#VALUE!</v>
      </c>
      <c r="FF91" t="e">
        <f>AND('Planilla_General_29-11-2012_10_'!M1365,"AAAAAB2f76E=")</f>
        <v>#VALUE!</v>
      </c>
      <c r="FG91" t="e">
        <f>AND('Planilla_General_29-11-2012_10_'!N1365,"AAAAAB2f76I=")</f>
        <v>#VALUE!</v>
      </c>
      <c r="FH91" t="e">
        <f>AND('Planilla_General_29-11-2012_10_'!O1365,"AAAAAB2f76M=")</f>
        <v>#VALUE!</v>
      </c>
      <c r="FI91" t="e">
        <f>AND('Planilla_General_29-11-2012_10_'!P1365,"AAAAAB2f76Q=")</f>
        <v>#VALUE!</v>
      </c>
      <c r="FJ91">
        <f>IF('Planilla_General_29-11-2012_10_'!1366:1366,"AAAAAB2f76U=",0)</f>
        <v>0</v>
      </c>
      <c r="FK91" t="e">
        <f>AND('Planilla_General_29-11-2012_10_'!A1366,"AAAAAB2f76Y=")</f>
        <v>#VALUE!</v>
      </c>
      <c r="FL91" t="e">
        <f>AND('Planilla_General_29-11-2012_10_'!B1366,"AAAAAB2f76c=")</f>
        <v>#VALUE!</v>
      </c>
      <c r="FM91" t="e">
        <f>AND('Planilla_General_29-11-2012_10_'!C1366,"AAAAAB2f76g=")</f>
        <v>#VALUE!</v>
      </c>
      <c r="FN91" t="e">
        <f>AND('Planilla_General_29-11-2012_10_'!D1366,"AAAAAB2f76k=")</f>
        <v>#VALUE!</v>
      </c>
      <c r="FO91" t="e">
        <f>AND('Planilla_General_29-11-2012_10_'!E1366,"AAAAAB2f76o=")</f>
        <v>#VALUE!</v>
      </c>
      <c r="FP91" t="e">
        <f>AND('Planilla_General_29-11-2012_10_'!F1366,"AAAAAB2f76s=")</f>
        <v>#VALUE!</v>
      </c>
      <c r="FQ91" t="e">
        <f>AND('Planilla_General_29-11-2012_10_'!G1366,"AAAAAB2f76w=")</f>
        <v>#VALUE!</v>
      </c>
      <c r="FR91" t="e">
        <f>AND('Planilla_General_29-11-2012_10_'!H1366,"AAAAAB2f760=")</f>
        <v>#VALUE!</v>
      </c>
      <c r="FS91" t="e">
        <f>AND('Planilla_General_29-11-2012_10_'!I1366,"AAAAAB2f764=")</f>
        <v>#VALUE!</v>
      </c>
      <c r="FT91" t="e">
        <f>AND('Planilla_General_29-11-2012_10_'!J1366,"AAAAAB2f768=")</f>
        <v>#VALUE!</v>
      </c>
      <c r="FU91" t="e">
        <f>AND('Planilla_General_29-11-2012_10_'!K1366,"AAAAAB2f77A=")</f>
        <v>#VALUE!</v>
      </c>
      <c r="FV91" t="e">
        <f>AND('Planilla_General_29-11-2012_10_'!L1366,"AAAAAB2f77E=")</f>
        <v>#VALUE!</v>
      </c>
      <c r="FW91" t="e">
        <f>AND('Planilla_General_29-11-2012_10_'!M1366,"AAAAAB2f77I=")</f>
        <v>#VALUE!</v>
      </c>
      <c r="FX91" t="e">
        <f>AND('Planilla_General_29-11-2012_10_'!N1366,"AAAAAB2f77M=")</f>
        <v>#VALUE!</v>
      </c>
      <c r="FY91" t="e">
        <f>AND('Planilla_General_29-11-2012_10_'!O1366,"AAAAAB2f77Q=")</f>
        <v>#VALUE!</v>
      </c>
      <c r="FZ91" t="e">
        <f>AND('Planilla_General_29-11-2012_10_'!P1366,"AAAAAB2f77U=")</f>
        <v>#VALUE!</v>
      </c>
      <c r="GA91">
        <f>IF('Planilla_General_29-11-2012_10_'!1367:1367,"AAAAAB2f77Y=",0)</f>
        <v>0</v>
      </c>
      <c r="GB91" t="e">
        <f>AND('Planilla_General_29-11-2012_10_'!A1367,"AAAAAB2f77c=")</f>
        <v>#VALUE!</v>
      </c>
      <c r="GC91" t="e">
        <f>AND('Planilla_General_29-11-2012_10_'!B1367,"AAAAAB2f77g=")</f>
        <v>#VALUE!</v>
      </c>
      <c r="GD91" t="e">
        <f>AND('Planilla_General_29-11-2012_10_'!C1367,"AAAAAB2f77k=")</f>
        <v>#VALUE!</v>
      </c>
      <c r="GE91" t="e">
        <f>AND('Planilla_General_29-11-2012_10_'!D1367,"AAAAAB2f77o=")</f>
        <v>#VALUE!</v>
      </c>
      <c r="GF91" t="e">
        <f>AND('Planilla_General_29-11-2012_10_'!E1367,"AAAAAB2f77s=")</f>
        <v>#VALUE!</v>
      </c>
      <c r="GG91" t="e">
        <f>AND('Planilla_General_29-11-2012_10_'!F1367,"AAAAAB2f77w=")</f>
        <v>#VALUE!</v>
      </c>
      <c r="GH91" t="e">
        <f>AND('Planilla_General_29-11-2012_10_'!G1367,"AAAAAB2f770=")</f>
        <v>#VALUE!</v>
      </c>
      <c r="GI91" t="e">
        <f>AND('Planilla_General_29-11-2012_10_'!H1367,"AAAAAB2f774=")</f>
        <v>#VALUE!</v>
      </c>
      <c r="GJ91" t="e">
        <f>AND('Planilla_General_29-11-2012_10_'!I1367,"AAAAAB2f778=")</f>
        <v>#VALUE!</v>
      </c>
      <c r="GK91" t="e">
        <f>AND('Planilla_General_29-11-2012_10_'!J1367,"AAAAAB2f78A=")</f>
        <v>#VALUE!</v>
      </c>
      <c r="GL91" t="e">
        <f>AND('Planilla_General_29-11-2012_10_'!K1367,"AAAAAB2f78E=")</f>
        <v>#VALUE!</v>
      </c>
      <c r="GM91" t="e">
        <f>AND('Planilla_General_29-11-2012_10_'!L1367,"AAAAAB2f78I=")</f>
        <v>#VALUE!</v>
      </c>
      <c r="GN91" t="e">
        <f>AND('Planilla_General_29-11-2012_10_'!M1367,"AAAAAB2f78M=")</f>
        <v>#VALUE!</v>
      </c>
      <c r="GO91" t="e">
        <f>AND('Planilla_General_29-11-2012_10_'!N1367,"AAAAAB2f78Q=")</f>
        <v>#VALUE!</v>
      </c>
      <c r="GP91" t="e">
        <f>AND('Planilla_General_29-11-2012_10_'!O1367,"AAAAAB2f78U=")</f>
        <v>#VALUE!</v>
      </c>
      <c r="GQ91" t="e">
        <f>AND('Planilla_General_29-11-2012_10_'!P1367,"AAAAAB2f78Y=")</f>
        <v>#VALUE!</v>
      </c>
      <c r="GR91">
        <f>IF('Planilla_General_29-11-2012_10_'!1368:1368,"AAAAAB2f78c=",0)</f>
        <v>0</v>
      </c>
      <c r="GS91" t="e">
        <f>AND('Planilla_General_29-11-2012_10_'!A1368,"AAAAAB2f78g=")</f>
        <v>#VALUE!</v>
      </c>
      <c r="GT91" t="e">
        <f>AND('Planilla_General_29-11-2012_10_'!B1368,"AAAAAB2f78k=")</f>
        <v>#VALUE!</v>
      </c>
      <c r="GU91" t="e">
        <f>AND('Planilla_General_29-11-2012_10_'!C1368,"AAAAAB2f78o=")</f>
        <v>#VALUE!</v>
      </c>
      <c r="GV91" t="e">
        <f>AND('Planilla_General_29-11-2012_10_'!D1368,"AAAAAB2f78s=")</f>
        <v>#VALUE!</v>
      </c>
      <c r="GW91" t="e">
        <f>AND('Planilla_General_29-11-2012_10_'!E1368,"AAAAAB2f78w=")</f>
        <v>#VALUE!</v>
      </c>
      <c r="GX91" t="e">
        <f>AND('Planilla_General_29-11-2012_10_'!F1368,"AAAAAB2f780=")</f>
        <v>#VALUE!</v>
      </c>
      <c r="GY91" t="e">
        <f>AND('Planilla_General_29-11-2012_10_'!G1368,"AAAAAB2f784=")</f>
        <v>#VALUE!</v>
      </c>
      <c r="GZ91" t="e">
        <f>AND('Planilla_General_29-11-2012_10_'!H1368,"AAAAAB2f788=")</f>
        <v>#VALUE!</v>
      </c>
      <c r="HA91" t="e">
        <f>AND('Planilla_General_29-11-2012_10_'!I1368,"AAAAAB2f79A=")</f>
        <v>#VALUE!</v>
      </c>
      <c r="HB91" t="e">
        <f>AND('Planilla_General_29-11-2012_10_'!J1368,"AAAAAB2f79E=")</f>
        <v>#VALUE!</v>
      </c>
      <c r="HC91" t="e">
        <f>AND('Planilla_General_29-11-2012_10_'!K1368,"AAAAAB2f79I=")</f>
        <v>#VALUE!</v>
      </c>
      <c r="HD91" t="e">
        <f>AND('Planilla_General_29-11-2012_10_'!L1368,"AAAAAB2f79M=")</f>
        <v>#VALUE!</v>
      </c>
      <c r="HE91" t="e">
        <f>AND('Planilla_General_29-11-2012_10_'!M1368,"AAAAAB2f79Q=")</f>
        <v>#VALUE!</v>
      </c>
      <c r="HF91" t="e">
        <f>AND('Planilla_General_29-11-2012_10_'!N1368,"AAAAAB2f79U=")</f>
        <v>#VALUE!</v>
      </c>
      <c r="HG91" t="e">
        <f>AND('Planilla_General_29-11-2012_10_'!O1368,"AAAAAB2f79Y=")</f>
        <v>#VALUE!</v>
      </c>
      <c r="HH91" t="e">
        <f>AND('Planilla_General_29-11-2012_10_'!P1368,"AAAAAB2f79c=")</f>
        <v>#VALUE!</v>
      </c>
      <c r="HI91">
        <f>IF('Planilla_General_29-11-2012_10_'!1369:1369,"AAAAAB2f79g=",0)</f>
        <v>0</v>
      </c>
      <c r="HJ91" t="e">
        <f>AND('Planilla_General_29-11-2012_10_'!A1369,"AAAAAB2f79k=")</f>
        <v>#VALUE!</v>
      </c>
      <c r="HK91" t="e">
        <f>AND('Planilla_General_29-11-2012_10_'!B1369,"AAAAAB2f79o=")</f>
        <v>#VALUE!</v>
      </c>
      <c r="HL91" t="e">
        <f>AND('Planilla_General_29-11-2012_10_'!C1369,"AAAAAB2f79s=")</f>
        <v>#VALUE!</v>
      </c>
      <c r="HM91" t="e">
        <f>AND('Planilla_General_29-11-2012_10_'!D1369,"AAAAAB2f79w=")</f>
        <v>#VALUE!</v>
      </c>
      <c r="HN91" t="e">
        <f>AND('Planilla_General_29-11-2012_10_'!E1369,"AAAAAB2f790=")</f>
        <v>#VALUE!</v>
      </c>
      <c r="HO91" t="e">
        <f>AND('Planilla_General_29-11-2012_10_'!F1369,"AAAAAB2f794=")</f>
        <v>#VALUE!</v>
      </c>
      <c r="HP91" t="e">
        <f>AND('Planilla_General_29-11-2012_10_'!G1369,"AAAAAB2f798=")</f>
        <v>#VALUE!</v>
      </c>
      <c r="HQ91" t="e">
        <f>AND('Planilla_General_29-11-2012_10_'!H1369,"AAAAAB2f7+A=")</f>
        <v>#VALUE!</v>
      </c>
      <c r="HR91" t="e">
        <f>AND('Planilla_General_29-11-2012_10_'!I1369,"AAAAAB2f7+E=")</f>
        <v>#VALUE!</v>
      </c>
      <c r="HS91" t="e">
        <f>AND('Planilla_General_29-11-2012_10_'!J1369,"AAAAAB2f7+I=")</f>
        <v>#VALUE!</v>
      </c>
      <c r="HT91" t="e">
        <f>AND('Planilla_General_29-11-2012_10_'!K1369,"AAAAAB2f7+M=")</f>
        <v>#VALUE!</v>
      </c>
      <c r="HU91" t="e">
        <f>AND('Planilla_General_29-11-2012_10_'!L1369,"AAAAAB2f7+Q=")</f>
        <v>#VALUE!</v>
      </c>
      <c r="HV91" t="e">
        <f>AND('Planilla_General_29-11-2012_10_'!M1369,"AAAAAB2f7+U=")</f>
        <v>#VALUE!</v>
      </c>
      <c r="HW91" t="e">
        <f>AND('Planilla_General_29-11-2012_10_'!N1369,"AAAAAB2f7+Y=")</f>
        <v>#VALUE!</v>
      </c>
      <c r="HX91" t="e">
        <f>AND('Planilla_General_29-11-2012_10_'!O1369,"AAAAAB2f7+c=")</f>
        <v>#VALUE!</v>
      </c>
      <c r="HY91" t="e">
        <f>AND('Planilla_General_29-11-2012_10_'!P1369,"AAAAAB2f7+g=")</f>
        <v>#VALUE!</v>
      </c>
      <c r="HZ91">
        <f>IF('Planilla_General_29-11-2012_10_'!1370:1370,"AAAAAB2f7+k=",0)</f>
        <v>0</v>
      </c>
      <c r="IA91" t="e">
        <f>AND('Planilla_General_29-11-2012_10_'!A1370,"AAAAAB2f7+o=")</f>
        <v>#VALUE!</v>
      </c>
      <c r="IB91" t="e">
        <f>AND('Planilla_General_29-11-2012_10_'!B1370,"AAAAAB2f7+s=")</f>
        <v>#VALUE!</v>
      </c>
      <c r="IC91" t="e">
        <f>AND('Planilla_General_29-11-2012_10_'!C1370,"AAAAAB2f7+w=")</f>
        <v>#VALUE!</v>
      </c>
      <c r="ID91" t="e">
        <f>AND('Planilla_General_29-11-2012_10_'!D1370,"AAAAAB2f7+0=")</f>
        <v>#VALUE!</v>
      </c>
      <c r="IE91" t="e">
        <f>AND('Planilla_General_29-11-2012_10_'!E1370,"AAAAAB2f7+4=")</f>
        <v>#VALUE!</v>
      </c>
      <c r="IF91" t="e">
        <f>AND('Planilla_General_29-11-2012_10_'!F1370,"AAAAAB2f7+8=")</f>
        <v>#VALUE!</v>
      </c>
      <c r="IG91" t="e">
        <f>AND('Planilla_General_29-11-2012_10_'!G1370,"AAAAAB2f7/A=")</f>
        <v>#VALUE!</v>
      </c>
      <c r="IH91" t="e">
        <f>AND('Planilla_General_29-11-2012_10_'!H1370,"AAAAAB2f7/E=")</f>
        <v>#VALUE!</v>
      </c>
      <c r="II91" t="e">
        <f>AND('Planilla_General_29-11-2012_10_'!I1370,"AAAAAB2f7/I=")</f>
        <v>#VALUE!</v>
      </c>
      <c r="IJ91" t="e">
        <f>AND('Planilla_General_29-11-2012_10_'!J1370,"AAAAAB2f7/M=")</f>
        <v>#VALUE!</v>
      </c>
      <c r="IK91" t="e">
        <f>AND('Planilla_General_29-11-2012_10_'!K1370,"AAAAAB2f7/Q=")</f>
        <v>#VALUE!</v>
      </c>
      <c r="IL91" t="e">
        <f>AND('Planilla_General_29-11-2012_10_'!L1370,"AAAAAB2f7/U=")</f>
        <v>#VALUE!</v>
      </c>
      <c r="IM91" t="e">
        <f>AND('Planilla_General_29-11-2012_10_'!M1370,"AAAAAB2f7/Y=")</f>
        <v>#VALUE!</v>
      </c>
      <c r="IN91" t="e">
        <f>AND('Planilla_General_29-11-2012_10_'!N1370,"AAAAAB2f7/c=")</f>
        <v>#VALUE!</v>
      </c>
      <c r="IO91" t="e">
        <f>AND('Planilla_General_29-11-2012_10_'!O1370,"AAAAAB2f7/g=")</f>
        <v>#VALUE!</v>
      </c>
      <c r="IP91" t="e">
        <f>AND('Planilla_General_29-11-2012_10_'!P1370,"AAAAAB2f7/k=")</f>
        <v>#VALUE!</v>
      </c>
      <c r="IQ91">
        <f>IF('Planilla_General_29-11-2012_10_'!1371:1371,"AAAAAB2f7/o=",0)</f>
        <v>0</v>
      </c>
      <c r="IR91" t="e">
        <f>AND('Planilla_General_29-11-2012_10_'!A1371,"AAAAAB2f7/s=")</f>
        <v>#VALUE!</v>
      </c>
      <c r="IS91" t="e">
        <f>AND('Planilla_General_29-11-2012_10_'!B1371,"AAAAAB2f7/w=")</f>
        <v>#VALUE!</v>
      </c>
      <c r="IT91" t="e">
        <f>AND('Planilla_General_29-11-2012_10_'!C1371,"AAAAAB2f7/0=")</f>
        <v>#VALUE!</v>
      </c>
      <c r="IU91" t="e">
        <f>AND('Planilla_General_29-11-2012_10_'!D1371,"AAAAAB2f7/4=")</f>
        <v>#VALUE!</v>
      </c>
      <c r="IV91" t="e">
        <f>AND('Planilla_General_29-11-2012_10_'!E1371,"AAAAAB2f7/8=")</f>
        <v>#VALUE!</v>
      </c>
    </row>
    <row r="92" spans="1:256" x14ac:dyDescent="0.25">
      <c r="A92" t="e">
        <f>AND('Planilla_General_29-11-2012_10_'!F1371,"AAAAAF980gA=")</f>
        <v>#VALUE!</v>
      </c>
      <c r="B92" t="e">
        <f>AND('Planilla_General_29-11-2012_10_'!G1371,"AAAAAF980gE=")</f>
        <v>#VALUE!</v>
      </c>
      <c r="C92" t="e">
        <f>AND('Planilla_General_29-11-2012_10_'!H1371,"AAAAAF980gI=")</f>
        <v>#VALUE!</v>
      </c>
      <c r="D92" t="e">
        <f>AND('Planilla_General_29-11-2012_10_'!I1371,"AAAAAF980gM=")</f>
        <v>#VALUE!</v>
      </c>
      <c r="E92" t="e">
        <f>AND('Planilla_General_29-11-2012_10_'!J1371,"AAAAAF980gQ=")</f>
        <v>#VALUE!</v>
      </c>
      <c r="F92" t="e">
        <f>AND('Planilla_General_29-11-2012_10_'!K1371,"AAAAAF980gU=")</f>
        <v>#VALUE!</v>
      </c>
      <c r="G92" t="e">
        <f>AND('Planilla_General_29-11-2012_10_'!L1371,"AAAAAF980gY=")</f>
        <v>#VALUE!</v>
      </c>
      <c r="H92" t="e">
        <f>AND('Planilla_General_29-11-2012_10_'!M1371,"AAAAAF980gc=")</f>
        <v>#VALUE!</v>
      </c>
      <c r="I92" t="e">
        <f>AND('Planilla_General_29-11-2012_10_'!N1371,"AAAAAF980gg=")</f>
        <v>#VALUE!</v>
      </c>
      <c r="J92" t="e">
        <f>AND('Planilla_General_29-11-2012_10_'!O1371,"AAAAAF980gk=")</f>
        <v>#VALUE!</v>
      </c>
      <c r="K92" t="e">
        <f>AND('Planilla_General_29-11-2012_10_'!P1371,"AAAAAF980go=")</f>
        <v>#VALUE!</v>
      </c>
      <c r="L92" t="str">
        <f>IF('Planilla_General_29-11-2012_10_'!1372:1372,"AAAAAF980gs=",0)</f>
        <v>AAAAAF980gs=</v>
      </c>
      <c r="M92" t="e">
        <f>AND('Planilla_General_29-11-2012_10_'!A1372,"AAAAAF980gw=")</f>
        <v>#VALUE!</v>
      </c>
      <c r="N92" t="e">
        <f>AND('Planilla_General_29-11-2012_10_'!B1372,"AAAAAF980g0=")</f>
        <v>#VALUE!</v>
      </c>
      <c r="O92" t="e">
        <f>AND('Planilla_General_29-11-2012_10_'!C1372,"AAAAAF980g4=")</f>
        <v>#VALUE!</v>
      </c>
      <c r="P92" t="e">
        <f>AND('Planilla_General_29-11-2012_10_'!D1372,"AAAAAF980g8=")</f>
        <v>#VALUE!</v>
      </c>
      <c r="Q92" t="e">
        <f>AND('Planilla_General_29-11-2012_10_'!E1372,"AAAAAF980hA=")</f>
        <v>#VALUE!</v>
      </c>
      <c r="R92" t="e">
        <f>AND('Planilla_General_29-11-2012_10_'!F1372,"AAAAAF980hE=")</f>
        <v>#VALUE!</v>
      </c>
      <c r="S92" t="e">
        <f>AND('Planilla_General_29-11-2012_10_'!G1372,"AAAAAF980hI=")</f>
        <v>#VALUE!</v>
      </c>
      <c r="T92" t="e">
        <f>AND('Planilla_General_29-11-2012_10_'!H1372,"AAAAAF980hM=")</f>
        <v>#VALUE!</v>
      </c>
      <c r="U92" t="e">
        <f>AND('Planilla_General_29-11-2012_10_'!I1372,"AAAAAF980hQ=")</f>
        <v>#VALUE!</v>
      </c>
      <c r="V92" t="e">
        <f>AND('Planilla_General_29-11-2012_10_'!J1372,"AAAAAF980hU=")</f>
        <v>#VALUE!</v>
      </c>
      <c r="W92" t="e">
        <f>AND('Planilla_General_29-11-2012_10_'!K1372,"AAAAAF980hY=")</f>
        <v>#VALUE!</v>
      </c>
      <c r="X92" t="e">
        <f>AND('Planilla_General_29-11-2012_10_'!L1372,"AAAAAF980hc=")</f>
        <v>#VALUE!</v>
      </c>
      <c r="Y92" t="e">
        <f>AND('Planilla_General_29-11-2012_10_'!M1372,"AAAAAF980hg=")</f>
        <v>#VALUE!</v>
      </c>
      <c r="Z92" t="e">
        <f>AND('Planilla_General_29-11-2012_10_'!N1372,"AAAAAF980hk=")</f>
        <v>#VALUE!</v>
      </c>
      <c r="AA92" t="e">
        <f>AND('Planilla_General_29-11-2012_10_'!O1372,"AAAAAF980ho=")</f>
        <v>#VALUE!</v>
      </c>
      <c r="AB92" t="e">
        <f>AND('Planilla_General_29-11-2012_10_'!P1372,"AAAAAF980hs=")</f>
        <v>#VALUE!</v>
      </c>
      <c r="AC92">
        <f>IF('Planilla_General_29-11-2012_10_'!1373:1373,"AAAAAF980hw=",0)</f>
        <v>0</v>
      </c>
      <c r="AD92" t="e">
        <f>AND('Planilla_General_29-11-2012_10_'!A1373,"AAAAAF980h0=")</f>
        <v>#VALUE!</v>
      </c>
      <c r="AE92" t="e">
        <f>AND('Planilla_General_29-11-2012_10_'!B1373,"AAAAAF980h4=")</f>
        <v>#VALUE!</v>
      </c>
      <c r="AF92" t="e">
        <f>AND('Planilla_General_29-11-2012_10_'!C1373,"AAAAAF980h8=")</f>
        <v>#VALUE!</v>
      </c>
      <c r="AG92" t="e">
        <f>AND('Planilla_General_29-11-2012_10_'!D1373,"AAAAAF980iA=")</f>
        <v>#VALUE!</v>
      </c>
      <c r="AH92" t="e">
        <f>AND('Planilla_General_29-11-2012_10_'!E1373,"AAAAAF980iE=")</f>
        <v>#VALUE!</v>
      </c>
      <c r="AI92" t="e">
        <f>AND('Planilla_General_29-11-2012_10_'!F1373,"AAAAAF980iI=")</f>
        <v>#VALUE!</v>
      </c>
      <c r="AJ92" t="e">
        <f>AND('Planilla_General_29-11-2012_10_'!G1373,"AAAAAF980iM=")</f>
        <v>#VALUE!</v>
      </c>
      <c r="AK92" t="e">
        <f>AND('Planilla_General_29-11-2012_10_'!H1373,"AAAAAF980iQ=")</f>
        <v>#VALUE!</v>
      </c>
      <c r="AL92" t="e">
        <f>AND('Planilla_General_29-11-2012_10_'!I1373,"AAAAAF980iU=")</f>
        <v>#VALUE!</v>
      </c>
      <c r="AM92" t="e">
        <f>AND('Planilla_General_29-11-2012_10_'!J1373,"AAAAAF980iY=")</f>
        <v>#VALUE!</v>
      </c>
      <c r="AN92" t="e">
        <f>AND('Planilla_General_29-11-2012_10_'!K1373,"AAAAAF980ic=")</f>
        <v>#VALUE!</v>
      </c>
      <c r="AO92" t="e">
        <f>AND('Planilla_General_29-11-2012_10_'!L1373,"AAAAAF980ig=")</f>
        <v>#VALUE!</v>
      </c>
      <c r="AP92" t="e">
        <f>AND('Planilla_General_29-11-2012_10_'!M1373,"AAAAAF980ik=")</f>
        <v>#VALUE!</v>
      </c>
      <c r="AQ92" t="e">
        <f>AND('Planilla_General_29-11-2012_10_'!N1373,"AAAAAF980io=")</f>
        <v>#VALUE!</v>
      </c>
      <c r="AR92" t="e">
        <f>AND('Planilla_General_29-11-2012_10_'!O1373,"AAAAAF980is=")</f>
        <v>#VALUE!</v>
      </c>
      <c r="AS92" t="e">
        <f>AND('Planilla_General_29-11-2012_10_'!P1373,"AAAAAF980iw=")</f>
        <v>#VALUE!</v>
      </c>
      <c r="AT92">
        <f>IF('Planilla_General_29-11-2012_10_'!1374:1374,"AAAAAF980i0=",0)</f>
        <v>0</v>
      </c>
      <c r="AU92" t="e">
        <f>AND('Planilla_General_29-11-2012_10_'!A1374,"AAAAAF980i4=")</f>
        <v>#VALUE!</v>
      </c>
      <c r="AV92" t="e">
        <f>AND('Planilla_General_29-11-2012_10_'!B1374,"AAAAAF980i8=")</f>
        <v>#VALUE!</v>
      </c>
      <c r="AW92" t="e">
        <f>AND('Planilla_General_29-11-2012_10_'!C1374,"AAAAAF980jA=")</f>
        <v>#VALUE!</v>
      </c>
      <c r="AX92" t="e">
        <f>AND('Planilla_General_29-11-2012_10_'!D1374,"AAAAAF980jE=")</f>
        <v>#VALUE!</v>
      </c>
      <c r="AY92" t="e">
        <f>AND('Planilla_General_29-11-2012_10_'!E1374,"AAAAAF980jI=")</f>
        <v>#VALUE!</v>
      </c>
      <c r="AZ92" t="e">
        <f>AND('Planilla_General_29-11-2012_10_'!F1374,"AAAAAF980jM=")</f>
        <v>#VALUE!</v>
      </c>
      <c r="BA92" t="e">
        <f>AND('Planilla_General_29-11-2012_10_'!G1374,"AAAAAF980jQ=")</f>
        <v>#VALUE!</v>
      </c>
      <c r="BB92" t="e">
        <f>AND('Planilla_General_29-11-2012_10_'!H1374,"AAAAAF980jU=")</f>
        <v>#VALUE!</v>
      </c>
      <c r="BC92" t="e">
        <f>AND('Planilla_General_29-11-2012_10_'!I1374,"AAAAAF980jY=")</f>
        <v>#VALUE!</v>
      </c>
      <c r="BD92" t="e">
        <f>AND('Planilla_General_29-11-2012_10_'!J1374,"AAAAAF980jc=")</f>
        <v>#VALUE!</v>
      </c>
      <c r="BE92" t="e">
        <f>AND('Planilla_General_29-11-2012_10_'!K1374,"AAAAAF980jg=")</f>
        <v>#VALUE!</v>
      </c>
      <c r="BF92" t="e">
        <f>AND('Planilla_General_29-11-2012_10_'!L1374,"AAAAAF980jk=")</f>
        <v>#VALUE!</v>
      </c>
      <c r="BG92" t="e">
        <f>AND('Planilla_General_29-11-2012_10_'!M1374,"AAAAAF980jo=")</f>
        <v>#VALUE!</v>
      </c>
      <c r="BH92" t="e">
        <f>AND('Planilla_General_29-11-2012_10_'!N1374,"AAAAAF980js=")</f>
        <v>#VALUE!</v>
      </c>
      <c r="BI92" t="e">
        <f>AND('Planilla_General_29-11-2012_10_'!O1374,"AAAAAF980jw=")</f>
        <v>#VALUE!</v>
      </c>
      <c r="BJ92" t="e">
        <f>AND('Planilla_General_29-11-2012_10_'!P1374,"AAAAAF980j0=")</f>
        <v>#VALUE!</v>
      </c>
      <c r="BK92">
        <f>IF('Planilla_General_29-11-2012_10_'!1375:1375,"AAAAAF980j4=",0)</f>
        <v>0</v>
      </c>
      <c r="BL92" t="e">
        <f>AND('Planilla_General_29-11-2012_10_'!A1375,"AAAAAF980j8=")</f>
        <v>#VALUE!</v>
      </c>
      <c r="BM92" t="e">
        <f>AND('Planilla_General_29-11-2012_10_'!B1375,"AAAAAF980kA=")</f>
        <v>#VALUE!</v>
      </c>
      <c r="BN92" t="e">
        <f>AND('Planilla_General_29-11-2012_10_'!C1375,"AAAAAF980kE=")</f>
        <v>#VALUE!</v>
      </c>
      <c r="BO92" t="e">
        <f>AND('Planilla_General_29-11-2012_10_'!D1375,"AAAAAF980kI=")</f>
        <v>#VALUE!</v>
      </c>
      <c r="BP92" t="e">
        <f>AND('Planilla_General_29-11-2012_10_'!E1375,"AAAAAF980kM=")</f>
        <v>#VALUE!</v>
      </c>
      <c r="BQ92" t="e">
        <f>AND('Planilla_General_29-11-2012_10_'!F1375,"AAAAAF980kQ=")</f>
        <v>#VALUE!</v>
      </c>
      <c r="BR92" t="e">
        <f>AND('Planilla_General_29-11-2012_10_'!G1375,"AAAAAF980kU=")</f>
        <v>#VALUE!</v>
      </c>
      <c r="BS92" t="e">
        <f>AND('Planilla_General_29-11-2012_10_'!H1375,"AAAAAF980kY=")</f>
        <v>#VALUE!</v>
      </c>
      <c r="BT92" t="e">
        <f>AND('Planilla_General_29-11-2012_10_'!I1375,"AAAAAF980kc=")</f>
        <v>#VALUE!</v>
      </c>
      <c r="BU92" t="e">
        <f>AND('Planilla_General_29-11-2012_10_'!J1375,"AAAAAF980kg=")</f>
        <v>#VALUE!</v>
      </c>
      <c r="BV92" t="e">
        <f>AND('Planilla_General_29-11-2012_10_'!K1375,"AAAAAF980kk=")</f>
        <v>#VALUE!</v>
      </c>
      <c r="BW92" t="e">
        <f>AND('Planilla_General_29-11-2012_10_'!L1375,"AAAAAF980ko=")</f>
        <v>#VALUE!</v>
      </c>
      <c r="BX92" t="e">
        <f>AND('Planilla_General_29-11-2012_10_'!M1375,"AAAAAF980ks=")</f>
        <v>#VALUE!</v>
      </c>
      <c r="BY92" t="e">
        <f>AND('Planilla_General_29-11-2012_10_'!N1375,"AAAAAF980kw=")</f>
        <v>#VALUE!</v>
      </c>
      <c r="BZ92" t="e">
        <f>AND('Planilla_General_29-11-2012_10_'!O1375,"AAAAAF980k0=")</f>
        <v>#VALUE!</v>
      </c>
      <c r="CA92" t="e">
        <f>AND('Planilla_General_29-11-2012_10_'!P1375,"AAAAAF980k4=")</f>
        <v>#VALUE!</v>
      </c>
      <c r="CB92">
        <f>IF('Planilla_General_29-11-2012_10_'!1376:1376,"AAAAAF980k8=",0)</f>
        <v>0</v>
      </c>
      <c r="CC92" t="e">
        <f>AND('Planilla_General_29-11-2012_10_'!A1376,"AAAAAF980lA=")</f>
        <v>#VALUE!</v>
      </c>
      <c r="CD92" t="e">
        <f>AND('Planilla_General_29-11-2012_10_'!B1376,"AAAAAF980lE=")</f>
        <v>#VALUE!</v>
      </c>
      <c r="CE92" t="e">
        <f>AND('Planilla_General_29-11-2012_10_'!C1376,"AAAAAF980lI=")</f>
        <v>#VALUE!</v>
      </c>
      <c r="CF92" t="e">
        <f>AND('Planilla_General_29-11-2012_10_'!D1376,"AAAAAF980lM=")</f>
        <v>#VALUE!</v>
      </c>
      <c r="CG92" t="e">
        <f>AND('Planilla_General_29-11-2012_10_'!E1376,"AAAAAF980lQ=")</f>
        <v>#VALUE!</v>
      </c>
      <c r="CH92" t="e">
        <f>AND('Planilla_General_29-11-2012_10_'!F1376,"AAAAAF980lU=")</f>
        <v>#VALUE!</v>
      </c>
      <c r="CI92" t="e">
        <f>AND('Planilla_General_29-11-2012_10_'!G1376,"AAAAAF980lY=")</f>
        <v>#VALUE!</v>
      </c>
      <c r="CJ92" t="e">
        <f>AND('Planilla_General_29-11-2012_10_'!H1376,"AAAAAF980lc=")</f>
        <v>#VALUE!</v>
      </c>
      <c r="CK92" t="e">
        <f>AND('Planilla_General_29-11-2012_10_'!I1376,"AAAAAF980lg=")</f>
        <v>#VALUE!</v>
      </c>
      <c r="CL92" t="e">
        <f>AND('Planilla_General_29-11-2012_10_'!J1376,"AAAAAF980lk=")</f>
        <v>#VALUE!</v>
      </c>
      <c r="CM92" t="e">
        <f>AND('Planilla_General_29-11-2012_10_'!K1376,"AAAAAF980lo=")</f>
        <v>#VALUE!</v>
      </c>
      <c r="CN92" t="e">
        <f>AND('Planilla_General_29-11-2012_10_'!L1376,"AAAAAF980ls=")</f>
        <v>#VALUE!</v>
      </c>
      <c r="CO92" t="e">
        <f>AND('Planilla_General_29-11-2012_10_'!M1376,"AAAAAF980lw=")</f>
        <v>#VALUE!</v>
      </c>
      <c r="CP92" t="e">
        <f>AND('Planilla_General_29-11-2012_10_'!N1376,"AAAAAF980l0=")</f>
        <v>#VALUE!</v>
      </c>
      <c r="CQ92" t="e">
        <f>AND('Planilla_General_29-11-2012_10_'!O1376,"AAAAAF980l4=")</f>
        <v>#VALUE!</v>
      </c>
      <c r="CR92" t="e">
        <f>AND('Planilla_General_29-11-2012_10_'!P1376,"AAAAAF980l8=")</f>
        <v>#VALUE!</v>
      </c>
      <c r="CS92">
        <f>IF('Planilla_General_29-11-2012_10_'!1377:1377,"AAAAAF980mA=",0)</f>
        <v>0</v>
      </c>
      <c r="CT92" t="e">
        <f>AND('Planilla_General_29-11-2012_10_'!A1377,"AAAAAF980mE=")</f>
        <v>#VALUE!</v>
      </c>
      <c r="CU92" t="e">
        <f>AND('Planilla_General_29-11-2012_10_'!B1377,"AAAAAF980mI=")</f>
        <v>#VALUE!</v>
      </c>
      <c r="CV92" t="e">
        <f>AND('Planilla_General_29-11-2012_10_'!C1377,"AAAAAF980mM=")</f>
        <v>#VALUE!</v>
      </c>
      <c r="CW92" t="e">
        <f>AND('Planilla_General_29-11-2012_10_'!D1377,"AAAAAF980mQ=")</f>
        <v>#VALUE!</v>
      </c>
      <c r="CX92" t="e">
        <f>AND('Planilla_General_29-11-2012_10_'!E1377,"AAAAAF980mU=")</f>
        <v>#VALUE!</v>
      </c>
      <c r="CY92" t="e">
        <f>AND('Planilla_General_29-11-2012_10_'!F1377,"AAAAAF980mY=")</f>
        <v>#VALUE!</v>
      </c>
      <c r="CZ92" t="e">
        <f>AND('Planilla_General_29-11-2012_10_'!G1377,"AAAAAF980mc=")</f>
        <v>#VALUE!</v>
      </c>
      <c r="DA92" t="e">
        <f>AND('Planilla_General_29-11-2012_10_'!H1377,"AAAAAF980mg=")</f>
        <v>#VALUE!</v>
      </c>
      <c r="DB92" t="e">
        <f>AND('Planilla_General_29-11-2012_10_'!I1377,"AAAAAF980mk=")</f>
        <v>#VALUE!</v>
      </c>
      <c r="DC92" t="e">
        <f>AND('Planilla_General_29-11-2012_10_'!J1377,"AAAAAF980mo=")</f>
        <v>#VALUE!</v>
      </c>
      <c r="DD92" t="e">
        <f>AND('Planilla_General_29-11-2012_10_'!K1377,"AAAAAF980ms=")</f>
        <v>#VALUE!</v>
      </c>
      <c r="DE92" t="e">
        <f>AND('Planilla_General_29-11-2012_10_'!L1377,"AAAAAF980mw=")</f>
        <v>#VALUE!</v>
      </c>
      <c r="DF92" t="e">
        <f>AND('Planilla_General_29-11-2012_10_'!M1377,"AAAAAF980m0=")</f>
        <v>#VALUE!</v>
      </c>
      <c r="DG92" t="e">
        <f>AND('Planilla_General_29-11-2012_10_'!N1377,"AAAAAF980m4=")</f>
        <v>#VALUE!</v>
      </c>
      <c r="DH92" t="e">
        <f>AND('Planilla_General_29-11-2012_10_'!O1377,"AAAAAF980m8=")</f>
        <v>#VALUE!</v>
      </c>
      <c r="DI92" t="e">
        <f>AND('Planilla_General_29-11-2012_10_'!P1377,"AAAAAF980nA=")</f>
        <v>#VALUE!</v>
      </c>
      <c r="DJ92">
        <f>IF('Planilla_General_29-11-2012_10_'!1378:1378,"AAAAAF980nE=",0)</f>
        <v>0</v>
      </c>
      <c r="DK92" t="e">
        <f>AND('Planilla_General_29-11-2012_10_'!A1378,"AAAAAF980nI=")</f>
        <v>#VALUE!</v>
      </c>
      <c r="DL92" t="e">
        <f>AND('Planilla_General_29-11-2012_10_'!B1378,"AAAAAF980nM=")</f>
        <v>#VALUE!</v>
      </c>
      <c r="DM92" t="e">
        <f>AND('Planilla_General_29-11-2012_10_'!C1378,"AAAAAF980nQ=")</f>
        <v>#VALUE!</v>
      </c>
      <c r="DN92" t="e">
        <f>AND('Planilla_General_29-11-2012_10_'!D1378,"AAAAAF980nU=")</f>
        <v>#VALUE!</v>
      </c>
      <c r="DO92" t="e">
        <f>AND('Planilla_General_29-11-2012_10_'!E1378,"AAAAAF980nY=")</f>
        <v>#VALUE!</v>
      </c>
      <c r="DP92" t="e">
        <f>AND('Planilla_General_29-11-2012_10_'!F1378,"AAAAAF980nc=")</f>
        <v>#VALUE!</v>
      </c>
      <c r="DQ92" t="e">
        <f>AND('Planilla_General_29-11-2012_10_'!G1378,"AAAAAF980ng=")</f>
        <v>#VALUE!</v>
      </c>
      <c r="DR92" t="e">
        <f>AND('Planilla_General_29-11-2012_10_'!H1378,"AAAAAF980nk=")</f>
        <v>#VALUE!</v>
      </c>
      <c r="DS92" t="e">
        <f>AND('Planilla_General_29-11-2012_10_'!I1378,"AAAAAF980no=")</f>
        <v>#VALUE!</v>
      </c>
      <c r="DT92" t="e">
        <f>AND('Planilla_General_29-11-2012_10_'!J1378,"AAAAAF980ns=")</f>
        <v>#VALUE!</v>
      </c>
      <c r="DU92" t="e">
        <f>AND('Planilla_General_29-11-2012_10_'!K1378,"AAAAAF980nw=")</f>
        <v>#VALUE!</v>
      </c>
      <c r="DV92" t="e">
        <f>AND('Planilla_General_29-11-2012_10_'!L1378,"AAAAAF980n0=")</f>
        <v>#VALUE!</v>
      </c>
      <c r="DW92" t="e">
        <f>AND('Planilla_General_29-11-2012_10_'!M1378,"AAAAAF980n4=")</f>
        <v>#VALUE!</v>
      </c>
      <c r="DX92" t="e">
        <f>AND('Planilla_General_29-11-2012_10_'!N1378,"AAAAAF980n8=")</f>
        <v>#VALUE!</v>
      </c>
      <c r="DY92" t="e">
        <f>AND('Planilla_General_29-11-2012_10_'!O1378,"AAAAAF980oA=")</f>
        <v>#VALUE!</v>
      </c>
      <c r="DZ92" t="e">
        <f>AND('Planilla_General_29-11-2012_10_'!P1378,"AAAAAF980oE=")</f>
        <v>#VALUE!</v>
      </c>
      <c r="EA92">
        <f>IF('Planilla_General_29-11-2012_10_'!1379:1379,"AAAAAF980oI=",0)</f>
        <v>0</v>
      </c>
      <c r="EB92" t="e">
        <f>AND('Planilla_General_29-11-2012_10_'!A1379,"AAAAAF980oM=")</f>
        <v>#VALUE!</v>
      </c>
      <c r="EC92" t="e">
        <f>AND('Planilla_General_29-11-2012_10_'!B1379,"AAAAAF980oQ=")</f>
        <v>#VALUE!</v>
      </c>
      <c r="ED92" t="e">
        <f>AND('Planilla_General_29-11-2012_10_'!C1379,"AAAAAF980oU=")</f>
        <v>#VALUE!</v>
      </c>
      <c r="EE92" t="e">
        <f>AND('Planilla_General_29-11-2012_10_'!D1379,"AAAAAF980oY=")</f>
        <v>#VALUE!</v>
      </c>
      <c r="EF92" t="e">
        <f>AND('Planilla_General_29-11-2012_10_'!E1379,"AAAAAF980oc=")</f>
        <v>#VALUE!</v>
      </c>
      <c r="EG92" t="e">
        <f>AND('Planilla_General_29-11-2012_10_'!F1379,"AAAAAF980og=")</f>
        <v>#VALUE!</v>
      </c>
      <c r="EH92" t="e">
        <f>AND('Planilla_General_29-11-2012_10_'!G1379,"AAAAAF980ok=")</f>
        <v>#VALUE!</v>
      </c>
      <c r="EI92" t="e">
        <f>AND('Planilla_General_29-11-2012_10_'!H1379,"AAAAAF980oo=")</f>
        <v>#VALUE!</v>
      </c>
      <c r="EJ92" t="e">
        <f>AND('Planilla_General_29-11-2012_10_'!I1379,"AAAAAF980os=")</f>
        <v>#VALUE!</v>
      </c>
      <c r="EK92" t="e">
        <f>AND('Planilla_General_29-11-2012_10_'!J1379,"AAAAAF980ow=")</f>
        <v>#VALUE!</v>
      </c>
      <c r="EL92" t="e">
        <f>AND('Planilla_General_29-11-2012_10_'!K1379,"AAAAAF980o0=")</f>
        <v>#VALUE!</v>
      </c>
      <c r="EM92" t="e">
        <f>AND('Planilla_General_29-11-2012_10_'!L1379,"AAAAAF980o4=")</f>
        <v>#VALUE!</v>
      </c>
      <c r="EN92" t="e">
        <f>AND('Planilla_General_29-11-2012_10_'!M1379,"AAAAAF980o8=")</f>
        <v>#VALUE!</v>
      </c>
      <c r="EO92" t="e">
        <f>AND('Planilla_General_29-11-2012_10_'!N1379,"AAAAAF980pA=")</f>
        <v>#VALUE!</v>
      </c>
      <c r="EP92" t="e">
        <f>AND('Planilla_General_29-11-2012_10_'!O1379,"AAAAAF980pE=")</f>
        <v>#VALUE!</v>
      </c>
      <c r="EQ92" t="e">
        <f>AND('Planilla_General_29-11-2012_10_'!P1379,"AAAAAF980pI=")</f>
        <v>#VALUE!</v>
      </c>
      <c r="ER92">
        <f>IF('Planilla_General_29-11-2012_10_'!1380:1380,"AAAAAF980pM=",0)</f>
        <v>0</v>
      </c>
      <c r="ES92" t="e">
        <f>AND('Planilla_General_29-11-2012_10_'!A1380,"AAAAAF980pQ=")</f>
        <v>#VALUE!</v>
      </c>
      <c r="ET92" t="e">
        <f>AND('Planilla_General_29-11-2012_10_'!B1380,"AAAAAF980pU=")</f>
        <v>#VALUE!</v>
      </c>
      <c r="EU92" t="e">
        <f>AND('Planilla_General_29-11-2012_10_'!C1380,"AAAAAF980pY=")</f>
        <v>#VALUE!</v>
      </c>
      <c r="EV92" t="e">
        <f>AND('Planilla_General_29-11-2012_10_'!D1380,"AAAAAF980pc=")</f>
        <v>#VALUE!</v>
      </c>
      <c r="EW92" t="e">
        <f>AND('Planilla_General_29-11-2012_10_'!E1380,"AAAAAF980pg=")</f>
        <v>#VALUE!</v>
      </c>
      <c r="EX92" t="e">
        <f>AND('Planilla_General_29-11-2012_10_'!F1380,"AAAAAF980pk=")</f>
        <v>#VALUE!</v>
      </c>
      <c r="EY92" t="e">
        <f>AND('Planilla_General_29-11-2012_10_'!G1380,"AAAAAF980po=")</f>
        <v>#VALUE!</v>
      </c>
      <c r="EZ92" t="e">
        <f>AND('Planilla_General_29-11-2012_10_'!H1380,"AAAAAF980ps=")</f>
        <v>#VALUE!</v>
      </c>
      <c r="FA92" t="e">
        <f>AND('Planilla_General_29-11-2012_10_'!I1380,"AAAAAF980pw=")</f>
        <v>#VALUE!</v>
      </c>
      <c r="FB92" t="e">
        <f>AND('Planilla_General_29-11-2012_10_'!J1380,"AAAAAF980p0=")</f>
        <v>#VALUE!</v>
      </c>
      <c r="FC92" t="e">
        <f>AND('Planilla_General_29-11-2012_10_'!K1380,"AAAAAF980p4=")</f>
        <v>#VALUE!</v>
      </c>
      <c r="FD92" t="e">
        <f>AND('Planilla_General_29-11-2012_10_'!L1380,"AAAAAF980p8=")</f>
        <v>#VALUE!</v>
      </c>
      <c r="FE92" t="e">
        <f>AND('Planilla_General_29-11-2012_10_'!M1380,"AAAAAF980qA=")</f>
        <v>#VALUE!</v>
      </c>
      <c r="FF92" t="e">
        <f>AND('Planilla_General_29-11-2012_10_'!N1380,"AAAAAF980qE=")</f>
        <v>#VALUE!</v>
      </c>
      <c r="FG92" t="e">
        <f>AND('Planilla_General_29-11-2012_10_'!O1380,"AAAAAF980qI=")</f>
        <v>#VALUE!</v>
      </c>
      <c r="FH92" t="e">
        <f>AND('Planilla_General_29-11-2012_10_'!P1380,"AAAAAF980qM=")</f>
        <v>#VALUE!</v>
      </c>
      <c r="FI92">
        <f>IF('Planilla_General_29-11-2012_10_'!1381:1381,"AAAAAF980qQ=",0)</f>
        <v>0</v>
      </c>
      <c r="FJ92" t="e">
        <f>AND('Planilla_General_29-11-2012_10_'!A1381,"AAAAAF980qU=")</f>
        <v>#VALUE!</v>
      </c>
      <c r="FK92" t="e">
        <f>AND('Planilla_General_29-11-2012_10_'!B1381,"AAAAAF980qY=")</f>
        <v>#VALUE!</v>
      </c>
      <c r="FL92" t="e">
        <f>AND('Planilla_General_29-11-2012_10_'!C1381,"AAAAAF980qc=")</f>
        <v>#VALUE!</v>
      </c>
      <c r="FM92" t="e">
        <f>AND('Planilla_General_29-11-2012_10_'!D1381,"AAAAAF980qg=")</f>
        <v>#VALUE!</v>
      </c>
      <c r="FN92" t="e">
        <f>AND('Planilla_General_29-11-2012_10_'!E1381,"AAAAAF980qk=")</f>
        <v>#VALUE!</v>
      </c>
      <c r="FO92" t="e">
        <f>AND('Planilla_General_29-11-2012_10_'!F1381,"AAAAAF980qo=")</f>
        <v>#VALUE!</v>
      </c>
      <c r="FP92" t="e">
        <f>AND('Planilla_General_29-11-2012_10_'!G1381,"AAAAAF980qs=")</f>
        <v>#VALUE!</v>
      </c>
      <c r="FQ92" t="e">
        <f>AND('Planilla_General_29-11-2012_10_'!H1381,"AAAAAF980qw=")</f>
        <v>#VALUE!</v>
      </c>
      <c r="FR92" t="e">
        <f>AND('Planilla_General_29-11-2012_10_'!I1381,"AAAAAF980q0=")</f>
        <v>#VALUE!</v>
      </c>
      <c r="FS92" t="e">
        <f>AND('Planilla_General_29-11-2012_10_'!J1381,"AAAAAF980q4=")</f>
        <v>#VALUE!</v>
      </c>
      <c r="FT92" t="e">
        <f>AND('Planilla_General_29-11-2012_10_'!K1381,"AAAAAF980q8=")</f>
        <v>#VALUE!</v>
      </c>
      <c r="FU92" t="e">
        <f>AND('Planilla_General_29-11-2012_10_'!L1381,"AAAAAF980rA=")</f>
        <v>#VALUE!</v>
      </c>
      <c r="FV92" t="e">
        <f>AND('Planilla_General_29-11-2012_10_'!M1381,"AAAAAF980rE=")</f>
        <v>#VALUE!</v>
      </c>
      <c r="FW92" t="e">
        <f>AND('Planilla_General_29-11-2012_10_'!N1381,"AAAAAF980rI=")</f>
        <v>#VALUE!</v>
      </c>
      <c r="FX92" t="e">
        <f>AND('Planilla_General_29-11-2012_10_'!O1381,"AAAAAF980rM=")</f>
        <v>#VALUE!</v>
      </c>
      <c r="FY92" t="e">
        <f>AND('Planilla_General_29-11-2012_10_'!P1381,"AAAAAF980rQ=")</f>
        <v>#VALUE!</v>
      </c>
      <c r="FZ92">
        <f>IF('Planilla_General_29-11-2012_10_'!1382:1382,"AAAAAF980rU=",0)</f>
        <v>0</v>
      </c>
      <c r="GA92" t="e">
        <f>AND('Planilla_General_29-11-2012_10_'!A1382,"AAAAAF980rY=")</f>
        <v>#VALUE!</v>
      </c>
      <c r="GB92" t="e">
        <f>AND('Planilla_General_29-11-2012_10_'!B1382,"AAAAAF980rc=")</f>
        <v>#VALUE!</v>
      </c>
      <c r="GC92" t="e">
        <f>AND('Planilla_General_29-11-2012_10_'!C1382,"AAAAAF980rg=")</f>
        <v>#VALUE!</v>
      </c>
      <c r="GD92" t="e">
        <f>AND('Planilla_General_29-11-2012_10_'!D1382,"AAAAAF980rk=")</f>
        <v>#VALUE!</v>
      </c>
      <c r="GE92" t="e">
        <f>AND('Planilla_General_29-11-2012_10_'!E1382,"AAAAAF980ro=")</f>
        <v>#VALUE!</v>
      </c>
      <c r="GF92" t="e">
        <f>AND('Planilla_General_29-11-2012_10_'!F1382,"AAAAAF980rs=")</f>
        <v>#VALUE!</v>
      </c>
      <c r="GG92" t="e">
        <f>AND('Planilla_General_29-11-2012_10_'!G1382,"AAAAAF980rw=")</f>
        <v>#VALUE!</v>
      </c>
      <c r="GH92" t="e">
        <f>AND('Planilla_General_29-11-2012_10_'!H1382,"AAAAAF980r0=")</f>
        <v>#VALUE!</v>
      </c>
      <c r="GI92" t="e">
        <f>AND('Planilla_General_29-11-2012_10_'!I1382,"AAAAAF980r4=")</f>
        <v>#VALUE!</v>
      </c>
      <c r="GJ92" t="e">
        <f>AND('Planilla_General_29-11-2012_10_'!J1382,"AAAAAF980r8=")</f>
        <v>#VALUE!</v>
      </c>
      <c r="GK92" t="e">
        <f>AND('Planilla_General_29-11-2012_10_'!K1382,"AAAAAF980sA=")</f>
        <v>#VALUE!</v>
      </c>
      <c r="GL92" t="e">
        <f>AND('Planilla_General_29-11-2012_10_'!L1382,"AAAAAF980sE=")</f>
        <v>#VALUE!</v>
      </c>
      <c r="GM92" t="e">
        <f>AND('Planilla_General_29-11-2012_10_'!M1382,"AAAAAF980sI=")</f>
        <v>#VALUE!</v>
      </c>
      <c r="GN92" t="e">
        <f>AND('Planilla_General_29-11-2012_10_'!N1382,"AAAAAF980sM=")</f>
        <v>#VALUE!</v>
      </c>
      <c r="GO92" t="e">
        <f>AND('Planilla_General_29-11-2012_10_'!O1382,"AAAAAF980sQ=")</f>
        <v>#VALUE!</v>
      </c>
      <c r="GP92" t="e">
        <f>AND('Planilla_General_29-11-2012_10_'!P1382,"AAAAAF980sU=")</f>
        <v>#VALUE!</v>
      </c>
      <c r="GQ92">
        <f>IF('Planilla_General_29-11-2012_10_'!1383:1383,"AAAAAF980sY=",0)</f>
        <v>0</v>
      </c>
      <c r="GR92" t="e">
        <f>AND('Planilla_General_29-11-2012_10_'!A1383,"AAAAAF980sc=")</f>
        <v>#VALUE!</v>
      </c>
      <c r="GS92" t="e">
        <f>AND('Planilla_General_29-11-2012_10_'!B1383,"AAAAAF980sg=")</f>
        <v>#VALUE!</v>
      </c>
      <c r="GT92" t="e">
        <f>AND('Planilla_General_29-11-2012_10_'!C1383,"AAAAAF980sk=")</f>
        <v>#VALUE!</v>
      </c>
      <c r="GU92" t="e">
        <f>AND('Planilla_General_29-11-2012_10_'!D1383,"AAAAAF980so=")</f>
        <v>#VALUE!</v>
      </c>
      <c r="GV92" t="e">
        <f>AND('Planilla_General_29-11-2012_10_'!E1383,"AAAAAF980ss=")</f>
        <v>#VALUE!</v>
      </c>
      <c r="GW92" t="e">
        <f>AND('Planilla_General_29-11-2012_10_'!F1383,"AAAAAF980sw=")</f>
        <v>#VALUE!</v>
      </c>
      <c r="GX92" t="e">
        <f>AND('Planilla_General_29-11-2012_10_'!G1383,"AAAAAF980s0=")</f>
        <v>#VALUE!</v>
      </c>
      <c r="GY92" t="e">
        <f>AND('Planilla_General_29-11-2012_10_'!H1383,"AAAAAF980s4=")</f>
        <v>#VALUE!</v>
      </c>
      <c r="GZ92" t="e">
        <f>AND('Planilla_General_29-11-2012_10_'!I1383,"AAAAAF980s8=")</f>
        <v>#VALUE!</v>
      </c>
      <c r="HA92" t="e">
        <f>AND('Planilla_General_29-11-2012_10_'!J1383,"AAAAAF980tA=")</f>
        <v>#VALUE!</v>
      </c>
      <c r="HB92" t="e">
        <f>AND('Planilla_General_29-11-2012_10_'!K1383,"AAAAAF980tE=")</f>
        <v>#VALUE!</v>
      </c>
      <c r="HC92" t="e">
        <f>AND('Planilla_General_29-11-2012_10_'!L1383,"AAAAAF980tI=")</f>
        <v>#VALUE!</v>
      </c>
      <c r="HD92" t="e">
        <f>AND('Planilla_General_29-11-2012_10_'!M1383,"AAAAAF980tM=")</f>
        <v>#VALUE!</v>
      </c>
      <c r="HE92" t="e">
        <f>AND('Planilla_General_29-11-2012_10_'!N1383,"AAAAAF980tQ=")</f>
        <v>#VALUE!</v>
      </c>
      <c r="HF92" t="e">
        <f>AND('Planilla_General_29-11-2012_10_'!O1383,"AAAAAF980tU=")</f>
        <v>#VALUE!</v>
      </c>
      <c r="HG92" t="e">
        <f>AND('Planilla_General_29-11-2012_10_'!P1383,"AAAAAF980tY=")</f>
        <v>#VALUE!</v>
      </c>
      <c r="HH92">
        <f>IF('Planilla_General_29-11-2012_10_'!1384:1384,"AAAAAF980tc=",0)</f>
        <v>0</v>
      </c>
      <c r="HI92" t="e">
        <f>AND('Planilla_General_29-11-2012_10_'!A1384,"AAAAAF980tg=")</f>
        <v>#VALUE!</v>
      </c>
      <c r="HJ92" t="e">
        <f>AND('Planilla_General_29-11-2012_10_'!B1384,"AAAAAF980tk=")</f>
        <v>#VALUE!</v>
      </c>
      <c r="HK92" t="e">
        <f>AND('Planilla_General_29-11-2012_10_'!C1384,"AAAAAF980to=")</f>
        <v>#VALUE!</v>
      </c>
      <c r="HL92" t="e">
        <f>AND('Planilla_General_29-11-2012_10_'!D1384,"AAAAAF980ts=")</f>
        <v>#VALUE!</v>
      </c>
      <c r="HM92" t="e">
        <f>AND('Planilla_General_29-11-2012_10_'!E1384,"AAAAAF980tw=")</f>
        <v>#VALUE!</v>
      </c>
      <c r="HN92" t="e">
        <f>AND('Planilla_General_29-11-2012_10_'!F1384,"AAAAAF980t0=")</f>
        <v>#VALUE!</v>
      </c>
      <c r="HO92" t="e">
        <f>AND('Planilla_General_29-11-2012_10_'!G1384,"AAAAAF980t4=")</f>
        <v>#VALUE!</v>
      </c>
      <c r="HP92" t="e">
        <f>AND('Planilla_General_29-11-2012_10_'!H1384,"AAAAAF980t8=")</f>
        <v>#VALUE!</v>
      </c>
      <c r="HQ92" t="e">
        <f>AND('Planilla_General_29-11-2012_10_'!I1384,"AAAAAF980uA=")</f>
        <v>#VALUE!</v>
      </c>
      <c r="HR92" t="e">
        <f>AND('Planilla_General_29-11-2012_10_'!J1384,"AAAAAF980uE=")</f>
        <v>#VALUE!</v>
      </c>
      <c r="HS92" t="e">
        <f>AND('Planilla_General_29-11-2012_10_'!K1384,"AAAAAF980uI=")</f>
        <v>#VALUE!</v>
      </c>
      <c r="HT92" t="e">
        <f>AND('Planilla_General_29-11-2012_10_'!L1384,"AAAAAF980uM=")</f>
        <v>#VALUE!</v>
      </c>
      <c r="HU92" t="e">
        <f>AND('Planilla_General_29-11-2012_10_'!M1384,"AAAAAF980uQ=")</f>
        <v>#VALUE!</v>
      </c>
      <c r="HV92" t="e">
        <f>AND('Planilla_General_29-11-2012_10_'!N1384,"AAAAAF980uU=")</f>
        <v>#VALUE!</v>
      </c>
      <c r="HW92" t="e">
        <f>AND('Planilla_General_29-11-2012_10_'!O1384,"AAAAAF980uY=")</f>
        <v>#VALUE!</v>
      </c>
      <c r="HX92" t="e">
        <f>AND('Planilla_General_29-11-2012_10_'!P1384,"AAAAAF980uc=")</f>
        <v>#VALUE!</v>
      </c>
      <c r="HY92">
        <f>IF('Planilla_General_29-11-2012_10_'!1385:1385,"AAAAAF980ug=",0)</f>
        <v>0</v>
      </c>
      <c r="HZ92" t="e">
        <f>AND('Planilla_General_29-11-2012_10_'!A1385,"AAAAAF980uk=")</f>
        <v>#VALUE!</v>
      </c>
      <c r="IA92" t="e">
        <f>AND('Planilla_General_29-11-2012_10_'!B1385,"AAAAAF980uo=")</f>
        <v>#VALUE!</v>
      </c>
      <c r="IB92" t="e">
        <f>AND('Planilla_General_29-11-2012_10_'!C1385,"AAAAAF980us=")</f>
        <v>#VALUE!</v>
      </c>
      <c r="IC92" t="e">
        <f>AND('Planilla_General_29-11-2012_10_'!D1385,"AAAAAF980uw=")</f>
        <v>#VALUE!</v>
      </c>
      <c r="ID92" t="e">
        <f>AND('Planilla_General_29-11-2012_10_'!E1385,"AAAAAF980u0=")</f>
        <v>#VALUE!</v>
      </c>
      <c r="IE92" t="e">
        <f>AND('Planilla_General_29-11-2012_10_'!F1385,"AAAAAF980u4=")</f>
        <v>#VALUE!</v>
      </c>
      <c r="IF92" t="e">
        <f>AND('Planilla_General_29-11-2012_10_'!G1385,"AAAAAF980u8=")</f>
        <v>#VALUE!</v>
      </c>
      <c r="IG92" t="e">
        <f>AND('Planilla_General_29-11-2012_10_'!H1385,"AAAAAF980vA=")</f>
        <v>#VALUE!</v>
      </c>
      <c r="IH92" t="e">
        <f>AND('Planilla_General_29-11-2012_10_'!I1385,"AAAAAF980vE=")</f>
        <v>#VALUE!</v>
      </c>
      <c r="II92" t="e">
        <f>AND('Planilla_General_29-11-2012_10_'!J1385,"AAAAAF980vI=")</f>
        <v>#VALUE!</v>
      </c>
      <c r="IJ92" t="e">
        <f>AND('Planilla_General_29-11-2012_10_'!K1385,"AAAAAF980vM=")</f>
        <v>#VALUE!</v>
      </c>
      <c r="IK92" t="e">
        <f>AND('Planilla_General_29-11-2012_10_'!L1385,"AAAAAF980vQ=")</f>
        <v>#VALUE!</v>
      </c>
      <c r="IL92" t="e">
        <f>AND('Planilla_General_29-11-2012_10_'!M1385,"AAAAAF980vU=")</f>
        <v>#VALUE!</v>
      </c>
      <c r="IM92" t="e">
        <f>AND('Planilla_General_29-11-2012_10_'!N1385,"AAAAAF980vY=")</f>
        <v>#VALUE!</v>
      </c>
      <c r="IN92" t="e">
        <f>AND('Planilla_General_29-11-2012_10_'!O1385,"AAAAAF980vc=")</f>
        <v>#VALUE!</v>
      </c>
      <c r="IO92" t="e">
        <f>AND('Planilla_General_29-11-2012_10_'!P1385,"AAAAAF980vg=")</f>
        <v>#VALUE!</v>
      </c>
      <c r="IP92">
        <f>IF('Planilla_General_29-11-2012_10_'!1386:1386,"AAAAAF980vk=",0)</f>
        <v>0</v>
      </c>
      <c r="IQ92" t="e">
        <f>AND('Planilla_General_29-11-2012_10_'!A1386,"AAAAAF980vo=")</f>
        <v>#VALUE!</v>
      </c>
      <c r="IR92" t="e">
        <f>AND('Planilla_General_29-11-2012_10_'!B1386,"AAAAAF980vs=")</f>
        <v>#VALUE!</v>
      </c>
      <c r="IS92" t="e">
        <f>AND('Planilla_General_29-11-2012_10_'!C1386,"AAAAAF980vw=")</f>
        <v>#VALUE!</v>
      </c>
      <c r="IT92" t="e">
        <f>AND('Planilla_General_29-11-2012_10_'!D1386,"AAAAAF980v0=")</f>
        <v>#VALUE!</v>
      </c>
      <c r="IU92" t="e">
        <f>AND('Planilla_General_29-11-2012_10_'!E1386,"AAAAAF980v4=")</f>
        <v>#VALUE!</v>
      </c>
      <c r="IV92" t="e">
        <f>AND('Planilla_General_29-11-2012_10_'!F1386,"AAAAAF980v8=")</f>
        <v>#VALUE!</v>
      </c>
    </row>
    <row r="93" spans="1:256" x14ac:dyDescent="0.25">
      <c r="A93" t="e">
        <f>AND('Planilla_General_29-11-2012_10_'!G1386,"AAAAAB/+7QA=")</f>
        <v>#VALUE!</v>
      </c>
      <c r="B93" t="e">
        <f>AND('Planilla_General_29-11-2012_10_'!H1386,"AAAAAB/+7QE=")</f>
        <v>#VALUE!</v>
      </c>
      <c r="C93" t="e">
        <f>AND('Planilla_General_29-11-2012_10_'!I1386,"AAAAAB/+7QI=")</f>
        <v>#VALUE!</v>
      </c>
      <c r="D93" t="e">
        <f>AND('Planilla_General_29-11-2012_10_'!J1386,"AAAAAB/+7QM=")</f>
        <v>#VALUE!</v>
      </c>
      <c r="E93" t="e">
        <f>AND('Planilla_General_29-11-2012_10_'!K1386,"AAAAAB/+7QQ=")</f>
        <v>#VALUE!</v>
      </c>
      <c r="F93" t="e">
        <f>AND('Planilla_General_29-11-2012_10_'!L1386,"AAAAAB/+7QU=")</f>
        <v>#VALUE!</v>
      </c>
      <c r="G93" t="e">
        <f>AND('Planilla_General_29-11-2012_10_'!M1386,"AAAAAB/+7QY=")</f>
        <v>#VALUE!</v>
      </c>
      <c r="H93" t="e">
        <f>AND('Planilla_General_29-11-2012_10_'!N1386,"AAAAAB/+7Qc=")</f>
        <v>#VALUE!</v>
      </c>
      <c r="I93" t="e">
        <f>AND('Planilla_General_29-11-2012_10_'!O1386,"AAAAAB/+7Qg=")</f>
        <v>#VALUE!</v>
      </c>
      <c r="J93" t="e">
        <f>AND('Planilla_General_29-11-2012_10_'!P1386,"AAAAAB/+7Qk=")</f>
        <v>#VALUE!</v>
      </c>
      <c r="K93" t="str">
        <f>IF('Planilla_General_29-11-2012_10_'!1387:1387,"AAAAAB/+7Qo=",0)</f>
        <v>AAAAAB/+7Qo=</v>
      </c>
      <c r="L93" t="e">
        <f>AND('Planilla_General_29-11-2012_10_'!A1387,"AAAAAB/+7Qs=")</f>
        <v>#VALUE!</v>
      </c>
      <c r="M93" t="e">
        <f>AND('Planilla_General_29-11-2012_10_'!B1387,"AAAAAB/+7Qw=")</f>
        <v>#VALUE!</v>
      </c>
      <c r="N93" t="e">
        <f>AND('Planilla_General_29-11-2012_10_'!C1387,"AAAAAB/+7Q0=")</f>
        <v>#VALUE!</v>
      </c>
      <c r="O93" t="e">
        <f>AND('Planilla_General_29-11-2012_10_'!D1387,"AAAAAB/+7Q4=")</f>
        <v>#VALUE!</v>
      </c>
      <c r="P93" t="e">
        <f>AND('Planilla_General_29-11-2012_10_'!E1387,"AAAAAB/+7Q8=")</f>
        <v>#VALUE!</v>
      </c>
      <c r="Q93" t="e">
        <f>AND('Planilla_General_29-11-2012_10_'!F1387,"AAAAAB/+7RA=")</f>
        <v>#VALUE!</v>
      </c>
      <c r="R93" t="e">
        <f>AND('Planilla_General_29-11-2012_10_'!G1387,"AAAAAB/+7RE=")</f>
        <v>#VALUE!</v>
      </c>
      <c r="S93" t="e">
        <f>AND('Planilla_General_29-11-2012_10_'!H1387,"AAAAAB/+7RI=")</f>
        <v>#VALUE!</v>
      </c>
      <c r="T93" t="e">
        <f>AND('Planilla_General_29-11-2012_10_'!I1387,"AAAAAB/+7RM=")</f>
        <v>#VALUE!</v>
      </c>
      <c r="U93" t="e">
        <f>AND('Planilla_General_29-11-2012_10_'!J1387,"AAAAAB/+7RQ=")</f>
        <v>#VALUE!</v>
      </c>
      <c r="V93" t="e">
        <f>AND('Planilla_General_29-11-2012_10_'!K1387,"AAAAAB/+7RU=")</f>
        <v>#VALUE!</v>
      </c>
      <c r="W93" t="e">
        <f>AND('Planilla_General_29-11-2012_10_'!L1387,"AAAAAB/+7RY=")</f>
        <v>#VALUE!</v>
      </c>
      <c r="X93" t="e">
        <f>AND('Planilla_General_29-11-2012_10_'!M1387,"AAAAAB/+7Rc=")</f>
        <v>#VALUE!</v>
      </c>
      <c r="Y93" t="e">
        <f>AND('Planilla_General_29-11-2012_10_'!N1387,"AAAAAB/+7Rg=")</f>
        <v>#VALUE!</v>
      </c>
      <c r="Z93" t="e">
        <f>AND('Planilla_General_29-11-2012_10_'!O1387,"AAAAAB/+7Rk=")</f>
        <v>#VALUE!</v>
      </c>
      <c r="AA93" t="e">
        <f>AND('Planilla_General_29-11-2012_10_'!P1387,"AAAAAB/+7Ro=")</f>
        <v>#VALUE!</v>
      </c>
      <c r="AB93">
        <f>IF('Planilla_General_29-11-2012_10_'!1388:1388,"AAAAAB/+7Rs=",0)</f>
        <v>0</v>
      </c>
      <c r="AC93" t="e">
        <f>AND('Planilla_General_29-11-2012_10_'!A1388,"AAAAAB/+7Rw=")</f>
        <v>#VALUE!</v>
      </c>
      <c r="AD93" t="e">
        <f>AND('Planilla_General_29-11-2012_10_'!B1388,"AAAAAB/+7R0=")</f>
        <v>#VALUE!</v>
      </c>
      <c r="AE93" t="e">
        <f>AND('Planilla_General_29-11-2012_10_'!C1388,"AAAAAB/+7R4=")</f>
        <v>#VALUE!</v>
      </c>
      <c r="AF93" t="e">
        <f>AND('Planilla_General_29-11-2012_10_'!D1388,"AAAAAB/+7R8=")</f>
        <v>#VALUE!</v>
      </c>
      <c r="AG93" t="e">
        <f>AND('Planilla_General_29-11-2012_10_'!E1388,"AAAAAB/+7SA=")</f>
        <v>#VALUE!</v>
      </c>
      <c r="AH93" t="e">
        <f>AND('Planilla_General_29-11-2012_10_'!F1388,"AAAAAB/+7SE=")</f>
        <v>#VALUE!</v>
      </c>
      <c r="AI93" t="e">
        <f>AND('Planilla_General_29-11-2012_10_'!G1388,"AAAAAB/+7SI=")</f>
        <v>#VALUE!</v>
      </c>
      <c r="AJ93" t="e">
        <f>AND('Planilla_General_29-11-2012_10_'!H1388,"AAAAAB/+7SM=")</f>
        <v>#VALUE!</v>
      </c>
      <c r="AK93" t="e">
        <f>AND('Planilla_General_29-11-2012_10_'!I1388,"AAAAAB/+7SQ=")</f>
        <v>#VALUE!</v>
      </c>
      <c r="AL93" t="e">
        <f>AND('Planilla_General_29-11-2012_10_'!J1388,"AAAAAB/+7SU=")</f>
        <v>#VALUE!</v>
      </c>
      <c r="AM93" t="e">
        <f>AND('Planilla_General_29-11-2012_10_'!K1388,"AAAAAB/+7SY=")</f>
        <v>#VALUE!</v>
      </c>
      <c r="AN93" t="e">
        <f>AND('Planilla_General_29-11-2012_10_'!L1388,"AAAAAB/+7Sc=")</f>
        <v>#VALUE!</v>
      </c>
      <c r="AO93" t="e">
        <f>AND('Planilla_General_29-11-2012_10_'!M1388,"AAAAAB/+7Sg=")</f>
        <v>#VALUE!</v>
      </c>
      <c r="AP93" t="e">
        <f>AND('Planilla_General_29-11-2012_10_'!N1388,"AAAAAB/+7Sk=")</f>
        <v>#VALUE!</v>
      </c>
      <c r="AQ93" t="e">
        <f>AND('Planilla_General_29-11-2012_10_'!O1388,"AAAAAB/+7So=")</f>
        <v>#VALUE!</v>
      </c>
      <c r="AR93" t="e">
        <f>AND('Planilla_General_29-11-2012_10_'!P1388,"AAAAAB/+7Ss=")</f>
        <v>#VALUE!</v>
      </c>
      <c r="AS93">
        <f>IF('Planilla_General_29-11-2012_10_'!1389:1389,"AAAAAB/+7Sw=",0)</f>
        <v>0</v>
      </c>
      <c r="AT93" t="e">
        <f>AND('Planilla_General_29-11-2012_10_'!A1389,"AAAAAB/+7S0=")</f>
        <v>#VALUE!</v>
      </c>
      <c r="AU93" t="e">
        <f>AND('Planilla_General_29-11-2012_10_'!B1389,"AAAAAB/+7S4=")</f>
        <v>#VALUE!</v>
      </c>
      <c r="AV93" t="e">
        <f>AND('Planilla_General_29-11-2012_10_'!C1389,"AAAAAB/+7S8=")</f>
        <v>#VALUE!</v>
      </c>
      <c r="AW93" t="e">
        <f>AND('Planilla_General_29-11-2012_10_'!D1389,"AAAAAB/+7TA=")</f>
        <v>#VALUE!</v>
      </c>
      <c r="AX93" t="e">
        <f>AND('Planilla_General_29-11-2012_10_'!E1389,"AAAAAB/+7TE=")</f>
        <v>#VALUE!</v>
      </c>
      <c r="AY93" t="e">
        <f>AND('Planilla_General_29-11-2012_10_'!F1389,"AAAAAB/+7TI=")</f>
        <v>#VALUE!</v>
      </c>
      <c r="AZ93" t="e">
        <f>AND('Planilla_General_29-11-2012_10_'!G1389,"AAAAAB/+7TM=")</f>
        <v>#VALUE!</v>
      </c>
      <c r="BA93" t="e">
        <f>AND('Planilla_General_29-11-2012_10_'!H1389,"AAAAAB/+7TQ=")</f>
        <v>#VALUE!</v>
      </c>
      <c r="BB93" t="e">
        <f>AND('Planilla_General_29-11-2012_10_'!I1389,"AAAAAB/+7TU=")</f>
        <v>#VALUE!</v>
      </c>
      <c r="BC93" t="e">
        <f>AND('Planilla_General_29-11-2012_10_'!J1389,"AAAAAB/+7TY=")</f>
        <v>#VALUE!</v>
      </c>
      <c r="BD93" t="e">
        <f>AND('Planilla_General_29-11-2012_10_'!K1389,"AAAAAB/+7Tc=")</f>
        <v>#VALUE!</v>
      </c>
      <c r="BE93" t="e">
        <f>AND('Planilla_General_29-11-2012_10_'!L1389,"AAAAAB/+7Tg=")</f>
        <v>#VALUE!</v>
      </c>
      <c r="BF93" t="e">
        <f>AND('Planilla_General_29-11-2012_10_'!M1389,"AAAAAB/+7Tk=")</f>
        <v>#VALUE!</v>
      </c>
      <c r="BG93" t="e">
        <f>AND('Planilla_General_29-11-2012_10_'!N1389,"AAAAAB/+7To=")</f>
        <v>#VALUE!</v>
      </c>
      <c r="BH93" t="e">
        <f>AND('Planilla_General_29-11-2012_10_'!O1389,"AAAAAB/+7Ts=")</f>
        <v>#VALUE!</v>
      </c>
      <c r="BI93" t="e">
        <f>AND('Planilla_General_29-11-2012_10_'!P1389,"AAAAAB/+7Tw=")</f>
        <v>#VALUE!</v>
      </c>
      <c r="BJ93">
        <f>IF('Planilla_General_29-11-2012_10_'!1390:1390,"AAAAAB/+7T0=",0)</f>
        <v>0</v>
      </c>
      <c r="BK93" t="e">
        <f>AND('Planilla_General_29-11-2012_10_'!A1390,"AAAAAB/+7T4=")</f>
        <v>#VALUE!</v>
      </c>
      <c r="BL93" t="e">
        <f>AND('Planilla_General_29-11-2012_10_'!B1390,"AAAAAB/+7T8=")</f>
        <v>#VALUE!</v>
      </c>
      <c r="BM93" t="e">
        <f>AND('Planilla_General_29-11-2012_10_'!C1390,"AAAAAB/+7UA=")</f>
        <v>#VALUE!</v>
      </c>
      <c r="BN93" t="e">
        <f>AND('Planilla_General_29-11-2012_10_'!D1390,"AAAAAB/+7UE=")</f>
        <v>#VALUE!</v>
      </c>
      <c r="BO93" t="e">
        <f>AND('Planilla_General_29-11-2012_10_'!E1390,"AAAAAB/+7UI=")</f>
        <v>#VALUE!</v>
      </c>
      <c r="BP93" t="e">
        <f>AND('Planilla_General_29-11-2012_10_'!F1390,"AAAAAB/+7UM=")</f>
        <v>#VALUE!</v>
      </c>
      <c r="BQ93" t="e">
        <f>AND('Planilla_General_29-11-2012_10_'!G1390,"AAAAAB/+7UQ=")</f>
        <v>#VALUE!</v>
      </c>
      <c r="BR93" t="e">
        <f>AND('Planilla_General_29-11-2012_10_'!H1390,"AAAAAB/+7UU=")</f>
        <v>#VALUE!</v>
      </c>
      <c r="BS93" t="e">
        <f>AND('Planilla_General_29-11-2012_10_'!I1390,"AAAAAB/+7UY=")</f>
        <v>#VALUE!</v>
      </c>
      <c r="BT93" t="e">
        <f>AND('Planilla_General_29-11-2012_10_'!J1390,"AAAAAB/+7Uc=")</f>
        <v>#VALUE!</v>
      </c>
      <c r="BU93" t="e">
        <f>AND('Planilla_General_29-11-2012_10_'!K1390,"AAAAAB/+7Ug=")</f>
        <v>#VALUE!</v>
      </c>
      <c r="BV93" t="e">
        <f>AND('Planilla_General_29-11-2012_10_'!L1390,"AAAAAB/+7Uk=")</f>
        <v>#VALUE!</v>
      </c>
      <c r="BW93" t="e">
        <f>AND('Planilla_General_29-11-2012_10_'!M1390,"AAAAAB/+7Uo=")</f>
        <v>#VALUE!</v>
      </c>
      <c r="BX93" t="e">
        <f>AND('Planilla_General_29-11-2012_10_'!N1390,"AAAAAB/+7Us=")</f>
        <v>#VALUE!</v>
      </c>
      <c r="BY93" t="e">
        <f>AND('Planilla_General_29-11-2012_10_'!O1390,"AAAAAB/+7Uw=")</f>
        <v>#VALUE!</v>
      </c>
      <c r="BZ93" t="e">
        <f>AND('Planilla_General_29-11-2012_10_'!P1390,"AAAAAB/+7U0=")</f>
        <v>#VALUE!</v>
      </c>
      <c r="CA93">
        <f>IF('Planilla_General_29-11-2012_10_'!1391:1391,"AAAAAB/+7U4=",0)</f>
        <v>0</v>
      </c>
      <c r="CB93" t="e">
        <f>AND('Planilla_General_29-11-2012_10_'!A1391,"AAAAAB/+7U8=")</f>
        <v>#VALUE!</v>
      </c>
      <c r="CC93" t="e">
        <f>AND('Planilla_General_29-11-2012_10_'!B1391,"AAAAAB/+7VA=")</f>
        <v>#VALUE!</v>
      </c>
      <c r="CD93" t="e">
        <f>AND('Planilla_General_29-11-2012_10_'!C1391,"AAAAAB/+7VE=")</f>
        <v>#VALUE!</v>
      </c>
      <c r="CE93" t="e">
        <f>AND('Planilla_General_29-11-2012_10_'!D1391,"AAAAAB/+7VI=")</f>
        <v>#VALUE!</v>
      </c>
      <c r="CF93" t="e">
        <f>AND('Planilla_General_29-11-2012_10_'!E1391,"AAAAAB/+7VM=")</f>
        <v>#VALUE!</v>
      </c>
      <c r="CG93" t="e">
        <f>AND('Planilla_General_29-11-2012_10_'!F1391,"AAAAAB/+7VQ=")</f>
        <v>#VALUE!</v>
      </c>
      <c r="CH93" t="e">
        <f>AND('Planilla_General_29-11-2012_10_'!G1391,"AAAAAB/+7VU=")</f>
        <v>#VALUE!</v>
      </c>
      <c r="CI93" t="e">
        <f>AND('Planilla_General_29-11-2012_10_'!H1391,"AAAAAB/+7VY=")</f>
        <v>#VALUE!</v>
      </c>
      <c r="CJ93" t="e">
        <f>AND('Planilla_General_29-11-2012_10_'!I1391,"AAAAAB/+7Vc=")</f>
        <v>#VALUE!</v>
      </c>
      <c r="CK93" t="e">
        <f>AND('Planilla_General_29-11-2012_10_'!J1391,"AAAAAB/+7Vg=")</f>
        <v>#VALUE!</v>
      </c>
      <c r="CL93" t="e">
        <f>AND('Planilla_General_29-11-2012_10_'!K1391,"AAAAAB/+7Vk=")</f>
        <v>#VALUE!</v>
      </c>
      <c r="CM93" t="e">
        <f>AND('Planilla_General_29-11-2012_10_'!L1391,"AAAAAB/+7Vo=")</f>
        <v>#VALUE!</v>
      </c>
      <c r="CN93" t="e">
        <f>AND('Planilla_General_29-11-2012_10_'!M1391,"AAAAAB/+7Vs=")</f>
        <v>#VALUE!</v>
      </c>
      <c r="CO93" t="e">
        <f>AND('Planilla_General_29-11-2012_10_'!N1391,"AAAAAB/+7Vw=")</f>
        <v>#VALUE!</v>
      </c>
      <c r="CP93" t="e">
        <f>AND('Planilla_General_29-11-2012_10_'!O1391,"AAAAAB/+7V0=")</f>
        <v>#VALUE!</v>
      </c>
      <c r="CQ93" t="e">
        <f>AND('Planilla_General_29-11-2012_10_'!P1391,"AAAAAB/+7V4=")</f>
        <v>#VALUE!</v>
      </c>
      <c r="CR93">
        <f>IF('Planilla_General_29-11-2012_10_'!1392:1392,"AAAAAB/+7V8=",0)</f>
        <v>0</v>
      </c>
      <c r="CS93" t="e">
        <f>AND('Planilla_General_29-11-2012_10_'!A1392,"AAAAAB/+7WA=")</f>
        <v>#VALUE!</v>
      </c>
      <c r="CT93" t="e">
        <f>AND('Planilla_General_29-11-2012_10_'!B1392,"AAAAAB/+7WE=")</f>
        <v>#VALUE!</v>
      </c>
      <c r="CU93" t="e">
        <f>AND('Planilla_General_29-11-2012_10_'!C1392,"AAAAAB/+7WI=")</f>
        <v>#VALUE!</v>
      </c>
      <c r="CV93" t="e">
        <f>AND('Planilla_General_29-11-2012_10_'!D1392,"AAAAAB/+7WM=")</f>
        <v>#VALUE!</v>
      </c>
      <c r="CW93" t="e">
        <f>AND('Planilla_General_29-11-2012_10_'!E1392,"AAAAAB/+7WQ=")</f>
        <v>#VALUE!</v>
      </c>
      <c r="CX93" t="e">
        <f>AND('Planilla_General_29-11-2012_10_'!F1392,"AAAAAB/+7WU=")</f>
        <v>#VALUE!</v>
      </c>
      <c r="CY93" t="e">
        <f>AND('Planilla_General_29-11-2012_10_'!G1392,"AAAAAB/+7WY=")</f>
        <v>#VALUE!</v>
      </c>
      <c r="CZ93" t="e">
        <f>AND('Planilla_General_29-11-2012_10_'!H1392,"AAAAAB/+7Wc=")</f>
        <v>#VALUE!</v>
      </c>
      <c r="DA93" t="e">
        <f>AND('Planilla_General_29-11-2012_10_'!I1392,"AAAAAB/+7Wg=")</f>
        <v>#VALUE!</v>
      </c>
      <c r="DB93" t="e">
        <f>AND('Planilla_General_29-11-2012_10_'!J1392,"AAAAAB/+7Wk=")</f>
        <v>#VALUE!</v>
      </c>
      <c r="DC93" t="e">
        <f>AND('Planilla_General_29-11-2012_10_'!K1392,"AAAAAB/+7Wo=")</f>
        <v>#VALUE!</v>
      </c>
      <c r="DD93" t="e">
        <f>AND('Planilla_General_29-11-2012_10_'!L1392,"AAAAAB/+7Ws=")</f>
        <v>#VALUE!</v>
      </c>
      <c r="DE93" t="e">
        <f>AND('Planilla_General_29-11-2012_10_'!M1392,"AAAAAB/+7Ww=")</f>
        <v>#VALUE!</v>
      </c>
      <c r="DF93" t="e">
        <f>AND('Planilla_General_29-11-2012_10_'!N1392,"AAAAAB/+7W0=")</f>
        <v>#VALUE!</v>
      </c>
      <c r="DG93" t="e">
        <f>AND('Planilla_General_29-11-2012_10_'!O1392,"AAAAAB/+7W4=")</f>
        <v>#VALUE!</v>
      </c>
      <c r="DH93" t="e">
        <f>AND('Planilla_General_29-11-2012_10_'!P1392,"AAAAAB/+7W8=")</f>
        <v>#VALUE!</v>
      </c>
      <c r="DI93">
        <f>IF('Planilla_General_29-11-2012_10_'!1393:1393,"AAAAAB/+7XA=",0)</f>
        <v>0</v>
      </c>
      <c r="DJ93" t="e">
        <f>AND('Planilla_General_29-11-2012_10_'!A1393,"AAAAAB/+7XE=")</f>
        <v>#VALUE!</v>
      </c>
      <c r="DK93" t="e">
        <f>AND('Planilla_General_29-11-2012_10_'!B1393,"AAAAAB/+7XI=")</f>
        <v>#VALUE!</v>
      </c>
      <c r="DL93" t="e">
        <f>AND('Planilla_General_29-11-2012_10_'!C1393,"AAAAAB/+7XM=")</f>
        <v>#VALUE!</v>
      </c>
      <c r="DM93" t="e">
        <f>AND('Planilla_General_29-11-2012_10_'!D1393,"AAAAAB/+7XQ=")</f>
        <v>#VALUE!</v>
      </c>
      <c r="DN93" t="e">
        <f>AND('Planilla_General_29-11-2012_10_'!E1393,"AAAAAB/+7XU=")</f>
        <v>#VALUE!</v>
      </c>
      <c r="DO93" t="e">
        <f>AND('Planilla_General_29-11-2012_10_'!F1393,"AAAAAB/+7XY=")</f>
        <v>#VALUE!</v>
      </c>
      <c r="DP93" t="e">
        <f>AND('Planilla_General_29-11-2012_10_'!G1393,"AAAAAB/+7Xc=")</f>
        <v>#VALUE!</v>
      </c>
      <c r="DQ93" t="e">
        <f>AND('Planilla_General_29-11-2012_10_'!H1393,"AAAAAB/+7Xg=")</f>
        <v>#VALUE!</v>
      </c>
      <c r="DR93" t="e">
        <f>AND('Planilla_General_29-11-2012_10_'!I1393,"AAAAAB/+7Xk=")</f>
        <v>#VALUE!</v>
      </c>
      <c r="DS93" t="e">
        <f>AND('Planilla_General_29-11-2012_10_'!J1393,"AAAAAB/+7Xo=")</f>
        <v>#VALUE!</v>
      </c>
      <c r="DT93" t="e">
        <f>AND('Planilla_General_29-11-2012_10_'!K1393,"AAAAAB/+7Xs=")</f>
        <v>#VALUE!</v>
      </c>
      <c r="DU93" t="e">
        <f>AND('Planilla_General_29-11-2012_10_'!L1393,"AAAAAB/+7Xw=")</f>
        <v>#VALUE!</v>
      </c>
      <c r="DV93" t="e">
        <f>AND('Planilla_General_29-11-2012_10_'!M1393,"AAAAAB/+7X0=")</f>
        <v>#VALUE!</v>
      </c>
      <c r="DW93" t="e">
        <f>AND('Planilla_General_29-11-2012_10_'!N1393,"AAAAAB/+7X4=")</f>
        <v>#VALUE!</v>
      </c>
      <c r="DX93" t="e">
        <f>AND('Planilla_General_29-11-2012_10_'!O1393,"AAAAAB/+7X8=")</f>
        <v>#VALUE!</v>
      </c>
      <c r="DY93" t="e">
        <f>AND('Planilla_General_29-11-2012_10_'!P1393,"AAAAAB/+7YA=")</f>
        <v>#VALUE!</v>
      </c>
      <c r="DZ93">
        <f>IF('Planilla_General_29-11-2012_10_'!1394:1394,"AAAAAB/+7YE=",0)</f>
        <v>0</v>
      </c>
      <c r="EA93" t="e">
        <f>AND('Planilla_General_29-11-2012_10_'!A1394,"AAAAAB/+7YI=")</f>
        <v>#VALUE!</v>
      </c>
      <c r="EB93" t="e">
        <f>AND('Planilla_General_29-11-2012_10_'!B1394,"AAAAAB/+7YM=")</f>
        <v>#VALUE!</v>
      </c>
      <c r="EC93" t="e">
        <f>AND('Planilla_General_29-11-2012_10_'!C1394,"AAAAAB/+7YQ=")</f>
        <v>#VALUE!</v>
      </c>
      <c r="ED93" t="e">
        <f>AND('Planilla_General_29-11-2012_10_'!D1394,"AAAAAB/+7YU=")</f>
        <v>#VALUE!</v>
      </c>
      <c r="EE93" t="e">
        <f>AND('Planilla_General_29-11-2012_10_'!E1394,"AAAAAB/+7YY=")</f>
        <v>#VALUE!</v>
      </c>
      <c r="EF93" t="e">
        <f>AND('Planilla_General_29-11-2012_10_'!F1394,"AAAAAB/+7Yc=")</f>
        <v>#VALUE!</v>
      </c>
      <c r="EG93" t="e">
        <f>AND('Planilla_General_29-11-2012_10_'!G1394,"AAAAAB/+7Yg=")</f>
        <v>#VALUE!</v>
      </c>
      <c r="EH93" t="e">
        <f>AND('Planilla_General_29-11-2012_10_'!H1394,"AAAAAB/+7Yk=")</f>
        <v>#VALUE!</v>
      </c>
      <c r="EI93" t="e">
        <f>AND('Planilla_General_29-11-2012_10_'!I1394,"AAAAAB/+7Yo=")</f>
        <v>#VALUE!</v>
      </c>
      <c r="EJ93" t="e">
        <f>AND('Planilla_General_29-11-2012_10_'!J1394,"AAAAAB/+7Ys=")</f>
        <v>#VALUE!</v>
      </c>
      <c r="EK93" t="e">
        <f>AND('Planilla_General_29-11-2012_10_'!K1394,"AAAAAB/+7Yw=")</f>
        <v>#VALUE!</v>
      </c>
      <c r="EL93" t="e">
        <f>AND('Planilla_General_29-11-2012_10_'!L1394,"AAAAAB/+7Y0=")</f>
        <v>#VALUE!</v>
      </c>
      <c r="EM93" t="e">
        <f>AND('Planilla_General_29-11-2012_10_'!M1394,"AAAAAB/+7Y4=")</f>
        <v>#VALUE!</v>
      </c>
      <c r="EN93" t="e">
        <f>AND('Planilla_General_29-11-2012_10_'!N1394,"AAAAAB/+7Y8=")</f>
        <v>#VALUE!</v>
      </c>
      <c r="EO93" t="e">
        <f>AND('Planilla_General_29-11-2012_10_'!O1394,"AAAAAB/+7ZA=")</f>
        <v>#VALUE!</v>
      </c>
      <c r="EP93" t="e">
        <f>AND('Planilla_General_29-11-2012_10_'!P1394,"AAAAAB/+7ZE=")</f>
        <v>#VALUE!</v>
      </c>
      <c r="EQ93">
        <f>IF('Planilla_General_29-11-2012_10_'!1395:1395,"AAAAAB/+7ZI=",0)</f>
        <v>0</v>
      </c>
      <c r="ER93" t="e">
        <f>AND('Planilla_General_29-11-2012_10_'!A1395,"AAAAAB/+7ZM=")</f>
        <v>#VALUE!</v>
      </c>
      <c r="ES93" t="e">
        <f>AND('Planilla_General_29-11-2012_10_'!B1395,"AAAAAB/+7ZQ=")</f>
        <v>#VALUE!</v>
      </c>
      <c r="ET93" t="e">
        <f>AND('Planilla_General_29-11-2012_10_'!C1395,"AAAAAB/+7ZU=")</f>
        <v>#VALUE!</v>
      </c>
      <c r="EU93" t="e">
        <f>AND('Planilla_General_29-11-2012_10_'!D1395,"AAAAAB/+7ZY=")</f>
        <v>#VALUE!</v>
      </c>
      <c r="EV93" t="e">
        <f>AND('Planilla_General_29-11-2012_10_'!E1395,"AAAAAB/+7Zc=")</f>
        <v>#VALUE!</v>
      </c>
      <c r="EW93" t="e">
        <f>AND('Planilla_General_29-11-2012_10_'!F1395,"AAAAAB/+7Zg=")</f>
        <v>#VALUE!</v>
      </c>
      <c r="EX93" t="e">
        <f>AND('Planilla_General_29-11-2012_10_'!G1395,"AAAAAB/+7Zk=")</f>
        <v>#VALUE!</v>
      </c>
      <c r="EY93" t="e">
        <f>AND('Planilla_General_29-11-2012_10_'!H1395,"AAAAAB/+7Zo=")</f>
        <v>#VALUE!</v>
      </c>
      <c r="EZ93" t="e">
        <f>AND('Planilla_General_29-11-2012_10_'!I1395,"AAAAAB/+7Zs=")</f>
        <v>#VALUE!</v>
      </c>
      <c r="FA93" t="e">
        <f>AND('Planilla_General_29-11-2012_10_'!J1395,"AAAAAB/+7Zw=")</f>
        <v>#VALUE!</v>
      </c>
      <c r="FB93" t="e">
        <f>AND('Planilla_General_29-11-2012_10_'!K1395,"AAAAAB/+7Z0=")</f>
        <v>#VALUE!</v>
      </c>
      <c r="FC93" t="e">
        <f>AND('Planilla_General_29-11-2012_10_'!L1395,"AAAAAB/+7Z4=")</f>
        <v>#VALUE!</v>
      </c>
      <c r="FD93" t="e">
        <f>AND('Planilla_General_29-11-2012_10_'!M1395,"AAAAAB/+7Z8=")</f>
        <v>#VALUE!</v>
      </c>
      <c r="FE93" t="e">
        <f>AND('Planilla_General_29-11-2012_10_'!N1395,"AAAAAB/+7aA=")</f>
        <v>#VALUE!</v>
      </c>
      <c r="FF93" t="e">
        <f>AND('Planilla_General_29-11-2012_10_'!O1395,"AAAAAB/+7aE=")</f>
        <v>#VALUE!</v>
      </c>
      <c r="FG93" t="e">
        <f>AND('Planilla_General_29-11-2012_10_'!P1395,"AAAAAB/+7aI=")</f>
        <v>#VALUE!</v>
      </c>
      <c r="FH93">
        <f>IF('Planilla_General_29-11-2012_10_'!1396:1396,"AAAAAB/+7aM=",0)</f>
        <v>0</v>
      </c>
      <c r="FI93" t="e">
        <f>AND('Planilla_General_29-11-2012_10_'!A1396,"AAAAAB/+7aQ=")</f>
        <v>#VALUE!</v>
      </c>
      <c r="FJ93" t="e">
        <f>AND('Planilla_General_29-11-2012_10_'!B1396,"AAAAAB/+7aU=")</f>
        <v>#VALUE!</v>
      </c>
      <c r="FK93" t="e">
        <f>AND('Planilla_General_29-11-2012_10_'!C1396,"AAAAAB/+7aY=")</f>
        <v>#VALUE!</v>
      </c>
      <c r="FL93" t="e">
        <f>AND('Planilla_General_29-11-2012_10_'!D1396,"AAAAAB/+7ac=")</f>
        <v>#VALUE!</v>
      </c>
      <c r="FM93" t="e">
        <f>AND('Planilla_General_29-11-2012_10_'!E1396,"AAAAAB/+7ag=")</f>
        <v>#VALUE!</v>
      </c>
      <c r="FN93" t="e">
        <f>AND('Planilla_General_29-11-2012_10_'!F1396,"AAAAAB/+7ak=")</f>
        <v>#VALUE!</v>
      </c>
      <c r="FO93" t="e">
        <f>AND('Planilla_General_29-11-2012_10_'!G1396,"AAAAAB/+7ao=")</f>
        <v>#VALUE!</v>
      </c>
      <c r="FP93" t="e">
        <f>AND('Planilla_General_29-11-2012_10_'!H1396,"AAAAAB/+7as=")</f>
        <v>#VALUE!</v>
      </c>
      <c r="FQ93" t="e">
        <f>AND('Planilla_General_29-11-2012_10_'!I1396,"AAAAAB/+7aw=")</f>
        <v>#VALUE!</v>
      </c>
      <c r="FR93" t="e">
        <f>AND('Planilla_General_29-11-2012_10_'!J1396,"AAAAAB/+7a0=")</f>
        <v>#VALUE!</v>
      </c>
      <c r="FS93" t="e">
        <f>AND('Planilla_General_29-11-2012_10_'!K1396,"AAAAAB/+7a4=")</f>
        <v>#VALUE!</v>
      </c>
      <c r="FT93" t="e">
        <f>AND('Planilla_General_29-11-2012_10_'!L1396,"AAAAAB/+7a8=")</f>
        <v>#VALUE!</v>
      </c>
      <c r="FU93" t="e">
        <f>AND('Planilla_General_29-11-2012_10_'!M1396,"AAAAAB/+7bA=")</f>
        <v>#VALUE!</v>
      </c>
      <c r="FV93" t="e">
        <f>AND('Planilla_General_29-11-2012_10_'!N1396,"AAAAAB/+7bE=")</f>
        <v>#VALUE!</v>
      </c>
      <c r="FW93" t="e">
        <f>AND('Planilla_General_29-11-2012_10_'!O1396,"AAAAAB/+7bI=")</f>
        <v>#VALUE!</v>
      </c>
      <c r="FX93" t="e">
        <f>AND('Planilla_General_29-11-2012_10_'!P1396,"AAAAAB/+7bM=")</f>
        <v>#VALUE!</v>
      </c>
      <c r="FY93">
        <f>IF('Planilla_General_29-11-2012_10_'!1397:1397,"AAAAAB/+7bQ=",0)</f>
        <v>0</v>
      </c>
      <c r="FZ93" t="e">
        <f>AND('Planilla_General_29-11-2012_10_'!A1397,"AAAAAB/+7bU=")</f>
        <v>#VALUE!</v>
      </c>
      <c r="GA93" t="e">
        <f>AND('Planilla_General_29-11-2012_10_'!B1397,"AAAAAB/+7bY=")</f>
        <v>#VALUE!</v>
      </c>
      <c r="GB93" t="e">
        <f>AND('Planilla_General_29-11-2012_10_'!C1397,"AAAAAB/+7bc=")</f>
        <v>#VALUE!</v>
      </c>
      <c r="GC93" t="e">
        <f>AND('Planilla_General_29-11-2012_10_'!D1397,"AAAAAB/+7bg=")</f>
        <v>#VALUE!</v>
      </c>
      <c r="GD93" t="e">
        <f>AND('Planilla_General_29-11-2012_10_'!E1397,"AAAAAB/+7bk=")</f>
        <v>#VALUE!</v>
      </c>
      <c r="GE93" t="e">
        <f>AND('Planilla_General_29-11-2012_10_'!F1397,"AAAAAB/+7bo=")</f>
        <v>#VALUE!</v>
      </c>
      <c r="GF93" t="e">
        <f>AND('Planilla_General_29-11-2012_10_'!G1397,"AAAAAB/+7bs=")</f>
        <v>#VALUE!</v>
      </c>
      <c r="GG93" t="e">
        <f>AND('Planilla_General_29-11-2012_10_'!H1397,"AAAAAB/+7bw=")</f>
        <v>#VALUE!</v>
      </c>
      <c r="GH93" t="e">
        <f>AND('Planilla_General_29-11-2012_10_'!I1397,"AAAAAB/+7b0=")</f>
        <v>#VALUE!</v>
      </c>
      <c r="GI93" t="e">
        <f>AND('Planilla_General_29-11-2012_10_'!J1397,"AAAAAB/+7b4=")</f>
        <v>#VALUE!</v>
      </c>
      <c r="GJ93" t="e">
        <f>AND('Planilla_General_29-11-2012_10_'!K1397,"AAAAAB/+7b8=")</f>
        <v>#VALUE!</v>
      </c>
      <c r="GK93" t="e">
        <f>AND('Planilla_General_29-11-2012_10_'!L1397,"AAAAAB/+7cA=")</f>
        <v>#VALUE!</v>
      </c>
      <c r="GL93" t="e">
        <f>AND('Planilla_General_29-11-2012_10_'!M1397,"AAAAAB/+7cE=")</f>
        <v>#VALUE!</v>
      </c>
      <c r="GM93" t="e">
        <f>AND('Planilla_General_29-11-2012_10_'!N1397,"AAAAAB/+7cI=")</f>
        <v>#VALUE!</v>
      </c>
      <c r="GN93" t="e">
        <f>AND('Planilla_General_29-11-2012_10_'!O1397,"AAAAAB/+7cM=")</f>
        <v>#VALUE!</v>
      </c>
      <c r="GO93" t="e">
        <f>AND('Planilla_General_29-11-2012_10_'!P1397,"AAAAAB/+7cQ=")</f>
        <v>#VALUE!</v>
      </c>
      <c r="GP93">
        <f>IF('Planilla_General_29-11-2012_10_'!1398:1398,"AAAAAB/+7cU=",0)</f>
        <v>0</v>
      </c>
      <c r="GQ93" t="e">
        <f>AND('Planilla_General_29-11-2012_10_'!A1398,"AAAAAB/+7cY=")</f>
        <v>#VALUE!</v>
      </c>
      <c r="GR93" t="e">
        <f>AND('Planilla_General_29-11-2012_10_'!B1398,"AAAAAB/+7cc=")</f>
        <v>#VALUE!</v>
      </c>
      <c r="GS93" t="e">
        <f>AND('Planilla_General_29-11-2012_10_'!C1398,"AAAAAB/+7cg=")</f>
        <v>#VALUE!</v>
      </c>
      <c r="GT93" t="e">
        <f>AND('Planilla_General_29-11-2012_10_'!D1398,"AAAAAB/+7ck=")</f>
        <v>#VALUE!</v>
      </c>
      <c r="GU93" t="e">
        <f>AND('Planilla_General_29-11-2012_10_'!E1398,"AAAAAB/+7co=")</f>
        <v>#VALUE!</v>
      </c>
      <c r="GV93" t="e">
        <f>AND('Planilla_General_29-11-2012_10_'!F1398,"AAAAAB/+7cs=")</f>
        <v>#VALUE!</v>
      </c>
      <c r="GW93" t="e">
        <f>AND('Planilla_General_29-11-2012_10_'!G1398,"AAAAAB/+7cw=")</f>
        <v>#VALUE!</v>
      </c>
      <c r="GX93" t="e">
        <f>AND('Planilla_General_29-11-2012_10_'!H1398,"AAAAAB/+7c0=")</f>
        <v>#VALUE!</v>
      </c>
      <c r="GY93" t="e">
        <f>AND('Planilla_General_29-11-2012_10_'!I1398,"AAAAAB/+7c4=")</f>
        <v>#VALUE!</v>
      </c>
      <c r="GZ93" t="e">
        <f>AND('Planilla_General_29-11-2012_10_'!J1398,"AAAAAB/+7c8=")</f>
        <v>#VALUE!</v>
      </c>
      <c r="HA93" t="e">
        <f>AND('Planilla_General_29-11-2012_10_'!K1398,"AAAAAB/+7dA=")</f>
        <v>#VALUE!</v>
      </c>
      <c r="HB93" t="e">
        <f>AND('Planilla_General_29-11-2012_10_'!L1398,"AAAAAB/+7dE=")</f>
        <v>#VALUE!</v>
      </c>
      <c r="HC93" t="e">
        <f>AND('Planilla_General_29-11-2012_10_'!M1398,"AAAAAB/+7dI=")</f>
        <v>#VALUE!</v>
      </c>
      <c r="HD93" t="e">
        <f>AND('Planilla_General_29-11-2012_10_'!N1398,"AAAAAB/+7dM=")</f>
        <v>#VALUE!</v>
      </c>
      <c r="HE93" t="e">
        <f>AND('Planilla_General_29-11-2012_10_'!O1398,"AAAAAB/+7dQ=")</f>
        <v>#VALUE!</v>
      </c>
      <c r="HF93" t="e">
        <f>AND('Planilla_General_29-11-2012_10_'!P1398,"AAAAAB/+7dU=")</f>
        <v>#VALUE!</v>
      </c>
      <c r="HG93">
        <f>IF('Planilla_General_29-11-2012_10_'!1399:1399,"AAAAAB/+7dY=",0)</f>
        <v>0</v>
      </c>
      <c r="HH93" t="e">
        <f>AND('Planilla_General_29-11-2012_10_'!A1399,"AAAAAB/+7dc=")</f>
        <v>#VALUE!</v>
      </c>
      <c r="HI93" t="e">
        <f>AND('Planilla_General_29-11-2012_10_'!B1399,"AAAAAB/+7dg=")</f>
        <v>#VALUE!</v>
      </c>
      <c r="HJ93" t="e">
        <f>AND('Planilla_General_29-11-2012_10_'!C1399,"AAAAAB/+7dk=")</f>
        <v>#VALUE!</v>
      </c>
      <c r="HK93" t="e">
        <f>AND('Planilla_General_29-11-2012_10_'!D1399,"AAAAAB/+7do=")</f>
        <v>#VALUE!</v>
      </c>
      <c r="HL93" t="e">
        <f>AND('Planilla_General_29-11-2012_10_'!E1399,"AAAAAB/+7ds=")</f>
        <v>#VALUE!</v>
      </c>
      <c r="HM93" t="e">
        <f>AND('Planilla_General_29-11-2012_10_'!F1399,"AAAAAB/+7dw=")</f>
        <v>#VALUE!</v>
      </c>
      <c r="HN93" t="e">
        <f>AND('Planilla_General_29-11-2012_10_'!G1399,"AAAAAB/+7d0=")</f>
        <v>#VALUE!</v>
      </c>
      <c r="HO93" t="e">
        <f>AND('Planilla_General_29-11-2012_10_'!H1399,"AAAAAB/+7d4=")</f>
        <v>#VALUE!</v>
      </c>
      <c r="HP93" t="e">
        <f>AND('Planilla_General_29-11-2012_10_'!I1399,"AAAAAB/+7d8=")</f>
        <v>#VALUE!</v>
      </c>
      <c r="HQ93" t="e">
        <f>AND('Planilla_General_29-11-2012_10_'!J1399,"AAAAAB/+7eA=")</f>
        <v>#VALUE!</v>
      </c>
      <c r="HR93" t="e">
        <f>AND('Planilla_General_29-11-2012_10_'!K1399,"AAAAAB/+7eE=")</f>
        <v>#VALUE!</v>
      </c>
      <c r="HS93" t="e">
        <f>AND('Planilla_General_29-11-2012_10_'!L1399,"AAAAAB/+7eI=")</f>
        <v>#VALUE!</v>
      </c>
      <c r="HT93" t="e">
        <f>AND('Planilla_General_29-11-2012_10_'!M1399,"AAAAAB/+7eM=")</f>
        <v>#VALUE!</v>
      </c>
      <c r="HU93" t="e">
        <f>AND('Planilla_General_29-11-2012_10_'!N1399,"AAAAAB/+7eQ=")</f>
        <v>#VALUE!</v>
      </c>
      <c r="HV93" t="e">
        <f>AND('Planilla_General_29-11-2012_10_'!O1399,"AAAAAB/+7eU=")</f>
        <v>#VALUE!</v>
      </c>
      <c r="HW93" t="e">
        <f>AND('Planilla_General_29-11-2012_10_'!P1399,"AAAAAB/+7eY=")</f>
        <v>#VALUE!</v>
      </c>
      <c r="HX93">
        <f>IF('Planilla_General_29-11-2012_10_'!1400:1400,"AAAAAB/+7ec=",0)</f>
        <v>0</v>
      </c>
      <c r="HY93" t="e">
        <f>AND('Planilla_General_29-11-2012_10_'!A1400,"AAAAAB/+7eg=")</f>
        <v>#VALUE!</v>
      </c>
      <c r="HZ93" t="e">
        <f>AND('Planilla_General_29-11-2012_10_'!B1400,"AAAAAB/+7ek=")</f>
        <v>#VALUE!</v>
      </c>
      <c r="IA93" t="e">
        <f>AND('Planilla_General_29-11-2012_10_'!C1400,"AAAAAB/+7eo=")</f>
        <v>#VALUE!</v>
      </c>
      <c r="IB93" t="e">
        <f>AND('Planilla_General_29-11-2012_10_'!D1400,"AAAAAB/+7es=")</f>
        <v>#VALUE!</v>
      </c>
      <c r="IC93" t="e">
        <f>AND('Planilla_General_29-11-2012_10_'!E1400,"AAAAAB/+7ew=")</f>
        <v>#VALUE!</v>
      </c>
      <c r="ID93" t="e">
        <f>AND('Planilla_General_29-11-2012_10_'!F1400,"AAAAAB/+7e0=")</f>
        <v>#VALUE!</v>
      </c>
      <c r="IE93" t="e">
        <f>AND('Planilla_General_29-11-2012_10_'!G1400,"AAAAAB/+7e4=")</f>
        <v>#VALUE!</v>
      </c>
      <c r="IF93" t="e">
        <f>AND('Planilla_General_29-11-2012_10_'!H1400,"AAAAAB/+7e8=")</f>
        <v>#VALUE!</v>
      </c>
      <c r="IG93" t="e">
        <f>AND('Planilla_General_29-11-2012_10_'!I1400,"AAAAAB/+7fA=")</f>
        <v>#VALUE!</v>
      </c>
      <c r="IH93" t="e">
        <f>AND('Planilla_General_29-11-2012_10_'!J1400,"AAAAAB/+7fE=")</f>
        <v>#VALUE!</v>
      </c>
      <c r="II93" t="e">
        <f>AND('Planilla_General_29-11-2012_10_'!K1400,"AAAAAB/+7fI=")</f>
        <v>#VALUE!</v>
      </c>
      <c r="IJ93" t="e">
        <f>AND('Planilla_General_29-11-2012_10_'!L1400,"AAAAAB/+7fM=")</f>
        <v>#VALUE!</v>
      </c>
      <c r="IK93" t="e">
        <f>AND('Planilla_General_29-11-2012_10_'!M1400,"AAAAAB/+7fQ=")</f>
        <v>#VALUE!</v>
      </c>
      <c r="IL93" t="e">
        <f>AND('Planilla_General_29-11-2012_10_'!N1400,"AAAAAB/+7fU=")</f>
        <v>#VALUE!</v>
      </c>
      <c r="IM93" t="e">
        <f>AND('Planilla_General_29-11-2012_10_'!O1400,"AAAAAB/+7fY=")</f>
        <v>#VALUE!</v>
      </c>
      <c r="IN93" t="e">
        <f>AND('Planilla_General_29-11-2012_10_'!P1400,"AAAAAB/+7fc=")</f>
        <v>#VALUE!</v>
      </c>
      <c r="IO93">
        <f>IF('Planilla_General_29-11-2012_10_'!1401:1401,"AAAAAB/+7fg=",0)</f>
        <v>0</v>
      </c>
      <c r="IP93" t="e">
        <f>AND('Planilla_General_29-11-2012_10_'!A1401,"AAAAAB/+7fk=")</f>
        <v>#VALUE!</v>
      </c>
      <c r="IQ93" t="e">
        <f>AND('Planilla_General_29-11-2012_10_'!B1401,"AAAAAB/+7fo=")</f>
        <v>#VALUE!</v>
      </c>
      <c r="IR93" t="e">
        <f>AND('Planilla_General_29-11-2012_10_'!C1401,"AAAAAB/+7fs=")</f>
        <v>#VALUE!</v>
      </c>
      <c r="IS93" t="e">
        <f>AND('Planilla_General_29-11-2012_10_'!D1401,"AAAAAB/+7fw=")</f>
        <v>#VALUE!</v>
      </c>
      <c r="IT93" t="e">
        <f>AND('Planilla_General_29-11-2012_10_'!E1401,"AAAAAB/+7f0=")</f>
        <v>#VALUE!</v>
      </c>
      <c r="IU93" t="e">
        <f>AND('Planilla_General_29-11-2012_10_'!F1401,"AAAAAB/+7f4=")</f>
        <v>#VALUE!</v>
      </c>
      <c r="IV93" t="e">
        <f>AND('Planilla_General_29-11-2012_10_'!G1401,"AAAAAB/+7f8=")</f>
        <v>#VALUE!</v>
      </c>
    </row>
    <row r="94" spans="1:256" x14ac:dyDescent="0.25">
      <c r="A94" t="e">
        <f>AND('Planilla_General_29-11-2012_10_'!H1401,"AAAAAFz9vwA=")</f>
        <v>#VALUE!</v>
      </c>
      <c r="B94" t="e">
        <f>AND('Planilla_General_29-11-2012_10_'!I1401,"AAAAAFz9vwE=")</f>
        <v>#VALUE!</v>
      </c>
      <c r="C94" t="e">
        <f>AND('Planilla_General_29-11-2012_10_'!J1401,"AAAAAFz9vwI=")</f>
        <v>#VALUE!</v>
      </c>
      <c r="D94" t="e">
        <f>AND('Planilla_General_29-11-2012_10_'!K1401,"AAAAAFz9vwM=")</f>
        <v>#VALUE!</v>
      </c>
      <c r="E94" t="e">
        <f>AND('Planilla_General_29-11-2012_10_'!L1401,"AAAAAFz9vwQ=")</f>
        <v>#VALUE!</v>
      </c>
      <c r="F94" t="e">
        <f>AND('Planilla_General_29-11-2012_10_'!M1401,"AAAAAFz9vwU=")</f>
        <v>#VALUE!</v>
      </c>
      <c r="G94" t="e">
        <f>AND('Planilla_General_29-11-2012_10_'!N1401,"AAAAAFz9vwY=")</f>
        <v>#VALUE!</v>
      </c>
      <c r="H94" t="e">
        <f>AND('Planilla_General_29-11-2012_10_'!O1401,"AAAAAFz9vwc=")</f>
        <v>#VALUE!</v>
      </c>
      <c r="I94" t="e">
        <f>AND('Planilla_General_29-11-2012_10_'!P1401,"AAAAAFz9vwg=")</f>
        <v>#VALUE!</v>
      </c>
      <c r="J94" t="e">
        <f>IF('Planilla_General_29-11-2012_10_'!1402:1402,"AAAAAFz9vwk=",0)</f>
        <v>#VALUE!</v>
      </c>
      <c r="K94" t="e">
        <f>AND('Planilla_General_29-11-2012_10_'!A1402,"AAAAAFz9vwo=")</f>
        <v>#VALUE!</v>
      </c>
      <c r="L94" t="e">
        <f>AND('Planilla_General_29-11-2012_10_'!B1402,"AAAAAFz9vws=")</f>
        <v>#VALUE!</v>
      </c>
      <c r="M94" t="e">
        <f>AND('Planilla_General_29-11-2012_10_'!C1402,"AAAAAFz9vww=")</f>
        <v>#VALUE!</v>
      </c>
      <c r="N94" t="e">
        <f>AND('Planilla_General_29-11-2012_10_'!D1402,"AAAAAFz9vw0=")</f>
        <v>#VALUE!</v>
      </c>
      <c r="O94" t="e">
        <f>AND('Planilla_General_29-11-2012_10_'!E1402,"AAAAAFz9vw4=")</f>
        <v>#VALUE!</v>
      </c>
      <c r="P94" t="e">
        <f>AND('Planilla_General_29-11-2012_10_'!F1402,"AAAAAFz9vw8=")</f>
        <v>#VALUE!</v>
      </c>
      <c r="Q94" t="e">
        <f>AND('Planilla_General_29-11-2012_10_'!G1402,"AAAAAFz9vxA=")</f>
        <v>#VALUE!</v>
      </c>
      <c r="R94" t="e">
        <f>AND('Planilla_General_29-11-2012_10_'!H1402,"AAAAAFz9vxE=")</f>
        <v>#VALUE!</v>
      </c>
      <c r="S94" t="e">
        <f>AND('Planilla_General_29-11-2012_10_'!I1402,"AAAAAFz9vxI=")</f>
        <v>#VALUE!</v>
      </c>
      <c r="T94" t="e">
        <f>AND('Planilla_General_29-11-2012_10_'!J1402,"AAAAAFz9vxM=")</f>
        <v>#VALUE!</v>
      </c>
      <c r="U94" t="e">
        <f>AND('Planilla_General_29-11-2012_10_'!K1402,"AAAAAFz9vxQ=")</f>
        <v>#VALUE!</v>
      </c>
      <c r="V94" t="e">
        <f>AND('Planilla_General_29-11-2012_10_'!L1402,"AAAAAFz9vxU=")</f>
        <v>#VALUE!</v>
      </c>
      <c r="W94" t="e">
        <f>AND('Planilla_General_29-11-2012_10_'!M1402,"AAAAAFz9vxY=")</f>
        <v>#VALUE!</v>
      </c>
      <c r="X94" t="e">
        <f>AND('Planilla_General_29-11-2012_10_'!N1402,"AAAAAFz9vxc=")</f>
        <v>#VALUE!</v>
      </c>
      <c r="Y94" t="e">
        <f>AND('Planilla_General_29-11-2012_10_'!O1402,"AAAAAFz9vxg=")</f>
        <v>#VALUE!</v>
      </c>
      <c r="Z94" t="e">
        <f>AND('Planilla_General_29-11-2012_10_'!P1402,"AAAAAFz9vxk=")</f>
        <v>#VALUE!</v>
      </c>
      <c r="AA94">
        <f>IF('Planilla_General_29-11-2012_10_'!1403:1403,"AAAAAFz9vxo=",0)</f>
        <v>0</v>
      </c>
      <c r="AB94" t="e">
        <f>AND('Planilla_General_29-11-2012_10_'!A1403,"AAAAAFz9vxs=")</f>
        <v>#VALUE!</v>
      </c>
      <c r="AC94" t="e">
        <f>AND('Planilla_General_29-11-2012_10_'!B1403,"AAAAAFz9vxw=")</f>
        <v>#VALUE!</v>
      </c>
      <c r="AD94" t="e">
        <f>AND('Planilla_General_29-11-2012_10_'!C1403,"AAAAAFz9vx0=")</f>
        <v>#VALUE!</v>
      </c>
      <c r="AE94" t="e">
        <f>AND('Planilla_General_29-11-2012_10_'!D1403,"AAAAAFz9vx4=")</f>
        <v>#VALUE!</v>
      </c>
      <c r="AF94" t="e">
        <f>AND('Planilla_General_29-11-2012_10_'!E1403,"AAAAAFz9vx8=")</f>
        <v>#VALUE!</v>
      </c>
      <c r="AG94" t="e">
        <f>AND('Planilla_General_29-11-2012_10_'!F1403,"AAAAAFz9vyA=")</f>
        <v>#VALUE!</v>
      </c>
      <c r="AH94" t="e">
        <f>AND('Planilla_General_29-11-2012_10_'!G1403,"AAAAAFz9vyE=")</f>
        <v>#VALUE!</v>
      </c>
      <c r="AI94" t="e">
        <f>AND('Planilla_General_29-11-2012_10_'!H1403,"AAAAAFz9vyI=")</f>
        <v>#VALUE!</v>
      </c>
      <c r="AJ94" t="e">
        <f>AND('Planilla_General_29-11-2012_10_'!I1403,"AAAAAFz9vyM=")</f>
        <v>#VALUE!</v>
      </c>
      <c r="AK94" t="e">
        <f>AND('Planilla_General_29-11-2012_10_'!J1403,"AAAAAFz9vyQ=")</f>
        <v>#VALUE!</v>
      </c>
      <c r="AL94" t="e">
        <f>AND('Planilla_General_29-11-2012_10_'!K1403,"AAAAAFz9vyU=")</f>
        <v>#VALUE!</v>
      </c>
      <c r="AM94" t="e">
        <f>AND('Planilla_General_29-11-2012_10_'!L1403,"AAAAAFz9vyY=")</f>
        <v>#VALUE!</v>
      </c>
      <c r="AN94" t="e">
        <f>AND('Planilla_General_29-11-2012_10_'!M1403,"AAAAAFz9vyc=")</f>
        <v>#VALUE!</v>
      </c>
      <c r="AO94" t="e">
        <f>AND('Planilla_General_29-11-2012_10_'!N1403,"AAAAAFz9vyg=")</f>
        <v>#VALUE!</v>
      </c>
      <c r="AP94" t="e">
        <f>AND('Planilla_General_29-11-2012_10_'!O1403,"AAAAAFz9vyk=")</f>
        <v>#VALUE!</v>
      </c>
      <c r="AQ94" t="e">
        <f>AND('Planilla_General_29-11-2012_10_'!P1403,"AAAAAFz9vyo=")</f>
        <v>#VALUE!</v>
      </c>
      <c r="AR94">
        <f>IF('Planilla_General_29-11-2012_10_'!1404:1404,"AAAAAFz9vys=",0)</f>
        <v>0</v>
      </c>
      <c r="AS94" t="e">
        <f>AND('Planilla_General_29-11-2012_10_'!A1404,"AAAAAFz9vyw=")</f>
        <v>#VALUE!</v>
      </c>
      <c r="AT94" t="e">
        <f>AND('Planilla_General_29-11-2012_10_'!B1404,"AAAAAFz9vy0=")</f>
        <v>#VALUE!</v>
      </c>
      <c r="AU94" t="e">
        <f>AND('Planilla_General_29-11-2012_10_'!C1404,"AAAAAFz9vy4=")</f>
        <v>#VALUE!</v>
      </c>
      <c r="AV94" t="e">
        <f>AND('Planilla_General_29-11-2012_10_'!D1404,"AAAAAFz9vy8=")</f>
        <v>#VALUE!</v>
      </c>
      <c r="AW94" t="e">
        <f>AND('Planilla_General_29-11-2012_10_'!E1404,"AAAAAFz9vzA=")</f>
        <v>#VALUE!</v>
      </c>
      <c r="AX94" t="e">
        <f>AND('Planilla_General_29-11-2012_10_'!F1404,"AAAAAFz9vzE=")</f>
        <v>#VALUE!</v>
      </c>
      <c r="AY94" t="e">
        <f>AND('Planilla_General_29-11-2012_10_'!G1404,"AAAAAFz9vzI=")</f>
        <v>#VALUE!</v>
      </c>
      <c r="AZ94" t="e">
        <f>AND('Planilla_General_29-11-2012_10_'!H1404,"AAAAAFz9vzM=")</f>
        <v>#VALUE!</v>
      </c>
      <c r="BA94" t="e">
        <f>AND('Planilla_General_29-11-2012_10_'!I1404,"AAAAAFz9vzQ=")</f>
        <v>#VALUE!</v>
      </c>
      <c r="BB94" t="e">
        <f>AND('Planilla_General_29-11-2012_10_'!J1404,"AAAAAFz9vzU=")</f>
        <v>#VALUE!</v>
      </c>
      <c r="BC94" t="e">
        <f>AND('Planilla_General_29-11-2012_10_'!K1404,"AAAAAFz9vzY=")</f>
        <v>#VALUE!</v>
      </c>
      <c r="BD94" t="e">
        <f>AND('Planilla_General_29-11-2012_10_'!L1404,"AAAAAFz9vzc=")</f>
        <v>#VALUE!</v>
      </c>
      <c r="BE94" t="e">
        <f>AND('Planilla_General_29-11-2012_10_'!M1404,"AAAAAFz9vzg=")</f>
        <v>#VALUE!</v>
      </c>
      <c r="BF94" t="e">
        <f>AND('Planilla_General_29-11-2012_10_'!N1404,"AAAAAFz9vzk=")</f>
        <v>#VALUE!</v>
      </c>
      <c r="BG94" t="e">
        <f>AND('Planilla_General_29-11-2012_10_'!O1404,"AAAAAFz9vzo=")</f>
        <v>#VALUE!</v>
      </c>
      <c r="BH94" t="e">
        <f>AND('Planilla_General_29-11-2012_10_'!P1404,"AAAAAFz9vzs=")</f>
        <v>#VALUE!</v>
      </c>
      <c r="BI94">
        <f>IF('Planilla_General_29-11-2012_10_'!1405:1405,"AAAAAFz9vzw=",0)</f>
        <v>0</v>
      </c>
      <c r="BJ94" t="e">
        <f>AND('Planilla_General_29-11-2012_10_'!A1405,"AAAAAFz9vz0=")</f>
        <v>#VALUE!</v>
      </c>
      <c r="BK94" t="e">
        <f>AND('Planilla_General_29-11-2012_10_'!B1405,"AAAAAFz9vz4=")</f>
        <v>#VALUE!</v>
      </c>
      <c r="BL94" t="e">
        <f>AND('Planilla_General_29-11-2012_10_'!C1405,"AAAAAFz9vz8=")</f>
        <v>#VALUE!</v>
      </c>
      <c r="BM94" t="e">
        <f>AND('Planilla_General_29-11-2012_10_'!D1405,"AAAAAFz9v0A=")</f>
        <v>#VALUE!</v>
      </c>
      <c r="BN94" t="e">
        <f>AND('Planilla_General_29-11-2012_10_'!E1405,"AAAAAFz9v0E=")</f>
        <v>#VALUE!</v>
      </c>
      <c r="BO94" t="e">
        <f>AND('Planilla_General_29-11-2012_10_'!F1405,"AAAAAFz9v0I=")</f>
        <v>#VALUE!</v>
      </c>
      <c r="BP94" t="e">
        <f>AND('Planilla_General_29-11-2012_10_'!G1405,"AAAAAFz9v0M=")</f>
        <v>#VALUE!</v>
      </c>
      <c r="BQ94" t="e">
        <f>AND('Planilla_General_29-11-2012_10_'!H1405,"AAAAAFz9v0Q=")</f>
        <v>#VALUE!</v>
      </c>
      <c r="BR94" t="e">
        <f>AND('Planilla_General_29-11-2012_10_'!I1405,"AAAAAFz9v0U=")</f>
        <v>#VALUE!</v>
      </c>
      <c r="BS94" t="e">
        <f>AND('Planilla_General_29-11-2012_10_'!J1405,"AAAAAFz9v0Y=")</f>
        <v>#VALUE!</v>
      </c>
      <c r="BT94" t="e">
        <f>AND('Planilla_General_29-11-2012_10_'!K1405,"AAAAAFz9v0c=")</f>
        <v>#VALUE!</v>
      </c>
      <c r="BU94" t="e">
        <f>AND('Planilla_General_29-11-2012_10_'!L1405,"AAAAAFz9v0g=")</f>
        <v>#VALUE!</v>
      </c>
      <c r="BV94" t="e">
        <f>AND('Planilla_General_29-11-2012_10_'!M1405,"AAAAAFz9v0k=")</f>
        <v>#VALUE!</v>
      </c>
      <c r="BW94" t="e">
        <f>AND('Planilla_General_29-11-2012_10_'!N1405,"AAAAAFz9v0o=")</f>
        <v>#VALUE!</v>
      </c>
      <c r="BX94" t="e">
        <f>AND('Planilla_General_29-11-2012_10_'!O1405,"AAAAAFz9v0s=")</f>
        <v>#VALUE!</v>
      </c>
      <c r="BY94" t="e">
        <f>AND('Planilla_General_29-11-2012_10_'!P1405,"AAAAAFz9v0w=")</f>
        <v>#VALUE!</v>
      </c>
      <c r="BZ94">
        <f>IF('Planilla_General_29-11-2012_10_'!1406:1406,"AAAAAFz9v00=",0)</f>
        <v>0</v>
      </c>
      <c r="CA94" t="e">
        <f>AND('Planilla_General_29-11-2012_10_'!A1406,"AAAAAFz9v04=")</f>
        <v>#VALUE!</v>
      </c>
      <c r="CB94" t="e">
        <f>AND('Planilla_General_29-11-2012_10_'!B1406,"AAAAAFz9v08=")</f>
        <v>#VALUE!</v>
      </c>
      <c r="CC94" t="e">
        <f>AND('Planilla_General_29-11-2012_10_'!C1406,"AAAAAFz9v1A=")</f>
        <v>#VALUE!</v>
      </c>
      <c r="CD94" t="e">
        <f>AND('Planilla_General_29-11-2012_10_'!D1406,"AAAAAFz9v1E=")</f>
        <v>#VALUE!</v>
      </c>
      <c r="CE94" t="e">
        <f>AND('Planilla_General_29-11-2012_10_'!E1406,"AAAAAFz9v1I=")</f>
        <v>#VALUE!</v>
      </c>
      <c r="CF94" t="e">
        <f>AND('Planilla_General_29-11-2012_10_'!F1406,"AAAAAFz9v1M=")</f>
        <v>#VALUE!</v>
      </c>
      <c r="CG94" t="e">
        <f>AND('Planilla_General_29-11-2012_10_'!G1406,"AAAAAFz9v1Q=")</f>
        <v>#VALUE!</v>
      </c>
      <c r="CH94" t="e">
        <f>AND('Planilla_General_29-11-2012_10_'!H1406,"AAAAAFz9v1U=")</f>
        <v>#VALUE!</v>
      </c>
      <c r="CI94" t="e">
        <f>AND('Planilla_General_29-11-2012_10_'!I1406,"AAAAAFz9v1Y=")</f>
        <v>#VALUE!</v>
      </c>
      <c r="CJ94" t="e">
        <f>AND('Planilla_General_29-11-2012_10_'!J1406,"AAAAAFz9v1c=")</f>
        <v>#VALUE!</v>
      </c>
      <c r="CK94" t="e">
        <f>AND('Planilla_General_29-11-2012_10_'!K1406,"AAAAAFz9v1g=")</f>
        <v>#VALUE!</v>
      </c>
      <c r="CL94" t="e">
        <f>AND('Planilla_General_29-11-2012_10_'!L1406,"AAAAAFz9v1k=")</f>
        <v>#VALUE!</v>
      </c>
      <c r="CM94" t="e">
        <f>AND('Planilla_General_29-11-2012_10_'!M1406,"AAAAAFz9v1o=")</f>
        <v>#VALUE!</v>
      </c>
      <c r="CN94" t="e">
        <f>AND('Planilla_General_29-11-2012_10_'!N1406,"AAAAAFz9v1s=")</f>
        <v>#VALUE!</v>
      </c>
      <c r="CO94" t="e">
        <f>AND('Planilla_General_29-11-2012_10_'!O1406,"AAAAAFz9v1w=")</f>
        <v>#VALUE!</v>
      </c>
      <c r="CP94" t="e">
        <f>AND('Planilla_General_29-11-2012_10_'!P1406,"AAAAAFz9v10=")</f>
        <v>#VALUE!</v>
      </c>
      <c r="CQ94">
        <f>IF('Planilla_General_29-11-2012_10_'!1407:1407,"AAAAAFz9v14=",0)</f>
        <v>0</v>
      </c>
      <c r="CR94" t="e">
        <f>AND('Planilla_General_29-11-2012_10_'!A1407,"AAAAAFz9v18=")</f>
        <v>#VALUE!</v>
      </c>
      <c r="CS94" t="e">
        <f>AND('Planilla_General_29-11-2012_10_'!B1407,"AAAAAFz9v2A=")</f>
        <v>#VALUE!</v>
      </c>
      <c r="CT94" t="e">
        <f>AND('Planilla_General_29-11-2012_10_'!C1407,"AAAAAFz9v2E=")</f>
        <v>#VALUE!</v>
      </c>
      <c r="CU94" t="e">
        <f>AND('Planilla_General_29-11-2012_10_'!D1407,"AAAAAFz9v2I=")</f>
        <v>#VALUE!</v>
      </c>
      <c r="CV94" t="e">
        <f>AND('Planilla_General_29-11-2012_10_'!E1407,"AAAAAFz9v2M=")</f>
        <v>#VALUE!</v>
      </c>
      <c r="CW94" t="e">
        <f>AND('Planilla_General_29-11-2012_10_'!F1407,"AAAAAFz9v2Q=")</f>
        <v>#VALUE!</v>
      </c>
      <c r="CX94" t="e">
        <f>AND('Planilla_General_29-11-2012_10_'!G1407,"AAAAAFz9v2U=")</f>
        <v>#VALUE!</v>
      </c>
      <c r="CY94" t="e">
        <f>AND('Planilla_General_29-11-2012_10_'!H1407,"AAAAAFz9v2Y=")</f>
        <v>#VALUE!</v>
      </c>
      <c r="CZ94" t="e">
        <f>AND('Planilla_General_29-11-2012_10_'!I1407,"AAAAAFz9v2c=")</f>
        <v>#VALUE!</v>
      </c>
      <c r="DA94" t="e">
        <f>AND('Planilla_General_29-11-2012_10_'!J1407,"AAAAAFz9v2g=")</f>
        <v>#VALUE!</v>
      </c>
      <c r="DB94" t="e">
        <f>AND('Planilla_General_29-11-2012_10_'!K1407,"AAAAAFz9v2k=")</f>
        <v>#VALUE!</v>
      </c>
      <c r="DC94" t="e">
        <f>AND('Planilla_General_29-11-2012_10_'!L1407,"AAAAAFz9v2o=")</f>
        <v>#VALUE!</v>
      </c>
      <c r="DD94" t="e">
        <f>AND('Planilla_General_29-11-2012_10_'!M1407,"AAAAAFz9v2s=")</f>
        <v>#VALUE!</v>
      </c>
      <c r="DE94" t="e">
        <f>AND('Planilla_General_29-11-2012_10_'!N1407,"AAAAAFz9v2w=")</f>
        <v>#VALUE!</v>
      </c>
      <c r="DF94" t="e">
        <f>AND('Planilla_General_29-11-2012_10_'!O1407,"AAAAAFz9v20=")</f>
        <v>#VALUE!</v>
      </c>
      <c r="DG94" t="e">
        <f>AND('Planilla_General_29-11-2012_10_'!P1407,"AAAAAFz9v24=")</f>
        <v>#VALUE!</v>
      </c>
      <c r="DH94">
        <f>IF('Planilla_General_29-11-2012_10_'!1408:1408,"AAAAAFz9v28=",0)</f>
        <v>0</v>
      </c>
      <c r="DI94" t="e">
        <f>AND('Planilla_General_29-11-2012_10_'!A1408,"AAAAAFz9v3A=")</f>
        <v>#VALUE!</v>
      </c>
      <c r="DJ94" t="e">
        <f>AND('Planilla_General_29-11-2012_10_'!B1408,"AAAAAFz9v3E=")</f>
        <v>#VALUE!</v>
      </c>
      <c r="DK94" t="e">
        <f>AND('Planilla_General_29-11-2012_10_'!C1408,"AAAAAFz9v3I=")</f>
        <v>#VALUE!</v>
      </c>
      <c r="DL94" t="e">
        <f>AND('Planilla_General_29-11-2012_10_'!D1408,"AAAAAFz9v3M=")</f>
        <v>#VALUE!</v>
      </c>
      <c r="DM94" t="e">
        <f>AND('Planilla_General_29-11-2012_10_'!E1408,"AAAAAFz9v3Q=")</f>
        <v>#VALUE!</v>
      </c>
      <c r="DN94" t="e">
        <f>AND('Planilla_General_29-11-2012_10_'!F1408,"AAAAAFz9v3U=")</f>
        <v>#VALUE!</v>
      </c>
      <c r="DO94" t="e">
        <f>AND('Planilla_General_29-11-2012_10_'!G1408,"AAAAAFz9v3Y=")</f>
        <v>#VALUE!</v>
      </c>
      <c r="DP94" t="e">
        <f>AND('Planilla_General_29-11-2012_10_'!H1408,"AAAAAFz9v3c=")</f>
        <v>#VALUE!</v>
      </c>
      <c r="DQ94" t="e">
        <f>AND('Planilla_General_29-11-2012_10_'!I1408,"AAAAAFz9v3g=")</f>
        <v>#VALUE!</v>
      </c>
      <c r="DR94" t="e">
        <f>AND('Planilla_General_29-11-2012_10_'!J1408,"AAAAAFz9v3k=")</f>
        <v>#VALUE!</v>
      </c>
      <c r="DS94" t="e">
        <f>AND('Planilla_General_29-11-2012_10_'!K1408,"AAAAAFz9v3o=")</f>
        <v>#VALUE!</v>
      </c>
      <c r="DT94" t="e">
        <f>AND('Planilla_General_29-11-2012_10_'!L1408,"AAAAAFz9v3s=")</f>
        <v>#VALUE!</v>
      </c>
      <c r="DU94" t="e">
        <f>AND('Planilla_General_29-11-2012_10_'!M1408,"AAAAAFz9v3w=")</f>
        <v>#VALUE!</v>
      </c>
      <c r="DV94" t="e">
        <f>AND('Planilla_General_29-11-2012_10_'!N1408,"AAAAAFz9v30=")</f>
        <v>#VALUE!</v>
      </c>
      <c r="DW94" t="e">
        <f>AND('Planilla_General_29-11-2012_10_'!O1408,"AAAAAFz9v34=")</f>
        <v>#VALUE!</v>
      </c>
      <c r="DX94" t="e">
        <f>AND('Planilla_General_29-11-2012_10_'!P1408,"AAAAAFz9v38=")</f>
        <v>#VALUE!</v>
      </c>
      <c r="DY94">
        <f>IF('Planilla_General_29-11-2012_10_'!1409:1409,"AAAAAFz9v4A=",0)</f>
        <v>0</v>
      </c>
      <c r="DZ94" t="e">
        <f>AND('Planilla_General_29-11-2012_10_'!A1409,"AAAAAFz9v4E=")</f>
        <v>#VALUE!</v>
      </c>
      <c r="EA94" t="e">
        <f>AND('Planilla_General_29-11-2012_10_'!B1409,"AAAAAFz9v4I=")</f>
        <v>#VALUE!</v>
      </c>
      <c r="EB94" t="e">
        <f>AND('Planilla_General_29-11-2012_10_'!C1409,"AAAAAFz9v4M=")</f>
        <v>#VALUE!</v>
      </c>
      <c r="EC94" t="e">
        <f>AND('Planilla_General_29-11-2012_10_'!D1409,"AAAAAFz9v4Q=")</f>
        <v>#VALUE!</v>
      </c>
      <c r="ED94" t="e">
        <f>AND('Planilla_General_29-11-2012_10_'!E1409,"AAAAAFz9v4U=")</f>
        <v>#VALUE!</v>
      </c>
      <c r="EE94" t="e">
        <f>AND('Planilla_General_29-11-2012_10_'!F1409,"AAAAAFz9v4Y=")</f>
        <v>#VALUE!</v>
      </c>
      <c r="EF94" t="e">
        <f>AND('Planilla_General_29-11-2012_10_'!G1409,"AAAAAFz9v4c=")</f>
        <v>#VALUE!</v>
      </c>
      <c r="EG94" t="e">
        <f>AND('Planilla_General_29-11-2012_10_'!H1409,"AAAAAFz9v4g=")</f>
        <v>#VALUE!</v>
      </c>
      <c r="EH94" t="e">
        <f>AND('Planilla_General_29-11-2012_10_'!I1409,"AAAAAFz9v4k=")</f>
        <v>#VALUE!</v>
      </c>
      <c r="EI94" t="e">
        <f>AND('Planilla_General_29-11-2012_10_'!J1409,"AAAAAFz9v4o=")</f>
        <v>#VALUE!</v>
      </c>
      <c r="EJ94" t="e">
        <f>AND('Planilla_General_29-11-2012_10_'!K1409,"AAAAAFz9v4s=")</f>
        <v>#VALUE!</v>
      </c>
      <c r="EK94" t="e">
        <f>AND('Planilla_General_29-11-2012_10_'!L1409,"AAAAAFz9v4w=")</f>
        <v>#VALUE!</v>
      </c>
      <c r="EL94" t="e">
        <f>AND('Planilla_General_29-11-2012_10_'!M1409,"AAAAAFz9v40=")</f>
        <v>#VALUE!</v>
      </c>
      <c r="EM94" t="e">
        <f>AND('Planilla_General_29-11-2012_10_'!N1409,"AAAAAFz9v44=")</f>
        <v>#VALUE!</v>
      </c>
      <c r="EN94" t="e">
        <f>AND('Planilla_General_29-11-2012_10_'!O1409,"AAAAAFz9v48=")</f>
        <v>#VALUE!</v>
      </c>
      <c r="EO94" t="e">
        <f>AND('Planilla_General_29-11-2012_10_'!P1409,"AAAAAFz9v5A=")</f>
        <v>#VALUE!</v>
      </c>
      <c r="EP94">
        <f>IF('Planilla_General_29-11-2012_10_'!1410:1410,"AAAAAFz9v5E=",0)</f>
        <v>0</v>
      </c>
      <c r="EQ94" t="e">
        <f>AND('Planilla_General_29-11-2012_10_'!A1410,"AAAAAFz9v5I=")</f>
        <v>#VALUE!</v>
      </c>
      <c r="ER94" t="e">
        <f>AND('Planilla_General_29-11-2012_10_'!B1410,"AAAAAFz9v5M=")</f>
        <v>#VALUE!</v>
      </c>
      <c r="ES94" t="e">
        <f>AND('Planilla_General_29-11-2012_10_'!C1410,"AAAAAFz9v5Q=")</f>
        <v>#VALUE!</v>
      </c>
      <c r="ET94" t="e">
        <f>AND('Planilla_General_29-11-2012_10_'!D1410,"AAAAAFz9v5U=")</f>
        <v>#VALUE!</v>
      </c>
      <c r="EU94" t="e">
        <f>AND('Planilla_General_29-11-2012_10_'!E1410,"AAAAAFz9v5Y=")</f>
        <v>#VALUE!</v>
      </c>
      <c r="EV94" t="e">
        <f>AND('Planilla_General_29-11-2012_10_'!F1410,"AAAAAFz9v5c=")</f>
        <v>#VALUE!</v>
      </c>
      <c r="EW94" t="e">
        <f>AND('Planilla_General_29-11-2012_10_'!G1410,"AAAAAFz9v5g=")</f>
        <v>#VALUE!</v>
      </c>
      <c r="EX94" t="e">
        <f>AND('Planilla_General_29-11-2012_10_'!H1410,"AAAAAFz9v5k=")</f>
        <v>#VALUE!</v>
      </c>
      <c r="EY94" t="e">
        <f>AND('Planilla_General_29-11-2012_10_'!I1410,"AAAAAFz9v5o=")</f>
        <v>#VALUE!</v>
      </c>
      <c r="EZ94" t="e">
        <f>AND('Planilla_General_29-11-2012_10_'!J1410,"AAAAAFz9v5s=")</f>
        <v>#VALUE!</v>
      </c>
      <c r="FA94" t="e">
        <f>AND('Planilla_General_29-11-2012_10_'!K1410,"AAAAAFz9v5w=")</f>
        <v>#VALUE!</v>
      </c>
      <c r="FB94" t="e">
        <f>AND('Planilla_General_29-11-2012_10_'!L1410,"AAAAAFz9v50=")</f>
        <v>#VALUE!</v>
      </c>
      <c r="FC94" t="e">
        <f>AND('Planilla_General_29-11-2012_10_'!M1410,"AAAAAFz9v54=")</f>
        <v>#VALUE!</v>
      </c>
      <c r="FD94" t="e">
        <f>AND('Planilla_General_29-11-2012_10_'!N1410,"AAAAAFz9v58=")</f>
        <v>#VALUE!</v>
      </c>
      <c r="FE94" t="e">
        <f>AND('Planilla_General_29-11-2012_10_'!O1410,"AAAAAFz9v6A=")</f>
        <v>#VALUE!</v>
      </c>
      <c r="FF94" t="e">
        <f>AND('Planilla_General_29-11-2012_10_'!P1410,"AAAAAFz9v6E=")</f>
        <v>#VALUE!</v>
      </c>
      <c r="FG94">
        <f>IF('Planilla_General_29-11-2012_10_'!1411:1411,"AAAAAFz9v6I=",0)</f>
        <v>0</v>
      </c>
      <c r="FH94" t="e">
        <f>AND('Planilla_General_29-11-2012_10_'!A1411,"AAAAAFz9v6M=")</f>
        <v>#VALUE!</v>
      </c>
      <c r="FI94" t="e">
        <f>AND('Planilla_General_29-11-2012_10_'!B1411,"AAAAAFz9v6Q=")</f>
        <v>#VALUE!</v>
      </c>
      <c r="FJ94" t="e">
        <f>AND('Planilla_General_29-11-2012_10_'!C1411,"AAAAAFz9v6U=")</f>
        <v>#VALUE!</v>
      </c>
      <c r="FK94" t="e">
        <f>AND('Planilla_General_29-11-2012_10_'!D1411,"AAAAAFz9v6Y=")</f>
        <v>#VALUE!</v>
      </c>
      <c r="FL94" t="e">
        <f>AND('Planilla_General_29-11-2012_10_'!E1411,"AAAAAFz9v6c=")</f>
        <v>#VALUE!</v>
      </c>
      <c r="FM94" t="e">
        <f>AND('Planilla_General_29-11-2012_10_'!F1411,"AAAAAFz9v6g=")</f>
        <v>#VALUE!</v>
      </c>
      <c r="FN94" t="e">
        <f>AND('Planilla_General_29-11-2012_10_'!G1411,"AAAAAFz9v6k=")</f>
        <v>#VALUE!</v>
      </c>
      <c r="FO94" t="e">
        <f>AND('Planilla_General_29-11-2012_10_'!H1411,"AAAAAFz9v6o=")</f>
        <v>#VALUE!</v>
      </c>
      <c r="FP94" t="e">
        <f>AND('Planilla_General_29-11-2012_10_'!I1411,"AAAAAFz9v6s=")</f>
        <v>#VALUE!</v>
      </c>
      <c r="FQ94" t="e">
        <f>AND('Planilla_General_29-11-2012_10_'!J1411,"AAAAAFz9v6w=")</f>
        <v>#VALUE!</v>
      </c>
      <c r="FR94" t="e">
        <f>AND('Planilla_General_29-11-2012_10_'!K1411,"AAAAAFz9v60=")</f>
        <v>#VALUE!</v>
      </c>
      <c r="FS94" t="e">
        <f>AND('Planilla_General_29-11-2012_10_'!L1411,"AAAAAFz9v64=")</f>
        <v>#VALUE!</v>
      </c>
      <c r="FT94" t="e">
        <f>AND('Planilla_General_29-11-2012_10_'!M1411,"AAAAAFz9v68=")</f>
        <v>#VALUE!</v>
      </c>
      <c r="FU94" t="e">
        <f>AND('Planilla_General_29-11-2012_10_'!N1411,"AAAAAFz9v7A=")</f>
        <v>#VALUE!</v>
      </c>
      <c r="FV94" t="e">
        <f>AND('Planilla_General_29-11-2012_10_'!O1411,"AAAAAFz9v7E=")</f>
        <v>#VALUE!</v>
      </c>
      <c r="FW94" t="e">
        <f>AND('Planilla_General_29-11-2012_10_'!P1411,"AAAAAFz9v7I=")</f>
        <v>#VALUE!</v>
      </c>
      <c r="FX94">
        <f>IF('Planilla_General_29-11-2012_10_'!1412:1412,"AAAAAFz9v7M=",0)</f>
        <v>0</v>
      </c>
      <c r="FY94" t="e">
        <f>AND('Planilla_General_29-11-2012_10_'!A1412,"AAAAAFz9v7Q=")</f>
        <v>#VALUE!</v>
      </c>
      <c r="FZ94" t="e">
        <f>AND('Planilla_General_29-11-2012_10_'!B1412,"AAAAAFz9v7U=")</f>
        <v>#VALUE!</v>
      </c>
      <c r="GA94" t="e">
        <f>AND('Planilla_General_29-11-2012_10_'!C1412,"AAAAAFz9v7Y=")</f>
        <v>#VALUE!</v>
      </c>
      <c r="GB94" t="e">
        <f>AND('Planilla_General_29-11-2012_10_'!D1412,"AAAAAFz9v7c=")</f>
        <v>#VALUE!</v>
      </c>
      <c r="GC94" t="e">
        <f>AND('Planilla_General_29-11-2012_10_'!E1412,"AAAAAFz9v7g=")</f>
        <v>#VALUE!</v>
      </c>
      <c r="GD94" t="e">
        <f>AND('Planilla_General_29-11-2012_10_'!F1412,"AAAAAFz9v7k=")</f>
        <v>#VALUE!</v>
      </c>
      <c r="GE94" t="e">
        <f>AND('Planilla_General_29-11-2012_10_'!G1412,"AAAAAFz9v7o=")</f>
        <v>#VALUE!</v>
      </c>
      <c r="GF94" t="e">
        <f>AND('Planilla_General_29-11-2012_10_'!H1412,"AAAAAFz9v7s=")</f>
        <v>#VALUE!</v>
      </c>
      <c r="GG94" t="e">
        <f>AND('Planilla_General_29-11-2012_10_'!I1412,"AAAAAFz9v7w=")</f>
        <v>#VALUE!</v>
      </c>
      <c r="GH94" t="e">
        <f>AND('Planilla_General_29-11-2012_10_'!J1412,"AAAAAFz9v70=")</f>
        <v>#VALUE!</v>
      </c>
      <c r="GI94" t="e">
        <f>AND('Planilla_General_29-11-2012_10_'!K1412,"AAAAAFz9v74=")</f>
        <v>#VALUE!</v>
      </c>
      <c r="GJ94" t="e">
        <f>AND('Planilla_General_29-11-2012_10_'!L1412,"AAAAAFz9v78=")</f>
        <v>#VALUE!</v>
      </c>
      <c r="GK94" t="e">
        <f>AND('Planilla_General_29-11-2012_10_'!M1412,"AAAAAFz9v8A=")</f>
        <v>#VALUE!</v>
      </c>
      <c r="GL94" t="e">
        <f>AND('Planilla_General_29-11-2012_10_'!N1412,"AAAAAFz9v8E=")</f>
        <v>#VALUE!</v>
      </c>
      <c r="GM94" t="e">
        <f>AND('Planilla_General_29-11-2012_10_'!O1412,"AAAAAFz9v8I=")</f>
        <v>#VALUE!</v>
      </c>
      <c r="GN94" t="e">
        <f>AND('Planilla_General_29-11-2012_10_'!P1412,"AAAAAFz9v8M=")</f>
        <v>#VALUE!</v>
      </c>
      <c r="GO94">
        <f>IF('Planilla_General_29-11-2012_10_'!1413:1413,"AAAAAFz9v8Q=",0)</f>
        <v>0</v>
      </c>
      <c r="GP94" t="e">
        <f>AND('Planilla_General_29-11-2012_10_'!A1413,"AAAAAFz9v8U=")</f>
        <v>#VALUE!</v>
      </c>
      <c r="GQ94" t="e">
        <f>AND('Planilla_General_29-11-2012_10_'!B1413,"AAAAAFz9v8Y=")</f>
        <v>#VALUE!</v>
      </c>
      <c r="GR94" t="e">
        <f>AND('Planilla_General_29-11-2012_10_'!C1413,"AAAAAFz9v8c=")</f>
        <v>#VALUE!</v>
      </c>
      <c r="GS94" t="e">
        <f>AND('Planilla_General_29-11-2012_10_'!D1413,"AAAAAFz9v8g=")</f>
        <v>#VALUE!</v>
      </c>
      <c r="GT94" t="e">
        <f>AND('Planilla_General_29-11-2012_10_'!E1413,"AAAAAFz9v8k=")</f>
        <v>#VALUE!</v>
      </c>
      <c r="GU94" t="e">
        <f>AND('Planilla_General_29-11-2012_10_'!F1413,"AAAAAFz9v8o=")</f>
        <v>#VALUE!</v>
      </c>
      <c r="GV94" t="e">
        <f>AND('Planilla_General_29-11-2012_10_'!G1413,"AAAAAFz9v8s=")</f>
        <v>#VALUE!</v>
      </c>
      <c r="GW94" t="e">
        <f>AND('Planilla_General_29-11-2012_10_'!H1413,"AAAAAFz9v8w=")</f>
        <v>#VALUE!</v>
      </c>
      <c r="GX94" t="e">
        <f>AND('Planilla_General_29-11-2012_10_'!I1413,"AAAAAFz9v80=")</f>
        <v>#VALUE!</v>
      </c>
      <c r="GY94" t="e">
        <f>AND('Planilla_General_29-11-2012_10_'!J1413,"AAAAAFz9v84=")</f>
        <v>#VALUE!</v>
      </c>
      <c r="GZ94" t="e">
        <f>AND('Planilla_General_29-11-2012_10_'!K1413,"AAAAAFz9v88=")</f>
        <v>#VALUE!</v>
      </c>
      <c r="HA94" t="e">
        <f>AND('Planilla_General_29-11-2012_10_'!L1413,"AAAAAFz9v9A=")</f>
        <v>#VALUE!</v>
      </c>
      <c r="HB94" t="e">
        <f>AND('Planilla_General_29-11-2012_10_'!M1413,"AAAAAFz9v9E=")</f>
        <v>#VALUE!</v>
      </c>
      <c r="HC94" t="e">
        <f>AND('Planilla_General_29-11-2012_10_'!N1413,"AAAAAFz9v9I=")</f>
        <v>#VALUE!</v>
      </c>
      <c r="HD94" t="e">
        <f>AND('Planilla_General_29-11-2012_10_'!O1413,"AAAAAFz9v9M=")</f>
        <v>#VALUE!</v>
      </c>
      <c r="HE94" t="e">
        <f>AND('Planilla_General_29-11-2012_10_'!P1413,"AAAAAFz9v9Q=")</f>
        <v>#VALUE!</v>
      </c>
      <c r="HF94">
        <f>IF('Planilla_General_29-11-2012_10_'!1414:1414,"AAAAAFz9v9U=",0)</f>
        <v>0</v>
      </c>
      <c r="HG94" t="e">
        <f>AND('Planilla_General_29-11-2012_10_'!A1414,"AAAAAFz9v9Y=")</f>
        <v>#VALUE!</v>
      </c>
      <c r="HH94" t="e">
        <f>AND('Planilla_General_29-11-2012_10_'!B1414,"AAAAAFz9v9c=")</f>
        <v>#VALUE!</v>
      </c>
      <c r="HI94" t="e">
        <f>AND('Planilla_General_29-11-2012_10_'!C1414,"AAAAAFz9v9g=")</f>
        <v>#VALUE!</v>
      </c>
      <c r="HJ94" t="e">
        <f>AND('Planilla_General_29-11-2012_10_'!D1414,"AAAAAFz9v9k=")</f>
        <v>#VALUE!</v>
      </c>
      <c r="HK94" t="e">
        <f>AND('Planilla_General_29-11-2012_10_'!E1414,"AAAAAFz9v9o=")</f>
        <v>#VALUE!</v>
      </c>
      <c r="HL94" t="e">
        <f>AND('Planilla_General_29-11-2012_10_'!F1414,"AAAAAFz9v9s=")</f>
        <v>#VALUE!</v>
      </c>
      <c r="HM94" t="e">
        <f>AND('Planilla_General_29-11-2012_10_'!G1414,"AAAAAFz9v9w=")</f>
        <v>#VALUE!</v>
      </c>
      <c r="HN94" t="e">
        <f>AND('Planilla_General_29-11-2012_10_'!H1414,"AAAAAFz9v90=")</f>
        <v>#VALUE!</v>
      </c>
      <c r="HO94" t="e">
        <f>AND('Planilla_General_29-11-2012_10_'!I1414,"AAAAAFz9v94=")</f>
        <v>#VALUE!</v>
      </c>
      <c r="HP94" t="e">
        <f>AND('Planilla_General_29-11-2012_10_'!J1414,"AAAAAFz9v98=")</f>
        <v>#VALUE!</v>
      </c>
      <c r="HQ94" t="e">
        <f>AND('Planilla_General_29-11-2012_10_'!K1414,"AAAAAFz9v+A=")</f>
        <v>#VALUE!</v>
      </c>
      <c r="HR94" t="e">
        <f>AND('Planilla_General_29-11-2012_10_'!L1414,"AAAAAFz9v+E=")</f>
        <v>#VALUE!</v>
      </c>
      <c r="HS94" t="e">
        <f>AND('Planilla_General_29-11-2012_10_'!M1414,"AAAAAFz9v+I=")</f>
        <v>#VALUE!</v>
      </c>
      <c r="HT94" t="e">
        <f>AND('Planilla_General_29-11-2012_10_'!N1414,"AAAAAFz9v+M=")</f>
        <v>#VALUE!</v>
      </c>
      <c r="HU94" t="e">
        <f>AND('Planilla_General_29-11-2012_10_'!O1414,"AAAAAFz9v+Q=")</f>
        <v>#VALUE!</v>
      </c>
      <c r="HV94" t="e">
        <f>AND('Planilla_General_29-11-2012_10_'!P1414,"AAAAAFz9v+U=")</f>
        <v>#VALUE!</v>
      </c>
      <c r="HW94">
        <f>IF('Planilla_General_29-11-2012_10_'!1415:1415,"AAAAAFz9v+Y=",0)</f>
        <v>0</v>
      </c>
      <c r="HX94" t="e">
        <f>AND('Planilla_General_29-11-2012_10_'!A1415,"AAAAAFz9v+c=")</f>
        <v>#VALUE!</v>
      </c>
      <c r="HY94" t="e">
        <f>AND('Planilla_General_29-11-2012_10_'!B1415,"AAAAAFz9v+g=")</f>
        <v>#VALUE!</v>
      </c>
      <c r="HZ94" t="e">
        <f>AND('Planilla_General_29-11-2012_10_'!C1415,"AAAAAFz9v+k=")</f>
        <v>#VALUE!</v>
      </c>
      <c r="IA94" t="e">
        <f>AND('Planilla_General_29-11-2012_10_'!D1415,"AAAAAFz9v+o=")</f>
        <v>#VALUE!</v>
      </c>
      <c r="IB94" t="e">
        <f>AND('Planilla_General_29-11-2012_10_'!E1415,"AAAAAFz9v+s=")</f>
        <v>#VALUE!</v>
      </c>
      <c r="IC94" t="e">
        <f>AND('Planilla_General_29-11-2012_10_'!F1415,"AAAAAFz9v+w=")</f>
        <v>#VALUE!</v>
      </c>
      <c r="ID94" t="e">
        <f>AND('Planilla_General_29-11-2012_10_'!G1415,"AAAAAFz9v+0=")</f>
        <v>#VALUE!</v>
      </c>
      <c r="IE94" t="e">
        <f>AND('Planilla_General_29-11-2012_10_'!H1415,"AAAAAFz9v+4=")</f>
        <v>#VALUE!</v>
      </c>
      <c r="IF94" t="e">
        <f>AND('Planilla_General_29-11-2012_10_'!I1415,"AAAAAFz9v+8=")</f>
        <v>#VALUE!</v>
      </c>
      <c r="IG94" t="e">
        <f>AND('Planilla_General_29-11-2012_10_'!J1415,"AAAAAFz9v/A=")</f>
        <v>#VALUE!</v>
      </c>
      <c r="IH94" t="e">
        <f>AND('Planilla_General_29-11-2012_10_'!K1415,"AAAAAFz9v/E=")</f>
        <v>#VALUE!</v>
      </c>
      <c r="II94" t="e">
        <f>AND('Planilla_General_29-11-2012_10_'!L1415,"AAAAAFz9v/I=")</f>
        <v>#VALUE!</v>
      </c>
      <c r="IJ94" t="e">
        <f>AND('Planilla_General_29-11-2012_10_'!M1415,"AAAAAFz9v/M=")</f>
        <v>#VALUE!</v>
      </c>
      <c r="IK94" t="e">
        <f>AND('Planilla_General_29-11-2012_10_'!N1415,"AAAAAFz9v/Q=")</f>
        <v>#VALUE!</v>
      </c>
      <c r="IL94" t="e">
        <f>AND('Planilla_General_29-11-2012_10_'!O1415,"AAAAAFz9v/U=")</f>
        <v>#VALUE!</v>
      </c>
      <c r="IM94" t="e">
        <f>AND('Planilla_General_29-11-2012_10_'!P1415,"AAAAAFz9v/Y=")</f>
        <v>#VALUE!</v>
      </c>
      <c r="IN94">
        <f>IF('Planilla_General_29-11-2012_10_'!1416:1416,"AAAAAFz9v/c=",0)</f>
        <v>0</v>
      </c>
      <c r="IO94" t="e">
        <f>AND('Planilla_General_29-11-2012_10_'!A1416,"AAAAAFz9v/g=")</f>
        <v>#VALUE!</v>
      </c>
      <c r="IP94" t="e">
        <f>AND('Planilla_General_29-11-2012_10_'!B1416,"AAAAAFz9v/k=")</f>
        <v>#VALUE!</v>
      </c>
      <c r="IQ94" t="e">
        <f>AND('Planilla_General_29-11-2012_10_'!C1416,"AAAAAFz9v/o=")</f>
        <v>#VALUE!</v>
      </c>
      <c r="IR94" t="e">
        <f>AND('Planilla_General_29-11-2012_10_'!D1416,"AAAAAFz9v/s=")</f>
        <v>#VALUE!</v>
      </c>
      <c r="IS94" t="e">
        <f>AND('Planilla_General_29-11-2012_10_'!E1416,"AAAAAFz9v/w=")</f>
        <v>#VALUE!</v>
      </c>
      <c r="IT94" t="e">
        <f>AND('Planilla_General_29-11-2012_10_'!F1416,"AAAAAFz9v/0=")</f>
        <v>#VALUE!</v>
      </c>
      <c r="IU94" t="e">
        <f>AND('Planilla_General_29-11-2012_10_'!G1416,"AAAAAFz9v/4=")</f>
        <v>#VALUE!</v>
      </c>
      <c r="IV94" t="e">
        <f>AND('Planilla_General_29-11-2012_10_'!H1416,"AAAAAFz9v/8=")</f>
        <v>#VALUE!</v>
      </c>
    </row>
    <row r="95" spans="1:256" x14ac:dyDescent="0.25">
      <c r="A95" t="e">
        <f>AND('Planilla_General_29-11-2012_10_'!I1416,"AAAAAH1N7QA=")</f>
        <v>#VALUE!</v>
      </c>
      <c r="B95" t="e">
        <f>AND('Planilla_General_29-11-2012_10_'!J1416,"AAAAAH1N7QE=")</f>
        <v>#VALUE!</v>
      </c>
      <c r="C95" t="e">
        <f>AND('Planilla_General_29-11-2012_10_'!K1416,"AAAAAH1N7QI=")</f>
        <v>#VALUE!</v>
      </c>
      <c r="D95" t="e">
        <f>AND('Planilla_General_29-11-2012_10_'!L1416,"AAAAAH1N7QM=")</f>
        <v>#VALUE!</v>
      </c>
      <c r="E95" t="e">
        <f>AND('Planilla_General_29-11-2012_10_'!M1416,"AAAAAH1N7QQ=")</f>
        <v>#VALUE!</v>
      </c>
      <c r="F95" t="e">
        <f>AND('Planilla_General_29-11-2012_10_'!N1416,"AAAAAH1N7QU=")</f>
        <v>#VALUE!</v>
      </c>
      <c r="G95" t="e">
        <f>AND('Planilla_General_29-11-2012_10_'!O1416,"AAAAAH1N7QY=")</f>
        <v>#VALUE!</v>
      </c>
      <c r="H95" t="e">
        <f>AND('Planilla_General_29-11-2012_10_'!P1416,"AAAAAH1N7Qc=")</f>
        <v>#VALUE!</v>
      </c>
      <c r="I95" t="e">
        <f>IF('Planilla_General_29-11-2012_10_'!1417:1417,"AAAAAH1N7Qg=",0)</f>
        <v>#VALUE!</v>
      </c>
      <c r="J95" t="e">
        <f>AND('Planilla_General_29-11-2012_10_'!A1417,"AAAAAH1N7Qk=")</f>
        <v>#VALUE!</v>
      </c>
      <c r="K95" t="e">
        <f>AND('Planilla_General_29-11-2012_10_'!B1417,"AAAAAH1N7Qo=")</f>
        <v>#VALUE!</v>
      </c>
      <c r="L95" t="e">
        <f>AND('Planilla_General_29-11-2012_10_'!C1417,"AAAAAH1N7Qs=")</f>
        <v>#VALUE!</v>
      </c>
      <c r="M95" t="e">
        <f>AND('Planilla_General_29-11-2012_10_'!D1417,"AAAAAH1N7Qw=")</f>
        <v>#VALUE!</v>
      </c>
      <c r="N95" t="e">
        <f>AND('Planilla_General_29-11-2012_10_'!E1417,"AAAAAH1N7Q0=")</f>
        <v>#VALUE!</v>
      </c>
      <c r="O95" t="e">
        <f>AND('Planilla_General_29-11-2012_10_'!F1417,"AAAAAH1N7Q4=")</f>
        <v>#VALUE!</v>
      </c>
      <c r="P95" t="e">
        <f>AND('Planilla_General_29-11-2012_10_'!G1417,"AAAAAH1N7Q8=")</f>
        <v>#VALUE!</v>
      </c>
      <c r="Q95" t="e">
        <f>AND('Planilla_General_29-11-2012_10_'!H1417,"AAAAAH1N7RA=")</f>
        <v>#VALUE!</v>
      </c>
      <c r="R95" t="e">
        <f>AND('Planilla_General_29-11-2012_10_'!I1417,"AAAAAH1N7RE=")</f>
        <v>#VALUE!</v>
      </c>
      <c r="S95" t="e">
        <f>AND('Planilla_General_29-11-2012_10_'!J1417,"AAAAAH1N7RI=")</f>
        <v>#VALUE!</v>
      </c>
      <c r="T95" t="e">
        <f>AND('Planilla_General_29-11-2012_10_'!K1417,"AAAAAH1N7RM=")</f>
        <v>#VALUE!</v>
      </c>
      <c r="U95" t="e">
        <f>AND('Planilla_General_29-11-2012_10_'!L1417,"AAAAAH1N7RQ=")</f>
        <v>#VALUE!</v>
      </c>
      <c r="V95" t="e">
        <f>AND('Planilla_General_29-11-2012_10_'!M1417,"AAAAAH1N7RU=")</f>
        <v>#VALUE!</v>
      </c>
      <c r="W95" t="e">
        <f>AND('Planilla_General_29-11-2012_10_'!N1417,"AAAAAH1N7RY=")</f>
        <v>#VALUE!</v>
      </c>
      <c r="X95" t="e">
        <f>AND('Planilla_General_29-11-2012_10_'!O1417,"AAAAAH1N7Rc=")</f>
        <v>#VALUE!</v>
      </c>
      <c r="Y95" t="e">
        <f>AND('Planilla_General_29-11-2012_10_'!P1417,"AAAAAH1N7Rg=")</f>
        <v>#VALUE!</v>
      </c>
      <c r="Z95">
        <f>IF('Planilla_General_29-11-2012_10_'!1418:1418,"AAAAAH1N7Rk=",0)</f>
        <v>0</v>
      </c>
      <c r="AA95" t="e">
        <f>AND('Planilla_General_29-11-2012_10_'!A1418,"AAAAAH1N7Ro=")</f>
        <v>#VALUE!</v>
      </c>
      <c r="AB95" t="e">
        <f>AND('Planilla_General_29-11-2012_10_'!B1418,"AAAAAH1N7Rs=")</f>
        <v>#VALUE!</v>
      </c>
      <c r="AC95" t="e">
        <f>AND('Planilla_General_29-11-2012_10_'!C1418,"AAAAAH1N7Rw=")</f>
        <v>#VALUE!</v>
      </c>
      <c r="AD95" t="e">
        <f>AND('Planilla_General_29-11-2012_10_'!D1418,"AAAAAH1N7R0=")</f>
        <v>#VALUE!</v>
      </c>
      <c r="AE95" t="e">
        <f>AND('Planilla_General_29-11-2012_10_'!E1418,"AAAAAH1N7R4=")</f>
        <v>#VALUE!</v>
      </c>
      <c r="AF95" t="e">
        <f>AND('Planilla_General_29-11-2012_10_'!F1418,"AAAAAH1N7R8=")</f>
        <v>#VALUE!</v>
      </c>
      <c r="AG95" t="e">
        <f>AND('Planilla_General_29-11-2012_10_'!G1418,"AAAAAH1N7SA=")</f>
        <v>#VALUE!</v>
      </c>
      <c r="AH95" t="e">
        <f>AND('Planilla_General_29-11-2012_10_'!H1418,"AAAAAH1N7SE=")</f>
        <v>#VALUE!</v>
      </c>
      <c r="AI95" t="e">
        <f>AND('Planilla_General_29-11-2012_10_'!I1418,"AAAAAH1N7SI=")</f>
        <v>#VALUE!</v>
      </c>
      <c r="AJ95" t="e">
        <f>AND('Planilla_General_29-11-2012_10_'!J1418,"AAAAAH1N7SM=")</f>
        <v>#VALUE!</v>
      </c>
      <c r="AK95" t="e">
        <f>AND('Planilla_General_29-11-2012_10_'!K1418,"AAAAAH1N7SQ=")</f>
        <v>#VALUE!</v>
      </c>
      <c r="AL95" t="e">
        <f>AND('Planilla_General_29-11-2012_10_'!L1418,"AAAAAH1N7SU=")</f>
        <v>#VALUE!</v>
      </c>
      <c r="AM95" t="e">
        <f>AND('Planilla_General_29-11-2012_10_'!M1418,"AAAAAH1N7SY=")</f>
        <v>#VALUE!</v>
      </c>
      <c r="AN95" t="e">
        <f>AND('Planilla_General_29-11-2012_10_'!N1418,"AAAAAH1N7Sc=")</f>
        <v>#VALUE!</v>
      </c>
      <c r="AO95" t="e">
        <f>AND('Planilla_General_29-11-2012_10_'!O1418,"AAAAAH1N7Sg=")</f>
        <v>#VALUE!</v>
      </c>
      <c r="AP95" t="e">
        <f>AND('Planilla_General_29-11-2012_10_'!P1418,"AAAAAH1N7Sk=")</f>
        <v>#VALUE!</v>
      </c>
      <c r="AQ95">
        <f>IF('Planilla_General_29-11-2012_10_'!1419:1419,"AAAAAH1N7So=",0)</f>
        <v>0</v>
      </c>
      <c r="AR95" t="e">
        <f>AND('Planilla_General_29-11-2012_10_'!A1419,"AAAAAH1N7Ss=")</f>
        <v>#VALUE!</v>
      </c>
      <c r="AS95" t="e">
        <f>AND('Planilla_General_29-11-2012_10_'!B1419,"AAAAAH1N7Sw=")</f>
        <v>#VALUE!</v>
      </c>
      <c r="AT95" t="e">
        <f>AND('Planilla_General_29-11-2012_10_'!C1419,"AAAAAH1N7S0=")</f>
        <v>#VALUE!</v>
      </c>
      <c r="AU95" t="e">
        <f>AND('Planilla_General_29-11-2012_10_'!D1419,"AAAAAH1N7S4=")</f>
        <v>#VALUE!</v>
      </c>
      <c r="AV95" t="e">
        <f>AND('Planilla_General_29-11-2012_10_'!E1419,"AAAAAH1N7S8=")</f>
        <v>#VALUE!</v>
      </c>
      <c r="AW95" t="e">
        <f>AND('Planilla_General_29-11-2012_10_'!F1419,"AAAAAH1N7TA=")</f>
        <v>#VALUE!</v>
      </c>
      <c r="AX95" t="e">
        <f>AND('Planilla_General_29-11-2012_10_'!G1419,"AAAAAH1N7TE=")</f>
        <v>#VALUE!</v>
      </c>
      <c r="AY95" t="e">
        <f>AND('Planilla_General_29-11-2012_10_'!H1419,"AAAAAH1N7TI=")</f>
        <v>#VALUE!</v>
      </c>
      <c r="AZ95" t="e">
        <f>AND('Planilla_General_29-11-2012_10_'!I1419,"AAAAAH1N7TM=")</f>
        <v>#VALUE!</v>
      </c>
      <c r="BA95" t="e">
        <f>AND('Planilla_General_29-11-2012_10_'!J1419,"AAAAAH1N7TQ=")</f>
        <v>#VALUE!</v>
      </c>
      <c r="BB95" t="e">
        <f>AND('Planilla_General_29-11-2012_10_'!K1419,"AAAAAH1N7TU=")</f>
        <v>#VALUE!</v>
      </c>
      <c r="BC95" t="e">
        <f>AND('Planilla_General_29-11-2012_10_'!L1419,"AAAAAH1N7TY=")</f>
        <v>#VALUE!</v>
      </c>
      <c r="BD95" t="e">
        <f>AND('Planilla_General_29-11-2012_10_'!M1419,"AAAAAH1N7Tc=")</f>
        <v>#VALUE!</v>
      </c>
      <c r="BE95" t="e">
        <f>AND('Planilla_General_29-11-2012_10_'!N1419,"AAAAAH1N7Tg=")</f>
        <v>#VALUE!</v>
      </c>
      <c r="BF95" t="e">
        <f>AND('Planilla_General_29-11-2012_10_'!O1419,"AAAAAH1N7Tk=")</f>
        <v>#VALUE!</v>
      </c>
      <c r="BG95" t="e">
        <f>AND('Planilla_General_29-11-2012_10_'!P1419,"AAAAAH1N7To=")</f>
        <v>#VALUE!</v>
      </c>
      <c r="BH95">
        <f>IF('Planilla_General_29-11-2012_10_'!1420:1420,"AAAAAH1N7Ts=",0)</f>
        <v>0</v>
      </c>
      <c r="BI95" t="e">
        <f>AND('Planilla_General_29-11-2012_10_'!A1420,"AAAAAH1N7Tw=")</f>
        <v>#VALUE!</v>
      </c>
      <c r="BJ95" t="e">
        <f>AND('Planilla_General_29-11-2012_10_'!B1420,"AAAAAH1N7T0=")</f>
        <v>#VALUE!</v>
      </c>
      <c r="BK95" t="e">
        <f>AND('Planilla_General_29-11-2012_10_'!C1420,"AAAAAH1N7T4=")</f>
        <v>#VALUE!</v>
      </c>
      <c r="BL95" t="e">
        <f>AND('Planilla_General_29-11-2012_10_'!D1420,"AAAAAH1N7T8=")</f>
        <v>#VALUE!</v>
      </c>
      <c r="BM95" t="e">
        <f>AND('Planilla_General_29-11-2012_10_'!E1420,"AAAAAH1N7UA=")</f>
        <v>#VALUE!</v>
      </c>
      <c r="BN95" t="e">
        <f>AND('Planilla_General_29-11-2012_10_'!F1420,"AAAAAH1N7UE=")</f>
        <v>#VALUE!</v>
      </c>
      <c r="BO95" t="e">
        <f>AND('Planilla_General_29-11-2012_10_'!G1420,"AAAAAH1N7UI=")</f>
        <v>#VALUE!</v>
      </c>
      <c r="BP95" t="e">
        <f>AND('Planilla_General_29-11-2012_10_'!H1420,"AAAAAH1N7UM=")</f>
        <v>#VALUE!</v>
      </c>
      <c r="BQ95" t="e">
        <f>AND('Planilla_General_29-11-2012_10_'!I1420,"AAAAAH1N7UQ=")</f>
        <v>#VALUE!</v>
      </c>
      <c r="BR95" t="e">
        <f>AND('Planilla_General_29-11-2012_10_'!J1420,"AAAAAH1N7UU=")</f>
        <v>#VALUE!</v>
      </c>
      <c r="BS95" t="e">
        <f>AND('Planilla_General_29-11-2012_10_'!K1420,"AAAAAH1N7UY=")</f>
        <v>#VALUE!</v>
      </c>
      <c r="BT95" t="e">
        <f>AND('Planilla_General_29-11-2012_10_'!L1420,"AAAAAH1N7Uc=")</f>
        <v>#VALUE!</v>
      </c>
      <c r="BU95" t="e">
        <f>AND('Planilla_General_29-11-2012_10_'!M1420,"AAAAAH1N7Ug=")</f>
        <v>#VALUE!</v>
      </c>
      <c r="BV95" t="e">
        <f>AND('Planilla_General_29-11-2012_10_'!N1420,"AAAAAH1N7Uk=")</f>
        <v>#VALUE!</v>
      </c>
      <c r="BW95" t="e">
        <f>AND('Planilla_General_29-11-2012_10_'!O1420,"AAAAAH1N7Uo=")</f>
        <v>#VALUE!</v>
      </c>
      <c r="BX95" t="e">
        <f>AND('Planilla_General_29-11-2012_10_'!P1420,"AAAAAH1N7Us=")</f>
        <v>#VALUE!</v>
      </c>
      <c r="BY95">
        <f>IF('Planilla_General_29-11-2012_10_'!1421:1421,"AAAAAH1N7Uw=",0)</f>
        <v>0</v>
      </c>
      <c r="BZ95" t="e">
        <f>AND('Planilla_General_29-11-2012_10_'!A1421,"AAAAAH1N7U0=")</f>
        <v>#VALUE!</v>
      </c>
      <c r="CA95" t="e">
        <f>AND('Planilla_General_29-11-2012_10_'!B1421,"AAAAAH1N7U4=")</f>
        <v>#VALUE!</v>
      </c>
      <c r="CB95" t="e">
        <f>AND('Planilla_General_29-11-2012_10_'!C1421,"AAAAAH1N7U8=")</f>
        <v>#VALUE!</v>
      </c>
      <c r="CC95" t="e">
        <f>AND('Planilla_General_29-11-2012_10_'!D1421,"AAAAAH1N7VA=")</f>
        <v>#VALUE!</v>
      </c>
      <c r="CD95" t="e">
        <f>AND('Planilla_General_29-11-2012_10_'!E1421,"AAAAAH1N7VE=")</f>
        <v>#VALUE!</v>
      </c>
      <c r="CE95" t="e">
        <f>AND('Planilla_General_29-11-2012_10_'!F1421,"AAAAAH1N7VI=")</f>
        <v>#VALUE!</v>
      </c>
      <c r="CF95" t="e">
        <f>AND('Planilla_General_29-11-2012_10_'!G1421,"AAAAAH1N7VM=")</f>
        <v>#VALUE!</v>
      </c>
      <c r="CG95" t="e">
        <f>AND('Planilla_General_29-11-2012_10_'!H1421,"AAAAAH1N7VQ=")</f>
        <v>#VALUE!</v>
      </c>
      <c r="CH95" t="e">
        <f>AND('Planilla_General_29-11-2012_10_'!I1421,"AAAAAH1N7VU=")</f>
        <v>#VALUE!</v>
      </c>
      <c r="CI95" t="e">
        <f>AND('Planilla_General_29-11-2012_10_'!J1421,"AAAAAH1N7VY=")</f>
        <v>#VALUE!</v>
      </c>
      <c r="CJ95" t="e">
        <f>AND('Planilla_General_29-11-2012_10_'!K1421,"AAAAAH1N7Vc=")</f>
        <v>#VALUE!</v>
      </c>
      <c r="CK95" t="e">
        <f>AND('Planilla_General_29-11-2012_10_'!L1421,"AAAAAH1N7Vg=")</f>
        <v>#VALUE!</v>
      </c>
      <c r="CL95" t="e">
        <f>AND('Planilla_General_29-11-2012_10_'!M1421,"AAAAAH1N7Vk=")</f>
        <v>#VALUE!</v>
      </c>
      <c r="CM95" t="e">
        <f>AND('Planilla_General_29-11-2012_10_'!N1421,"AAAAAH1N7Vo=")</f>
        <v>#VALUE!</v>
      </c>
      <c r="CN95" t="e">
        <f>AND('Planilla_General_29-11-2012_10_'!O1421,"AAAAAH1N7Vs=")</f>
        <v>#VALUE!</v>
      </c>
      <c r="CO95" t="e">
        <f>AND('Planilla_General_29-11-2012_10_'!P1421,"AAAAAH1N7Vw=")</f>
        <v>#VALUE!</v>
      </c>
      <c r="CP95">
        <f>IF('Planilla_General_29-11-2012_10_'!1422:1422,"AAAAAH1N7V0=",0)</f>
        <v>0</v>
      </c>
      <c r="CQ95" t="e">
        <f>AND('Planilla_General_29-11-2012_10_'!A1422,"AAAAAH1N7V4=")</f>
        <v>#VALUE!</v>
      </c>
      <c r="CR95" t="e">
        <f>AND('Planilla_General_29-11-2012_10_'!B1422,"AAAAAH1N7V8=")</f>
        <v>#VALUE!</v>
      </c>
      <c r="CS95" t="e">
        <f>AND('Planilla_General_29-11-2012_10_'!C1422,"AAAAAH1N7WA=")</f>
        <v>#VALUE!</v>
      </c>
      <c r="CT95" t="e">
        <f>AND('Planilla_General_29-11-2012_10_'!D1422,"AAAAAH1N7WE=")</f>
        <v>#VALUE!</v>
      </c>
      <c r="CU95" t="e">
        <f>AND('Planilla_General_29-11-2012_10_'!E1422,"AAAAAH1N7WI=")</f>
        <v>#VALUE!</v>
      </c>
      <c r="CV95" t="e">
        <f>AND('Planilla_General_29-11-2012_10_'!F1422,"AAAAAH1N7WM=")</f>
        <v>#VALUE!</v>
      </c>
      <c r="CW95" t="e">
        <f>AND('Planilla_General_29-11-2012_10_'!G1422,"AAAAAH1N7WQ=")</f>
        <v>#VALUE!</v>
      </c>
      <c r="CX95" t="e">
        <f>AND('Planilla_General_29-11-2012_10_'!H1422,"AAAAAH1N7WU=")</f>
        <v>#VALUE!</v>
      </c>
      <c r="CY95" t="e">
        <f>AND('Planilla_General_29-11-2012_10_'!I1422,"AAAAAH1N7WY=")</f>
        <v>#VALUE!</v>
      </c>
      <c r="CZ95" t="e">
        <f>AND('Planilla_General_29-11-2012_10_'!J1422,"AAAAAH1N7Wc=")</f>
        <v>#VALUE!</v>
      </c>
      <c r="DA95" t="e">
        <f>AND('Planilla_General_29-11-2012_10_'!K1422,"AAAAAH1N7Wg=")</f>
        <v>#VALUE!</v>
      </c>
      <c r="DB95" t="e">
        <f>AND('Planilla_General_29-11-2012_10_'!L1422,"AAAAAH1N7Wk=")</f>
        <v>#VALUE!</v>
      </c>
      <c r="DC95" t="e">
        <f>AND('Planilla_General_29-11-2012_10_'!M1422,"AAAAAH1N7Wo=")</f>
        <v>#VALUE!</v>
      </c>
      <c r="DD95" t="e">
        <f>AND('Planilla_General_29-11-2012_10_'!N1422,"AAAAAH1N7Ws=")</f>
        <v>#VALUE!</v>
      </c>
      <c r="DE95" t="e">
        <f>AND('Planilla_General_29-11-2012_10_'!O1422,"AAAAAH1N7Ww=")</f>
        <v>#VALUE!</v>
      </c>
      <c r="DF95" t="e">
        <f>AND('Planilla_General_29-11-2012_10_'!P1422,"AAAAAH1N7W0=")</f>
        <v>#VALUE!</v>
      </c>
      <c r="DG95">
        <f>IF('Planilla_General_29-11-2012_10_'!1423:1423,"AAAAAH1N7W4=",0)</f>
        <v>0</v>
      </c>
      <c r="DH95" t="e">
        <f>AND('Planilla_General_29-11-2012_10_'!A1423,"AAAAAH1N7W8=")</f>
        <v>#VALUE!</v>
      </c>
      <c r="DI95" t="e">
        <f>AND('Planilla_General_29-11-2012_10_'!B1423,"AAAAAH1N7XA=")</f>
        <v>#VALUE!</v>
      </c>
      <c r="DJ95" t="e">
        <f>AND('Planilla_General_29-11-2012_10_'!C1423,"AAAAAH1N7XE=")</f>
        <v>#VALUE!</v>
      </c>
      <c r="DK95" t="e">
        <f>AND('Planilla_General_29-11-2012_10_'!D1423,"AAAAAH1N7XI=")</f>
        <v>#VALUE!</v>
      </c>
      <c r="DL95" t="e">
        <f>AND('Planilla_General_29-11-2012_10_'!E1423,"AAAAAH1N7XM=")</f>
        <v>#VALUE!</v>
      </c>
      <c r="DM95" t="e">
        <f>AND('Planilla_General_29-11-2012_10_'!F1423,"AAAAAH1N7XQ=")</f>
        <v>#VALUE!</v>
      </c>
      <c r="DN95" t="e">
        <f>AND('Planilla_General_29-11-2012_10_'!G1423,"AAAAAH1N7XU=")</f>
        <v>#VALUE!</v>
      </c>
      <c r="DO95" t="e">
        <f>AND('Planilla_General_29-11-2012_10_'!H1423,"AAAAAH1N7XY=")</f>
        <v>#VALUE!</v>
      </c>
      <c r="DP95" t="e">
        <f>AND('Planilla_General_29-11-2012_10_'!I1423,"AAAAAH1N7Xc=")</f>
        <v>#VALUE!</v>
      </c>
      <c r="DQ95" t="e">
        <f>AND('Planilla_General_29-11-2012_10_'!J1423,"AAAAAH1N7Xg=")</f>
        <v>#VALUE!</v>
      </c>
      <c r="DR95" t="e">
        <f>AND('Planilla_General_29-11-2012_10_'!K1423,"AAAAAH1N7Xk=")</f>
        <v>#VALUE!</v>
      </c>
      <c r="DS95" t="e">
        <f>AND('Planilla_General_29-11-2012_10_'!L1423,"AAAAAH1N7Xo=")</f>
        <v>#VALUE!</v>
      </c>
      <c r="DT95" t="e">
        <f>AND('Planilla_General_29-11-2012_10_'!M1423,"AAAAAH1N7Xs=")</f>
        <v>#VALUE!</v>
      </c>
      <c r="DU95" t="e">
        <f>AND('Planilla_General_29-11-2012_10_'!N1423,"AAAAAH1N7Xw=")</f>
        <v>#VALUE!</v>
      </c>
      <c r="DV95" t="e">
        <f>AND('Planilla_General_29-11-2012_10_'!O1423,"AAAAAH1N7X0=")</f>
        <v>#VALUE!</v>
      </c>
      <c r="DW95" t="e">
        <f>AND('Planilla_General_29-11-2012_10_'!P1423,"AAAAAH1N7X4=")</f>
        <v>#VALUE!</v>
      </c>
      <c r="DX95">
        <f>IF('Planilla_General_29-11-2012_10_'!1424:1424,"AAAAAH1N7X8=",0)</f>
        <v>0</v>
      </c>
      <c r="DY95" t="e">
        <f>AND('Planilla_General_29-11-2012_10_'!A1424,"AAAAAH1N7YA=")</f>
        <v>#VALUE!</v>
      </c>
      <c r="DZ95" t="e">
        <f>AND('Planilla_General_29-11-2012_10_'!B1424,"AAAAAH1N7YE=")</f>
        <v>#VALUE!</v>
      </c>
      <c r="EA95" t="e">
        <f>AND('Planilla_General_29-11-2012_10_'!C1424,"AAAAAH1N7YI=")</f>
        <v>#VALUE!</v>
      </c>
      <c r="EB95" t="e">
        <f>AND('Planilla_General_29-11-2012_10_'!D1424,"AAAAAH1N7YM=")</f>
        <v>#VALUE!</v>
      </c>
      <c r="EC95" t="e">
        <f>AND('Planilla_General_29-11-2012_10_'!E1424,"AAAAAH1N7YQ=")</f>
        <v>#VALUE!</v>
      </c>
      <c r="ED95" t="e">
        <f>AND('Planilla_General_29-11-2012_10_'!F1424,"AAAAAH1N7YU=")</f>
        <v>#VALUE!</v>
      </c>
      <c r="EE95" t="e">
        <f>AND('Planilla_General_29-11-2012_10_'!G1424,"AAAAAH1N7YY=")</f>
        <v>#VALUE!</v>
      </c>
      <c r="EF95" t="e">
        <f>AND('Planilla_General_29-11-2012_10_'!H1424,"AAAAAH1N7Yc=")</f>
        <v>#VALUE!</v>
      </c>
      <c r="EG95" t="e">
        <f>AND('Planilla_General_29-11-2012_10_'!I1424,"AAAAAH1N7Yg=")</f>
        <v>#VALUE!</v>
      </c>
      <c r="EH95" t="e">
        <f>AND('Planilla_General_29-11-2012_10_'!J1424,"AAAAAH1N7Yk=")</f>
        <v>#VALUE!</v>
      </c>
      <c r="EI95" t="e">
        <f>AND('Planilla_General_29-11-2012_10_'!K1424,"AAAAAH1N7Yo=")</f>
        <v>#VALUE!</v>
      </c>
      <c r="EJ95" t="e">
        <f>AND('Planilla_General_29-11-2012_10_'!L1424,"AAAAAH1N7Ys=")</f>
        <v>#VALUE!</v>
      </c>
      <c r="EK95" t="e">
        <f>AND('Planilla_General_29-11-2012_10_'!M1424,"AAAAAH1N7Yw=")</f>
        <v>#VALUE!</v>
      </c>
      <c r="EL95" t="e">
        <f>AND('Planilla_General_29-11-2012_10_'!N1424,"AAAAAH1N7Y0=")</f>
        <v>#VALUE!</v>
      </c>
      <c r="EM95" t="e">
        <f>AND('Planilla_General_29-11-2012_10_'!O1424,"AAAAAH1N7Y4=")</f>
        <v>#VALUE!</v>
      </c>
      <c r="EN95" t="e">
        <f>AND('Planilla_General_29-11-2012_10_'!P1424,"AAAAAH1N7Y8=")</f>
        <v>#VALUE!</v>
      </c>
      <c r="EO95">
        <f>IF('Planilla_General_29-11-2012_10_'!1425:1425,"AAAAAH1N7ZA=",0)</f>
        <v>0</v>
      </c>
      <c r="EP95" t="e">
        <f>AND('Planilla_General_29-11-2012_10_'!A1425,"AAAAAH1N7ZE=")</f>
        <v>#VALUE!</v>
      </c>
      <c r="EQ95" t="e">
        <f>AND('Planilla_General_29-11-2012_10_'!B1425,"AAAAAH1N7ZI=")</f>
        <v>#VALUE!</v>
      </c>
      <c r="ER95" t="e">
        <f>AND('Planilla_General_29-11-2012_10_'!C1425,"AAAAAH1N7ZM=")</f>
        <v>#VALUE!</v>
      </c>
      <c r="ES95" t="e">
        <f>AND('Planilla_General_29-11-2012_10_'!D1425,"AAAAAH1N7ZQ=")</f>
        <v>#VALUE!</v>
      </c>
      <c r="ET95" t="e">
        <f>AND('Planilla_General_29-11-2012_10_'!E1425,"AAAAAH1N7ZU=")</f>
        <v>#VALUE!</v>
      </c>
      <c r="EU95" t="e">
        <f>AND('Planilla_General_29-11-2012_10_'!F1425,"AAAAAH1N7ZY=")</f>
        <v>#VALUE!</v>
      </c>
      <c r="EV95" t="e">
        <f>AND('Planilla_General_29-11-2012_10_'!G1425,"AAAAAH1N7Zc=")</f>
        <v>#VALUE!</v>
      </c>
      <c r="EW95" t="e">
        <f>AND('Planilla_General_29-11-2012_10_'!H1425,"AAAAAH1N7Zg=")</f>
        <v>#VALUE!</v>
      </c>
      <c r="EX95" t="e">
        <f>AND('Planilla_General_29-11-2012_10_'!I1425,"AAAAAH1N7Zk=")</f>
        <v>#VALUE!</v>
      </c>
      <c r="EY95" t="e">
        <f>AND('Planilla_General_29-11-2012_10_'!J1425,"AAAAAH1N7Zo=")</f>
        <v>#VALUE!</v>
      </c>
      <c r="EZ95" t="e">
        <f>AND('Planilla_General_29-11-2012_10_'!K1425,"AAAAAH1N7Zs=")</f>
        <v>#VALUE!</v>
      </c>
      <c r="FA95" t="e">
        <f>AND('Planilla_General_29-11-2012_10_'!L1425,"AAAAAH1N7Zw=")</f>
        <v>#VALUE!</v>
      </c>
      <c r="FB95" t="e">
        <f>AND('Planilla_General_29-11-2012_10_'!M1425,"AAAAAH1N7Z0=")</f>
        <v>#VALUE!</v>
      </c>
      <c r="FC95" t="e">
        <f>AND('Planilla_General_29-11-2012_10_'!N1425,"AAAAAH1N7Z4=")</f>
        <v>#VALUE!</v>
      </c>
      <c r="FD95" t="e">
        <f>AND('Planilla_General_29-11-2012_10_'!O1425,"AAAAAH1N7Z8=")</f>
        <v>#VALUE!</v>
      </c>
      <c r="FE95" t="e">
        <f>AND('Planilla_General_29-11-2012_10_'!P1425,"AAAAAH1N7aA=")</f>
        <v>#VALUE!</v>
      </c>
      <c r="FF95">
        <f>IF('Planilla_General_29-11-2012_10_'!1426:1426,"AAAAAH1N7aE=",0)</f>
        <v>0</v>
      </c>
      <c r="FG95" t="e">
        <f>AND('Planilla_General_29-11-2012_10_'!A1426,"AAAAAH1N7aI=")</f>
        <v>#VALUE!</v>
      </c>
      <c r="FH95" t="e">
        <f>AND('Planilla_General_29-11-2012_10_'!B1426,"AAAAAH1N7aM=")</f>
        <v>#VALUE!</v>
      </c>
      <c r="FI95" t="e">
        <f>AND('Planilla_General_29-11-2012_10_'!C1426,"AAAAAH1N7aQ=")</f>
        <v>#VALUE!</v>
      </c>
      <c r="FJ95" t="e">
        <f>AND('Planilla_General_29-11-2012_10_'!D1426,"AAAAAH1N7aU=")</f>
        <v>#VALUE!</v>
      </c>
      <c r="FK95" t="e">
        <f>AND('Planilla_General_29-11-2012_10_'!E1426,"AAAAAH1N7aY=")</f>
        <v>#VALUE!</v>
      </c>
      <c r="FL95" t="e">
        <f>AND('Planilla_General_29-11-2012_10_'!F1426,"AAAAAH1N7ac=")</f>
        <v>#VALUE!</v>
      </c>
      <c r="FM95" t="e">
        <f>AND('Planilla_General_29-11-2012_10_'!G1426,"AAAAAH1N7ag=")</f>
        <v>#VALUE!</v>
      </c>
      <c r="FN95" t="e">
        <f>AND('Planilla_General_29-11-2012_10_'!H1426,"AAAAAH1N7ak=")</f>
        <v>#VALUE!</v>
      </c>
      <c r="FO95" t="e">
        <f>AND('Planilla_General_29-11-2012_10_'!I1426,"AAAAAH1N7ao=")</f>
        <v>#VALUE!</v>
      </c>
      <c r="FP95" t="e">
        <f>AND('Planilla_General_29-11-2012_10_'!J1426,"AAAAAH1N7as=")</f>
        <v>#VALUE!</v>
      </c>
      <c r="FQ95" t="e">
        <f>AND('Planilla_General_29-11-2012_10_'!K1426,"AAAAAH1N7aw=")</f>
        <v>#VALUE!</v>
      </c>
      <c r="FR95" t="e">
        <f>AND('Planilla_General_29-11-2012_10_'!L1426,"AAAAAH1N7a0=")</f>
        <v>#VALUE!</v>
      </c>
      <c r="FS95" t="e">
        <f>AND('Planilla_General_29-11-2012_10_'!M1426,"AAAAAH1N7a4=")</f>
        <v>#VALUE!</v>
      </c>
      <c r="FT95" t="e">
        <f>AND('Planilla_General_29-11-2012_10_'!N1426,"AAAAAH1N7a8=")</f>
        <v>#VALUE!</v>
      </c>
      <c r="FU95" t="e">
        <f>AND('Planilla_General_29-11-2012_10_'!O1426,"AAAAAH1N7bA=")</f>
        <v>#VALUE!</v>
      </c>
      <c r="FV95" t="e">
        <f>AND('Planilla_General_29-11-2012_10_'!P1426,"AAAAAH1N7bE=")</f>
        <v>#VALUE!</v>
      </c>
      <c r="FW95">
        <f>IF('Planilla_General_29-11-2012_10_'!1427:1427,"AAAAAH1N7bI=",0)</f>
        <v>0</v>
      </c>
      <c r="FX95" t="e">
        <f>AND('Planilla_General_29-11-2012_10_'!A1427,"AAAAAH1N7bM=")</f>
        <v>#VALUE!</v>
      </c>
      <c r="FY95" t="e">
        <f>AND('Planilla_General_29-11-2012_10_'!B1427,"AAAAAH1N7bQ=")</f>
        <v>#VALUE!</v>
      </c>
      <c r="FZ95" t="e">
        <f>AND('Planilla_General_29-11-2012_10_'!C1427,"AAAAAH1N7bU=")</f>
        <v>#VALUE!</v>
      </c>
      <c r="GA95" t="e">
        <f>AND('Planilla_General_29-11-2012_10_'!D1427,"AAAAAH1N7bY=")</f>
        <v>#VALUE!</v>
      </c>
      <c r="GB95" t="e">
        <f>AND('Planilla_General_29-11-2012_10_'!E1427,"AAAAAH1N7bc=")</f>
        <v>#VALUE!</v>
      </c>
      <c r="GC95" t="e">
        <f>AND('Planilla_General_29-11-2012_10_'!F1427,"AAAAAH1N7bg=")</f>
        <v>#VALUE!</v>
      </c>
      <c r="GD95" t="e">
        <f>AND('Planilla_General_29-11-2012_10_'!G1427,"AAAAAH1N7bk=")</f>
        <v>#VALUE!</v>
      </c>
      <c r="GE95" t="e">
        <f>AND('Planilla_General_29-11-2012_10_'!H1427,"AAAAAH1N7bo=")</f>
        <v>#VALUE!</v>
      </c>
      <c r="GF95" t="e">
        <f>AND('Planilla_General_29-11-2012_10_'!I1427,"AAAAAH1N7bs=")</f>
        <v>#VALUE!</v>
      </c>
      <c r="GG95" t="e">
        <f>AND('Planilla_General_29-11-2012_10_'!J1427,"AAAAAH1N7bw=")</f>
        <v>#VALUE!</v>
      </c>
      <c r="GH95" t="e">
        <f>AND('Planilla_General_29-11-2012_10_'!K1427,"AAAAAH1N7b0=")</f>
        <v>#VALUE!</v>
      </c>
      <c r="GI95" t="e">
        <f>AND('Planilla_General_29-11-2012_10_'!L1427,"AAAAAH1N7b4=")</f>
        <v>#VALUE!</v>
      </c>
      <c r="GJ95" t="e">
        <f>AND('Planilla_General_29-11-2012_10_'!M1427,"AAAAAH1N7b8=")</f>
        <v>#VALUE!</v>
      </c>
      <c r="GK95" t="e">
        <f>AND('Planilla_General_29-11-2012_10_'!N1427,"AAAAAH1N7cA=")</f>
        <v>#VALUE!</v>
      </c>
      <c r="GL95" t="e">
        <f>AND('Planilla_General_29-11-2012_10_'!O1427,"AAAAAH1N7cE=")</f>
        <v>#VALUE!</v>
      </c>
      <c r="GM95" t="e">
        <f>AND('Planilla_General_29-11-2012_10_'!P1427,"AAAAAH1N7cI=")</f>
        <v>#VALUE!</v>
      </c>
      <c r="GN95">
        <f>IF('Planilla_General_29-11-2012_10_'!1428:1428,"AAAAAH1N7cM=",0)</f>
        <v>0</v>
      </c>
      <c r="GO95" t="e">
        <f>AND('Planilla_General_29-11-2012_10_'!A1428,"AAAAAH1N7cQ=")</f>
        <v>#VALUE!</v>
      </c>
      <c r="GP95" t="e">
        <f>AND('Planilla_General_29-11-2012_10_'!B1428,"AAAAAH1N7cU=")</f>
        <v>#VALUE!</v>
      </c>
      <c r="GQ95" t="e">
        <f>AND('Planilla_General_29-11-2012_10_'!C1428,"AAAAAH1N7cY=")</f>
        <v>#VALUE!</v>
      </c>
      <c r="GR95" t="e">
        <f>AND('Planilla_General_29-11-2012_10_'!D1428,"AAAAAH1N7cc=")</f>
        <v>#VALUE!</v>
      </c>
      <c r="GS95" t="e">
        <f>AND('Planilla_General_29-11-2012_10_'!E1428,"AAAAAH1N7cg=")</f>
        <v>#VALUE!</v>
      </c>
      <c r="GT95" t="e">
        <f>AND('Planilla_General_29-11-2012_10_'!F1428,"AAAAAH1N7ck=")</f>
        <v>#VALUE!</v>
      </c>
      <c r="GU95" t="e">
        <f>AND('Planilla_General_29-11-2012_10_'!G1428,"AAAAAH1N7co=")</f>
        <v>#VALUE!</v>
      </c>
      <c r="GV95" t="e">
        <f>AND('Planilla_General_29-11-2012_10_'!H1428,"AAAAAH1N7cs=")</f>
        <v>#VALUE!</v>
      </c>
      <c r="GW95" t="e">
        <f>AND('Planilla_General_29-11-2012_10_'!I1428,"AAAAAH1N7cw=")</f>
        <v>#VALUE!</v>
      </c>
      <c r="GX95" t="e">
        <f>AND('Planilla_General_29-11-2012_10_'!J1428,"AAAAAH1N7c0=")</f>
        <v>#VALUE!</v>
      </c>
      <c r="GY95" t="e">
        <f>AND('Planilla_General_29-11-2012_10_'!K1428,"AAAAAH1N7c4=")</f>
        <v>#VALUE!</v>
      </c>
      <c r="GZ95" t="e">
        <f>AND('Planilla_General_29-11-2012_10_'!L1428,"AAAAAH1N7c8=")</f>
        <v>#VALUE!</v>
      </c>
      <c r="HA95" t="e">
        <f>AND('Planilla_General_29-11-2012_10_'!M1428,"AAAAAH1N7dA=")</f>
        <v>#VALUE!</v>
      </c>
      <c r="HB95" t="e">
        <f>AND('Planilla_General_29-11-2012_10_'!N1428,"AAAAAH1N7dE=")</f>
        <v>#VALUE!</v>
      </c>
      <c r="HC95" t="e">
        <f>AND('Planilla_General_29-11-2012_10_'!O1428,"AAAAAH1N7dI=")</f>
        <v>#VALUE!</v>
      </c>
      <c r="HD95" t="e">
        <f>AND('Planilla_General_29-11-2012_10_'!P1428,"AAAAAH1N7dM=")</f>
        <v>#VALUE!</v>
      </c>
      <c r="HE95">
        <f>IF('Planilla_General_29-11-2012_10_'!1429:1429,"AAAAAH1N7dQ=",0)</f>
        <v>0</v>
      </c>
      <c r="HF95" t="e">
        <f>AND('Planilla_General_29-11-2012_10_'!A1429,"AAAAAH1N7dU=")</f>
        <v>#VALUE!</v>
      </c>
      <c r="HG95" t="e">
        <f>AND('Planilla_General_29-11-2012_10_'!B1429,"AAAAAH1N7dY=")</f>
        <v>#VALUE!</v>
      </c>
      <c r="HH95" t="e">
        <f>AND('Planilla_General_29-11-2012_10_'!C1429,"AAAAAH1N7dc=")</f>
        <v>#VALUE!</v>
      </c>
      <c r="HI95" t="e">
        <f>AND('Planilla_General_29-11-2012_10_'!D1429,"AAAAAH1N7dg=")</f>
        <v>#VALUE!</v>
      </c>
      <c r="HJ95" t="e">
        <f>AND('Planilla_General_29-11-2012_10_'!E1429,"AAAAAH1N7dk=")</f>
        <v>#VALUE!</v>
      </c>
      <c r="HK95" t="e">
        <f>AND('Planilla_General_29-11-2012_10_'!F1429,"AAAAAH1N7do=")</f>
        <v>#VALUE!</v>
      </c>
      <c r="HL95" t="e">
        <f>AND('Planilla_General_29-11-2012_10_'!G1429,"AAAAAH1N7ds=")</f>
        <v>#VALUE!</v>
      </c>
      <c r="HM95" t="e">
        <f>AND('Planilla_General_29-11-2012_10_'!H1429,"AAAAAH1N7dw=")</f>
        <v>#VALUE!</v>
      </c>
      <c r="HN95" t="e">
        <f>AND('Planilla_General_29-11-2012_10_'!I1429,"AAAAAH1N7d0=")</f>
        <v>#VALUE!</v>
      </c>
      <c r="HO95" t="e">
        <f>AND('Planilla_General_29-11-2012_10_'!J1429,"AAAAAH1N7d4=")</f>
        <v>#VALUE!</v>
      </c>
      <c r="HP95" t="e">
        <f>AND('Planilla_General_29-11-2012_10_'!K1429,"AAAAAH1N7d8=")</f>
        <v>#VALUE!</v>
      </c>
      <c r="HQ95" t="e">
        <f>AND('Planilla_General_29-11-2012_10_'!L1429,"AAAAAH1N7eA=")</f>
        <v>#VALUE!</v>
      </c>
      <c r="HR95" t="e">
        <f>AND('Planilla_General_29-11-2012_10_'!M1429,"AAAAAH1N7eE=")</f>
        <v>#VALUE!</v>
      </c>
      <c r="HS95" t="e">
        <f>AND('Planilla_General_29-11-2012_10_'!N1429,"AAAAAH1N7eI=")</f>
        <v>#VALUE!</v>
      </c>
      <c r="HT95" t="e">
        <f>AND('Planilla_General_29-11-2012_10_'!O1429,"AAAAAH1N7eM=")</f>
        <v>#VALUE!</v>
      </c>
      <c r="HU95" t="e">
        <f>AND('Planilla_General_29-11-2012_10_'!P1429,"AAAAAH1N7eQ=")</f>
        <v>#VALUE!</v>
      </c>
      <c r="HV95">
        <f>IF('Planilla_General_29-11-2012_10_'!1430:1430,"AAAAAH1N7eU=",0)</f>
        <v>0</v>
      </c>
      <c r="HW95" t="e">
        <f>AND('Planilla_General_29-11-2012_10_'!A1430,"AAAAAH1N7eY=")</f>
        <v>#VALUE!</v>
      </c>
      <c r="HX95" t="e">
        <f>AND('Planilla_General_29-11-2012_10_'!B1430,"AAAAAH1N7ec=")</f>
        <v>#VALUE!</v>
      </c>
      <c r="HY95" t="e">
        <f>AND('Planilla_General_29-11-2012_10_'!C1430,"AAAAAH1N7eg=")</f>
        <v>#VALUE!</v>
      </c>
      <c r="HZ95" t="e">
        <f>AND('Planilla_General_29-11-2012_10_'!D1430,"AAAAAH1N7ek=")</f>
        <v>#VALUE!</v>
      </c>
      <c r="IA95" t="e">
        <f>AND('Planilla_General_29-11-2012_10_'!E1430,"AAAAAH1N7eo=")</f>
        <v>#VALUE!</v>
      </c>
      <c r="IB95" t="e">
        <f>AND('Planilla_General_29-11-2012_10_'!F1430,"AAAAAH1N7es=")</f>
        <v>#VALUE!</v>
      </c>
      <c r="IC95" t="e">
        <f>AND('Planilla_General_29-11-2012_10_'!G1430,"AAAAAH1N7ew=")</f>
        <v>#VALUE!</v>
      </c>
      <c r="ID95" t="e">
        <f>AND('Planilla_General_29-11-2012_10_'!H1430,"AAAAAH1N7e0=")</f>
        <v>#VALUE!</v>
      </c>
      <c r="IE95" t="e">
        <f>AND('Planilla_General_29-11-2012_10_'!I1430,"AAAAAH1N7e4=")</f>
        <v>#VALUE!</v>
      </c>
      <c r="IF95" t="e">
        <f>AND('Planilla_General_29-11-2012_10_'!J1430,"AAAAAH1N7e8=")</f>
        <v>#VALUE!</v>
      </c>
      <c r="IG95" t="e">
        <f>AND('Planilla_General_29-11-2012_10_'!K1430,"AAAAAH1N7fA=")</f>
        <v>#VALUE!</v>
      </c>
      <c r="IH95" t="e">
        <f>AND('Planilla_General_29-11-2012_10_'!L1430,"AAAAAH1N7fE=")</f>
        <v>#VALUE!</v>
      </c>
      <c r="II95" t="e">
        <f>AND('Planilla_General_29-11-2012_10_'!M1430,"AAAAAH1N7fI=")</f>
        <v>#VALUE!</v>
      </c>
      <c r="IJ95" t="e">
        <f>AND('Planilla_General_29-11-2012_10_'!N1430,"AAAAAH1N7fM=")</f>
        <v>#VALUE!</v>
      </c>
      <c r="IK95" t="e">
        <f>AND('Planilla_General_29-11-2012_10_'!O1430,"AAAAAH1N7fQ=")</f>
        <v>#VALUE!</v>
      </c>
      <c r="IL95" t="e">
        <f>AND('Planilla_General_29-11-2012_10_'!P1430,"AAAAAH1N7fU=")</f>
        <v>#VALUE!</v>
      </c>
      <c r="IM95">
        <f>IF('Planilla_General_29-11-2012_10_'!1431:1431,"AAAAAH1N7fY=",0)</f>
        <v>0</v>
      </c>
      <c r="IN95" t="e">
        <f>AND('Planilla_General_29-11-2012_10_'!A1431,"AAAAAH1N7fc=")</f>
        <v>#VALUE!</v>
      </c>
      <c r="IO95" t="e">
        <f>AND('Planilla_General_29-11-2012_10_'!B1431,"AAAAAH1N7fg=")</f>
        <v>#VALUE!</v>
      </c>
      <c r="IP95" t="e">
        <f>AND('Planilla_General_29-11-2012_10_'!C1431,"AAAAAH1N7fk=")</f>
        <v>#VALUE!</v>
      </c>
      <c r="IQ95" t="e">
        <f>AND('Planilla_General_29-11-2012_10_'!D1431,"AAAAAH1N7fo=")</f>
        <v>#VALUE!</v>
      </c>
      <c r="IR95" t="e">
        <f>AND('Planilla_General_29-11-2012_10_'!E1431,"AAAAAH1N7fs=")</f>
        <v>#VALUE!</v>
      </c>
      <c r="IS95" t="e">
        <f>AND('Planilla_General_29-11-2012_10_'!F1431,"AAAAAH1N7fw=")</f>
        <v>#VALUE!</v>
      </c>
      <c r="IT95" t="e">
        <f>AND('Planilla_General_29-11-2012_10_'!G1431,"AAAAAH1N7f0=")</f>
        <v>#VALUE!</v>
      </c>
      <c r="IU95" t="e">
        <f>AND('Planilla_General_29-11-2012_10_'!H1431,"AAAAAH1N7f4=")</f>
        <v>#VALUE!</v>
      </c>
      <c r="IV95" t="e">
        <f>AND('Planilla_General_29-11-2012_10_'!I1431,"AAAAAH1N7f8=")</f>
        <v>#VALUE!</v>
      </c>
    </row>
    <row r="96" spans="1:256" x14ac:dyDescent="0.25">
      <c r="A96" t="e">
        <f>AND('Planilla_General_29-11-2012_10_'!J1431,"AAAAAFdXfQA=")</f>
        <v>#VALUE!</v>
      </c>
      <c r="B96" t="e">
        <f>AND('Planilla_General_29-11-2012_10_'!K1431,"AAAAAFdXfQE=")</f>
        <v>#VALUE!</v>
      </c>
      <c r="C96" t="e">
        <f>AND('Planilla_General_29-11-2012_10_'!L1431,"AAAAAFdXfQI=")</f>
        <v>#VALUE!</v>
      </c>
      <c r="D96" t="e">
        <f>AND('Planilla_General_29-11-2012_10_'!M1431,"AAAAAFdXfQM=")</f>
        <v>#VALUE!</v>
      </c>
      <c r="E96" t="e">
        <f>AND('Planilla_General_29-11-2012_10_'!N1431,"AAAAAFdXfQQ=")</f>
        <v>#VALUE!</v>
      </c>
      <c r="F96" t="e">
        <f>AND('Planilla_General_29-11-2012_10_'!O1431,"AAAAAFdXfQU=")</f>
        <v>#VALUE!</v>
      </c>
      <c r="G96" t="e">
        <f>AND('Planilla_General_29-11-2012_10_'!P1431,"AAAAAFdXfQY=")</f>
        <v>#VALUE!</v>
      </c>
      <c r="H96" t="e">
        <f>IF('Planilla_General_29-11-2012_10_'!1432:1432,"AAAAAFdXfQc=",0)</f>
        <v>#VALUE!</v>
      </c>
      <c r="I96" t="e">
        <f>AND('Planilla_General_29-11-2012_10_'!A1432,"AAAAAFdXfQg=")</f>
        <v>#VALUE!</v>
      </c>
      <c r="J96" t="e">
        <f>AND('Planilla_General_29-11-2012_10_'!B1432,"AAAAAFdXfQk=")</f>
        <v>#VALUE!</v>
      </c>
      <c r="K96" t="e">
        <f>AND('Planilla_General_29-11-2012_10_'!C1432,"AAAAAFdXfQo=")</f>
        <v>#VALUE!</v>
      </c>
      <c r="L96" t="e">
        <f>AND('Planilla_General_29-11-2012_10_'!D1432,"AAAAAFdXfQs=")</f>
        <v>#VALUE!</v>
      </c>
      <c r="M96" t="e">
        <f>AND('Planilla_General_29-11-2012_10_'!E1432,"AAAAAFdXfQw=")</f>
        <v>#VALUE!</v>
      </c>
      <c r="N96" t="e">
        <f>AND('Planilla_General_29-11-2012_10_'!F1432,"AAAAAFdXfQ0=")</f>
        <v>#VALUE!</v>
      </c>
      <c r="O96" t="e">
        <f>AND('Planilla_General_29-11-2012_10_'!G1432,"AAAAAFdXfQ4=")</f>
        <v>#VALUE!</v>
      </c>
      <c r="P96" t="e">
        <f>AND('Planilla_General_29-11-2012_10_'!H1432,"AAAAAFdXfQ8=")</f>
        <v>#VALUE!</v>
      </c>
      <c r="Q96" t="e">
        <f>AND('Planilla_General_29-11-2012_10_'!I1432,"AAAAAFdXfRA=")</f>
        <v>#VALUE!</v>
      </c>
      <c r="R96" t="e">
        <f>AND('Planilla_General_29-11-2012_10_'!J1432,"AAAAAFdXfRE=")</f>
        <v>#VALUE!</v>
      </c>
      <c r="S96" t="e">
        <f>AND('Planilla_General_29-11-2012_10_'!K1432,"AAAAAFdXfRI=")</f>
        <v>#VALUE!</v>
      </c>
      <c r="T96" t="e">
        <f>AND('Planilla_General_29-11-2012_10_'!L1432,"AAAAAFdXfRM=")</f>
        <v>#VALUE!</v>
      </c>
      <c r="U96" t="e">
        <f>AND('Planilla_General_29-11-2012_10_'!M1432,"AAAAAFdXfRQ=")</f>
        <v>#VALUE!</v>
      </c>
      <c r="V96" t="e">
        <f>AND('Planilla_General_29-11-2012_10_'!N1432,"AAAAAFdXfRU=")</f>
        <v>#VALUE!</v>
      </c>
      <c r="W96" t="e">
        <f>AND('Planilla_General_29-11-2012_10_'!O1432,"AAAAAFdXfRY=")</f>
        <v>#VALUE!</v>
      </c>
      <c r="X96" t="e">
        <f>AND('Planilla_General_29-11-2012_10_'!P1432,"AAAAAFdXfRc=")</f>
        <v>#VALUE!</v>
      </c>
      <c r="Y96">
        <f>IF('Planilla_General_29-11-2012_10_'!1433:1433,"AAAAAFdXfRg=",0)</f>
        <v>0</v>
      </c>
      <c r="Z96" t="e">
        <f>AND('Planilla_General_29-11-2012_10_'!A1433,"AAAAAFdXfRk=")</f>
        <v>#VALUE!</v>
      </c>
      <c r="AA96" t="e">
        <f>AND('Planilla_General_29-11-2012_10_'!B1433,"AAAAAFdXfRo=")</f>
        <v>#VALUE!</v>
      </c>
      <c r="AB96" t="e">
        <f>AND('Planilla_General_29-11-2012_10_'!C1433,"AAAAAFdXfRs=")</f>
        <v>#VALUE!</v>
      </c>
      <c r="AC96" t="e">
        <f>AND('Planilla_General_29-11-2012_10_'!D1433,"AAAAAFdXfRw=")</f>
        <v>#VALUE!</v>
      </c>
      <c r="AD96" t="e">
        <f>AND('Planilla_General_29-11-2012_10_'!E1433,"AAAAAFdXfR0=")</f>
        <v>#VALUE!</v>
      </c>
      <c r="AE96" t="e">
        <f>AND('Planilla_General_29-11-2012_10_'!F1433,"AAAAAFdXfR4=")</f>
        <v>#VALUE!</v>
      </c>
      <c r="AF96" t="e">
        <f>AND('Planilla_General_29-11-2012_10_'!G1433,"AAAAAFdXfR8=")</f>
        <v>#VALUE!</v>
      </c>
      <c r="AG96" t="e">
        <f>AND('Planilla_General_29-11-2012_10_'!H1433,"AAAAAFdXfSA=")</f>
        <v>#VALUE!</v>
      </c>
      <c r="AH96" t="e">
        <f>AND('Planilla_General_29-11-2012_10_'!I1433,"AAAAAFdXfSE=")</f>
        <v>#VALUE!</v>
      </c>
      <c r="AI96" t="e">
        <f>AND('Planilla_General_29-11-2012_10_'!J1433,"AAAAAFdXfSI=")</f>
        <v>#VALUE!</v>
      </c>
      <c r="AJ96" t="e">
        <f>AND('Planilla_General_29-11-2012_10_'!K1433,"AAAAAFdXfSM=")</f>
        <v>#VALUE!</v>
      </c>
      <c r="AK96" t="e">
        <f>AND('Planilla_General_29-11-2012_10_'!L1433,"AAAAAFdXfSQ=")</f>
        <v>#VALUE!</v>
      </c>
      <c r="AL96" t="e">
        <f>AND('Planilla_General_29-11-2012_10_'!M1433,"AAAAAFdXfSU=")</f>
        <v>#VALUE!</v>
      </c>
      <c r="AM96" t="e">
        <f>AND('Planilla_General_29-11-2012_10_'!N1433,"AAAAAFdXfSY=")</f>
        <v>#VALUE!</v>
      </c>
      <c r="AN96" t="e">
        <f>AND('Planilla_General_29-11-2012_10_'!O1433,"AAAAAFdXfSc=")</f>
        <v>#VALUE!</v>
      </c>
      <c r="AO96" t="e">
        <f>AND('Planilla_General_29-11-2012_10_'!P1433,"AAAAAFdXfSg=")</f>
        <v>#VALUE!</v>
      </c>
      <c r="AP96">
        <f>IF('Planilla_General_29-11-2012_10_'!1434:1434,"AAAAAFdXfSk=",0)</f>
        <v>0</v>
      </c>
      <c r="AQ96" t="e">
        <f>AND('Planilla_General_29-11-2012_10_'!A1434,"AAAAAFdXfSo=")</f>
        <v>#VALUE!</v>
      </c>
      <c r="AR96" t="e">
        <f>AND('Planilla_General_29-11-2012_10_'!B1434,"AAAAAFdXfSs=")</f>
        <v>#VALUE!</v>
      </c>
      <c r="AS96" t="e">
        <f>AND('Planilla_General_29-11-2012_10_'!C1434,"AAAAAFdXfSw=")</f>
        <v>#VALUE!</v>
      </c>
      <c r="AT96" t="e">
        <f>AND('Planilla_General_29-11-2012_10_'!D1434,"AAAAAFdXfS0=")</f>
        <v>#VALUE!</v>
      </c>
      <c r="AU96" t="e">
        <f>AND('Planilla_General_29-11-2012_10_'!E1434,"AAAAAFdXfS4=")</f>
        <v>#VALUE!</v>
      </c>
      <c r="AV96" t="e">
        <f>AND('Planilla_General_29-11-2012_10_'!F1434,"AAAAAFdXfS8=")</f>
        <v>#VALUE!</v>
      </c>
      <c r="AW96" t="e">
        <f>AND('Planilla_General_29-11-2012_10_'!G1434,"AAAAAFdXfTA=")</f>
        <v>#VALUE!</v>
      </c>
      <c r="AX96" t="e">
        <f>AND('Planilla_General_29-11-2012_10_'!H1434,"AAAAAFdXfTE=")</f>
        <v>#VALUE!</v>
      </c>
      <c r="AY96" t="e">
        <f>AND('Planilla_General_29-11-2012_10_'!I1434,"AAAAAFdXfTI=")</f>
        <v>#VALUE!</v>
      </c>
      <c r="AZ96" t="e">
        <f>AND('Planilla_General_29-11-2012_10_'!J1434,"AAAAAFdXfTM=")</f>
        <v>#VALUE!</v>
      </c>
      <c r="BA96" t="e">
        <f>AND('Planilla_General_29-11-2012_10_'!K1434,"AAAAAFdXfTQ=")</f>
        <v>#VALUE!</v>
      </c>
      <c r="BB96" t="e">
        <f>AND('Planilla_General_29-11-2012_10_'!L1434,"AAAAAFdXfTU=")</f>
        <v>#VALUE!</v>
      </c>
      <c r="BC96" t="e">
        <f>AND('Planilla_General_29-11-2012_10_'!M1434,"AAAAAFdXfTY=")</f>
        <v>#VALUE!</v>
      </c>
      <c r="BD96" t="e">
        <f>AND('Planilla_General_29-11-2012_10_'!N1434,"AAAAAFdXfTc=")</f>
        <v>#VALUE!</v>
      </c>
      <c r="BE96" t="e">
        <f>AND('Planilla_General_29-11-2012_10_'!O1434,"AAAAAFdXfTg=")</f>
        <v>#VALUE!</v>
      </c>
      <c r="BF96" t="e">
        <f>AND('Planilla_General_29-11-2012_10_'!P1434,"AAAAAFdXfTk=")</f>
        <v>#VALUE!</v>
      </c>
      <c r="BG96">
        <f>IF('Planilla_General_29-11-2012_10_'!1435:1435,"AAAAAFdXfTo=",0)</f>
        <v>0</v>
      </c>
      <c r="BH96" t="e">
        <f>AND('Planilla_General_29-11-2012_10_'!A1435,"AAAAAFdXfTs=")</f>
        <v>#VALUE!</v>
      </c>
      <c r="BI96" t="e">
        <f>AND('Planilla_General_29-11-2012_10_'!B1435,"AAAAAFdXfTw=")</f>
        <v>#VALUE!</v>
      </c>
      <c r="BJ96" t="e">
        <f>AND('Planilla_General_29-11-2012_10_'!C1435,"AAAAAFdXfT0=")</f>
        <v>#VALUE!</v>
      </c>
      <c r="BK96" t="e">
        <f>AND('Planilla_General_29-11-2012_10_'!D1435,"AAAAAFdXfT4=")</f>
        <v>#VALUE!</v>
      </c>
      <c r="BL96" t="e">
        <f>AND('Planilla_General_29-11-2012_10_'!E1435,"AAAAAFdXfT8=")</f>
        <v>#VALUE!</v>
      </c>
      <c r="BM96" t="e">
        <f>AND('Planilla_General_29-11-2012_10_'!F1435,"AAAAAFdXfUA=")</f>
        <v>#VALUE!</v>
      </c>
      <c r="BN96" t="e">
        <f>AND('Planilla_General_29-11-2012_10_'!G1435,"AAAAAFdXfUE=")</f>
        <v>#VALUE!</v>
      </c>
      <c r="BO96" t="e">
        <f>AND('Planilla_General_29-11-2012_10_'!H1435,"AAAAAFdXfUI=")</f>
        <v>#VALUE!</v>
      </c>
      <c r="BP96" t="e">
        <f>AND('Planilla_General_29-11-2012_10_'!I1435,"AAAAAFdXfUM=")</f>
        <v>#VALUE!</v>
      </c>
      <c r="BQ96" t="e">
        <f>AND('Planilla_General_29-11-2012_10_'!J1435,"AAAAAFdXfUQ=")</f>
        <v>#VALUE!</v>
      </c>
      <c r="BR96" t="e">
        <f>AND('Planilla_General_29-11-2012_10_'!K1435,"AAAAAFdXfUU=")</f>
        <v>#VALUE!</v>
      </c>
      <c r="BS96" t="e">
        <f>AND('Planilla_General_29-11-2012_10_'!L1435,"AAAAAFdXfUY=")</f>
        <v>#VALUE!</v>
      </c>
      <c r="BT96" t="e">
        <f>AND('Planilla_General_29-11-2012_10_'!M1435,"AAAAAFdXfUc=")</f>
        <v>#VALUE!</v>
      </c>
      <c r="BU96" t="e">
        <f>AND('Planilla_General_29-11-2012_10_'!N1435,"AAAAAFdXfUg=")</f>
        <v>#VALUE!</v>
      </c>
      <c r="BV96" t="e">
        <f>AND('Planilla_General_29-11-2012_10_'!O1435,"AAAAAFdXfUk=")</f>
        <v>#VALUE!</v>
      </c>
      <c r="BW96" t="e">
        <f>AND('Planilla_General_29-11-2012_10_'!P1435,"AAAAAFdXfUo=")</f>
        <v>#VALUE!</v>
      </c>
      <c r="BX96">
        <f>IF('Planilla_General_29-11-2012_10_'!1436:1436,"AAAAAFdXfUs=",0)</f>
        <v>0</v>
      </c>
      <c r="BY96" t="e">
        <f>AND('Planilla_General_29-11-2012_10_'!A1436,"AAAAAFdXfUw=")</f>
        <v>#VALUE!</v>
      </c>
      <c r="BZ96" t="e">
        <f>AND('Planilla_General_29-11-2012_10_'!B1436,"AAAAAFdXfU0=")</f>
        <v>#VALUE!</v>
      </c>
      <c r="CA96" t="e">
        <f>AND('Planilla_General_29-11-2012_10_'!C1436,"AAAAAFdXfU4=")</f>
        <v>#VALUE!</v>
      </c>
      <c r="CB96" t="e">
        <f>AND('Planilla_General_29-11-2012_10_'!D1436,"AAAAAFdXfU8=")</f>
        <v>#VALUE!</v>
      </c>
      <c r="CC96" t="e">
        <f>AND('Planilla_General_29-11-2012_10_'!E1436,"AAAAAFdXfVA=")</f>
        <v>#VALUE!</v>
      </c>
      <c r="CD96" t="e">
        <f>AND('Planilla_General_29-11-2012_10_'!F1436,"AAAAAFdXfVE=")</f>
        <v>#VALUE!</v>
      </c>
      <c r="CE96" t="e">
        <f>AND('Planilla_General_29-11-2012_10_'!G1436,"AAAAAFdXfVI=")</f>
        <v>#VALUE!</v>
      </c>
      <c r="CF96" t="e">
        <f>AND('Planilla_General_29-11-2012_10_'!H1436,"AAAAAFdXfVM=")</f>
        <v>#VALUE!</v>
      </c>
      <c r="CG96" t="e">
        <f>AND('Planilla_General_29-11-2012_10_'!I1436,"AAAAAFdXfVQ=")</f>
        <v>#VALUE!</v>
      </c>
      <c r="CH96" t="e">
        <f>AND('Planilla_General_29-11-2012_10_'!J1436,"AAAAAFdXfVU=")</f>
        <v>#VALUE!</v>
      </c>
      <c r="CI96" t="e">
        <f>AND('Planilla_General_29-11-2012_10_'!K1436,"AAAAAFdXfVY=")</f>
        <v>#VALUE!</v>
      </c>
      <c r="CJ96" t="e">
        <f>AND('Planilla_General_29-11-2012_10_'!L1436,"AAAAAFdXfVc=")</f>
        <v>#VALUE!</v>
      </c>
      <c r="CK96" t="e">
        <f>AND('Planilla_General_29-11-2012_10_'!M1436,"AAAAAFdXfVg=")</f>
        <v>#VALUE!</v>
      </c>
      <c r="CL96" t="e">
        <f>AND('Planilla_General_29-11-2012_10_'!N1436,"AAAAAFdXfVk=")</f>
        <v>#VALUE!</v>
      </c>
      <c r="CM96" t="e">
        <f>AND('Planilla_General_29-11-2012_10_'!O1436,"AAAAAFdXfVo=")</f>
        <v>#VALUE!</v>
      </c>
      <c r="CN96" t="e">
        <f>AND('Planilla_General_29-11-2012_10_'!P1436,"AAAAAFdXfVs=")</f>
        <v>#VALUE!</v>
      </c>
      <c r="CO96">
        <f>IF('Planilla_General_29-11-2012_10_'!1437:1437,"AAAAAFdXfVw=",0)</f>
        <v>0</v>
      </c>
      <c r="CP96" t="e">
        <f>AND('Planilla_General_29-11-2012_10_'!A1437,"AAAAAFdXfV0=")</f>
        <v>#VALUE!</v>
      </c>
      <c r="CQ96" t="e">
        <f>AND('Planilla_General_29-11-2012_10_'!B1437,"AAAAAFdXfV4=")</f>
        <v>#VALUE!</v>
      </c>
      <c r="CR96" t="e">
        <f>AND('Planilla_General_29-11-2012_10_'!C1437,"AAAAAFdXfV8=")</f>
        <v>#VALUE!</v>
      </c>
      <c r="CS96" t="e">
        <f>AND('Planilla_General_29-11-2012_10_'!D1437,"AAAAAFdXfWA=")</f>
        <v>#VALUE!</v>
      </c>
      <c r="CT96" t="e">
        <f>AND('Planilla_General_29-11-2012_10_'!E1437,"AAAAAFdXfWE=")</f>
        <v>#VALUE!</v>
      </c>
      <c r="CU96" t="e">
        <f>AND('Planilla_General_29-11-2012_10_'!F1437,"AAAAAFdXfWI=")</f>
        <v>#VALUE!</v>
      </c>
      <c r="CV96" t="e">
        <f>AND('Planilla_General_29-11-2012_10_'!G1437,"AAAAAFdXfWM=")</f>
        <v>#VALUE!</v>
      </c>
      <c r="CW96" t="e">
        <f>AND('Planilla_General_29-11-2012_10_'!H1437,"AAAAAFdXfWQ=")</f>
        <v>#VALUE!</v>
      </c>
      <c r="CX96" t="e">
        <f>AND('Planilla_General_29-11-2012_10_'!I1437,"AAAAAFdXfWU=")</f>
        <v>#VALUE!</v>
      </c>
      <c r="CY96" t="e">
        <f>AND('Planilla_General_29-11-2012_10_'!J1437,"AAAAAFdXfWY=")</f>
        <v>#VALUE!</v>
      </c>
      <c r="CZ96" t="e">
        <f>AND('Planilla_General_29-11-2012_10_'!K1437,"AAAAAFdXfWc=")</f>
        <v>#VALUE!</v>
      </c>
      <c r="DA96" t="e">
        <f>AND('Planilla_General_29-11-2012_10_'!L1437,"AAAAAFdXfWg=")</f>
        <v>#VALUE!</v>
      </c>
      <c r="DB96" t="e">
        <f>AND('Planilla_General_29-11-2012_10_'!M1437,"AAAAAFdXfWk=")</f>
        <v>#VALUE!</v>
      </c>
      <c r="DC96" t="e">
        <f>AND('Planilla_General_29-11-2012_10_'!N1437,"AAAAAFdXfWo=")</f>
        <v>#VALUE!</v>
      </c>
      <c r="DD96" t="e">
        <f>AND('Planilla_General_29-11-2012_10_'!O1437,"AAAAAFdXfWs=")</f>
        <v>#VALUE!</v>
      </c>
      <c r="DE96" t="e">
        <f>AND('Planilla_General_29-11-2012_10_'!P1437,"AAAAAFdXfWw=")</f>
        <v>#VALUE!</v>
      </c>
      <c r="DF96">
        <f>IF('Planilla_General_29-11-2012_10_'!1438:1438,"AAAAAFdXfW0=",0)</f>
        <v>0</v>
      </c>
      <c r="DG96" t="e">
        <f>AND('Planilla_General_29-11-2012_10_'!A1438,"AAAAAFdXfW4=")</f>
        <v>#VALUE!</v>
      </c>
      <c r="DH96" t="e">
        <f>AND('Planilla_General_29-11-2012_10_'!B1438,"AAAAAFdXfW8=")</f>
        <v>#VALUE!</v>
      </c>
      <c r="DI96" t="e">
        <f>AND('Planilla_General_29-11-2012_10_'!C1438,"AAAAAFdXfXA=")</f>
        <v>#VALUE!</v>
      </c>
      <c r="DJ96" t="e">
        <f>AND('Planilla_General_29-11-2012_10_'!D1438,"AAAAAFdXfXE=")</f>
        <v>#VALUE!</v>
      </c>
      <c r="DK96" t="e">
        <f>AND('Planilla_General_29-11-2012_10_'!E1438,"AAAAAFdXfXI=")</f>
        <v>#VALUE!</v>
      </c>
      <c r="DL96" t="e">
        <f>AND('Planilla_General_29-11-2012_10_'!F1438,"AAAAAFdXfXM=")</f>
        <v>#VALUE!</v>
      </c>
      <c r="DM96" t="e">
        <f>AND('Planilla_General_29-11-2012_10_'!G1438,"AAAAAFdXfXQ=")</f>
        <v>#VALUE!</v>
      </c>
      <c r="DN96" t="e">
        <f>AND('Planilla_General_29-11-2012_10_'!H1438,"AAAAAFdXfXU=")</f>
        <v>#VALUE!</v>
      </c>
      <c r="DO96" t="e">
        <f>AND('Planilla_General_29-11-2012_10_'!I1438,"AAAAAFdXfXY=")</f>
        <v>#VALUE!</v>
      </c>
      <c r="DP96" t="e">
        <f>AND('Planilla_General_29-11-2012_10_'!J1438,"AAAAAFdXfXc=")</f>
        <v>#VALUE!</v>
      </c>
      <c r="DQ96" t="e">
        <f>AND('Planilla_General_29-11-2012_10_'!K1438,"AAAAAFdXfXg=")</f>
        <v>#VALUE!</v>
      </c>
      <c r="DR96" t="e">
        <f>AND('Planilla_General_29-11-2012_10_'!L1438,"AAAAAFdXfXk=")</f>
        <v>#VALUE!</v>
      </c>
      <c r="DS96" t="e">
        <f>AND('Planilla_General_29-11-2012_10_'!M1438,"AAAAAFdXfXo=")</f>
        <v>#VALUE!</v>
      </c>
      <c r="DT96" t="e">
        <f>AND('Planilla_General_29-11-2012_10_'!N1438,"AAAAAFdXfXs=")</f>
        <v>#VALUE!</v>
      </c>
      <c r="DU96" t="e">
        <f>AND('Planilla_General_29-11-2012_10_'!O1438,"AAAAAFdXfXw=")</f>
        <v>#VALUE!</v>
      </c>
      <c r="DV96" t="e">
        <f>AND('Planilla_General_29-11-2012_10_'!P1438,"AAAAAFdXfX0=")</f>
        <v>#VALUE!</v>
      </c>
      <c r="DW96">
        <f>IF('Planilla_General_29-11-2012_10_'!1439:1439,"AAAAAFdXfX4=",0)</f>
        <v>0</v>
      </c>
      <c r="DX96" t="e">
        <f>AND('Planilla_General_29-11-2012_10_'!A1439,"AAAAAFdXfX8=")</f>
        <v>#VALUE!</v>
      </c>
      <c r="DY96" t="e">
        <f>AND('Planilla_General_29-11-2012_10_'!B1439,"AAAAAFdXfYA=")</f>
        <v>#VALUE!</v>
      </c>
      <c r="DZ96" t="e">
        <f>AND('Planilla_General_29-11-2012_10_'!C1439,"AAAAAFdXfYE=")</f>
        <v>#VALUE!</v>
      </c>
      <c r="EA96" t="e">
        <f>AND('Planilla_General_29-11-2012_10_'!D1439,"AAAAAFdXfYI=")</f>
        <v>#VALUE!</v>
      </c>
      <c r="EB96" t="e">
        <f>AND('Planilla_General_29-11-2012_10_'!E1439,"AAAAAFdXfYM=")</f>
        <v>#VALUE!</v>
      </c>
      <c r="EC96" t="e">
        <f>AND('Planilla_General_29-11-2012_10_'!F1439,"AAAAAFdXfYQ=")</f>
        <v>#VALUE!</v>
      </c>
      <c r="ED96" t="e">
        <f>AND('Planilla_General_29-11-2012_10_'!G1439,"AAAAAFdXfYU=")</f>
        <v>#VALUE!</v>
      </c>
      <c r="EE96" t="e">
        <f>AND('Planilla_General_29-11-2012_10_'!H1439,"AAAAAFdXfYY=")</f>
        <v>#VALUE!</v>
      </c>
      <c r="EF96" t="e">
        <f>AND('Planilla_General_29-11-2012_10_'!I1439,"AAAAAFdXfYc=")</f>
        <v>#VALUE!</v>
      </c>
      <c r="EG96" t="e">
        <f>AND('Planilla_General_29-11-2012_10_'!J1439,"AAAAAFdXfYg=")</f>
        <v>#VALUE!</v>
      </c>
      <c r="EH96" t="e">
        <f>AND('Planilla_General_29-11-2012_10_'!K1439,"AAAAAFdXfYk=")</f>
        <v>#VALUE!</v>
      </c>
      <c r="EI96" t="e">
        <f>AND('Planilla_General_29-11-2012_10_'!L1439,"AAAAAFdXfYo=")</f>
        <v>#VALUE!</v>
      </c>
      <c r="EJ96" t="e">
        <f>AND('Planilla_General_29-11-2012_10_'!M1439,"AAAAAFdXfYs=")</f>
        <v>#VALUE!</v>
      </c>
      <c r="EK96" t="e">
        <f>AND('Planilla_General_29-11-2012_10_'!N1439,"AAAAAFdXfYw=")</f>
        <v>#VALUE!</v>
      </c>
      <c r="EL96" t="e">
        <f>AND('Planilla_General_29-11-2012_10_'!O1439,"AAAAAFdXfY0=")</f>
        <v>#VALUE!</v>
      </c>
      <c r="EM96" t="e">
        <f>AND('Planilla_General_29-11-2012_10_'!P1439,"AAAAAFdXfY4=")</f>
        <v>#VALUE!</v>
      </c>
      <c r="EN96">
        <f>IF('Planilla_General_29-11-2012_10_'!1440:1440,"AAAAAFdXfY8=",0)</f>
        <v>0</v>
      </c>
      <c r="EO96" t="e">
        <f>AND('Planilla_General_29-11-2012_10_'!A1440,"AAAAAFdXfZA=")</f>
        <v>#VALUE!</v>
      </c>
      <c r="EP96" t="e">
        <f>AND('Planilla_General_29-11-2012_10_'!B1440,"AAAAAFdXfZE=")</f>
        <v>#VALUE!</v>
      </c>
      <c r="EQ96" t="e">
        <f>AND('Planilla_General_29-11-2012_10_'!C1440,"AAAAAFdXfZI=")</f>
        <v>#VALUE!</v>
      </c>
      <c r="ER96" t="e">
        <f>AND('Planilla_General_29-11-2012_10_'!D1440,"AAAAAFdXfZM=")</f>
        <v>#VALUE!</v>
      </c>
      <c r="ES96" t="e">
        <f>AND('Planilla_General_29-11-2012_10_'!E1440,"AAAAAFdXfZQ=")</f>
        <v>#VALUE!</v>
      </c>
      <c r="ET96" t="e">
        <f>AND('Planilla_General_29-11-2012_10_'!F1440,"AAAAAFdXfZU=")</f>
        <v>#VALUE!</v>
      </c>
      <c r="EU96" t="e">
        <f>AND('Planilla_General_29-11-2012_10_'!G1440,"AAAAAFdXfZY=")</f>
        <v>#VALUE!</v>
      </c>
      <c r="EV96" t="e">
        <f>AND('Planilla_General_29-11-2012_10_'!H1440,"AAAAAFdXfZc=")</f>
        <v>#VALUE!</v>
      </c>
      <c r="EW96" t="e">
        <f>AND('Planilla_General_29-11-2012_10_'!I1440,"AAAAAFdXfZg=")</f>
        <v>#VALUE!</v>
      </c>
      <c r="EX96" t="e">
        <f>AND('Planilla_General_29-11-2012_10_'!J1440,"AAAAAFdXfZk=")</f>
        <v>#VALUE!</v>
      </c>
      <c r="EY96" t="e">
        <f>AND('Planilla_General_29-11-2012_10_'!K1440,"AAAAAFdXfZo=")</f>
        <v>#VALUE!</v>
      </c>
      <c r="EZ96" t="e">
        <f>AND('Planilla_General_29-11-2012_10_'!L1440,"AAAAAFdXfZs=")</f>
        <v>#VALUE!</v>
      </c>
      <c r="FA96" t="e">
        <f>AND('Planilla_General_29-11-2012_10_'!M1440,"AAAAAFdXfZw=")</f>
        <v>#VALUE!</v>
      </c>
      <c r="FB96" t="e">
        <f>AND('Planilla_General_29-11-2012_10_'!N1440,"AAAAAFdXfZ0=")</f>
        <v>#VALUE!</v>
      </c>
      <c r="FC96" t="e">
        <f>AND('Planilla_General_29-11-2012_10_'!O1440,"AAAAAFdXfZ4=")</f>
        <v>#VALUE!</v>
      </c>
      <c r="FD96" t="e">
        <f>AND('Planilla_General_29-11-2012_10_'!P1440,"AAAAAFdXfZ8=")</f>
        <v>#VALUE!</v>
      </c>
      <c r="FE96">
        <f>IF('Planilla_General_29-11-2012_10_'!1441:1441,"AAAAAFdXfaA=",0)</f>
        <v>0</v>
      </c>
      <c r="FF96" t="e">
        <f>AND('Planilla_General_29-11-2012_10_'!A1441,"AAAAAFdXfaE=")</f>
        <v>#VALUE!</v>
      </c>
      <c r="FG96" t="e">
        <f>AND('Planilla_General_29-11-2012_10_'!B1441,"AAAAAFdXfaI=")</f>
        <v>#VALUE!</v>
      </c>
      <c r="FH96" t="e">
        <f>AND('Planilla_General_29-11-2012_10_'!C1441,"AAAAAFdXfaM=")</f>
        <v>#VALUE!</v>
      </c>
      <c r="FI96" t="e">
        <f>AND('Planilla_General_29-11-2012_10_'!D1441,"AAAAAFdXfaQ=")</f>
        <v>#VALUE!</v>
      </c>
      <c r="FJ96" t="e">
        <f>AND('Planilla_General_29-11-2012_10_'!E1441,"AAAAAFdXfaU=")</f>
        <v>#VALUE!</v>
      </c>
      <c r="FK96" t="e">
        <f>AND('Planilla_General_29-11-2012_10_'!F1441,"AAAAAFdXfaY=")</f>
        <v>#VALUE!</v>
      </c>
      <c r="FL96" t="e">
        <f>AND('Planilla_General_29-11-2012_10_'!G1441,"AAAAAFdXfac=")</f>
        <v>#VALUE!</v>
      </c>
      <c r="FM96" t="e">
        <f>AND('Planilla_General_29-11-2012_10_'!H1441,"AAAAAFdXfag=")</f>
        <v>#VALUE!</v>
      </c>
      <c r="FN96" t="e">
        <f>AND('Planilla_General_29-11-2012_10_'!I1441,"AAAAAFdXfak=")</f>
        <v>#VALUE!</v>
      </c>
      <c r="FO96" t="e">
        <f>AND('Planilla_General_29-11-2012_10_'!J1441,"AAAAAFdXfao=")</f>
        <v>#VALUE!</v>
      </c>
      <c r="FP96" t="e">
        <f>AND('Planilla_General_29-11-2012_10_'!K1441,"AAAAAFdXfas=")</f>
        <v>#VALUE!</v>
      </c>
      <c r="FQ96" t="e">
        <f>AND('Planilla_General_29-11-2012_10_'!L1441,"AAAAAFdXfaw=")</f>
        <v>#VALUE!</v>
      </c>
      <c r="FR96" t="e">
        <f>AND('Planilla_General_29-11-2012_10_'!M1441,"AAAAAFdXfa0=")</f>
        <v>#VALUE!</v>
      </c>
      <c r="FS96" t="e">
        <f>AND('Planilla_General_29-11-2012_10_'!N1441,"AAAAAFdXfa4=")</f>
        <v>#VALUE!</v>
      </c>
      <c r="FT96" t="e">
        <f>AND('Planilla_General_29-11-2012_10_'!O1441,"AAAAAFdXfa8=")</f>
        <v>#VALUE!</v>
      </c>
      <c r="FU96" t="e">
        <f>AND('Planilla_General_29-11-2012_10_'!P1441,"AAAAAFdXfbA=")</f>
        <v>#VALUE!</v>
      </c>
      <c r="FV96">
        <f>IF('Planilla_General_29-11-2012_10_'!1442:1442,"AAAAAFdXfbE=",0)</f>
        <v>0</v>
      </c>
      <c r="FW96" t="e">
        <f>AND('Planilla_General_29-11-2012_10_'!A1442,"AAAAAFdXfbI=")</f>
        <v>#VALUE!</v>
      </c>
      <c r="FX96" t="e">
        <f>AND('Planilla_General_29-11-2012_10_'!B1442,"AAAAAFdXfbM=")</f>
        <v>#VALUE!</v>
      </c>
      <c r="FY96" t="e">
        <f>AND('Planilla_General_29-11-2012_10_'!C1442,"AAAAAFdXfbQ=")</f>
        <v>#VALUE!</v>
      </c>
      <c r="FZ96" t="e">
        <f>AND('Planilla_General_29-11-2012_10_'!D1442,"AAAAAFdXfbU=")</f>
        <v>#VALUE!</v>
      </c>
      <c r="GA96" t="e">
        <f>AND('Planilla_General_29-11-2012_10_'!E1442,"AAAAAFdXfbY=")</f>
        <v>#VALUE!</v>
      </c>
      <c r="GB96" t="e">
        <f>AND('Planilla_General_29-11-2012_10_'!F1442,"AAAAAFdXfbc=")</f>
        <v>#VALUE!</v>
      </c>
      <c r="GC96" t="e">
        <f>AND('Planilla_General_29-11-2012_10_'!G1442,"AAAAAFdXfbg=")</f>
        <v>#VALUE!</v>
      </c>
      <c r="GD96" t="e">
        <f>AND('Planilla_General_29-11-2012_10_'!H1442,"AAAAAFdXfbk=")</f>
        <v>#VALUE!</v>
      </c>
      <c r="GE96" t="e">
        <f>AND('Planilla_General_29-11-2012_10_'!I1442,"AAAAAFdXfbo=")</f>
        <v>#VALUE!</v>
      </c>
      <c r="GF96" t="e">
        <f>AND('Planilla_General_29-11-2012_10_'!J1442,"AAAAAFdXfbs=")</f>
        <v>#VALUE!</v>
      </c>
      <c r="GG96" t="e">
        <f>AND('Planilla_General_29-11-2012_10_'!K1442,"AAAAAFdXfbw=")</f>
        <v>#VALUE!</v>
      </c>
      <c r="GH96" t="e">
        <f>AND('Planilla_General_29-11-2012_10_'!L1442,"AAAAAFdXfb0=")</f>
        <v>#VALUE!</v>
      </c>
      <c r="GI96" t="e">
        <f>AND('Planilla_General_29-11-2012_10_'!M1442,"AAAAAFdXfb4=")</f>
        <v>#VALUE!</v>
      </c>
      <c r="GJ96" t="e">
        <f>AND('Planilla_General_29-11-2012_10_'!N1442,"AAAAAFdXfb8=")</f>
        <v>#VALUE!</v>
      </c>
      <c r="GK96" t="e">
        <f>AND('Planilla_General_29-11-2012_10_'!O1442,"AAAAAFdXfcA=")</f>
        <v>#VALUE!</v>
      </c>
      <c r="GL96" t="e">
        <f>AND('Planilla_General_29-11-2012_10_'!P1442,"AAAAAFdXfcE=")</f>
        <v>#VALUE!</v>
      </c>
      <c r="GM96">
        <f>IF('Planilla_General_29-11-2012_10_'!1443:1443,"AAAAAFdXfcI=",0)</f>
        <v>0</v>
      </c>
      <c r="GN96" t="e">
        <f>AND('Planilla_General_29-11-2012_10_'!A1443,"AAAAAFdXfcM=")</f>
        <v>#VALUE!</v>
      </c>
      <c r="GO96" t="e">
        <f>AND('Planilla_General_29-11-2012_10_'!B1443,"AAAAAFdXfcQ=")</f>
        <v>#VALUE!</v>
      </c>
      <c r="GP96" t="e">
        <f>AND('Planilla_General_29-11-2012_10_'!C1443,"AAAAAFdXfcU=")</f>
        <v>#VALUE!</v>
      </c>
      <c r="GQ96" t="e">
        <f>AND('Planilla_General_29-11-2012_10_'!D1443,"AAAAAFdXfcY=")</f>
        <v>#VALUE!</v>
      </c>
      <c r="GR96" t="e">
        <f>AND('Planilla_General_29-11-2012_10_'!E1443,"AAAAAFdXfcc=")</f>
        <v>#VALUE!</v>
      </c>
      <c r="GS96" t="e">
        <f>AND('Planilla_General_29-11-2012_10_'!F1443,"AAAAAFdXfcg=")</f>
        <v>#VALUE!</v>
      </c>
      <c r="GT96" t="e">
        <f>AND('Planilla_General_29-11-2012_10_'!G1443,"AAAAAFdXfck=")</f>
        <v>#VALUE!</v>
      </c>
      <c r="GU96" t="e">
        <f>AND('Planilla_General_29-11-2012_10_'!H1443,"AAAAAFdXfco=")</f>
        <v>#VALUE!</v>
      </c>
      <c r="GV96" t="e">
        <f>AND('Planilla_General_29-11-2012_10_'!I1443,"AAAAAFdXfcs=")</f>
        <v>#VALUE!</v>
      </c>
      <c r="GW96" t="e">
        <f>AND('Planilla_General_29-11-2012_10_'!J1443,"AAAAAFdXfcw=")</f>
        <v>#VALUE!</v>
      </c>
      <c r="GX96" t="e">
        <f>AND('Planilla_General_29-11-2012_10_'!K1443,"AAAAAFdXfc0=")</f>
        <v>#VALUE!</v>
      </c>
      <c r="GY96" t="e">
        <f>AND('Planilla_General_29-11-2012_10_'!L1443,"AAAAAFdXfc4=")</f>
        <v>#VALUE!</v>
      </c>
      <c r="GZ96" t="e">
        <f>AND('Planilla_General_29-11-2012_10_'!M1443,"AAAAAFdXfc8=")</f>
        <v>#VALUE!</v>
      </c>
      <c r="HA96" t="e">
        <f>AND('Planilla_General_29-11-2012_10_'!N1443,"AAAAAFdXfdA=")</f>
        <v>#VALUE!</v>
      </c>
      <c r="HB96" t="e">
        <f>AND('Planilla_General_29-11-2012_10_'!O1443,"AAAAAFdXfdE=")</f>
        <v>#VALUE!</v>
      </c>
      <c r="HC96" t="e">
        <f>AND('Planilla_General_29-11-2012_10_'!P1443,"AAAAAFdXfdI=")</f>
        <v>#VALUE!</v>
      </c>
      <c r="HD96">
        <f>IF('Planilla_General_29-11-2012_10_'!1444:1444,"AAAAAFdXfdM=",0)</f>
        <v>0</v>
      </c>
      <c r="HE96" t="e">
        <f>AND('Planilla_General_29-11-2012_10_'!A1444,"AAAAAFdXfdQ=")</f>
        <v>#VALUE!</v>
      </c>
      <c r="HF96" t="e">
        <f>AND('Planilla_General_29-11-2012_10_'!B1444,"AAAAAFdXfdU=")</f>
        <v>#VALUE!</v>
      </c>
      <c r="HG96" t="e">
        <f>AND('Planilla_General_29-11-2012_10_'!C1444,"AAAAAFdXfdY=")</f>
        <v>#VALUE!</v>
      </c>
      <c r="HH96" t="e">
        <f>AND('Planilla_General_29-11-2012_10_'!D1444,"AAAAAFdXfdc=")</f>
        <v>#VALUE!</v>
      </c>
      <c r="HI96" t="e">
        <f>AND('Planilla_General_29-11-2012_10_'!E1444,"AAAAAFdXfdg=")</f>
        <v>#VALUE!</v>
      </c>
      <c r="HJ96" t="e">
        <f>AND('Planilla_General_29-11-2012_10_'!F1444,"AAAAAFdXfdk=")</f>
        <v>#VALUE!</v>
      </c>
      <c r="HK96" t="e">
        <f>AND('Planilla_General_29-11-2012_10_'!G1444,"AAAAAFdXfdo=")</f>
        <v>#VALUE!</v>
      </c>
      <c r="HL96" t="e">
        <f>AND('Planilla_General_29-11-2012_10_'!H1444,"AAAAAFdXfds=")</f>
        <v>#VALUE!</v>
      </c>
      <c r="HM96" t="e">
        <f>AND('Planilla_General_29-11-2012_10_'!I1444,"AAAAAFdXfdw=")</f>
        <v>#VALUE!</v>
      </c>
      <c r="HN96" t="e">
        <f>AND('Planilla_General_29-11-2012_10_'!J1444,"AAAAAFdXfd0=")</f>
        <v>#VALUE!</v>
      </c>
      <c r="HO96" t="e">
        <f>AND('Planilla_General_29-11-2012_10_'!K1444,"AAAAAFdXfd4=")</f>
        <v>#VALUE!</v>
      </c>
      <c r="HP96" t="e">
        <f>AND('Planilla_General_29-11-2012_10_'!L1444,"AAAAAFdXfd8=")</f>
        <v>#VALUE!</v>
      </c>
      <c r="HQ96" t="e">
        <f>AND('Planilla_General_29-11-2012_10_'!M1444,"AAAAAFdXfeA=")</f>
        <v>#VALUE!</v>
      </c>
      <c r="HR96" t="e">
        <f>AND('Planilla_General_29-11-2012_10_'!N1444,"AAAAAFdXfeE=")</f>
        <v>#VALUE!</v>
      </c>
      <c r="HS96" t="e">
        <f>AND('Planilla_General_29-11-2012_10_'!O1444,"AAAAAFdXfeI=")</f>
        <v>#VALUE!</v>
      </c>
      <c r="HT96" t="e">
        <f>AND('Planilla_General_29-11-2012_10_'!P1444,"AAAAAFdXfeM=")</f>
        <v>#VALUE!</v>
      </c>
      <c r="HU96">
        <f>IF('Planilla_General_29-11-2012_10_'!1445:1445,"AAAAAFdXfeQ=",0)</f>
        <v>0</v>
      </c>
      <c r="HV96" t="e">
        <f>AND('Planilla_General_29-11-2012_10_'!A1445,"AAAAAFdXfeU=")</f>
        <v>#VALUE!</v>
      </c>
      <c r="HW96" t="e">
        <f>AND('Planilla_General_29-11-2012_10_'!B1445,"AAAAAFdXfeY=")</f>
        <v>#VALUE!</v>
      </c>
      <c r="HX96" t="e">
        <f>AND('Planilla_General_29-11-2012_10_'!C1445,"AAAAAFdXfec=")</f>
        <v>#VALUE!</v>
      </c>
      <c r="HY96" t="e">
        <f>AND('Planilla_General_29-11-2012_10_'!D1445,"AAAAAFdXfeg=")</f>
        <v>#VALUE!</v>
      </c>
      <c r="HZ96" t="e">
        <f>AND('Planilla_General_29-11-2012_10_'!E1445,"AAAAAFdXfek=")</f>
        <v>#VALUE!</v>
      </c>
      <c r="IA96" t="e">
        <f>AND('Planilla_General_29-11-2012_10_'!F1445,"AAAAAFdXfeo=")</f>
        <v>#VALUE!</v>
      </c>
      <c r="IB96" t="e">
        <f>AND('Planilla_General_29-11-2012_10_'!G1445,"AAAAAFdXfes=")</f>
        <v>#VALUE!</v>
      </c>
      <c r="IC96" t="e">
        <f>AND('Planilla_General_29-11-2012_10_'!H1445,"AAAAAFdXfew=")</f>
        <v>#VALUE!</v>
      </c>
      <c r="ID96" t="e">
        <f>AND('Planilla_General_29-11-2012_10_'!I1445,"AAAAAFdXfe0=")</f>
        <v>#VALUE!</v>
      </c>
      <c r="IE96" t="e">
        <f>AND('Planilla_General_29-11-2012_10_'!J1445,"AAAAAFdXfe4=")</f>
        <v>#VALUE!</v>
      </c>
      <c r="IF96" t="e">
        <f>AND('Planilla_General_29-11-2012_10_'!K1445,"AAAAAFdXfe8=")</f>
        <v>#VALUE!</v>
      </c>
      <c r="IG96" t="e">
        <f>AND('Planilla_General_29-11-2012_10_'!L1445,"AAAAAFdXffA=")</f>
        <v>#VALUE!</v>
      </c>
      <c r="IH96" t="e">
        <f>AND('Planilla_General_29-11-2012_10_'!M1445,"AAAAAFdXffE=")</f>
        <v>#VALUE!</v>
      </c>
      <c r="II96" t="e">
        <f>AND('Planilla_General_29-11-2012_10_'!N1445,"AAAAAFdXffI=")</f>
        <v>#VALUE!</v>
      </c>
      <c r="IJ96" t="e">
        <f>AND('Planilla_General_29-11-2012_10_'!O1445,"AAAAAFdXffM=")</f>
        <v>#VALUE!</v>
      </c>
      <c r="IK96" t="e">
        <f>AND('Planilla_General_29-11-2012_10_'!P1445,"AAAAAFdXffQ=")</f>
        <v>#VALUE!</v>
      </c>
      <c r="IL96">
        <f>IF('Planilla_General_29-11-2012_10_'!1446:1446,"AAAAAFdXffU=",0)</f>
        <v>0</v>
      </c>
      <c r="IM96" t="e">
        <f>AND('Planilla_General_29-11-2012_10_'!A1446,"AAAAAFdXffY=")</f>
        <v>#VALUE!</v>
      </c>
      <c r="IN96" t="e">
        <f>AND('Planilla_General_29-11-2012_10_'!B1446,"AAAAAFdXffc=")</f>
        <v>#VALUE!</v>
      </c>
      <c r="IO96" t="e">
        <f>AND('Planilla_General_29-11-2012_10_'!C1446,"AAAAAFdXffg=")</f>
        <v>#VALUE!</v>
      </c>
      <c r="IP96" t="e">
        <f>AND('Planilla_General_29-11-2012_10_'!D1446,"AAAAAFdXffk=")</f>
        <v>#VALUE!</v>
      </c>
      <c r="IQ96" t="e">
        <f>AND('Planilla_General_29-11-2012_10_'!E1446,"AAAAAFdXffo=")</f>
        <v>#VALUE!</v>
      </c>
      <c r="IR96" t="e">
        <f>AND('Planilla_General_29-11-2012_10_'!F1446,"AAAAAFdXffs=")</f>
        <v>#VALUE!</v>
      </c>
      <c r="IS96" t="e">
        <f>AND('Planilla_General_29-11-2012_10_'!G1446,"AAAAAFdXffw=")</f>
        <v>#VALUE!</v>
      </c>
      <c r="IT96" t="e">
        <f>AND('Planilla_General_29-11-2012_10_'!H1446,"AAAAAFdXff0=")</f>
        <v>#VALUE!</v>
      </c>
      <c r="IU96" t="e">
        <f>AND('Planilla_General_29-11-2012_10_'!I1446,"AAAAAFdXff4=")</f>
        <v>#VALUE!</v>
      </c>
      <c r="IV96" t="e">
        <f>AND('Planilla_General_29-11-2012_10_'!J1446,"AAAAAFdXff8=")</f>
        <v>#VALUE!</v>
      </c>
    </row>
    <row r="97" spans="1:256" x14ac:dyDescent="0.25">
      <c r="A97" t="e">
        <f>AND('Planilla_General_29-11-2012_10_'!K1446,"AAAAAFf9/gA=")</f>
        <v>#VALUE!</v>
      </c>
      <c r="B97" t="e">
        <f>AND('Planilla_General_29-11-2012_10_'!L1446,"AAAAAFf9/gE=")</f>
        <v>#VALUE!</v>
      </c>
      <c r="C97" t="e">
        <f>AND('Planilla_General_29-11-2012_10_'!M1446,"AAAAAFf9/gI=")</f>
        <v>#VALUE!</v>
      </c>
      <c r="D97" t="e">
        <f>AND('Planilla_General_29-11-2012_10_'!N1446,"AAAAAFf9/gM=")</f>
        <v>#VALUE!</v>
      </c>
      <c r="E97" t="e">
        <f>AND('Planilla_General_29-11-2012_10_'!O1446,"AAAAAFf9/gQ=")</f>
        <v>#VALUE!</v>
      </c>
      <c r="F97" t="e">
        <f>AND('Planilla_General_29-11-2012_10_'!P1446,"AAAAAFf9/gU=")</f>
        <v>#VALUE!</v>
      </c>
      <c r="G97" t="e">
        <f>IF('Planilla_General_29-11-2012_10_'!1447:1447,"AAAAAFf9/gY=",0)</f>
        <v>#VALUE!</v>
      </c>
      <c r="H97" t="e">
        <f>AND('Planilla_General_29-11-2012_10_'!A1447,"AAAAAFf9/gc=")</f>
        <v>#VALUE!</v>
      </c>
      <c r="I97" t="e">
        <f>AND('Planilla_General_29-11-2012_10_'!B1447,"AAAAAFf9/gg=")</f>
        <v>#VALUE!</v>
      </c>
      <c r="J97" t="e">
        <f>AND('Planilla_General_29-11-2012_10_'!C1447,"AAAAAFf9/gk=")</f>
        <v>#VALUE!</v>
      </c>
      <c r="K97" t="e">
        <f>AND('Planilla_General_29-11-2012_10_'!D1447,"AAAAAFf9/go=")</f>
        <v>#VALUE!</v>
      </c>
      <c r="L97" t="e">
        <f>AND('Planilla_General_29-11-2012_10_'!E1447,"AAAAAFf9/gs=")</f>
        <v>#VALUE!</v>
      </c>
      <c r="M97" t="e">
        <f>AND('Planilla_General_29-11-2012_10_'!F1447,"AAAAAFf9/gw=")</f>
        <v>#VALUE!</v>
      </c>
      <c r="N97" t="e">
        <f>AND('Planilla_General_29-11-2012_10_'!G1447,"AAAAAFf9/g0=")</f>
        <v>#VALUE!</v>
      </c>
      <c r="O97" t="e">
        <f>AND('Planilla_General_29-11-2012_10_'!H1447,"AAAAAFf9/g4=")</f>
        <v>#VALUE!</v>
      </c>
      <c r="P97" t="e">
        <f>AND('Planilla_General_29-11-2012_10_'!I1447,"AAAAAFf9/g8=")</f>
        <v>#VALUE!</v>
      </c>
      <c r="Q97" t="e">
        <f>AND('Planilla_General_29-11-2012_10_'!J1447,"AAAAAFf9/hA=")</f>
        <v>#VALUE!</v>
      </c>
      <c r="R97" t="e">
        <f>AND('Planilla_General_29-11-2012_10_'!K1447,"AAAAAFf9/hE=")</f>
        <v>#VALUE!</v>
      </c>
      <c r="S97" t="e">
        <f>AND('Planilla_General_29-11-2012_10_'!L1447,"AAAAAFf9/hI=")</f>
        <v>#VALUE!</v>
      </c>
      <c r="T97" t="e">
        <f>AND('Planilla_General_29-11-2012_10_'!M1447,"AAAAAFf9/hM=")</f>
        <v>#VALUE!</v>
      </c>
      <c r="U97" t="e">
        <f>AND('Planilla_General_29-11-2012_10_'!N1447,"AAAAAFf9/hQ=")</f>
        <v>#VALUE!</v>
      </c>
      <c r="V97" t="e">
        <f>AND('Planilla_General_29-11-2012_10_'!O1447,"AAAAAFf9/hU=")</f>
        <v>#VALUE!</v>
      </c>
      <c r="W97" t="e">
        <f>AND('Planilla_General_29-11-2012_10_'!P1447,"AAAAAFf9/hY=")</f>
        <v>#VALUE!</v>
      </c>
      <c r="X97">
        <f>IF('Planilla_General_29-11-2012_10_'!1448:1448,"AAAAAFf9/hc=",0)</f>
        <v>0</v>
      </c>
      <c r="Y97" t="e">
        <f>AND('Planilla_General_29-11-2012_10_'!A1448,"AAAAAFf9/hg=")</f>
        <v>#VALUE!</v>
      </c>
      <c r="Z97" t="e">
        <f>AND('Planilla_General_29-11-2012_10_'!B1448,"AAAAAFf9/hk=")</f>
        <v>#VALUE!</v>
      </c>
      <c r="AA97" t="e">
        <f>AND('Planilla_General_29-11-2012_10_'!C1448,"AAAAAFf9/ho=")</f>
        <v>#VALUE!</v>
      </c>
      <c r="AB97" t="e">
        <f>AND('Planilla_General_29-11-2012_10_'!D1448,"AAAAAFf9/hs=")</f>
        <v>#VALUE!</v>
      </c>
      <c r="AC97" t="e">
        <f>AND('Planilla_General_29-11-2012_10_'!E1448,"AAAAAFf9/hw=")</f>
        <v>#VALUE!</v>
      </c>
      <c r="AD97" t="e">
        <f>AND('Planilla_General_29-11-2012_10_'!F1448,"AAAAAFf9/h0=")</f>
        <v>#VALUE!</v>
      </c>
      <c r="AE97" t="e">
        <f>AND('Planilla_General_29-11-2012_10_'!G1448,"AAAAAFf9/h4=")</f>
        <v>#VALUE!</v>
      </c>
      <c r="AF97" t="e">
        <f>AND('Planilla_General_29-11-2012_10_'!H1448,"AAAAAFf9/h8=")</f>
        <v>#VALUE!</v>
      </c>
      <c r="AG97" t="e">
        <f>AND('Planilla_General_29-11-2012_10_'!I1448,"AAAAAFf9/iA=")</f>
        <v>#VALUE!</v>
      </c>
      <c r="AH97" t="e">
        <f>AND('Planilla_General_29-11-2012_10_'!J1448,"AAAAAFf9/iE=")</f>
        <v>#VALUE!</v>
      </c>
      <c r="AI97" t="e">
        <f>AND('Planilla_General_29-11-2012_10_'!K1448,"AAAAAFf9/iI=")</f>
        <v>#VALUE!</v>
      </c>
      <c r="AJ97" t="e">
        <f>AND('Planilla_General_29-11-2012_10_'!L1448,"AAAAAFf9/iM=")</f>
        <v>#VALUE!</v>
      </c>
      <c r="AK97" t="e">
        <f>AND('Planilla_General_29-11-2012_10_'!M1448,"AAAAAFf9/iQ=")</f>
        <v>#VALUE!</v>
      </c>
      <c r="AL97" t="e">
        <f>AND('Planilla_General_29-11-2012_10_'!N1448,"AAAAAFf9/iU=")</f>
        <v>#VALUE!</v>
      </c>
      <c r="AM97" t="e">
        <f>AND('Planilla_General_29-11-2012_10_'!O1448,"AAAAAFf9/iY=")</f>
        <v>#VALUE!</v>
      </c>
      <c r="AN97" t="e">
        <f>AND('Planilla_General_29-11-2012_10_'!P1448,"AAAAAFf9/ic=")</f>
        <v>#VALUE!</v>
      </c>
      <c r="AO97">
        <f>IF('Planilla_General_29-11-2012_10_'!1449:1449,"AAAAAFf9/ig=",0)</f>
        <v>0</v>
      </c>
      <c r="AP97" t="e">
        <f>AND('Planilla_General_29-11-2012_10_'!A1449,"AAAAAFf9/ik=")</f>
        <v>#VALUE!</v>
      </c>
      <c r="AQ97" t="e">
        <f>AND('Planilla_General_29-11-2012_10_'!B1449,"AAAAAFf9/io=")</f>
        <v>#VALUE!</v>
      </c>
      <c r="AR97" t="e">
        <f>AND('Planilla_General_29-11-2012_10_'!C1449,"AAAAAFf9/is=")</f>
        <v>#VALUE!</v>
      </c>
      <c r="AS97" t="e">
        <f>AND('Planilla_General_29-11-2012_10_'!D1449,"AAAAAFf9/iw=")</f>
        <v>#VALUE!</v>
      </c>
      <c r="AT97" t="e">
        <f>AND('Planilla_General_29-11-2012_10_'!E1449,"AAAAAFf9/i0=")</f>
        <v>#VALUE!</v>
      </c>
      <c r="AU97" t="e">
        <f>AND('Planilla_General_29-11-2012_10_'!F1449,"AAAAAFf9/i4=")</f>
        <v>#VALUE!</v>
      </c>
      <c r="AV97" t="e">
        <f>AND('Planilla_General_29-11-2012_10_'!G1449,"AAAAAFf9/i8=")</f>
        <v>#VALUE!</v>
      </c>
      <c r="AW97" t="e">
        <f>AND('Planilla_General_29-11-2012_10_'!H1449,"AAAAAFf9/jA=")</f>
        <v>#VALUE!</v>
      </c>
      <c r="AX97" t="e">
        <f>AND('Planilla_General_29-11-2012_10_'!I1449,"AAAAAFf9/jE=")</f>
        <v>#VALUE!</v>
      </c>
      <c r="AY97" t="e">
        <f>AND('Planilla_General_29-11-2012_10_'!J1449,"AAAAAFf9/jI=")</f>
        <v>#VALUE!</v>
      </c>
      <c r="AZ97" t="e">
        <f>AND('Planilla_General_29-11-2012_10_'!K1449,"AAAAAFf9/jM=")</f>
        <v>#VALUE!</v>
      </c>
      <c r="BA97" t="e">
        <f>AND('Planilla_General_29-11-2012_10_'!L1449,"AAAAAFf9/jQ=")</f>
        <v>#VALUE!</v>
      </c>
      <c r="BB97" t="e">
        <f>AND('Planilla_General_29-11-2012_10_'!M1449,"AAAAAFf9/jU=")</f>
        <v>#VALUE!</v>
      </c>
      <c r="BC97" t="e">
        <f>AND('Planilla_General_29-11-2012_10_'!N1449,"AAAAAFf9/jY=")</f>
        <v>#VALUE!</v>
      </c>
      <c r="BD97" t="e">
        <f>AND('Planilla_General_29-11-2012_10_'!O1449,"AAAAAFf9/jc=")</f>
        <v>#VALUE!</v>
      </c>
      <c r="BE97" t="e">
        <f>AND('Planilla_General_29-11-2012_10_'!P1449,"AAAAAFf9/jg=")</f>
        <v>#VALUE!</v>
      </c>
      <c r="BF97">
        <f>IF('Planilla_General_29-11-2012_10_'!1450:1450,"AAAAAFf9/jk=",0)</f>
        <v>0</v>
      </c>
      <c r="BG97" t="e">
        <f>AND('Planilla_General_29-11-2012_10_'!A1450,"AAAAAFf9/jo=")</f>
        <v>#VALUE!</v>
      </c>
      <c r="BH97" t="e">
        <f>AND('Planilla_General_29-11-2012_10_'!B1450,"AAAAAFf9/js=")</f>
        <v>#VALUE!</v>
      </c>
      <c r="BI97" t="e">
        <f>AND('Planilla_General_29-11-2012_10_'!C1450,"AAAAAFf9/jw=")</f>
        <v>#VALUE!</v>
      </c>
      <c r="BJ97" t="e">
        <f>AND('Planilla_General_29-11-2012_10_'!D1450,"AAAAAFf9/j0=")</f>
        <v>#VALUE!</v>
      </c>
      <c r="BK97" t="e">
        <f>AND('Planilla_General_29-11-2012_10_'!E1450,"AAAAAFf9/j4=")</f>
        <v>#VALUE!</v>
      </c>
      <c r="BL97" t="e">
        <f>AND('Planilla_General_29-11-2012_10_'!F1450,"AAAAAFf9/j8=")</f>
        <v>#VALUE!</v>
      </c>
      <c r="BM97" t="e">
        <f>AND('Planilla_General_29-11-2012_10_'!G1450,"AAAAAFf9/kA=")</f>
        <v>#VALUE!</v>
      </c>
      <c r="BN97" t="e">
        <f>AND('Planilla_General_29-11-2012_10_'!H1450,"AAAAAFf9/kE=")</f>
        <v>#VALUE!</v>
      </c>
      <c r="BO97" t="e">
        <f>AND('Planilla_General_29-11-2012_10_'!I1450,"AAAAAFf9/kI=")</f>
        <v>#VALUE!</v>
      </c>
      <c r="BP97" t="e">
        <f>AND('Planilla_General_29-11-2012_10_'!J1450,"AAAAAFf9/kM=")</f>
        <v>#VALUE!</v>
      </c>
      <c r="BQ97" t="e">
        <f>AND('Planilla_General_29-11-2012_10_'!K1450,"AAAAAFf9/kQ=")</f>
        <v>#VALUE!</v>
      </c>
      <c r="BR97" t="e">
        <f>AND('Planilla_General_29-11-2012_10_'!L1450,"AAAAAFf9/kU=")</f>
        <v>#VALUE!</v>
      </c>
      <c r="BS97" t="e">
        <f>AND('Planilla_General_29-11-2012_10_'!M1450,"AAAAAFf9/kY=")</f>
        <v>#VALUE!</v>
      </c>
      <c r="BT97" t="e">
        <f>AND('Planilla_General_29-11-2012_10_'!N1450,"AAAAAFf9/kc=")</f>
        <v>#VALUE!</v>
      </c>
      <c r="BU97" t="e">
        <f>AND('Planilla_General_29-11-2012_10_'!O1450,"AAAAAFf9/kg=")</f>
        <v>#VALUE!</v>
      </c>
      <c r="BV97" t="e">
        <f>AND('Planilla_General_29-11-2012_10_'!P1450,"AAAAAFf9/kk=")</f>
        <v>#VALUE!</v>
      </c>
      <c r="BW97">
        <f>IF('Planilla_General_29-11-2012_10_'!1451:1451,"AAAAAFf9/ko=",0)</f>
        <v>0</v>
      </c>
      <c r="BX97" t="e">
        <f>AND('Planilla_General_29-11-2012_10_'!A1451,"AAAAAFf9/ks=")</f>
        <v>#VALUE!</v>
      </c>
      <c r="BY97" t="e">
        <f>AND('Planilla_General_29-11-2012_10_'!B1451,"AAAAAFf9/kw=")</f>
        <v>#VALUE!</v>
      </c>
      <c r="BZ97" t="e">
        <f>AND('Planilla_General_29-11-2012_10_'!C1451,"AAAAAFf9/k0=")</f>
        <v>#VALUE!</v>
      </c>
      <c r="CA97" t="e">
        <f>AND('Planilla_General_29-11-2012_10_'!D1451,"AAAAAFf9/k4=")</f>
        <v>#VALUE!</v>
      </c>
      <c r="CB97" t="e">
        <f>AND('Planilla_General_29-11-2012_10_'!E1451,"AAAAAFf9/k8=")</f>
        <v>#VALUE!</v>
      </c>
      <c r="CC97" t="e">
        <f>AND('Planilla_General_29-11-2012_10_'!F1451,"AAAAAFf9/lA=")</f>
        <v>#VALUE!</v>
      </c>
      <c r="CD97" t="e">
        <f>AND('Planilla_General_29-11-2012_10_'!G1451,"AAAAAFf9/lE=")</f>
        <v>#VALUE!</v>
      </c>
      <c r="CE97" t="e">
        <f>AND('Planilla_General_29-11-2012_10_'!H1451,"AAAAAFf9/lI=")</f>
        <v>#VALUE!</v>
      </c>
      <c r="CF97" t="e">
        <f>AND('Planilla_General_29-11-2012_10_'!I1451,"AAAAAFf9/lM=")</f>
        <v>#VALUE!</v>
      </c>
      <c r="CG97" t="e">
        <f>AND('Planilla_General_29-11-2012_10_'!J1451,"AAAAAFf9/lQ=")</f>
        <v>#VALUE!</v>
      </c>
      <c r="CH97" t="e">
        <f>AND('Planilla_General_29-11-2012_10_'!K1451,"AAAAAFf9/lU=")</f>
        <v>#VALUE!</v>
      </c>
      <c r="CI97" t="e">
        <f>AND('Planilla_General_29-11-2012_10_'!L1451,"AAAAAFf9/lY=")</f>
        <v>#VALUE!</v>
      </c>
      <c r="CJ97" t="e">
        <f>AND('Planilla_General_29-11-2012_10_'!M1451,"AAAAAFf9/lc=")</f>
        <v>#VALUE!</v>
      </c>
      <c r="CK97" t="e">
        <f>AND('Planilla_General_29-11-2012_10_'!N1451,"AAAAAFf9/lg=")</f>
        <v>#VALUE!</v>
      </c>
      <c r="CL97" t="e">
        <f>AND('Planilla_General_29-11-2012_10_'!O1451,"AAAAAFf9/lk=")</f>
        <v>#VALUE!</v>
      </c>
      <c r="CM97" t="e">
        <f>AND('Planilla_General_29-11-2012_10_'!P1451,"AAAAAFf9/lo=")</f>
        <v>#VALUE!</v>
      </c>
      <c r="CN97">
        <f>IF('Planilla_General_29-11-2012_10_'!1452:1452,"AAAAAFf9/ls=",0)</f>
        <v>0</v>
      </c>
      <c r="CO97" t="e">
        <f>AND('Planilla_General_29-11-2012_10_'!A1452,"AAAAAFf9/lw=")</f>
        <v>#VALUE!</v>
      </c>
      <c r="CP97" t="e">
        <f>AND('Planilla_General_29-11-2012_10_'!B1452,"AAAAAFf9/l0=")</f>
        <v>#VALUE!</v>
      </c>
      <c r="CQ97" t="e">
        <f>AND('Planilla_General_29-11-2012_10_'!C1452,"AAAAAFf9/l4=")</f>
        <v>#VALUE!</v>
      </c>
      <c r="CR97" t="e">
        <f>AND('Planilla_General_29-11-2012_10_'!D1452,"AAAAAFf9/l8=")</f>
        <v>#VALUE!</v>
      </c>
      <c r="CS97" t="e">
        <f>AND('Planilla_General_29-11-2012_10_'!E1452,"AAAAAFf9/mA=")</f>
        <v>#VALUE!</v>
      </c>
      <c r="CT97" t="e">
        <f>AND('Planilla_General_29-11-2012_10_'!F1452,"AAAAAFf9/mE=")</f>
        <v>#VALUE!</v>
      </c>
      <c r="CU97" t="e">
        <f>AND('Planilla_General_29-11-2012_10_'!G1452,"AAAAAFf9/mI=")</f>
        <v>#VALUE!</v>
      </c>
      <c r="CV97" t="e">
        <f>AND('Planilla_General_29-11-2012_10_'!H1452,"AAAAAFf9/mM=")</f>
        <v>#VALUE!</v>
      </c>
      <c r="CW97" t="e">
        <f>AND('Planilla_General_29-11-2012_10_'!I1452,"AAAAAFf9/mQ=")</f>
        <v>#VALUE!</v>
      </c>
      <c r="CX97" t="e">
        <f>AND('Planilla_General_29-11-2012_10_'!J1452,"AAAAAFf9/mU=")</f>
        <v>#VALUE!</v>
      </c>
      <c r="CY97" t="e">
        <f>AND('Planilla_General_29-11-2012_10_'!K1452,"AAAAAFf9/mY=")</f>
        <v>#VALUE!</v>
      </c>
      <c r="CZ97" t="e">
        <f>AND('Planilla_General_29-11-2012_10_'!L1452,"AAAAAFf9/mc=")</f>
        <v>#VALUE!</v>
      </c>
      <c r="DA97" t="e">
        <f>AND('Planilla_General_29-11-2012_10_'!M1452,"AAAAAFf9/mg=")</f>
        <v>#VALUE!</v>
      </c>
      <c r="DB97" t="e">
        <f>AND('Planilla_General_29-11-2012_10_'!N1452,"AAAAAFf9/mk=")</f>
        <v>#VALUE!</v>
      </c>
      <c r="DC97" t="e">
        <f>AND('Planilla_General_29-11-2012_10_'!O1452,"AAAAAFf9/mo=")</f>
        <v>#VALUE!</v>
      </c>
      <c r="DD97" t="e">
        <f>AND('Planilla_General_29-11-2012_10_'!P1452,"AAAAAFf9/ms=")</f>
        <v>#VALUE!</v>
      </c>
      <c r="DE97">
        <f>IF('Planilla_General_29-11-2012_10_'!1453:1453,"AAAAAFf9/mw=",0)</f>
        <v>0</v>
      </c>
      <c r="DF97" t="e">
        <f>AND('Planilla_General_29-11-2012_10_'!A1453,"AAAAAFf9/m0=")</f>
        <v>#VALUE!</v>
      </c>
      <c r="DG97" t="e">
        <f>AND('Planilla_General_29-11-2012_10_'!B1453,"AAAAAFf9/m4=")</f>
        <v>#VALUE!</v>
      </c>
      <c r="DH97" t="e">
        <f>AND('Planilla_General_29-11-2012_10_'!C1453,"AAAAAFf9/m8=")</f>
        <v>#VALUE!</v>
      </c>
      <c r="DI97" t="e">
        <f>AND('Planilla_General_29-11-2012_10_'!D1453,"AAAAAFf9/nA=")</f>
        <v>#VALUE!</v>
      </c>
      <c r="DJ97" t="e">
        <f>AND('Planilla_General_29-11-2012_10_'!E1453,"AAAAAFf9/nE=")</f>
        <v>#VALUE!</v>
      </c>
      <c r="DK97" t="e">
        <f>AND('Planilla_General_29-11-2012_10_'!F1453,"AAAAAFf9/nI=")</f>
        <v>#VALUE!</v>
      </c>
      <c r="DL97" t="e">
        <f>AND('Planilla_General_29-11-2012_10_'!G1453,"AAAAAFf9/nM=")</f>
        <v>#VALUE!</v>
      </c>
      <c r="DM97" t="e">
        <f>AND('Planilla_General_29-11-2012_10_'!H1453,"AAAAAFf9/nQ=")</f>
        <v>#VALUE!</v>
      </c>
      <c r="DN97" t="e">
        <f>AND('Planilla_General_29-11-2012_10_'!I1453,"AAAAAFf9/nU=")</f>
        <v>#VALUE!</v>
      </c>
      <c r="DO97" t="e">
        <f>AND('Planilla_General_29-11-2012_10_'!J1453,"AAAAAFf9/nY=")</f>
        <v>#VALUE!</v>
      </c>
      <c r="DP97" t="e">
        <f>AND('Planilla_General_29-11-2012_10_'!K1453,"AAAAAFf9/nc=")</f>
        <v>#VALUE!</v>
      </c>
      <c r="DQ97" t="e">
        <f>AND('Planilla_General_29-11-2012_10_'!L1453,"AAAAAFf9/ng=")</f>
        <v>#VALUE!</v>
      </c>
      <c r="DR97" t="e">
        <f>AND('Planilla_General_29-11-2012_10_'!M1453,"AAAAAFf9/nk=")</f>
        <v>#VALUE!</v>
      </c>
      <c r="DS97" t="e">
        <f>AND('Planilla_General_29-11-2012_10_'!N1453,"AAAAAFf9/no=")</f>
        <v>#VALUE!</v>
      </c>
      <c r="DT97" t="e">
        <f>AND('Planilla_General_29-11-2012_10_'!O1453,"AAAAAFf9/ns=")</f>
        <v>#VALUE!</v>
      </c>
      <c r="DU97" t="e">
        <f>AND('Planilla_General_29-11-2012_10_'!P1453,"AAAAAFf9/nw=")</f>
        <v>#VALUE!</v>
      </c>
      <c r="DV97">
        <f>IF('Planilla_General_29-11-2012_10_'!1454:1454,"AAAAAFf9/n0=",0)</f>
        <v>0</v>
      </c>
      <c r="DW97" t="e">
        <f>AND('Planilla_General_29-11-2012_10_'!A1454,"AAAAAFf9/n4=")</f>
        <v>#VALUE!</v>
      </c>
      <c r="DX97" t="e">
        <f>AND('Planilla_General_29-11-2012_10_'!B1454,"AAAAAFf9/n8=")</f>
        <v>#VALUE!</v>
      </c>
      <c r="DY97" t="e">
        <f>AND('Planilla_General_29-11-2012_10_'!C1454,"AAAAAFf9/oA=")</f>
        <v>#VALUE!</v>
      </c>
      <c r="DZ97" t="e">
        <f>AND('Planilla_General_29-11-2012_10_'!D1454,"AAAAAFf9/oE=")</f>
        <v>#VALUE!</v>
      </c>
      <c r="EA97" t="e">
        <f>AND('Planilla_General_29-11-2012_10_'!E1454,"AAAAAFf9/oI=")</f>
        <v>#VALUE!</v>
      </c>
      <c r="EB97" t="e">
        <f>AND('Planilla_General_29-11-2012_10_'!F1454,"AAAAAFf9/oM=")</f>
        <v>#VALUE!</v>
      </c>
      <c r="EC97" t="e">
        <f>AND('Planilla_General_29-11-2012_10_'!G1454,"AAAAAFf9/oQ=")</f>
        <v>#VALUE!</v>
      </c>
      <c r="ED97" t="e">
        <f>AND('Planilla_General_29-11-2012_10_'!H1454,"AAAAAFf9/oU=")</f>
        <v>#VALUE!</v>
      </c>
      <c r="EE97" t="e">
        <f>AND('Planilla_General_29-11-2012_10_'!I1454,"AAAAAFf9/oY=")</f>
        <v>#VALUE!</v>
      </c>
      <c r="EF97" t="e">
        <f>AND('Planilla_General_29-11-2012_10_'!J1454,"AAAAAFf9/oc=")</f>
        <v>#VALUE!</v>
      </c>
      <c r="EG97" t="e">
        <f>AND('Planilla_General_29-11-2012_10_'!K1454,"AAAAAFf9/og=")</f>
        <v>#VALUE!</v>
      </c>
      <c r="EH97" t="e">
        <f>AND('Planilla_General_29-11-2012_10_'!L1454,"AAAAAFf9/ok=")</f>
        <v>#VALUE!</v>
      </c>
      <c r="EI97" t="e">
        <f>AND('Planilla_General_29-11-2012_10_'!M1454,"AAAAAFf9/oo=")</f>
        <v>#VALUE!</v>
      </c>
      <c r="EJ97" t="e">
        <f>AND('Planilla_General_29-11-2012_10_'!N1454,"AAAAAFf9/os=")</f>
        <v>#VALUE!</v>
      </c>
      <c r="EK97" t="e">
        <f>AND('Planilla_General_29-11-2012_10_'!O1454,"AAAAAFf9/ow=")</f>
        <v>#VALUE!</v>
      </c>
      <c r="EL97" t="e">
        <f>AND('Planilla_General_29-11-2012_10_'!P1454,"AAAAAFf9/o0=")</f>
        <v>#VALUE!</v>
      </c>
      <c r="EM97">
        <f>IF('Planilla_General_29-11-2012_10_'!1455:1455,"AAAAAFf9/o4=",0)</f>
        <v>0</v>
      </c>
      <c r="EN97" t="e">
        <f>AND('Planilla_General_29-11-2012_10_'!A1455,"AAAAAFf9/o8=")</f>
        <v>#VALUE!</v>
      </c>
      <c r="EO97" t="e">
        <f>AND('Planilla_General_29-11-2012_10_'!B1455,"AAAAAFf9/pA=")</f>
        <v>#VALUE!</v>
      </c>
      <c r="EP97" t="e">
        <f>AND('Planilla_General_29-11-2012_10_'!C1455,"AAAAAFf9/pE=")</f>
        <v>#VALUE!</v>
      </c>
      <c r="EQ97" t="e">
        <f>AND('Planilla_General_29-11-2012_10_'!D1455,"AAAAAFf9/pI=")</f>
        <v>#VALUE!</v>
      </c>
      <c r="ER97" t="e">
        <f>AND('Planilla_General_29-11-2012_10_'!E1455,"AAAAAFf9/pM=")</f>
        <v>#VALUE!</v>
      </c>
      <c r="ES97" t="e">
        <f>AND('Planilla_General_29-11-2012_10_'!F1455,"AAAAAFf9/pQ=")</f>
        <v>#VALUE!</v>
      </c>
      <c r="ET97" t="e">
        <f>AND('Planilla_General_29-11-2012_10_'!G1455,"AAAAAFf9/pU=")</f>
        <v>#VALUE!</v>
      </c>
      <c r="EU97" t="e">
        <f>AND('Planilla_General_29-11-2012_10_'!H1455,"AAAAAFf9/pY=")</f>
        <v>#VALUE!</v>
      </c>
      <c r="EV97" t="e">
        <f>AND('Planilla_General_29-11-2012_10_'!I1455,"AAAAAFf9/pc=")</f>
        <v>#VALUE!</v>
      </c>
      <c r="EW97" t="e">
        <f>AND('Planilla_General_29-11-2012_10_'!J1455,"AAAAAFf9/pg=")</f>
        <v>#VALUE!</v>
      </c>
      <c r="EX97" t="e">
        <f>AND('Planilla_General_29-11-2012_10_'!K1455,"AAAAAFf9/pk=")</f>
        <v>#VALUE!</v>
      </c>
      <c r="EY97" t="e">
        <f>AND('Planilla_General_29-11-2012_10_'!L1455,"AAAAAFf9/po=")</f>
        <v>#VALUE!</v>
      </c>
      <c r="EZ97" t="e">
        <f>AND('Planilla_General_29-11-2012_10_'!M1455,"AAAAAFf9/ps=")</f>
        <v>#VALUE!</v>
      </c>
      <c r="FA97" t="e">
        <f>AND('Planilla_General_29-11-2012_10_'!N1455,"AAAAAFf9/pw=")</f>
        <v>#VALUE!</v>
      </c>
      <c r="FB97" t="e">
        <f>AND('Planilla_General_29-11-2012_10_'!O1455,"AAAAAFf9/p0=")</f>
        <v>#VALUE!</v>
      </c>
      <c r="FC97" t="e">
        <f>AND('Planilla_General_29-11-2012_10_'!P1455,"AAAAAFf9/p4=")</f>
        <v>#VALUE!</v>
      </c>
      <c r="FD97">
        <f>IF('Planilla_General_29-11-2012_10_'!1456:1456,"AAAAAFf9/p8=",0)</f>
        <v>0</v>
      </c>
      <c r="FE97" t="e">
        <f>AND('Planilla_General_29-11-2012_10_'!A1456,"AAAAAFf9/qA=")</f>
        <v>#VALUE!</v>
      </c>
      <c r="FF97" t="e">
        <f>AND('Planilla_General_29-11-2012_10_'!B1456,"AAAAAFf9/qE=")</f>
        <v>#VALUE!</v>
      </c>
      <c r="FG97" t="e">
        <f>AND('Planilla_General_29-11-2012_10_'!C1456,"AAAAAFf9/qI=")</f>
        <v>#VALUE!</v>
      </c>
      <c r="FH97" t="e">
        <f>AND('Planilla_General_29-11-2012_10_'!D1456,"AAAAAFf9/qM=")</f>
        <v>#VALUE!</v>
      </c>
      <c r="FI97" t="e">
        <f>AND('Planilla_General_29-11-2012_10_'!E1456,"AAAAAFf9/qQ=")</f>
        <v>#VALUE!</v>
      </c>
      <c r="FJ97" t="e">
        <f>AND('Planilla_General_29-11-2012_10_'!F1456,"AAAAAFf9/qU=")</f>
        <v>#VALUE!</v>
      </c>
      <c r="FK97" t="e">
        <f>AND('Planilla_General_29-11-2012_10_'!G1456,"AAAAAFf9/qY=")</f>
        <v>#VALUE!</v>
      </c>
      <c r="FL97" t="e">
        <f>AND('Planilla_General_29-11-2012_10_'!H1456,"AAAAAFf9/qc=")</f>
        <v>#VALUE!</v>
      </c>
      <c r="FM97" t="e">
        <f>AND('Planilla_General_29-11-2012_10_'!I1456,"AAAAAFf9/qg=")</f>
        <v>#VALUE!</v>
      </c>
      <c r="FN97" t="e">
        <f>AND('Planilla_General_29-11-2012_10_'!J1456,"AAAAAFf9/qk=")</f>
        <v>#VALUE!</v>
      </c>
      <c r="FO97" t="e">
        <f>AND('Planilla_General_29-11-2012_10_'!K1456,"AAAAAFf9/qo=")</f>
        <v>#VALUE!</v>
      </c>
      <c r="FP97" t="e">
        <f>AND('Planilla_General_29-11-2012_10_'!L1456,"AAAAAFf9/qs=")</f>
        <v>#VALUE!</v>
      </c>
      <c r="FQ97" t="e">
        <f>AND('Planilla_General_29-11-2012_10_'!M1456,"AAAAAFf9/qw=")</f>
        <v>#VALUE!</v>
      </c>
      <c r="FR97" t="e">
        <f>AND('Planilla_General_29-11-2012_10_'!N1456,"AAAAAFf9/q0=")</f>
        <v>#VALUE!</v>
      </c>
      <c r="FS97" t="e">
        <f>AND('Planilla_General_29-11-2012_10_'!O1456,"AAAAAFf9/q4=")</f>
        <v>#VALUE!</v>
      </c>
      <c r="FT97" t="e">
        <f>AND('Planilla_General_29-11-2012_10_'!P1456,"AAAAAFf9/q8=")</f>
        <v>#VALUE!</v>
      </c>
      <c r="FU97">
        <f>IF('Planilla_General_29-11-2012_10_'!1457:1457,"AAAAAFf9/rA=",0)</f>
        <v>0</v>
      </c>
      <c r="FV97" t="e">
        <f>AND('Planilla_General_29-11-2012_10_'!A1457,"AAAAAFf9/rE=")</f>
        <v>#VALUE!</v>
      </c>
      <c r="FW97" t="e">
        <f>AND('Planilla_General_29-11-2012_10_'!B1457,"AAAAAFf9/rI=")</f>
        <v>#VALUE!</v>
      </c>
      <c r="FX97" t="e">
        <f>AND('Planilla_General_29-11-2012_10_'!C1457,"AAAAAFf9/rM=")</f>
        <v>#VALUE!</v>
      </c>
      <c r="FY97" t="e">
        <f>AND('Planilla_General_29-11-2012_10_'!D1457,"AAAAAFf9/rQ=")</f>
        <v>#VALUE!</v>
      </c>
      <c r="FZ97" t="e">
        <f>AND('Planilla_General_29-11-2012_10_'!E1457,"AAAAAFf9/rU=")</f>
        <v>#VALUE!</v>
      </c>
      <c r="GA97" t="e">
        <f>AND('Planilla_General_29-11-2012_10_'!F1457,"AAAAAFf9/rY=")</f>
        <v>#VALUE!</v>
      </c>
      <c r="GB97" t="e">
        <f>AND('Planilla_General_29-11-2012_10_'!G1457,"AAAAAFf9/rc=")</f>
        <v>#VALUE!</v>
      </c>
      <c r="GC97" t="e">
        <f>AND('Planilla_General_29-11-2012_10_'!H1457,"AAAAAFf9/rg=")</f>
        <v>#VALUE!</v>
      </c>
      <c r="GD97" t="e">
        <f>AND('Planilla_General_29-11-2012_10_'!I1457,"AAAAAFf9/rk=")</f>
        <v>#VALUE!</v>
      </c>
      <c r="GE97" t="e">
        <f>AND('Planilla_General_29-11-2012_10_'!J1457,"AAAAAFf9/ro=")</f>
        <v>#VALUE!</v>
      </c>
      <c r="GF97" t="e">
        <f>AND('Planilla_General_29-11-2012_10_'!K1457,"AAAAAFf9/rs=")</f>
        <v>#VALUE!</v>
      </c>
      <c r="GG97" t="e">
        <f>AND('Planilla_General_29-11-2012_10_'!L1457,"AAAAAFf9/rw=")</f>
        <v>#VALUE!</v>
      </c>
      <c r="GH97" t="e">
        <f>AND('Planilla_General_29-11-2012_10_'!M1457,"AAAAAFf9/r0=")</f>
        <v>#VALUE!</v>
      </c>
      <c r="GI97" t="e">
        <f>AND('Planilla_General_29-11-2012_10_'!N1457,"AAAAAFf9/r4=")</f>
        <v>#VALUE!</v>
      </c>
      <c r="GJ97" t="e">
        <f>AND('Planilla_General_29-11-2012_10_'!O1457,"AAAAAFf9/r8=")</f>
        <v>#VALUE!</v>
      </c>
      <c r="GK97" t="e">
        <f>AND('Planilla_General_29-11-2012_10_'!P1457,"AAAAAFf9/sA=")</f>
        <v>#VALUE!</v>
      </c>
      <c r="GL97">
        <f>IF('Planilla_General_29-11-2012_10_'!1458:1458,"AAAAAFf9/sE=",0)</f>
        <v>0</v>
      </c>
      <c r="GM97" t="e">
        <f>AND('Planilla_General_29-11-2012_10_'!A1458,"AAAAAFf9/sI=")</f>
        <v>#VALUE!</v>
      </c>
      <c r="GN97" t="e">
        <f>AND('Planilla_General_29-11-2012_10_'!B1458,"AAAAAFf9/sM=")</f>
        <v>#VALUE!</v>
      </c>
      <c r="GO97" t="e">
        <f>AND('Planilla_General_29-11-2012_10_'!C1458,"AAAAAFf9/sQ=")</f>
        <v>#VALUE!</v>
      </c>
      <c r="GP97" t="e">
        <f>AND('Planilla_General_29-11-2012_10_'!D1458,"AAAAAFf9/sU=")</f>
        <v>#VALUE!</v>
      </c>
      <c r="GQ97" t="e">
        <f>AND('Planilla_General_29-11-2012_10_'!E1458,"AAAAAFf9/sY=")</f>
        <v>#VALUE!</v>
      </c>
      <c r="GR97" t="e">
        <f>AND('Planilla_General_29-11-2012_10_'!F1458,"AAAAAFf9/sc=")</f>
        <v>#VALUE!</v>
      </c>
      <c r="GS97" t="e">
        <f>AND('Planilla_General_29-11-2012_10_'!G1458,"AAAAAFf9/sg=")</f>
        <v>#VALUE!</v>
      </c>
      <c r="GT97" t="e">
        <f>AND('Planilla_General_29-11-2012_10_'!H1458,"AAAAAFf9/sk=")</f>
        <v>#VALUE!</v>
      </c>
      <c r="GU97" t="e">
        <f>AND('Planilla_General_29-11-2012_10_'!I1458,"AAAAAFf9/so=")</f>
        <v>#VALUE!</v>
      </c>
      <c r="GV97" t="e">
        <f>AND('Planilla_General_29-11-2012_10_'!J1458,"AAAAAFf9/ss=")</f>
        <v>#VALUE!</v>
      </c>
      <c r="GW97" t="e">
        <f>AND('Planilla_General_29-11-2012_10_'!K1458,"AAAAAFf9/sw=")</f>
        <v>#VALUE!</v>
      </c>
      <c r="GX97" t="e">
        <f>AND('Planilla_General_29-11-2012_10_'!L1458,"AAAAAFf9/s0=")</f>
        <v>#VALUE!</v>
      </c>
      <c r="GY97" t="e">
        <f>AND('Planilla_General_29-11-2012_10_'!M1458,"AAAAAFf9/s4=")</f>
        <v>#VALUE!</v>
      </c>
      <c r="GZ97" t="e">
        <f>AND('Planilla_General_29-11-2012_10_'!N1458,"AAAAAFf9/s8=")</f>
        <v>#VALUE!</v>
      </c>
      <c r="HA97" t="e">
        <f>AND('Planilla_General_29-11-2012_10_'!O1458,"AAAAAFf9/tA=")</f>
        <v>#VALUE!</v>
      </c>
      <c r="HB97" t="e">
        <f>AND('Planilla_General_29-11-2012_10_'!P1458,"AAAAAFf9/tE=")</f>
        <v>#VALUE!</v>
      </c>
      <c r="HC97">
        <f>IF('Planilla_General_29-11-2012_10_'!1459:1459,"AAAAAFf9/tI=",0)</f>
        <v>0</v>
      </c>
      <c r="HD97" t="e">
        <f>AND('Planilla_General_29-11-2012_10_'!A1459,"AAAAAFf9/tM=")</f>
        <v>#VALUE!</v>
      </c>
      <c r="HE97" t="e">
        <f>AND('Planilla_General_29-11-2012_10_'!B1459,"AAAAAFf9/tQ=")</f>
        <v>#VALUE!</v>
      </c>
      <c r="HF97" t="e">
        <f>AND('Planilla_General_29-11-2012_10_'!C1459,"AAAAAFf9/tU=")</f>
        <v>#VALUE!</v>
      </c>
      <c r="HG97" t="e">
        <f>AND('Planilla_General_29-11-2012_10_'!D1459,"AAAAAFf9/tY=")</f>
        <v>#VALUE!</v>
      </c>
      <c r="HH97" t="e">
        <f>AND('Planilla_General_29-11-2012_10_'!E1459,"AAAAAFf9/tc=")</f>
        <v>#VALUE!</v>
      </c>
      <c r="HI97" t="e">
        <f>AND('Planilla_General_29-11-2012_10_'!F1459,"AAAAAFf9/tg=")</f>
        <v>#VALUE!</v>
      </c>
      <c r="HJ97" t="e">
        <f>AND('Planilla_General_29-11-2012_10_'!G1459,"AAAAAFf9/tk=")</f>
        <v>#VALUE!</v>
      </c>
      <c r="HK97" t="e">
        <f>AND('Planilla_General_29-11-2012_10_'!H1459,"AAAAAFf9/to=")</f>
        <v>#VALUE!</v>
      </c>
      <c r="HL97" t="e">
        <f>AND('Planilla_General_29-11-2012_10_'!I1459,"AAAAAFf9/ts=")</f>
        <v>#VALUE!</v>
      </c>
      <c r="HM97" t="e">
        <f>AND('Planilla_General_29-11-2012_10_'!J1459,"AAAAAFf9/tw=")</f>
        <v>#VALUE!</v>
      </c>
      <c r="HN97" t="e">
        <f>AND('Planilla_General_29-11-2012_10_'!K1459,"AAAAAFf9/t0=")</f>
        <v>#VALUE!</v>
      </c>
      <c r="HO97" t="e">
        <f>AND('Planilla_General_29-11-2012_10_'!L1459,"AAAAAFf9/t4=")</f>
        <v>#VALUE!</v>
      </c>
      <c r="HP97" t="e">
        <f>AND('Planilla_General_29-11-2012_10_'!M1459,"AAAAAFf9/t8=")</f>
        <v>#VALUE!</v>
      </c>
      <c r="HQ97" t="e">
        <f>AND('Planilla_General_29-11-2012_10_'!N1459,"AAAAAFf9/uA=")</f>
        <v>#VALUE!</v>
      </c>
      <c r="HR97" t="e">
        <f>AND('Planilla_General_29-11-2012_10_'!O1459,"AAAAAFf9/uE=")</f>
        <v>#VALUE!</v>
      </c>
      <c r="HS97" t="e">
        <f>AND('Planilla_General_29-11-2012_10_'!P1459,"AAAAAFf9/uI=")</f>
        <v>#VALUE!</v>
      </c>
      <c r="HT97">
        <f>IF('Planilla_General_29-11-2012_10_'!1460:1460,"AAAAAFf9/uM=",0)</f>
        <v>0</v>
      </c>
      <c r="HU97" t="e">
        <f>AND('Planilla_General_29-11-2012_10_'!A1460,"AAAAAFf9/uQ=")</f>
        <v>#VALUE!</v>
      </c>
      <c r="HV97" t="e">
        <f>AND('Planilla_General_29-11-2012_10_'!B1460,"AAAAAFf9/uU=")</f>
        <v>#VALUE!</v>
      </c>
      <c r="HW97" t="e">
        <f>AND('Planilla_General_29-11-2012_10_'!C1460,"AAAAAFf9/uY=")</f>
        <v>#VALUE!</v>
      </c>
      <c r="HX97" t="e">
        <f>AND('Planilla_General_29-11-2012_10_'!D1460,"AAAAAFf9/uc=")</f>
        <v>#VALUE!</v>
      </c>
      <c r="HY97" t="e">
        <f>AND('Planilla_General_29-11-2012_10_'!E1460,"AAAAAFf9/ug=")</f>
        <v>#VALUE!</v>
      </c>
      <c r="HZ97" t="e">
        <f>AND('Planilla_General_29-11-2012_10_'!F1460,"AAAAAFf9/uk=")</f>
        <v>#VALUE!</v>
      </c>
      <c r="IA97" t="e">
        <f>AND('Planilla_General_29-11-2012_10_'!G1460,"AAAAAFf9/uo=")</f>
        <v>#VALUE!</v>
      </c>
      <c r="IB97" t="e">
        <f>AND('Planilla_General_29-11-2012_10_'!H1460,"AAAAAFf9/us=")</f>
        <v>#VALUE!</v>
      </c>
      <c r="IC97" t="e">
        <f>AND('Planilla_General_29-11-2012_10_'!I1460,"AAAAAFf9/uw=")</f>
        <v>#VALUE!</v>
      </c>
      <c r="ID97" t="e">
        <f>AND('Planilla_General_29-11-2012_10_'!J1460,"AAAAAFf9/u0=")</f>
        <v>#VALUE!</v>
      </c>
      <c r="IE97" t="e">
        <f>AND('Planilla_General_29-11-2012_10_'!K1460,"AAAAAFf9/u4=")</f>
        <v>#VALUE!</v>
      </c>
      <c r="IF97" t="e">
        <f>AND('Planilla_General_29-11-2012_10_'!L1460,"AAAAAFf9/u8=")</f>
        <v>#VALUE!</v>
      </c>
      <c r="IG97" t="e">
        <f>AND('Planilla_General_29-11-2012_10_'!M1460,"AAAAAFf9/vA=")</f>
        <v>#VALUE!</v>
      </c>
      <c r="IH97" t="e">
        <f>AND('Planilla_General_29-11-2012_10_'!N1460,"AAAAAFf9/vE=")</f>
        <v>#VALUE!</v>
      </c>
      <c r="II97" t="e">
        <f>AND('Planilla_General_29-11-2012_10_'!O1460,"AAAAAFf9/vI=")</f>
        <v>#VALUE!</v>
      </c>
      <c r="IJ97" t="e">
        <f>AND('Planilla_General_29-11-2012_10_'!P1460,"AAAAAFf9/vM=")</f>
        <v>#VALUE!</v>
      </c>
      <c r="IK97">
        <f>IF('Planilla_General_29-11-2012_10_'!1461:1461,"AAAAAFf9/vQ=",0)</f>
        <v>0</v>
      </c>
      <c r="IL97" t="e">
        <f>AND('Planilla_General_29-11-2012_10_'!A1461,"AAAAAFf9/vU=")</f>
        <v>#VALUE!</v>
      </c>
      <c r="IM97" t="e">
        <f>AND('Planilla_General_29-11-2012_10_'!B1461,"AAAAAFf9/vY=")</f>
        <v>#VALUE!</v>
      </c>
      <c r="IN97" t="e">
        <f>AND('Planilla_General_29-11-2012_10_'!C1461,"AAAAAFf9/vc=")</f>
        <v>#VALUE!</v>
      </c>
      <c r="IO97" t="e">
        <f>AND('Planilla_General_29-11-2012_10_'!D1461,"AAAAAFf9/vg=")</f>
        <v>#VALUE!</v>
      </c>
      <c r="IP97" t="e">
        <f>AND('Planilla_General_29-11-2012_10_'!E1461,"AAAAAFf9/vk=")</f>
        <v>#VALUE!</v>
      </c>
      <c r="IQ97" t="e">
        <f>AND('Planilla_General_29-11-2012_10_'!F1461,"AAAAAFf9/vo=")</f>
        <v>#VALUE!</v>
      </c>
      <c r="IR97" t="e">
        <f>AND('Planilla_General_29-11-2012_10_'!G1461,"AAAAAFf9/vs=")</f>
        <v>#VALUE!</v>
      </c>
      <c r="IS97" t="e">
        <f>AND('Planilla_General_29-11-2012_10_'!H1461,"AAAAAFf9/vw=")</f>
        <v>#VALUE!</v>
      </c>
      <c r="IT97" t="e">
        <f>AND('Planilla_General_29-11-2012_10_'!I1461,"AAAAAFf9/v0=")</f>
        <v>#VALUE!</v>
      </c>
      <c r="IU97" t="e">
        <f>AND('Planilla_General_29-11-2012_10_'!J1461,"AAAAAFf9/v4=")</f>
        <v>#VALUE!</v>
      </c>
      <c r="IV97" t="e">
        <f>AND('Planilla_General_29-11-2012_10_'!K1461,"AAAAAFf9/v8=")</f>
        <v>#VALUE!</v>
      </c>
    </row>
    <row r="98" spans="1:256" x14ac:dyDescent="0.25">
      <c r="A98" t="e">
        <f>AND('Planilla_General_29-11-2012_10_'!L1461,"AAAAAF9/7wA=")</f>
        <v>#VALUE!</v>
      </c>
      <c r="B98" t="e">
        <f>AND('Planilla_General_29-11-2012_10_'!M1461,"AAAAAF9/7wE=")</f>
        <v>#VALUE!</v>
      </c>
      <c r="C98" t="e">
        <f>AND('Planilla_General_29-11-2012_10_'!N1461,"AAAAAF9/7wI=")</f>
        <v>#VALUE!</v>
      </c>
      <c r="D98" t="e">
        <f>AND('Planilla_General_29-11-2012_10_'!O1461,"AAAAAF9/7wM=")</f>
        <v>#VALUE!</v>
      </c>
      <c r="E98" t="e">
        <f>AND('Planilla_General_29-11-2012_10_'!P1461,"AAAAAF9/7wQ=")</f>
        <v>#VALUE!</v>
      </c>
      <c r="F98" t="e">
        <f>IF('Planilla_General_29-11-2012_10_'!1462:1462,"AAAAAF9/7wU=",0)</f>
        <v>#VALUE!</v>
      </c>
      <c r="G98" t="e">
        <f>AND('Planilla_General_29-11-2012_10_'!A1462,"AAAAAF9/7wY=")</f>
        <v>#VALUE!</v>
      </c>
      <c r="H98" t="e">
        <f>AND('Planilla_General_29-11-2012_10_'!B1462,"AAAAAF9/7wc=")</f>
        <v>#VALUE!</v>
      </c>
      <c r="I98" t="e">
        <f>AND('Planilla_General_29-11-2012_10_'!C1462,"AAAAAF9/7wg=")</f>
        <v>#VALUE!</v>
      </c>
      <c r="J98" t="e">
        <f>AND('Planilla_General_29-11-2012_10_'!D1462,"AAAAAF9/7wk=")</f>
        <v>#VALUE!</v>
      </c>
      <c r="K98" t="e">
        <f>AND('Planilla_General_29-11-2012_10_'!E1462,"AAAAAF9/7wo=")</f>
        <v>#VALUE!</v>
      </c>
      <c r="L98" t="e">
        <f>AND('Planilla_General_29-11-2012_10_'!F1462,"AAAAAF9/7ws=")</f>
        <v>#VALUE!</v>
      </c>
      <c r="M98" t="e">
        <f>AND('Planilla_General_29-11-2012_10_'!G1462,"AAAAAF9/7ww=")</f>
        <v>#VALUE!</v>
      </c>
      <c r="N98" t="e">
        <f>AND('Planilla_General_29-11-2012_10_'!H1462,"AAAAAF9/7w0=")</f>
        <v>#VALUE!</v>
      </c>
      <c r="O98" t="e">
        <f>AND('Planilla_General_29-11-2012_10_'!I1462,"AAAAAF9/7w4=")</f>
        <v>#VALUE!</v>
      </c>
      <c r="P98" t="e">
        <f>AND('Planilla_General_29-11-2012_10_'!J1462,"AAAAAF9/7w8=")</f>
        <v>#VALUE!</v>
      </c>
      <c r="Q98" t="e">
        <f>AND('Planilla_General_29-11-2012_10_'!K1462,"AAAAAF9/7xA=")</f>
        <v>#VALUE!</v>
      </c>
      <c r="R98" t="e">
        <f>AND('Planilla_General_29-11-2012_10_'!L1462,"AAAAAF9/7xE=")</f>
        <v>#VALUE!</v>
      </c>
      <c r="S98" t="e">
        <f>AND('Planilla_General_29-11-2012_10_'!M1462,"AAAAAF9/7xI=")</f>
        <v>#VALUE!</v>
      </c>
      <c r="T98" t="e">
        <f>AND('Planilla_General_29-11-2012_10_'!N1462,"AAAAAF9/7xM=")</f>
        <v>#VALUE!</v>
      </c>
      <c r="U98" t="e">
        <f>AND('Planilla_General_29-11-2012_10_'!O1462,"AAAAAF9/7xQ=")</f>
        <v>#VALUE!</v>
      </c>
      <c r="V98" t="e">
        <f>AND('Planilla_General_29-11-2012_10_'!P1462,"AAAAAF9/7xU=")</f>
        <v>#VALUE!</v>
      </c>
      <c r="W98">
        <f>IF('Planilla_General_29-11-2012_10_'!1463:1463,"AAAAAF9/7xY=",0)</f>
        <v>0</v>
      </c>
      <c r="X98" t="e">
        <f>AND('Planilla_General_29-11-2012_10_'!A1463,"AAAAAF9/7xc=")</f>
        <v>#VALUE!</v>
      </c>
      <c r="Y98" t="e">
        <f>AND('Planilla_General_29-11-2012_10_'!B1463,"AAAAAF9/7xg=")</f>
        <v>#VALUE!</v>
      </c>
      <c r="Z98" t="e">
        <f>AND('Planilla_General_29-11-2012_10_'!C1463,"AAAAAF9/7xk=")</f>
        <v>#VALUE!</v>
      </c>
      <c r="AA98" t="e">
        <f>AND('Planilla_General_29-11-2012_10_'!D1463,"AAAAAF9/7xo=")</f>
        <v>#VALUE!</v>
      </c>
      <c r="AB98" t="e">
        <f>AND('Planilla_General_29-11-2012_10_'!E1463,"AAAAAF9/7xs=")</f>
        <v>#VALUE!</v>
      </c>
      <c r="AC98" t="e">
        <f>AND('Planilla_General_29-11-2012_10_'!F1463,"AAAAAF9/7xw=")</f>
        <v>#VALUE!</v>
      </c>
      <c r="AD98" t="e">
        <f>AND('Planilla_General_29-11-2012_10_'!G1463,"AAAAAF9/7x0=")</f>
        <v>#VALUE!</v>
      </c>
      <c r="AE98" t="e">
        <f>AND('Planilla_General_29-11-2012_10_'!H1463,"AAAAAF9/7x4=")</f>
        <v>#VALUE!</v>
      </c>
      <c r="AF98" t="e">
        <f>AND('Planilla_General_29-11-2012_10_'!I1463,"AAAAAF9/7x8=")</f>
        <v>#VALUE!</v>
      </c>
      <c r="AG98" t="e">
        <f>AND('Planilla_General_29-11-2012_10_'!J1463,"AAAAAF9/7yA=")</f>
        <v>#VALUE!</v>
      </c>
      <c r="AH98" t="e">
        <f>AND('Planilla_General_29-11-2012_10_'!K1463,"AAAAAF9/7yE=")</f>
        <v>#VALUE!</v>
      </c>
      <c r="AI98" t="e">
        <f>AND('Planilla_General_29-11-2012_10_'!L1463,"AAAAAF9/7yI=")</f>
        <v>#VALUE!</v>
      </c>
      <c r="AJ98" t="e">
        <f>AND('Planilla_General_29-11-2012_10_'!M1463,"AAAAAF9/7yM=")</f>
        <v>#VALUE!</v>
      </c>
      <c r="AK98" t="e">
        <f>AND('Planilla_General_29-11-2012_10_'!N1463,"AAAAAF9/7yQ=")</f>
        <v>#VALUE!</v>
      </c>
      <c r="AL98" t="e">
        <f>AND('Planilla_General_29-11-2012_10_'!O1463,"AAAAAF9/7yU=")</f>
        <v>#VALUE!</v>
      </c>
      <c r="AM98" t="e">
        <f>AND('Planilla_General_29-11-2012_10_'!P1463,"AAAAAF9/7yY=")</f>
        <v>#VALUE!</v>
      </c>
      <c r="AN98">
        <f>IF('Planilla_General_29-11-2012_10_'!1464:1464,"AAAAAF9/7yc=",0)</f>
        <v>0</v>
      </c>
      <c r="AO98" t="e">
        <f>AND('Planilla_General_29-11-2012_10_'!A1464,"AAAAAF9/7yg=")</f>
        <v>#VALUE!</v>
      </c>
      <c r="AP98" t="e">
        <f>AND('Planilla_General_29-11-2012_10_'!B1464,"AAAAAF9/7yk=")</f>
        <v>#VALUE!</v>
      </c>
      <c r="AQ98" t="e">
        <f>AND('Planilla_General_29-11-2012_10_'!C1464,"AAAAAF9/7yo=")</f>
        <v>#VALUE!</v>
      </c>
      <c r="AR98" t="e">
        <f>AND('Planilla_General_29-11-2012_10_'!D1464,"AAAAAF9/7ys=")</f>
        <v>#VALUE!</v>
      </c>
      <c r="AS98" t="e">
        <f>AND('Planilla_General_29-11-2012_10_'!E1464,"AAAAAF9/7yw=")</f>
        <v>#VALUE!</v>
      </c>
      <c r="AT98" t="e">
        <f>AND('Planilla_General_29-11-2012_10_'!F1464,"AAAAAF9/7y0=")</f>
        <v>#VALUE!</v>
      </c>
      <c r="AU98" t="e">
        <f>AND('Planilla_General_29-11-2012_10_'!G1464,"AAAAAF9/7y4=")</f>
        <v>#VALUE!</v>
      </c>
      <c r="AV98" t="e">
        <f>AND('Planilla_General_29-11-2012_10_'!H1464,"AAAAAF9/7y8=")</f>
        <v>#VALUE!</v>
      </c>
      <c r="AW98" t="e">
        <f>AND('Planilla_General_29-11-2012_10_'!I1464,"AAAAAF9/7zA=")</f>
        <v>#VALUE!</v>
      </c>
      <c r="AX98" t="e">
        <f>AND('Planilla_General_29-11-2012_10_'!J1464,"AAAAAF9/7zE=")</f>
        <v>#VALUE!</v>
      </c>
      <c r="AY98" t="e">
        <f>AND('Planilla_General_29-11-2012_10_'!K1464,"AAAAAF9/7zI=")</f>
        <v>#VALUE!</v>
      </c>
      <c r="AZ98" t="e">
        <f>AND('Planilla_General_29-11-2012_10_'!L1464,"AAAAAF9/7zM=")</f>
        <v>#VALUE!</v>
      </c>
      <c r="BA98" t="e">
        <f>AND('Planilla_General_29-11-2012_10_'!M1464,"AAAAAF9/7zQ=")</f>
        <v>#VALUE!</v>
      </c>
      <c r="BB98" t="e">
        <f>AND('Planilla_General_29-11-2012_10_'!N1464,"AAAAAF9/7zU=")</f>
        <v>#VALUE!</v>
      </c>
      <c r="BC98" t="e">
        <f>AND('Planilla_General_29-11-2012_10_'!O1464,"AAAAAF9/7zY=")</f>
        <v>#VALUE!</v>
      </c>
      <c r="BD98" t="e">
        <f>AND('Planilla_General_29-11-2012_10_'!P1464,"AAAAAF9/7zc=")</f>
        <v>#VALUE!</v>
      </c>
      <c r="BE98">
        <f>IF('Planilla_General_29-11-2012_10_'!1465:1465,"AAAAAF9/7zg=",0)</f>
        <v>0</v>
      </c>
      <c r="BF98" t="e">
        <f>AND('Planilla_General_29-11-2012_10_'!A1465,"AAAAAF9/7zk=")</f>
        <v>#VALUE!</v>
      </c>
      <c r="BG98" t="e">
        <f>AND('Planilla_General_29-11-2012_10_'!B1465,"AAAAAF9/7zo=")</f>
        <v>#VALUE!</v>
      </c>
      <c r="BH98" t="e">
        <f>AND('Planilla_General_29-11-2012_10_'!C1465,"AAAAAF9/7zs=")</f>
        <v>#VALUE!</v>
      </c>
      <c r="BI98" t="e">
        <f>AND('Planilla_General_29-11-2012_10_'!D1465,"AAAAAF9/7zw=")</f>
        <v>#VALUE!</v>
      </c>
      <c r="BJ98" t="e">
        <f>AND('Planilla_General_29-11-2012_10_'!E1465,"AAAAAF9/7z0=")</f>
        <v>#VALUE!</v>
      </c>
      <c r="BK98" t="e">
        <f>AND('Planilla_General_29-11-2012_10_'!F1465,"AAAAAF9/7z4=")</f>
        <v>#VALUE!</v>
      </c>
      <c r="BL98" t="e">
        <f>AND('Planilla_General_29-11-2012_10_'!G1465,"AAAAAF9/7z8=")</f>
        <v>#VALUE!</v>
      </c>
      <c r="BM98" t="e">
        <f>AND('Planilla_General_29-11-2012_10_'!H1465,"AAAAAF9/70A=")</f>
        <v>#VALUE!</v>
      </c>
      <c r="BN98" t="e">
        <f>AND('Planilla_General_29-11-2012_10_'!I1465,"AAAAAF9/70E=")</f>
        <v>#VALUE!</v>
      </c>
      <c r="BO98" t="e">
        <f>AND('Planilla_General_29-11-2012_10_'!J1465,"AAAAAF9/70I=")</f>
        <v>#VALUE!</v>
      </c>
      <c r="BP98" t="e">
        <f>AND('Planilla_General_29-11-2012_10_'!K1465,"AAAAAF9/70M=")</f>
        <v>#VALUE!</v>
      </c>
      <c r="BQ98" t="e">
        <f>AND('Planilla_General_29-11-2012_10_'!L1465,"AAAAAF9/70Q=")</f>
        <v>#VALUE!</v>
      </c>
      <c r="BR98" t="e">
        <f>AND('Planilla_General_29-11-2012_10_'!M1465,"AAAAAF9/70U=")</f>
        <v>#VALUE!</v>
      </c>
      <c r="BS98" t="e">
        <f>AND('Planilla_General_29-11-2012_10_'!N1465,"AAAAAF9/70Y=")</f>
        <v>#VALUE!</v>
      </c>
      <c r="BT98" t="e">
        <f>AND('Planilla_General_29-11-2012_10_'!O1465,"AAAAAF9/70c=")</f>
        <v>#VALUE!</v>
      </c>
      <c r="BU98" t="e">
        <f>AND('Planilla_General_29-11-2012_10_'!P1465,"AAAAAF9/70g=")</f>
        <v>#VALUE!</v>
      </c>
      <c r="BV98">
        <f>IF('Planilla_General_29-11-2012_10_'!1466:1466,"AAAAAF9/70k=",0)</f>
        <v>0</v>
      </c>
      <c r="BW98" t="e">
        <f>AND('Planilla_General_29-11-2012_10_'!A1466,"AAAAAF9/70o=")</f>
        <v>#VALUE!</v>
      </c>
      <c r="BX98" t="e">
        <f>AND('Planilla_General_29-11-2012_10_'!B1466,"AAAAAF9/70s=")</f>
        <v>#VALUE!</v>
      </c>
      <c r="BY98" t="e">
        <f>AND('Planilla_General_29-11-2012_10_'!C1466,"AAAAAF9/70w=")</f>
        <v>#VALUE!</v>
      </c>
      <c r="BZ98" t="e">
        <f>AND('Planilla_General_29-11-2012_10_'!D1466,"AAAAAF9/700=")</f>
        <v>#VALUE!</v>
      </c>
      <c r="CA98" t="e">
        <f>AND('Planilla_General_29-11-2012_10_'!E1466,"AAAAAF9/704=")</f>
        <v>#VALUE!</v>
      </c>
      <c r="CB98" t="e">
        <f>AND('Planilla_General_29-11-2012_10_'!F1466,"AAAAAF9/708=")</f>
        <v>#VALUE!</v>
      </c>
      <c r="CC98" t="e">
        <f>AND('Planilla_General_29-11-2012_10_'!G1466,"AAAAAF9/71A=")</f>
        <v>#VALUE!</v>
      </c>
      <c r="CD98" t="e">
        <f>AND('Planilla_General_29-11-2012_10_'!H1466,"AAAAAF9/71E=")</f>
        <v>#VALUE!</v>
      </c>
      <c r="CE98" t="e">
        <f>AND('Planilla_General_29-11-2012_10_'!I1466,"AAAAAF9/71I=")</f>
        <v>#VALUE!</v>
      </c>
      <c r="CF98" t="e">
        <f>AND('Planilla_General_29-11-2012_10_'!J1466,"AAAAAF9/71M=")</f>
        <v>#VALUE!</v>
      </c>
      <c r="CG98" t="e">
        <f>AND('Planilla_General_29-11-2012_10_'!K1466,"AAAAAF9/71Q=")</f>
        <v>#VALUE!</v>
      </c>
      <c r="CH98" t="e">
        <f>AND('Planilla_General_29-11-2012_10_'!L1466,"AAAAAF9/71U=")</f>
        <v>#VALUE!</v>
      </c>
      <c r="CI98" t="e">
        <f>AND('Planilla_General_29-11-2012_10_'!M1466,"AAAAAF9/71Y=")</f>
        <v>#VALUE!</v>
      </c>
      <c r="CJ98" t="e">
        <f>AND('Planilla_General_29-11-2012_10_'!N1466,"AAAAAF9/71c=")</f>
        <v>#VALUE!</v>
      </c>
      <c r="CK98" t="e">
        <f>AND('Planilla_General_29-11-2012_10_'!O1466,"AAAAAF9/71g=")</f>
        <v>#VALUE!</v>
      </c>
      <c r="CL98" t="e">
        <f>AND('Planilla_General_29-11-2012_10_'!P1466,"AAAAAF9/71k=")</f>
        <v>#VALUE!</v>
      </c>
      <c r="CM98">
        <f>IF('Planilla_General_29-11-2012_10_'!1467:1467,"AAAAAF9/71o=",0)</f>
        <v>0</v>
      </c>
      <c r="CN98" t="e">
        <f>AND('Planilla_General_29-11-2012_10_'!A1467,"AAAAAF9/71s=")</f>
        <v>#VALUE!</v>
      </c>
      <c r="CO98" t="e">
        <f>AND('Planilla_General_29-11-2012_10_'!B1467,"AAAAAF9/71w=")</f>
        <v>#VALUE!</v>
      </c>
      <c r="CP98" t="e">
        <f>AND('Planilla_General_29-11-2012_10_'!C1467,"AAAAAF9/710=")</f>
        <v>#VALUE!</v>
      </c>
      <c r="CQ98" t="e">
        <f>AND('Planilla_General_29-11-2012_10_'!D1467,"AAAAAF9/714=")</f>
        <v>#VALUE!</v>
      </c>
      <c r="CR98" t="e">
        <f>AND('Planilla_General_29-11-2012_10_'!E1467,"AAAAAF9/718=")</f>
        <v>#VALUE!</v>
      </c>
      <c r="CS98" t="e">
        <f>AND('Planilla_General_29-11-2012_10_'!F1467,"AAAAAF9/72A=")</f>
        <v>#VALUE!</v>
      </c>
      <c r="CT98" t="e">
        <f>AND('Planilla_General_29-11-2012_10_'!G1467,"AAAAAF9/72E=")</f>
        <v>#VALUE!</v>
      </c>
      <c r="CU98" t="e">
        <f>AND('Planilla_General_29-11-2012_10_'!H1467,"AAAAAF9/72I=")</f>
        <v>#VALUE!</v>
      </c>
      <c r="CV98" t="e">
        <f>AND('Planilla_General_29-11-2012_10_'!I1467,"AAAAAF9/72M=")</f>
        <v>#VALUE!</v>
      </c>
      <c r="CW98" t="e">
        <f>AND('Planilla_General_29-11-2012_10_'!J1467,"AAAAAF9/72Q=")</f>
        <v>#VALUE!</v>
      </c>
      <c r="CX98" t="e">
        <f>AND('Planilla_General_29-11-2012_10_'!K1467,"AAAAAF9/72U=")</f>
        <v>#VALUE!</v>
      </c>
      <c r="CY98" t="e">
        <f>AND('Planilla_General_29-11-2012_10_'!L1467,"AAAAAF9/72Y=")</f>
        <v>#VALUE!</v>
      </c>
      <c r="CZ98" t="e">
        <f>AND('Planilla_General_29-11-2012_10_'!M1467,"AAAAAF9/72c=")</f>
        <v>#VALUE!</v>
      </c>
      <c r="DA98" t="e">
        <f>AND('Planilla_General_29-11-2012_10_'!N1467,"AAAAAF9/72g=")</f>
        <v>#VALUE!</v>
      </c>
      <c r="DB98" t="e">
        <f>AND('Planilla_General_29-11-2012_10_'!O1467,"AAAAAF9/72k=")</f>
        <v>#VALUE!</v>
      </c>
      <c r="DC98" t="e">
        <f>AND('Planilla_General_29-11-2012_10_'!P1467,"AAAAAF9/72o=")</f>
        <v>#VALUE!</v>
      </c>
      <c r="DD98">
        <f>IF('Planilla_General_29-11-2012_10_'!1468:1468,"AAAAAF9/72s=",0)</f>
        <v>0</v>
      </c>
      <c r="DE98" t="e">
        <f>AND('Planilla_General_29-11-2012_10_'!A1468,"AAAAAF9/72w=")</f>
        <v>#VALUE!</v>
      </c>
      <c r="DF98" t="e">
        <f>AND('Planilla_General_29-11-2012_10_'!B1468,"AAAAAF9/720=")</f>
        <v>#VALUE!</v>
      </c>
      <c r="DG98" t="e">
        <f>AND('Planilla_General_29-11-2012_10_'!C1468,"AAAAAF9/724=")</f>
        <v>#VALUE!</v>
      </c>
      <c r="DH98" t="e">
        <f>AND('Planilla_General_29-11-2012_10_'!D1468,"AAAAAF9/728=")</f>
        <v>#VALUE!</v>
      </c>
      <c r="DI98" t="e">
        <f>AND('Planilla_General_29-11-2012_10_'!E1468,"AAAAAF9/73A=")</f>
        <v>#VALUE!</v>
      </c>
      <c r="DJ98" t="e">
        <f>AND('Planilla_General_29-11-2012_10_'!F1468,"AAAAAF9/73E=")</f>
        <v>#VALUE!</v>
      </c>
      <c r="DK98" t="e">
        <f>AND('Planilla_General_29-11-2012_10_'!G1468,"AAAAAF9/73I=")</f>
        <v>#VALUE!</v>
      </c>
      <c r="DL98" t="e">
        <f>AND('Planilla_General_29-11-2012_10_'!H1468,"AAAAAF9/73M=")</f>
        <v>#VALUE!</v>
      </c>
      <c r="DM98" t="e">
        <f>AND('Planilla_General_29-11-2012_10_'!I1468,"AAAAAF9/73Q=")</f>
        <v>#VALUE!</v>
      </c>
      <c r="DN98" t="e">
        <f>AND('Planilla_General_29-11-2012_10_'!J1468,"AAAAAF9/73U=")</f>
        <v>#VALUE!</v>
      </c>
      <c r="DO98" t="e">
        <f>AND('Planilla_General_29-11-2012_10_'!K1468,"AAAAAF9/73Y=")</f>
        <v>#VALUE!</v>
      </c>
      <c r="DP98" t="e">
        <f>AND('Planilla_General_29-11-2012_10_'!L1468,"AAAAAF9/73c=")</f>
        <v>#VALUE!</v>
      </c>
      <c r="DQ98" t="e">
        <f>AND('Planilla_General_29-11-2012_10_'!M1468,"AAAAAF9/73g=")</f>
        <v>#VALUE!</v>
      </c>
      <c r="DR98" t="e">
        <f>AND('Planilla_General_29-11-2012_10_'!N1468,"AAAAAF9/73k=")</f>
        <v>#VALUE!</v>
      </c>
      <c r="DS98" t="e">
        <f>AND('Planilla_General_29-11-2012_10_'!O1468,"AAAAAF9/73o=")</f>
        <v>#VALUE!</v>
      </c>
      <c r="DT98" t="e">
        <f>AND('Planilla_General_29-11-2012_10_'!P1468,"AAAAAF9/73s=")</f>
        <v>#VALUE!</v>
      </c>
      <c r="DU98">
        <f>IF('Planilla_General_29-11-2012_10_'!1469:1469,"AAAAAF9/73w=",0)</f>
        <v>0</v>
      </c>
      <c r="DV98" t="e">
        <f>AND('Planilla_General_29-11-2012_10_'!A1469,"AAAAAF9/730=")</f>
        <v>#VALUE!</v>
      </c>
      <c r="DW98" t="e">
        <f>AND('Planilla_General_29-11-2012_10_'!B1469,"AAAAAF9/734=")</f>
        <v>#VALUE!</v>
      </c>
      <c r="DX98" t="e">
        <f>AND('Planilla_General_29-11-2012_10_'!C1469,"AAAAAF9/738=")</f>
        <v>#VALUE!</v>
      </c>
      <c r="DY98" t="e">
        <f>AND('Planilla_General_29-11-2012_10_'!D1469,"AAAAAF9/74A=")</f>
        <v>#VALUE!</v>
      </c>
      <c r="DZ98" t="e">
        <f>AND('Planilla_General_29-11-2012_10_'!E1469,"AAAAAF9/74E=")</f>
        <v>#VALUE!</v>
      </c>
      <c r="EA98" t="e">
        <f>AND('Planilla_General_29-11-2012_10_'!F1469,"AAAAAF9/74I=")</f>
        <v>#VALUE!</v>
      </c>
      <c r="EB98" t="e">
        <f>AND('Planilla_General_29-11-2012_10_'!G1469,"AAAAAF9/74M=")</f>
        <v>#VALUE!</v>
      </c>
      <c r="EC98" t="e">
        <f>AND('Planilla_General_29-11-2012_10_'!H1469,"AAAAAF9/74Q=")</f>
        <v>#VALUE!</v>
      </c>
      <c r="ED98" t="e">
        <f>AND('Planilla_General_29-11-2012_10_'!I1469,"AAAAAF9/74U=")</f>
        <v>#VALUE!</v>
      </c>
      <c r="EE98" t="e">
        <f>AND('Planilla_General_29-11-2012_10_'!J1469,"AAAAAF9/74Y=")</f>
        <v>#VALUE!</v>
      </c>
      <c r="EF98" t="e">
        <f>AND('Planilla_General_29-11-2012_10_'!K1469,"AAAAAF9/74c=")</f>
        <v>#VALUE!</v>
      </c>
      <c r="EG98" t="e">
        <f>AND('Planilla_General_29-11-2012_10_'!L1469,"AAAAAF9/74g=")</f>
        <v>#VALUE!</v>
      </c>
      <c r="EH98" t="e">
        <f>AND('Planilla_General_29-11-2012_10_'!M1469,"AAAAAF9/74k=")</f>
        <v>#VALUE!</v>
      </c>
      <c r="EI98" t="e">
        <f>AND('Planilla_General_29-11-2012_10_'!N1469,"AAAAAF9/74o=")</f>
        <v>#VALUE!</v>
      </c>
      <c r="EJ98" t="e">
        <f>AND('Planilla_General_29-11-2012_10_'!O1469,"AAAAAF9/74s=")</f>
        <v>#VALUE!</v>
      </c>
      <c r="EK98" t="e">
        <f>AND('Planilla_General_29-11-2012_10_'!P1469,"AAAAAF9/74w=")</f>
        <v>#VALUE!</v>
      </c>
      <c r="EL98">
        <f>IF('Planilla_General_29-11-2012_10_'!1470:1470,"AAAAAF9/740=",0)</f>
        <v>0</v>
      </c>
      <c r="EM98" t="e">
        <f>AND('Planilla_General_29-11-2012_10_'!A1470,"AAAAAF9/744=")</f>
        <v>#VALUE!</v>
      </c>
      <c r="EN98" t="e">
        <f>AND('Planilla_General_29-11-2012_10_'!B1470,"AAAAAF9/748=")</f>
        <v>#VALUE!</v>
      </c>
      <c r="EO98" t="e">
        <f>AND('Planilla_General_29-11-2012_10_'!C1470,"AAAAAF9/75A=")</f>
        <v>#VALUE!</v>
      </c>
      <c r="EP98" t="e">
        <f>AND('Planilla_General_29-11-2012_10_'!D1470,"AAAAAF9/75E=")</f>
        <v>#VALUE!</v>
      </c>
      <c r="EQ98" t="e">
        <f>AND('Planilla_General_29-11-2012_10_'!E1470,"AAAAAF9/75I=")</f>
        <v>#VALUE!</v>
      </c>
      <c r="ER98" t="e">
        <f>AND('Planilla_General_29-11-2012_10_'!F1470,"AAAAAF9/75M=")</f>
        <v>#VALUE!</v>
      </c>
      <c r="ES98" t="e">
        <f>AND('Planilla_General_29-11-2012_10_'!G1470,"AAAAAF9/75Q=")</f>
        <v>#VALUE!</v>
      </c>
      <c r="ET98" t="e">
        <f>AND('Planilla_General_29-11-2012_10_'!H1470,"AAAAAF9/75U=")</f>
        <v>#VALUE!</v>
      </c>
      <c r="EU98" t="e">
        <f>AND('Planilla_General_29-11-2012_10_'!I1470,"AAAAAF9/75Y=")</f>
        <v>#VALUE!</v>
      </c>
      <c r="EV98" t="e">
        <f>AND('Planilla_General_29-11-2012_10_'!J1470,"AAAAAF9/75c=")</f>
        <v>#VALUE!</v>
      </c>
      <c r="EW98" t="e">
        <f>AND('Planilla_General_29-11-2012_10_'!K1470,"AAAAAF9/75g=")</f>
        <v>#VALUE!</v>
      </c>
      <c r="EX98" t="e">
        <f>AND('Planilla_General_29-11-2012_10_'!L1470,"AAAAAF9/75k=")</f>
        <v>#VALUE!</v>
      </c>
      <c r="EY98" t="e">
        <f>AND('Planilla_General_29-11-2012_10_'!M1470,"AAAAAF9/75o=")</f>
        <v>#VALUE!</v>
      </c>
      <c r="EZ98" t="e">
        <f>AND('Planilla_General_29-11-2012_10_'!N1470,"AAAAAF9/75s=")</f>
        <v>#VALUE!</v>
      </c>
      <c r="FA98" t="e">
        <f>AND('Planilla_General_29-11-2012_10_'!O1470,"AAAAAF9/75w=")</f>
        <v>#VALUE!</v>
      </c>
      <c r="FB98" t="e">
        <f>AND('Planilla_General_29-11-2012_10_'!P1470,"AAAAAF9/750=")</f>
        <v>#VALUE!</v>
      </c>
      <c r="FC98">
        <f>IF('Planilla_General_29-11-2012_10_'!1471:1471,"AAAAAF9/754=",0)</f>
        <v>0</v>
      </c>
      <c r="FD98" t="e">
        <f>AND('Planilla_General_29-11-2012_10_'!A1471,"AAAAAF9/758=")</f>
        <v>#VALUE!</v>
      </c>
      <c r="FE98" t="e">
        <f>AND('Planilla_General_29-11-2012_10_'!B1471,"AAAAAF9/76A=")</f>
        <v>#VALUE!</v>
      </c>
      <c r="FF98" t="e">
        <f>AND('Planilla_General_29-11-2012_10_'!C1471,"AAAAAF9/76E=")</f>
        <v>#VALUE!</v>
      </c>
      <c r="FG98" t="e">
        <f>AND('Planilla_General_29-11-2012_10_'!D1471,"AAAAAF9/76I=")</f>
        <v>#VALUE!</v>
      </c>
      <c r="FH98" t="e">
        <f>AND('Planilla_General_29-11-2012_10_'!E1471,"AAAAAF9/76M=")</f>
        <v>#VALUE!</v>
      </c>
      <c r="FI98" t="e">
        <f>AND('Planilla_General_29-11-2012_10_'!F1471,"AAAAAF9/76Q=")</f>
        <v>#VALUE!</v>
      </c>
      <c r="FJ98" t="e">
        <f>AND('Planilla_General_29-11-2012_10_'!G1471,"AAAAAF9/76U=")</f>
        <v>#VALUE!</v>
      </c>
      <c r="FK98" t="e">
        <f>AND('Planilla_General_29-11-2012_10_'!H1471,"AAAAAF9/76Y=")</f>
        <v>#VALUE!</v>
      </c>
      <c r="FL98" t="e">
        <f>AND('Planilla_General_29-11-2012_10_'!I1471,"AAAAAF9/76c=")</f>
        <v>#VALUE!</v>
      </c>
      <c r="FM98" t="e">
        <f>AND('Planilla_General_29-11-2012_10_'!J1471,"AAAAAF9/76g=")</f>
        <v>#VALUE!</v>
      </c>
      <c r="FN98" t="e">
        <f>AND('Planilla_General_29-11-2012_10_'!K1471,"AAAAAF9/76k=")</f>
        <v>#VALUE!</v>
      </c>
      <c r="FO98" t="e">
        <f>AND('Planilla_General_29-11-2012_10_'!L1471,"AAAAAF9/76o=")</f>
        <v>#VALUE!</v>
      </c>
      <c r="FP98" t="e">
        <f>AND('Planilla_General_29-11-2012_10_'!M1471,"AAAAAF9/76s=")</f>
        <v>#VALUE!</v>
      </c>
      <c r="FQ98" t="e">
        <f>AND('Planilla_General_29-11-2012_10_'!N1471,"AAAAAF9/76w=")</f>
        <v>#VALUE!</v>
      </c>
      <c r="FR98" t="e">
        <f>AND('Planilla_General_29-11-2012_10_'!O1471,"AAAAAF9/760=")</f>
        <v>#VALUE!</v>
      </c>
      <c r="FS98" t="e">
        <f>AND('Planilla_General_29-11-2012_10_'!P1471,"AAAAAF9/764=")</f>
        <v>#VALUE!</v>
      </c>
      <c r="FT98">
        <f>IF('Planilla_General_29-11-2012_10_'!1472:1472,"AAAAAF9/768=",0)</f>
        <v>0</v>
      </c>
      <c r="FU98" t="e">
        <f>AND('Planilla_General_29-11-2012_10_'!A1472,"AAAAAF9/77A=")</f>
        <v>#VALUE!</v>
      </c>
      <c r="FV98" t="e">
        <f>AND('Planilla_General_29-11-2012_10_'!B1472,"AAAAAF9/77E=")</f>
        <v>#VALUE!</v>
      </c>
      <c r="FW98" t="e">
        <f>AND('Planilla_General_29-11-2012_10_'!C1472,"AAAAAF9/77I=")</f>
        <v>#VALUE!</v>
      </c>
      <c r="FX98" t="e">
        <f>AND('Planilla_General_29-11-2012_10_'!D1472,"AAAAAF9/77M=")</f>
        <v>#VALUE!</v>
      </c>
      <c r="FY98" t="e">
        <f>AND('Planilla_General_29-11-2012_10_'!E1472,"AAAAAF9/77Q=")</f>
        <v>#VALUE!</v>
      </c>
      <c r="FZ98" t="e">
        <f>AND('Planilla_General_29-11-2012_10_'!F1472,"AAAAAF9/77U=")</f>
        <v>#VALUE!</v>
      </c>
      <c r="GA98" t="e">
        <f>AND('Planilla_General_29-11-2012_10_'!G1472,"AAAAAF9/77Y=")</f>
        <v>#VALUE!</v>
      </c>
      <c r="GB98" t="e">
        <f>AND('Planilla_General_29-11-2012_10_'!H1472,"AAAAAF9/77c=")</f>
        <v>#VALUE!</v>
      </c>
      <c r="GC98" t="e">
        <f>AND('Planilla_General_29-11-2012_10_'!I1472,"AAAAAF9/77g=")</f>
        <v>#VALUE!</v>
      </c>
      <c r="GD98" t="e">
        <f>AND('Planilla_General_29-11-2012_10_'!J1472,"AAAAAF9/77k=")</f>
        <v>#VALUE!</v>
      </c>
      <c r="GE98" t="e">
        <f>AND('Planilla_General_29-11-2012_10_'!K1472,"AAAAAF9/77o=")</f>
        <v>#VALUE!</v>
      </c>
      <c r="GF98" t="e">
        <f>AND('Planilla_General_29-11-2012_10_'!L1472,"AAAAAF9/77s=")</f>
        <v>#VALUE!</v>
      </c>
      <c r="GG98" t="e">
        <f>AND('Planilla_General_29-11-2012_10_'!M1472,"AAAAAF9/77w=")</f>
        <v>#VALUE!</v>
      </c>
      <c r="GH98" t="e">
        <f>AND('Planilla_General_29-11-2012_10_'!N1472,"AAAAAF9/770=")</f>
        <v>#VALUE!</v>
      </c>
      <c r="GI98" t="e">
        <f>AND('Planilla_General_29-11-2012_10_'!O1472,"AAAAAF9/774=")</f>
        <v>#VALUE!</v>
      </c>
      <c r="GJ98" t="e">
        <f>AND('Planilla_General_29-11-2012_10_'!P1472,"AAAAAF9/778=")</f>
        <v>#VALUE!</v>
      </c>
      <c r="GK98">
        <f>IF('Planilla_General_29-11-2012_10_'!1473:1473,"AAAAAF9/78A=",0)</f>
        <v>0</v>
      </c>
      <c r="GL98" t="e">
        <f>AND('Planilla_General_29-11-2012_10_'!A1473,"AAAAAF9/78E=")</f>
        <v>#VALUE!</v>
      </c>
      <c r="GM98" t="e">
        <f>AND('Planilla_General_29-11-2012_10_'!B1473,"AAAAAF9/78I=")</f>
        <v>#VALUE!</v>
      </c>
      <c r="GN98" t="e">
        <f>AND('Planilla_General_29-11-2012_10_'!C1473,"AAAAAF9/78M=")</f>
        <v>#VALUE!</v>
      </c>
      <c r="GO98" t="e">
        <f>AND('Planilla_General_29-11-2012_10_'!D1473,"AAAAAF9/78Q=")</f>
        <v>#VALUE!</v>
      </c>
      <c r="GP98" t="e">
        <f>AND('Planilla_General_29-11-2012_10_'!E1473,"AAAAAF9/78U=")</f>
        <v>#VALUE!</v>
      </c>
      <c r="GQ98" t="e">
        <f>AND('Planilla_General_29-11-2012_10_'!F1473,"AAAAAF9/78Y=")</f>
        <v>#VALUE!</v>
      </c>
      <c r="GR98" t="e">
        <f>AND('Planilla_General_29-11-2012_10_'!G1473,"AAAAAF9/78c=")</f>
        <v>#VALUE!</v>
      </c>
      <c r="GS98" t="e">
        <f>AND('Planilla_General_29-11-2012_10_'!H1473,"AAAAAF9/78g=")</f>
        <v>#VALUE!</v>
      </c>
      <c r="GT98" t="e">
        <f>AND('Planilla_General_29-11-2012_10_'!I1473,"AAAAAF9/78k=")</f>
        <v>#VALUE!</v>
      </c>
      <c r="GU98" t="e">
        <f>AND('Planilla_General_29-11-2012_10_'!J1473,"AAAAAF9/78o=")</f>
        <v>#VALUE!</v>
      </c>
      <c r="GV98" t="e">
        <f>AND('Planilla_General_29-11-2012_10_'!K1473,"AAAAAF9/78s=")</f>
        <v>#VALUE!</v>
      </c>
      <c r="GW98" t="e">
        <f>AND('Planilla_General_29-11-2012_10_'!L1473,"AAAAAF9/78w=")</f>
        <v>#VALUE!</v>
      </c>
      <c r="GX98" t="e">
        <f>AND('Planilla_General_29-11-2012_10_'!M1473,"AAAAAF9/780=")</f>
        <v>#VALUE!</v>
      </c>
      <c r="GY98" t="e">
        <f>AND('Planilla_General_29-11-2012_10_'!N1473,"AAAAAF9/784=")</f>
        <v>#VALUE!</v>
      </c>
      <c r="GZ98" t="e">
        <f>AND('Planilla_General_29-11-2012_10_'!O1473,"AAAAAF9/788=")</f>
        <v>#VALUE!</v>
      </c>
      <c r="HA98" t="e">
        <f>AND('Planilla_General_29-11-2012_10_'!P1473,"AAAAAF9/79A=")</f>
        <v>#VALUE!</v>
      </c>
      <c r="HB98">
        <f>IF('Planilla_General_29-11-2012_10_'!1474:1474,"AAAAAF9/79E=",0)</f>
        <v>0</v>
      </c>
      <c r="HC98" t="e">
        <f>AND('Planilla_General_29-11-2012_10_'!A1474,"AAAAAF9/79I=")</f>
        <v>#VALUE!</v>
      </c>
      <c r="HD98" t="e">
        <f>AND('Planilla_General_29-11-2012_10_'!B1474,"AAAAAF9/79M=")</f>
        <v>#VALUE!</v>
      </c>
      <c r="HE98" t="e">
        <f>AND('Planilla_General_29-11-2012_10_'!C1474,"AAAAAF9/79Q=")</f>
        <v>#VALUE!</v>
      </c>
      <c r="HF98" t="e">
        <f>AND('Planilla_General_29-11-2012_10_'!D1474,"AAAAAF9/79U=")</f>
        <v>#VALUE!</v>
      </c>
      <c r="HG98" t="e">
        <f>AND('Planilla_General_29-11-2012_10_'!E1474,"AAAAAF9/79Y=")</f>
        <v>#VALUE!</v>
      </c>
      <c r="HH98" t="e">
        <f>AND('Planilla_General_29-11-2012_10_'!F1474,"AAAAAF9/79c=")</f>
        <v>#VALUE!</v>
      </c>
      <c r="HI98" t="e">
        <f>AND('Planilla_General_29-11-2012_10_'!G1474,"AAAAAF9/79g=")</f>
        <v>#VALUE!</v>
      </c>
      <c r="HJ98" t="e">
        <f>AND('Planilla_General_29-11-2012_10_'!H1474,"AAAAAF9/79k=")</f>
        <v>#VALUE!</v>
      </c>
      <c r="HK98" t="e">
        <f>AND('Planilla_General_29-11-2012_10_'!I1474,"AAAAAF9/79o=")</f>
        <v>#VALUE!</v>
      </c>
      <c r="HL98" t="e">
        <f>AND('Planilla_General_29-11-2012_10_'!J1474,"AAAAAF9/79s=")</f>
        <v>#VALUE!</v>
      </c>
      <c r="HM98" t="e">
        <f>AND('Planilla_General_29-11-2012_10_'!K1474,"AAAAAF9/79w=")</f>
        <v>#VALUE!</v>
      </c>
      <c r="HN98" t="e">
        <f>AND('Planilla_General_29-11-2012_10_'!L1474,"AAAAAF9/790=")</f>
        <v>#VALUE!</v>
      </c>
      <c r="HO98" t="e">
        <f>AND('Planilla_General_29-11-2012_10_'!M1474,"AAAAAF9/794=")</f>
        <v>#VALUE!</v>
      </c>
      <c r="HP98" t="e">
        <f>AND('Planilla_General_29-11-2012_10_'!N1474,"AAAAAF9/798=")</f>
        <v>#VALUE!</v>
      </c>
      <c r="HQ98" t="e">
        <f>AND('Planilla_General_29-11-2012_10_'!O1474,"AAAAAF9/7+A=")</f>
        <v>#VALUE!</v>
      </c>
      <c r="HR98" t="e">
        <f>AND('Planilla_General_29-11-2012_10_'!P1474,"AAAAAF9/7+E=")</f>
        <v>#VALUE!</v>
      </c>
      <c r="HS98">
        <f>IF('Planilla_General_29-11-2012_10_'!1475:1475,"AAAAAF9/7+I=",0)</f>
        <v>0</v>
      </c>
      <c r="HT98" t="e">
        <f>AND('Planilla_General_29-11-2012_10_'!A1475,"AAAAAF9/7+M=")</f>
        <v>#VALUE!</v>
      </c>
      <c r="HU98" t="e">
        <f>AND('Planilla_General_29-11-2012_10_'!B1475,"AAAAAF9/7+Q=")</f>
        <v>#VALUE!</v>
      </c>
      <c r="HV98" t="e">
        <f>AND('Planilla_General_29-11-2012_10_'!C1475,"AAAAAF9/7+U=")</f>
        <v>#VALUE!</v>
      </c>
      <c r="HW98" t="e">
        <f>AND('Planilla_General_29-11-2012_10_'!D1475,"AAAAAF9/7+Y=")</f>
        <v>#VALUE!</v>
      </c>
      <c r="HX98" t="e">
        <f>AND('Planilla_General_29-11-2012_10_'!E1475,"AAAAAF9/7+c=")</f>
        <v>#VALUE!</v>
      </c>
      <c r="HY98" t="e">
        <f>AND('Planilla_General_29-11-2012_10_'!F1475,"AAAAAF9/7+g=")</f>
        <v>#VALUE!</v>
      </c>
      <c r="HZ98" t="e">
        <f>AND('Planilla_General_29-11-2012_10_'!G1475,"AAAAAF9/7+k=")</f>
        <v>#VALUE!</v>
      </c>
      <c r="IA98" t="e">
        <f>AND('Planilla_General_29-11-2012_10_'!H1475,"AAAAAF9/7+o=")</f>
        <v>#VALUE!</v>
      </c>
      <c r="IB98" t="e">
        <f>AND('Planilla_General_29-11-2012_10_'!I1475,"AAAAAF9/7+s=")</f>
        <v>#VALUE!</v>
      </c>
      <c r="IC98" t="e">
        <f>AND('Planilla_General_29-11-2012_10_'!J1475,"AAAAAF9/7+w=")</f>
        <v>#VALUE!</v>
      </c>
      <c r="ID98" t="e">
        <f>AND('Planilla_General_29-11-2012_10_'!K1475,"AAAAAF9/7+0=")</f>
        <v>#VALUE!</v>
      </c>
      <c r="IE98" t="e">
        <f>AND('Planilla_General_29-11-2012_10_'!L1475,"AAAAAF9/7+4=")</f>
        <v>#VALUE!</v>
      </c>
      <c r="IF98" t="e">
        <f>AND('Planilla_General_29-11-2012_10_'!M1475,"AAAAAF9/7+8=")</f>
        <v>#VALUE!</v>
      </c>
      <c r="IG98" t="e">
        <f>AND('Planilla_General_29-11-2012_10_'!N1475,"AAAAAF9/7/A=")</f>
        <v>#VALUE!</v>
      </c>
      <c r="IH98" t="e">
        <f>AND('Planilla_General_29-11-2012_10_'!O1475,"AAAAAF9/7/E=")</f>
        <v>#VALUE!</v>
      </c>
      <c r="II98" t="e">
        <f>AND('Planilla_General_29-11-2012_10_'!P1475,"AAAAAF9/7/I=")</f>
        <v>#VALUE!</v>
      </c>
      <c r="IJ98">
        <f>IF('Planilla_General_29-11-2012_10_'!1476:1476,"AAAAAF9/7/M=",0)</f>
        <v>0</v>
      </c>
      <c r="IK98" t="e">
        <f>AND('Planilla_General_29-11-2012_10_'!A1476,"AAAAAF9/7/Q=")</f>
        <v>#VALUE!</v>
      </c>
      <c r="IL98" t="e">
        <f>AND('Planilla_General_29-11-2012_10_'!B1476,"AAAAAF9/7/U=")</f>
        <v>#VALUE!</v>
      </c>
      <c r="IM98" t="e">
        <f>AND('Planilla_General_29-11-2012_10_'!C1476,"AAAAAF9/7/Y=")</f>
        <v>#VALUE!</v>
      </c>
      <c r="IN98" t="e">
        <f>AND('Planilla_General_29-11-2012_10_'!D1476,"AAAAAF9/7/c=")</f>
        <v>#VALUE!</v>
      </c>
      <c r="IO98" t="e">
        <f>AND('Planilla_General_29-11-2012_10_'!E1476,"AAAAAF9/7/g=")</f>
        <v>#VALUE!</v>
      </c>
      <c r="IP98" t="e">
        <f>AND('Planilla_General_29-11-2012_10_'!F1476,"AAAAAF9/7/k=")</f>
        <v>#VALUE!</v>
      </c>
      <c r="IQ98" t="e">
        <f>AND('Planilla_General_29-11-2012_10_'!G1476,"AAAAAF9/7/o=")</f>
        <v>#VALUE!</v>
      </c>
      <c r="IR98" t="e">
        <f>AND('Planilla_General_29-11-2012_10_'!H1476,"AAAAAF9/7/s=")</f>
        <v>#VALUE!</v>
      </c>
      <c r="IS98" t="e">
        <f>AND('Planilla_General_29-11-2012_10_'!I1476,"AAAAAF9/7/w=")</f>
        <v>#VALUE!</v>
      </c>
      <c r="IT98" t="e">
        <f>AND('Planilla_General_29-11-2012_10_'!J1476,"AAAAAF9/7/0=")</f>
        <v>#VALUE!</v>
      </c>
      <c r="IU98" t="e">
        <f>AND('Planilla_General_29-11-2012_10_'!K1476,"AAAAAF9/7/4=")</f>
        <v>#VALUE!</v>
      </c>
      <c r="IV98" t="e">
        <f>AND('Planilla_General_29-11-2012_10_'!L1476,"AAAAAF9/7/8=")</f>
        <v>#VALUE!</v>
      </c>
    </row>
    <row r="99" spans="1:256" x14ac:dyDescent="0.25">
      <c r="A99" t="e">
        <f>AND('Planilla_General_29-11-2012_10_'!M1476,"AAAAAH3H1gA=")</f>
        <v>#VALUE!</v>
      </c>
      <c r="B99" t="e">
        <f>AND('Planilla_General_29-11-2012_10_'!N1476,"AAAAAH3H1gE=")</f>
        <v>#VALUE!</v>
      </c>
      <c r="C99" t="e">
        <f>AND('Planilla_General_29-11-2012_10_'!O1476,"AAAAAH3H1gI=")</f>
        <v>#VALUE!</v>
      </c>
      <c r="D99" t="e">
        <f>AND('Planilla_General_29-11-2012_10_'!P1476,"AAAAAH3H1gM=")</f>
        <v>#VALUE!</v>
      </c>
      <c r="E99" t="e">
        <f>IF('Planilla_General_29-11-2012_10_'!1477:1477,"AAAAAH3H1gQ=",0)</f>
        <v>#VALUE!</v>
      </c>
      <c r="F99" t="e">
        <f>AND('Planilla_General_29-11-2012_10_'!A1477,"AAAAAH3H1gU=")</f>
        <v>#VALUE!</v>
      </c>
      <c r="G99" t="e">
        <f>AND('Planilla_General_29-11-2012_10_'!B1477,"AAAAAH3H1gY=")</f>
        <v>#VALUE!</v>
      </c>
      <c r="H99" t="e">
        <f>AND('Planilla_General_29-11-2012_10_'!C1477,"AAAAAH3H1gc=")</f>
        <v>#VALUE!</v>
      </c>
      <c r="I99" t="e">
        <f>AND('Planilla_General_29-11-2012_10_'!D1477,"AAAAAH3H1gg=")</f>
        <v>#VALUE!</v>
      </c>
      <c r="J99" t="e">
        <f>AND('Planilla_General_29-11-2012_10_'!E1477,"AAAAAH3H1gk=")</f>
        <v>#VALUE!</v>
      </c>
      <c r="K99" t="e">
        <f>AND('Planilla_General_29-11-2012_10_'!F1477,"AAAAAH3H1go=")</f>
        <v>#VALUE!</v>
      </c>
      <c r="L99" t="e">
        <f>AND('Planilla_General_29-11-2012_10_'!G1477,"AAAAAH3H1gs=")</f>
        <v>#VALUE!</v>
      </c>
      <c r="M99" t="e">
        <f>AND('Planilla_General_29-11-2012_10_'!H1477,"AAAAAH3H1gw=")</f>
        <v>#VALUE!</v>
      </c>
      <c r="N99" t="e">
        <f>AND('Planilla_General_29-11-2012_10_'!I1477,"AAAAAH3H1g0=")</f>
        <v>#VALUE!</v>
      </c>
      <c r="O99" t="e">
        <f>AND('Planilla_General_29-11-2012_10_'!J1477,"AAAAAH3H1g4=")</f>
        <v>#VALUE!</v>
      </c>
      <c r="P99" t="e">
        <f>AND('Planilla_General_29-11-2012_10_'!K1477,"AAAAAH3H1g8=")</f>
        <v>#VALUE!</v>
      </c>
      <c r="Q99" t="e">
        <f>AND('Planilla_General_29-11-2012_10_'!L1477,"AAAAAH3H1hA=")</f>
        <v>#VALUE!</v>
      </c>
      <c r="R99" t="e">
        <f>AND('Planilla_General_29-11-2012_10_'!M1477,"AAAAAH3H1hE=")</f>
        <v>#VALUE!</v>
      </c>
      <c r="S99" t="e">
        <f>AND('Planilla_General_29-11-2012_10_'!N1477,"AAAAAH3H1hI=")</f>
        <v>#VALUE!</v>
      </c>
      <c r="T99" t="e">
        <f>AND('Planilla_General_29-11-2012_10_'!O1477,"AAAAAH3H1hM=")</f>
        <v>#VALUE!</v>
      </c>
      <c r="U99" t="e">
        <f>AND('Planilla_General_29-11-2012_10_'!P1477,"AAAAAH3H1hQ=")</f>
        <v>#VALUE!</v>
      </c>
      <c r="V99">
        <f>IF('Planilla_General_29-11-2012_10_'!1478:1478,"AAAAAH3H1hU=",0)</f>
        <v>0</v>
      </c>
      <c r="W99" t="e">
        <f>AND('Planilla_General_29-11-2012_10_'!A1478,"AAAAAH3H1hY=")</f>
        <v>#VALUE!</v>
      </c>
      <c r="X99" t="e">
        <f>AND('Planilla_General_29-11-2012_10_'!B1478,"AAAAAH3H1hc=")</f>
        <v>#VALUE!</v>
      </c>
      <c r="Y99" t="e">
        <f>AND('Planilla_General_29-11-2012_10_'!C1478,"AAAAAH3H1hg=")</f>
        <v>#VALUE!</v>
      </c>
      <c r="Z99" t="e">
        <f>AND('Planilla_General_29-11-2012_10_'!D1478,"AAAAAH3H1hk=")</f>
        <v>#VALUE!</v>
      </c>
      <c r="AA99" t="e">
        <f>AND('Planilla_General_29-11-2012_10_'!E1478,"AAAAAH3H1ho=")</f>
        <v>#VALUE!</v>
      </c>
      <c r="AB99" t="e">
        <f>AND('Planilla_General_29-11-2012_10_'!F1478,"AAAAAH3H1hs=")</f>
        <v>#VALUE!</v>
      </c>
      <c r="AC99" t="e">
        <f>AND('Planilla_General_29-11-2012_10_'!G1478,"AAAAAH3H1hw=")</f>
        <v>#VALUE!</v>
      </c>
      <c r="AD99" t="e">
        <f>AND('Planilla_General_29-11-2012_10_'!H1478,"AAAAAH3H1h0=")</f>
        <v>#VALUE!</v>
      </c>
      <c r="AE99" t="e">
        <f>AND('Planilla_General_29-11-2012_10_'!I1478,"AAAAAH3H1h4=")</f>
        <v>#VALUE!</v>
      </c>
      <c r="AF99" t="e">
        <f>AND('Planilla_General_29-11-2012_10_'!J1478,"AAAAAH3H1h8=")</f>
        <v>#VALUE!</v>
      </c>
      <c r="AG99" t="e">
        <f>AND('Planilla_General_29-11-2012_10_'!K1478,"AAAAAH3H1iA=")</f>
        <v>#VALUE!</v>
      </c>
      <c r="AH99" t="e">
        <f>AND('Planilla_General_29-11-2012_10_'!L1478,"AAAAAH3H1iE=")</f>
        <v>#VALUE!</v>
      </c>
      <c r="AI99" t="e">
        <f>AND('Planilla_General_29-11-2012_10_'!M1478,"AAAAAH3H1iI=")</f>
        <v>#VALUE!</v>
      </c>
      <c r="AJ99" t="e">
        <f>AND('Planilla_General_29-11-2012_10_'!N1478,"AAAAAH3H1iM=")</f>
        <v>#VALUE!</v>
      </c>
      <c r="AK99" t="e">
        <f>AND('Planilla_General_29-11-2012_10_'!O1478,"AAAAAH3H1iQ=")</f>
        <v>#VALUE!</v>
      </c>
      <c r="AL99" t="e">
        <f>AND('Planilla_General_29-11-2012_10_'!P1478,"AAAAAH3H1iU=")</f>
        <v>#VALUE!</v>
      </c>
      <c r="AM99">
        <f>IF('Planilla_General_29-11-2012_10_'!1479:1479,"AAAAAH3H1iY=",0)</f>
        <v>0</v>
      </c>
      <c r="AN99" t="e">
        <f>AND('Planilla_General_29-11-2012_10_'!A1479,"AAAAAH3H1ic=")</f>
        <v>#VALUE!</v>
      </c>
      <c r="AO99" t="e">
        <f>AND('Planilla_General_29-11-2012_10_'!B1479,"AAAAAH3H1ig=")</f>
        <v>#VALUE!</v>
      </c>
      <c r="AP99" t="e">
        <f>AND('Planilla_General_29-11-2012_10_'!C1479,"AAAAAH3H1ik=")</f>
        <v>#VALUE!</v>
      </c>
      <c r="AQ99" t="e">
        <f>AND('Planilla_General_29-11-2012_10_'!D1479,"AAAAAH3H1io=")</f>
        <v>#VALUE!</v>
      </c>
      <c r="AR99" t="e">
        <f>AND('Planilla_General_29-11-2012_10_'!E1479,"AAAAAH3H1is=")</f>
        <v>#VALUE!</v>
      </c>
      <c r="AS99" t="e">
        <f>AND('Planilla_General_29-11-2012_10_'!F1479,"AAAAAH3H1iw=")</f>
        <v>#VALUE!</v>
      </c>
      <c r="AT99" t="e">
        <f>AND('Planilla_General_29-11-2012_10_'!G1479,"AAAAAH3H1i0=")</f>
        <v>#VALUE!</v>
      </c>
      <c r="AU99" t="e">
        <f>AND('Planilla_General_29-11-2012_10_'!H1479,"AAAAAH3H1i4=")</f>
        <v>#VALUE!</v>
      </c>
      <c r="AV99" t="e">
        <f>AND('Planilla_General_29-11-2012_10_'!I1479,"AAAAAH3H1i8=")</f>
        <v>#VALUE!</v>
      </c>
      <c r="AW99" t="e">
        <f>AND('Planilla_General_29-11-2012_10_'!J1479,"AAAAAH3H1jA=")</f>
        <v>#VALUE!</v>
      </c>
      <c r="AX99" t="e">
        <f>AND('Planilla_General_29-11-2012_10_'!K1479,"AAAAAH3H1jE=")</f>
        <v>#VALUE!</v>
      </c>
      <c r="AY99" t="e">
        <f>AND('Planilla_General_29-11-2012_10_'!L1479,"AAAAAH3H1jI=")</f>
        <v>#VALUE!</v>
      </c>
      <c r="AZ99" t="e">
        <f>AND('Planilla_General_29-11-2012_10_'!M1479,"AAAAAH3H1jM=")</f>
        <v>#VALUE!</v>
      </c>
      <c r="BA99" t="e">
        <f>AND('Planilla_General_29-11-2012_10_'!N1479,"AAAAAH3H1jQ=")</f>
        <v>#VALUE!</v>
      </c>
      <c r="BB99" t="e">
        <f>AND('Planilla_General_29-11-2012_10_'!O1479,"AAAAAH3H1jU=")</f>
        <v>#VALUE!</v>
      </c>
      <c r="BC99" t="e">
        <f>AND('Planilla_General_29-11-2012_10_'!P1479,"AAAAAH3H1jY=")</f>
        <v>#VALUE!</v>
      </c>
      <c r="BD99">
        <f>IF('Planilla_General_29-11-2012_10_'!1480:1480,"AAAAAH3H1jc=",0)</f>
        <v>0</v>
      </c>
      <c r="BE99" t="e">
        <f>AND('Planilla_General_29-11-2012_10_'!A1480,"AAAAAH3H1jg=")</f>
        <v>#VALUE!</v>
      </c>
      <c r="BF99" t="e">
        <f>AND('Planilla_General_29-11-2012_10_'!B1480,"AAAAAH3H1jk=")</f>
        <v>#VALUE!</v>
      </c>
      <c r="BG99" t="e">
        <f>AND('Planilla_General_29-11-2012_10_'!C1480,"AAAAAH3H1jo=")</f>
        <v>#VALUE!</v>
      </c>
      <c r="BH99" t="e">
        <f>AND('Planilla_General_29-11-2012_10_'!D1480,"AAAAAH3H1js=")</f>
        <v>#VALUE!</v>
      </c>
      <c r="BI99" t="e">
        <f>AND('Planilla_General_29-11-2012_10_'!E1480,"AAAAAH3H1jw=")</f>
        <v>#VALUE!</v>
      </c>
      <c r="BJ99" t="e">
        <f>AND('Planilla_General_29-11-2012_10_'!F1480,"AAAAAH3H1j0=")</f>
        <v>#VALUE!</v>
      </c>
      <c r="BK99" t="e">
        <f>AND('Planilla_General_29-11-2012_10_'!G1480,"AAAAAH3H1j4=")</f>
        <v>#VALUE!</v>
      </c>
      <c r="BL99" t="e">
        <f>AND('Planilla_General_29-11-2012_10_'!H1480,"AAAAAH3H1j8=")</f>
        <v>#VALUE!</v>
      </c>
      <c r="BM99" t="e">
        <f>AND('Planilla_General_29-11-2012_10_'!I1480,"AAAAAH3H1kA=")</f>
        <v>#VALUE!</v>
      </c>
      <c r="BN99" t="e">
        <f>AND('Planilla_General_29-11-2012_10_'!J1480,"AAAAAH3H1kE=")</f>
        <v>#VALUE!</v>
      </c>
      <c r="BO99" t="e">
        <f>AND('Planilla_General_29-11-2012_10_'!K1480,"AAAAAH3H1kI=")</f>
        <v>#VALUE!</v>
      </c>
      <c r="BP99" t="e">
        <f>AND('Planilla_General_29-11-2012_10_'!L1480,"AAAAAH3H1kM=")</f>
        <v>#VALUE!</v>
      </c>
      <c r="BQ99" t="e">
        <f>AND('Planilla_General_29-11-2012_10_'!M1480,"AAAAAH3H1kQ=")</f>
        <v>#VALUE!</v>
      </c>
      <c r="BR99" t="e">
        <f>AND('Planilla_General_29-11-2012_10_'!N1480,"AAAAAH3H1kU=")</f>
        <v>#VALUE!</v>
      </c>
      <c r="BS99" t="e">
        <f>AND('Planilla_General_29-11-2012_10_'!O1480,"AAAAAH3H1kY=")</f>
        <v>#VALUE!</v>
      </c>
      <c r="BT99" t="e">
        <f>AND('Planilla_General_29-11-2012_10_'!P1480,"AAAAAH3H1kc=")</f>
        <v>#VALUE!</v>
      </c>
      <c r="BU99">
        <f>IF('Planilla_General_29-11-2012_10_'!1481:1481,"AAAAAH3H1kg=",0)</f>
        <v>0</v>
      </c>
      <c r="BV99" t="e">
        <f>AND('Planilla_General_29-11-2012_10_'!A1481,"AAAAAH3H1kk=")</f>
        <v>#VALUE!</v>
      </c>
      <c r="BW99" t="e">
        <f>AND('Planilla_General_29-11-2012_10_'!B1481,"AAAAAH3H1ko=")</f>
        <v>#VALUE!</v>
      </c>
      <c r="BX99" t="e">
        <f>AND('Planilla_General_29-11-2012_10_'!C1481,"AAAAAH3H1ks=")</f>
        <v>#VALUE!</v>
      </c>
      <c r="BY99" t="e">
        <f>AND('Planilla_General_29-11-2012_10_'!D1481,"AAAAAH3H1kw=")</f>
        <v>#VALUE!</v>
      </c>
      <c r="BZ99" t="e">
        <f>AND('Planilla_General_29-11-2012_10_'!E1481,"AAAAAH3H1k0=")</f>
        <v>#VALUE!</v>
      </c>
      <c r="CA99" t="e">
        <f>AND('Planilla_General_29-11-2012_10_'!F1481,"AAAAAH3H1k4=")</f>
        <v>#VALUE!</v>
      </c>
      <c r="CB99" t="e">
        <f>AND('Planilla_General_29-11-2012_10_'!G1481,"AAAAAH3H1k8=")</f>
        <v>#VALUE!</v>
      </c>
      <c r="CC99" t="e">
        <f>AND('Planilla_General_29-11-2012_10_'!H1481,"AAAAAH3H1lA=")</f>
        <v>#VALUE!</v>
      </c>
      <c r="CD99" t="e">
        <f>AND('Planilla_General_29-11-2012_10_'!I1481,"AAAAAH3H1lE=")</f>
        <v>#VALUE!</v>
      </c>
      <c r="CE99" t="e">
        <f>AND('Planilla_General_29-11-2012_10_'!J1481,"AAAAAH3H1lI=")</f>
        <v>#VALUE!</v>
      </c>
      <c r="CF99" t="e">
        <f>AND('Planilla_General_29-11-2012_10_'!K1481,"AAAAAH3H1lM=")</f>
        <v>#VALUE!</v>
      </c>
      <c r="CG99" t="e">
        <f>AND('Planilla_General_29-11-2012_10_'!L1481,"AAAAAH3H1lQ=")</f>
        <v>#VALUE!</v>
      </c>
      <c r="CH99" t="e">
        <f>AND('Planilla_General_29-11-2012_10_'!M1481,"AAAAAH3H1lU=")</f>
        <v>#VALUE!</v>
      </c>
      <c r="CI99" t="e">
        <f>AND('Planilla_General_29-11-2012_10_'!N1481,"AAAAAH3H1lY=")</f>
        <v>#VALUE!</v>
      </c>
      <c r="CJ99" t="e">
        <f>AND('Planilla_General_29-11-2012_10_'!O1481,"AAAAAH3H1lc=")</f>
        <v>#VALUE!</v>
      </c>
      <c r="CK99" t="e">
        <f>AND('Planilla_General_29-11-2012_10_'!P1481,"AAAAAH3H1lg=")</f>
        <v>#VALUE!</v>
      </c>
      <c r="CL99">
        <f>IF('Planilla_General_29-11-2012_10_'!1482:1482,"AAAAAH3H1lk=",0)</f>
        <v>0</v>
      </c>
      <c r="CM99" t="e">
        <f>AND('Planilla_General_29-11-2012_10_'!A1482,"AAAAAH3H1lo=")</f>
        <v>#VALUE!</v>
      </c>
      <c r="CN99" t="e">
        <f>AND('Planilla_General_29-11-2012_10_'!B1482,"AAAAAH3H1ls=")</f>
        <v>#VALUE!</v>
      </c>
      <c r="CO99" t="e">
        <f>AND('Planilla_General_29-11-2012_10_'!C1482,"AAAAAH3H1lw=")</f>
        <v>#VALUE!</v>
      </c>
      <c r="CP99" t="e">
        <f>AND('Planilla_General_29-11-2012_10_'!D1482,"AAAAAH3H1l0=")</f>
        <v>#VALUE!</v>
      </c>
      <c r="CQ99" t="e">
        <f>AND('Planilla_General_29-11-2012_10_'!E1482,"AAAAAH3H1l4=")</f>
        <v>#VALUE!</v>
      </c>
      <c r="CR99" t="e">
        <f>AND('Planilla_General_29-11-2012_10_'!F1482,"AAAAAH3H1l8=")</f>
        <v>#VALUE!</v>
      </c>
      <c r="CS99" t="e">
        <f>AND('Planilla_General_29-11-2012_10_'!G1482,"AAAAAH3H1mA=")</f>
        <v>#VALUE!</v>
      </c>
      <c r="CT99" t="e">
        <f>AND('Planilla_General_29-11-2012_10_'!H1482,"AAAAAH3H1mE=")</f>
        <v>#VALUE!</v>
      </c>
      <c r="CU99" t="e">
        <f>AND('Planilla_General_29-11-2012_10_'!I1482,"AAAAAH3H1mI=")</f>
        <v>#VALUE!</v>
      </c>
      <c r="CV99" t="e">
        <f>AND('Planilla_General_29-11-2012_10_'!J1482,"AAAAAH3H1mM=")</f>
        <v>#VALUE!</v>
      </c>
      <c r="CW99" t="e">
        <f>AND('Planilla_General_29-11-2012_10_'!K1482,"AAAAAH3H1mQ=")</f>
        <v>#VALUE!</v>
      </c>
      <c r="CX99" t="e">
        <f>AND('Planilla_General_29-11-2012_10_'!L1482,"AAAAAH3H1mU=")</f>
        <v>#VALUE!</v>
      </c>
      <c r="CY99" t="e">
        <f>AND('Planilla_General_29-11-2012_10_'!M1482,"AAAAAH3H1mY=")</f>
        <v>#VALUE!</v>
      </c>
      <c r="CZ99" t="e">
        <f>AND('Planilla_General_29-11-2012_10_'!N1482,"AAAAAH3H1mc=")</f>
        <v>#VALUE!</v>
      </c>
      <c r="DA99" t="e">
        <f>AND('Planilla_General_29-11-2012_10_'!O1482,"AAAAAH3H1mg=")</f>
        <v>#VALUE!</v>
      </c>
      <c r="DB99" t="e">
        <f>AND('Planilla_General_29-11-2012_10_'!P1482,"AAAAAH3H1mk=")</f>
        <v>#VALUE!</v>
      </c>
      <c r="DC99">
        <f>IF('Planilla_General_29-11-2012_10_'!1483:1483,"AAAAAH3H1mo=",0)</f>
        <v>0</v>
      </c>
      <c r="DD99" t="e">
        <f>AND('Planilla_General_29-11-2012_10_'!A1483,"AAAAAH3H1ms=")</f>
        <v>#VALUE!</v>
      </c>
      <c r="DE99" t="e">
        <f>AND('Planilla_General_29-11-2012_10_'!B1483,"AAAAAH3H1mw=")</f>
        <v>#VALUE!</v>
      </c>
      <c r="DF99" t="e">
        <f>AND('Planilla_General_29-11-2012_10_'!C1483,"AAAAAH3H1m0=")</f>
        <v>#VALUE!</v>
      </c>
      <c r="DG99" t="e">
        <f>AND('Planilla_General_29-11-2012_10_'!D1483,"AAAAAH3H1m4=")</f>
        <v>#VALUE!</v>
      </c>
      <c r="DH99" t="e">
        <f>AND('Planilla_General_29-11-2012_10_'!E1483,"AAAAAH3H1m8=")</f>
        <v>#VALUE!</v>
      </c>
      <c r="DI99" t="e">
        <f>AND('Planilla_General_29-11-2012_10_'!F1483,"AAAAAH3H1nA=")</f>
        <v>#VALUE!</v>
      </c>
      <c r="DJ99" t="e">
        <f>AND('Planilla_General_29-11-2012_10_'!G1483,"AAAAAH3H1nE=")</f>
        <v>#VALUE!</v>
      </c>
      <c r="DK99" t="e">
        <f>AND('Planilla_General_29-11-2012_10_'!H1483,"AAAAAH3H1nI=")</f>
        <v>#VALUE!</v>
      </c>
      <c r="DL99" t="e">
        <f>AND('Planilla_General_29-11-2012_10_'!I1483,"AAAAAH3H1nM=")</f>
        <v>#VALUE!</v>
      </c>
      <c r="DM99" t="e">
        <f>AND('Planilla_General_29-11-2012_10_'!J1483,"AAAAAH3H1nQ=")</f>
        <v>#VALUE!</v>
      </c>
      <c r="DN99" t="e">
        <f>AND('Planilla_General_29-11-2012_10_'!K1483,"AAAAAH3H1nU=")</f>
        <v>#VALUE!</v>
      </c>
      <c r="DO99" t="e">
        <f>AND('Planilla_General_29-11-2012_10_'!L1483,"AAAAAH3H1nY=")</f>
        <v>#VALUE!</v>
      </c>
      <c r="DP99" t="e">
        <f>AND('Planilla_General_29-11-2012_10_'!M1483,"AAAAAH3H1nc=")</f>
        <v>#VALUE!</v>
      </c>
      <c r="DQ99" t="e">
        <f>AND('Planilla_General_29-11-2012_10_'!N1483,"AAAAAH3H1ng=")</f>
        <v>#VALUE!</v>
      </c>
      <c r="DR99" t="e">
        <f>AND('Planilla_General_29-11-2012_10_'!O1483,"AAAAAH3H1nk=")</f>
        <v>#VALUE!</v>
      </c>
      <c r="DS99" t="e">
        <f>AND('Planilla_General_29-11-2012_10_'!P1483,"AAAAAH3H1no=")</f>
        <v>#VALUE!</v>
      </c>
      <c r="DT99">
        <f>IF('Planilla_General_29-11-2012_10_'!1484:1484,"AAAAAH3H1ns=",0)</f>
        <v>0</v>
      </c>
      <c r="DU99" t="e">
        <f>AND('Planilla_General_29-11-2012_10_'!A1484,"AAAAAH3H1nw=")</f>
        <v>#VALUE!</v>
      </c>
      <c r="DV99" t="e">
        <f>AND('Planilla_General_29-11-2012_10_'!B1484,"AAAAAH3H1n0=")</f>
        <v>#VALUE!</v>
      </c>
      <c r="DW99" t="e">
        <f>AND('Planilla_General_29-11-2012_10_'!C1484,"AAAAAH3H1n4=")</f>
        <v>#VALUE!</v>
      </c>
      <c r="DX99" t="e">
        <f>AND('Planilla_General_29-11-2012_10_'!D1484,"AAAAAH3H1n8=")</f>
        <v>#VALUE!</v>
      </c>
      <c r="DY99" t="e">
        <f>AND('Planilla_General_29-11-2012_10_'!E1484,"AAAAAH3H1oA=")</f>
        <v>#VALUE!</v>
      </c>
      <c r="DZ99" t="e">
        <f>AND('Planilla_General_29-11-2012_10_'!F1484,"AAAAAH3H1oE=")</f>
        <v>#VALUE!</v>
      </c>
      <c r="EA99" t="e">
        <f>AND('Planilla_General_29-11-2012_10_'!G1484,"AAAAAH3H1oI=")</f>
        <v>#VALUE!</v>
      </c>
      <c r="EB99" t="e">
        <f>AND('Planilla_General_29-11-2012_10_'!H1484,"AAAAAH3H1oM=")</f>
        <v>#VALUE!</v>
      </c>
      <c r="EC99" t="e">
        <f>AND('Planilla_General_29-11-2012_10_'!I1484,"AAAAAH3H1oQ=")</f>
        <v>#VALUE!</v>
      </c>
      <c r="ED99" t="e">
        <f>AND('Planilla_General_29-11-2012_10_'!J1484,"AAAAAH3H1oU=")</f>
        <v>#VALUE!</v>
      </c>
      <c r="EE99" t="e">
        <f>AND('Planilla_General_29-11-2012_10_'!K1484,"AAAAAH3H1oY=")</f>
        <v>#VALUE!</v>
      </c>
      <c r="EF99" t="e">
        <f>AND('Planilla_General_29-11-2012_10_'!L1484,"AAAAAH3H1oc=")</f>
        <v>#VALUE!</v>
      </c>
      <c r="EG99" t="e">
        <f>AND('Planilla_General_29-11-2012_10_'!M1484,"AAAAAH3H1og=")</f>
        <v>#VALUE!</v>
      </c>
      <c r="EH99" t="e">
        <f>AND('Planilla_General_29-11-2012_10_'!N1484,"AAAAAH3H1ok=")</f>
        <v>#VALUE!</v>
      </c>
      <c r="EI99" t="e">
        <f>AND('Planilla_General_29-11-2012_10_'!O1484,"AAAAAH3H1oo=")</f>
        <v>#VALUE!</v>
      </c>
      <c r="EJ99" t="e">
        <f>AND('Planilla_General_29-11-2012_10_'!P1484,"AAAAAH3H1os=")</f>
        <v>#VALUE!</v>
      </c>
      <c r="EK99">
        <f>IF('Planilla_General_29-11-2012_10_'!1485:1485,"AAAAAH3H1ow=",0)</f>
        <v>0</v>
      </c>
      <c r="EL99" t="e">
        <f>AND('Planilla_General_29-11-2012_10_'!A1485,"AAAAAH3H1o0=")</f>
        <v>#VALUE!</v>
      </c>
      <c r="EM99" t="e">
        <f>AND('Planilla_General_29-11-2012_10_'!B1485,"AAAAAH3H1o4=")</f>
        <v>#VALUE!</v>
      </c>
      <c r="EN99" t="e">
        <f>AND('Planilla_General_29-11-2012_10_'!C1485,"AAAAAH3H1o8=")</f>
        <v>#VALUE!</v>
      </c>
      <c r="EO99" t="e">
        <f>AND('Planilla_General_29-11-2012_10_'!D1485,"AAAAAH3H1pA=")</f>
        <v>#VALUE!</v>
      </c>
      <c r="EP99" t="e">
        <f>AND('Planilla_General_29-11-2012_10_'!E1485,"AAAAAH3H1pE=")</f>
        <v>#VALUE!</v>
      </c>
      <c r="EQ99" t="e">
        <f>AND('Planilla_General_29-11-2012_10_'!F1485,"AAAAAH3H1pI=")</f>
        <v>#VALUE!</v>
      </c>
      <c r="ER99" t="e">
        <f>AND('Planilla_General_29-11-2012_10_'!G1485,"AAAAAH3H1pM=")</f>
        <v>#VALUE!</v>
      </c>
      <c r="ES99" t="e">
        <f>AND('Planilla_General_29-11-2012_10_'!H1485,"AAAAAH3H1pQ=")</f>
        <v>#VALUE!</v>
      </c>
      <c r="ET99" t="e">
        <f>AND('Planilla_General_29-11-2012_10_'!I1485,"AAAAAH3H1pU=")</f>
        <v>#VALUE!</v>
      </c>
      <c r="EU99" t="e">
        <f>AND('Planilla_General_29-11-2012_10_'!J1485,"AAAAAH3H1pY=")</f>
        <v>#VALUE!</v>
      </c>
      <c r="EV99" t="e">
        <f>AND('Planilla_General_29-11-2012_10_'!K1485,"AAAAAH3H1pc=")</f>
        <v>#VALUE!</v>
      </c>
      <c r="EW99" t="e">
        <f>AND('Planilla_General_29-11-2012_10_'!L1485,"AAAAAH3H1pg=")</f>
        <v>#VALUE!</v>
      </c>
      <c r="EX99" t="e">
        <f>AND('Planilla_General_29-11-2012_10_'!M1485,"AAAAAH3H1pk=")</f>
        <v>#VALUE!</v>
      </c>
      <c r="EY99" t="e">
        <f>AND('Planilla_General_29-11-2012_10_'!N1485,"AAAAAH3H1po=")</f>
        <v>#VALUE!</v>
      </c>
      <c r="EZ99" t="e">
        <f>AND('Planilla_General_29-11-2012_10_'!O1485,"AAAAAH3H1ps=")</f>
        <v>#VALUE!</v>
      </c>
      <c r="FA99" t="e">
        <f>AND('Planilla_General_29-11-2012_10_'!P1485,"AAAAAH3H1pw=")</f>
        <v>#VALUE!</v>
      </c>
      <c r="FB99">
        <f>IF('Planilla_General_29-11-2012_10_'!1486:1486,"AAAAAH3H1p0=",0)</f>
        <v>0</v>
      </c>
      <c r="FC99" t="e">
        <f>AND('Planilla_General_29-11-2012_10_'!A1486,"AAAAAH3H1p4=")</f>
        <v>#VALUE!</v>
      </c>
      <c r="FD99" t="e">
        <f>AND('Planilla_General_29-11-2012_10_'!B1486,"AAAAAH3H1p8=")</f>
        <v>#VALUE!</v>
      </c>
      <c r="FE99" t="e">
        <f>AND('Planilla_General_29-11-2012_10_'!C1486,"AAAAAH3H1qA=")</f>
        <v>#VALUE!</v>
      </c>
      <c r="FF99" t="e">
        <f>AND('Planilla_General_29-11-2012_10_'!D1486,"AAAAAH3H1qE=")</f>
        <v>#VALUE!</v>
      </c>
      <c r="FG99" t="e">
        <f>AND('Planilla_General_29-11-2012_10_'!E1486,"AAAAAH3H1qI=")</f>
        <v>#VALUE!</v>
      </c>
      <c r="FH99" t="e">
        <f>AND('Planilla_General_29-11-2012_10_'!F1486,"AAAAAH3H1qM=")</f>
        <v>#VALUE!</v>
      </c>
      <c r="FI99" t="e">
        <f>AND('Planilla_General_29-11-2012_10_'!G1486,"AAAAAH3H1qQ=")</f>
        <v>#VALUE!</v>
      </c>
      <c r="FJ99" t="e">
        <f>AND('Planilla_General_29-11-2012_10_'!H1486,"AAAAAH3H1qU=")</f>
        <v>#VALUE!</v>
      </c>
      <c r="FK99" t="e">
        <f>AND('Planilla_General_29-11-2012_10_'!I1486,"AAAAAH3H1qY=")</f>
        <v>#VALUE!</v>
      </c>
      <c r="FL99" t="e">
        <f>AND('Planilla_General_29-11-2012_10_'!J1486,"AAAAAH3H1qc=")</f>
        <v>#VALUE!</v>
      </c>
      <c r="FM99" t="e">
        <f>AND('Planilla_General_29-11-2012_10_'!K1486,"AAAAAH3H1qg=")</f>
        <v>#VALUE!</v>
      </c>
      <c r="FN99" t="e">
        <f>AND('Planilla_General_29-11-2012_10_'!L1486,"AAAAAH3H1qk=")</f>
        <v>#VALUE!</v>
      </c>
      <c r="FO99" t="e">
        <f>AND('Planilla_General_29-11-2012_10_'!M1486,"AAAAAH3H1qo=")</f>
        <v>#VALUE!</v>
      </c>
      <c r="FP99" t="e">
        <f>AND('Planilla_General_29-11-2012_10_'!N1486,"AAAAAH3H1qs=")</f>
        <v>#VALUE!</v>
      </c>
      <c r="FQ99" t="e">
        <f>AND('Planilla_General_29-11-2012_10_'!O1486,"AAAAAH3H1qw=")</f>
        <v>#VALUE!</v>
      </c>
      <c r="FR99" t="e">
        <f>AND('Planilla_General_29-11-2012_10_'!P1486,"AAAAAH3H1q0=")</f>
        <v>#VALUE!</v>
      </c>
      <c r="FS99">
        <f>IF('Planilla_General_29-11-2012_10_'!1487:1487,"AAAAAH3H1q4=",0)</f>
        <v>0</v>
      </c>
      <c r="FT99" t="e">
        <f>AND('Planilla_General_29-11-2012_10_'!A1487,"AAAAAH3H1q8=")</f>
        <v>#VALUE!</v>
      </c>
      <c r="FU99" t="e">
        <f>AND('Planilla_General_29-11-2012_10_'!B1487,"AAAAAH3H1rA=")</f>
        <v>#VALUE!</v>
      </c>
      <c r="FV99" t="e">
        <f>AND('Planilla_General_29-11-2012_10_'!C1487,"AAAAAH3H1rE=")</f>
        <v>#VALUE!</v>
      </c>
      <c r="FW99" t="e">
        <f>AND('Planilla_General_29-11-2012_10_'!D1487,"AAAAAH3H1rI=")</f>
        <v>#VALUE!</v>
      </c>
      <c r="FX99" t="e">
        <f>AND('Planilla_General_29-11-2012_10_'!E1487,"AAAAAH3H1rM=")</f>
        <v>#VALUE!</v>
      </c>
      <c r="FY99" t="e">
        <f>AND('Planilla_General_29-11-2012_10_'!F1487,"AAAAAH3H1rQ=")</f>
        <v>#VALUE!</v>
      </c>
      <c r="FZ99" t="e">
        <f>AND('Planilla_General_29-11-2012_10_'!G1487,"AAAAAH3H1rU=")</f>
        <v>#VALUE!</v>
      </c>
      <c r="GA99" t="e">
        <f>AND('Planilla_General_29-11-2012_10_'!H1487,"AAAAAH3H1rY=")</f>
        <v>#VALUE!</v>
      </c>
      <c r="GB99" t="e">
        <f>AND('Planilla_General_29-11-2012_10_'!I1487,"AAAAAH3H1rc=")</f>
        <v>#VALUE!</v>
      </c>
      <c r="GC99" t="e">
        <f>AND('Planilla_General_29-11-2012_10_'!J1487,"AAAAAH3H1rg=")</f>
        <v>#VALUE!</v>
      </c>
      <c r="GD99" t="e">
        <f>AND('Planilla_General_29-11-2012_10_'!K1487,"AAAAAH3H1rk=")</f>
        <v>#VALUE!</v>
      </c>
      <c r="GE99" t="e">
        <f>AND('Planilla_General_29-11-2012_10_'!L1487,"AAAAAH3H1ro=")</f>
        <v>#VALUE!</v>
      </c>
      <c r="GF99" t="e">
        <f>AND('Planilla_General_29-11-2012_10_'!M1487,"AAAAAH3H1rs=")</f>
        <v>#VALUE!</v>
      </c>
      <c r="GG99" t="e">
        <f>AND('Planilla_General_29-11-2012_10_'!N1487,"AAAAAH3H1rw=")</f>
        <v>#VALUE!</v>
      </c>
      <c r="GH99" t="e">
        <f>AND('Planilla_General_29-11-2012_10_'!O1487,"AAAAAH3H1r0=")</f>
        <v>#VALUE!</v>
      </c>
      <c r="GI99" t="e">
        <f>AND('Planilla_General_29-11-2012_10_'!P1487,"AAAAAH3H1r4=")</f>
        <v>#VALUE!</v>
      </c>
      <c r="GJ99">
        <f>IF('Planilla_General_29-11-2012_10_'!1488:1488,"AAAAAH3H1r8=",0)</f>
        <v>0</v>
      </c>
      <c r="GK99" t="e">
        <f>AND('Planilla_General_29-11-2012_10_'!A1488,"AAAAAH3H1sA=")</f>
        <v>#VALUE!</v>
      </c>
      <c r="GL99" t="e">
        <f>AND('Planilla_General_29-11-2012_10_'!B1488,"AAAAAH3H1sE=")</f>
        <v>#VALUE!</v>
      </c>
      <c r="GM99" t="e">
        <f>AND('Planilla_General_29-11-2012_10_'!C1488,"AAAAAH3H1sI=")</f>
        <v>#VALUE!</v>
      </c>
      <c r="GN99" t="e">
        <f>AND('Planilla_General_29-11-2012_10_'!D1488,"AAAAAH3H1sM=")</f>
        <v>#VALUE!</v>
      </c>
      <c r="GO99" t="e">
        <f>AND('Planilla_General_29-11-2012_10_'!E1488,"AAAAAH3H1sQ=")</f>
        <v>#VALUE!</v>
      </c>
      <c r="GP99" t="e">
        <f>AND('Planilla_General_29-11-2012_10_'!F1488,"AAAAAH3H1sU=")</f>
        <v>#VALUE!</v>
      </c>
      <c r="GQ99" t="e">
        <f>AND('Planilla_General_29-11-2012_10_'!G1488,"AAAAAH3H1sY=")</f>
        <v>#VALUE!</v>
      </c>
      <c r="GR99" t="e">
        <f>AND('Planilla_General_29-11-2012_10_'!H1488,"AAAAAH3H1sc=")</f>
        <v>#VALUE!</v>
      </c>
      <c r="GS99" t="e">
        <f>AND('Planilla_General_29-11-2012_10_'!I1488,"AAAAAH3H1sg=")</f>
        <v>#VALUE!</v>
      </c>
      <c r="GT99" t="e">
        <f>AND('Planilla_General_29-11-2012_10_'!J1488,"AAAAAH3H1sk=")</f>
        <v>#VALUE!</v>
      </c>
      <c r="GU99" t="e">
        <f>AND('Planilla_General_29-11-2012_10_'!K1488,"AAAAAH3H1so=")</f>
        <v>#VALUE!</v>
      </c>
      <c r="GV99" t="e">
        <f>AND('Planilla_General_29-11-2012_10_'!L1488,"AAAAAH3H1ss=")</f>
        <v>#VALUE!</v>
      </c>
      <c r="GW99" t="e">
        <f>AND('Planilla_General_29-11-2012_10_'!M1488,"AAAAAH3H1sw=")</f>
        <v>#VALUE!</v>
      </c>
      <c r="GX99" t="e">
        <f>AND('Planilla_General_29-11-2012_10_'!N1488,"AAAAAH3H1s0=")</f>
        <v>#VALUE!</v>
      </c>
      <c r="GY99" t="e">
        <f>AND('Planilla_General_29-11-2012_10_'!O1488,"AAAAAH3H1s4=")</f>
        <v>#VALUE!</v>
      </c>
      <c r="GZ99" t="e">
        <f>AND('Planilla_General_29-11-2012_10_'!P1488,"AAAAAH3H1s8=")</f>
        <v>#VALUE!</v>
      </c>
      <c r="HA99">
        <f>IF('Planilla_General_29-11-2012_10_'!1489:1489,"AAAAAH3H1tA=",0)</f>
        <v>0</v>
      </c>
      <c r="HB99" t="e">
        <f>AND('Planilla_General_29-11-2012_10_'!A1489,"AAAAAH3H1tE=")</f>
        <v>#VALUE!</v>
      </c>
      <c r="HC99" t="e">
        <f>AND('Planilla_General_29-11-2012_10_'!B1489,"AAAAAH3H1tI=")</f>
        <v>#VALUE!</v>
      </c>
      <c r="HD99" t="e">
        <f>AND('Planilla_General_29-11-2012_10_'!C1489,"AAAAAH3H1tM=")</f>
        <v>#VALUE!</v>
      </c>
      <c r="HE99" t="e">
        <f>AND('Planilla_General_29-11-2012_10_'!D1489,"AAAAAH3H1tQ=")</f>
        <v>#VALUE!</v>
      </c>
      <c r="HF99" t="e">
        <f>AND('Planilla_General_29-11-2012_10_'!E1489,"AAAAAH3H1tU=")</f>
        <v>#VALUE!</v>
      </c>
      <c r="HG99" t="e">
        <f>AND('Planilla_General_29-11-2012_10_'!F1489,"AAAAAH3H1tY=")</f>
        <v>#VALUE!</v>
      </c>
      <c r="HH99" t="e">
        <f>AND('Planilla_General_29-11-2012_10_'!G1489,"AAAAAH3H1tc=")</f>
        <v>#VALUE!</v>
      </c>
      <c r="HI99" t="e">
        <f>AND('Planilla_General_29-11-2012_10_'!H1489,"AAAAAH3H1tg=")</f>
        <v>#VALUE!</v>
      </c>
      <c r="HJ99" t="e">
        <f>AND('Planilla_General_29-11-2012_10_'!I1489,"AAAAAH3H1tk=")</f>
        <v>#VALUE!</v>
      </c>
      <c r="HK99" t="e">
        <f>AND('Planilla_General_29-11-2012_10_'!J1489,"AAAAAH3H1to=")</f>
        <v>#VALUE!</v>
      </c>
      <c r="HL99" t="e">
        <f>AND('Planilla_General_29-11-2012_10_'!K1489,"AAAAAH3H1ts=")</f>
        <v>#VALUE!</v>
      </c>
      <c r="HM99" t="e">
        <f>AND('Planilla_General_29-11-2012_10_'!L1489,"AAAAAH3H1tw=")</f>
        <v>#VALUE!</v>
      </c>
      <c r="HN99" t="e">
        <f>AND('Planilla_General_29-11-2012_10_'!M1489,"AAAAAH3H1t0=")</f>
        <v>#VALUE!</v>
      </c>
      <c r="HO99" t="e">
        <f>AND('Planilla_General_29-11-2012_10_'!N1489,"AAAAAH3H1t4=")</f>
        <v>#VALUE!</v>
      </c>
      <c r="HP99" t="e">
        <f>AND('Planilla_General_29-11-2012_10_'!O1489,"AAAAAH3H1t8=")</f>
        <v>#VALUE!</v>
      </c>
      <c r="HQ99" t="e">
        <f>AND('Planilla_General_29-11-2012_10_'!P1489,"AAAAAH3H1uA=")</f>
        <v>#VALUE!</v>
      </c>
      <c r="HR99">
        <f>IF('Planilla_General_29-11-2012_10_'!1490:1490,"AAAAAH3H1uE=",0)</f>
        <v>0</v>
      </c>
      <c r="HS99" t="e">
        <f>AND('Planilla_General_29-11-2012_10_'!A1490,"AAAAAH3H1uI=")</f>
        <v>#VALUE!</v>
      </c>
      <c r="HT99" t="e">
        <f>AND('Planilla_General_29-11-2012_10_'!B1490,"AAAAAH3H1uM=")</f>
        <v>#VALUE!</v>
      </c>
      <c r="HU99" t="e">
        <f>AND('Planilla_General_29-11-2012_10_'!C1490,"AAAAAH3H1uQ=")</f>
        <v>#VALUE!</v>
      </c>
      <c r="HV99" t="e">
        <f>AND('Planilla_General_29-11-2012_10_'!D1490,"AAAAAH3H1uU=")</f>
        <v>#VALUE!</v>
      </c>
      <c r="HW99" t="e">
        <f>AND('Planilla_General_29-11-2012_10_'!E1490,"AAAAAH3H1uY=")</f>
        <v>#VALUE!</v>
      </c>
      <c r="HX99" t="e">
        <f>AND('Planilla_General_29-11-2012_10_'!F1490,"AAAAAH3H1uc=")</f>
        <v>#VALUE!</v>
      </c>
      <c r="HY99" t="e">
        <f>AND('Planilla_General_29-11-2012_10_'!G1490,"AAAAAH3H1ug=")</f>
        <v>#VALUE!</v>
      </c>
      <c r="HZ99" t="e">
        <f>AND('Planilla_General_29-11-2012_10_'!H1490,"AAAAAH3H1uk=")</f>
        <v>#VALUE!</v>
      </c>
      <c r="IA99" t="e">
        <f>AND('Planilla_General_29-11-2012_10_'!I1490,"AAAAAH3H1uo=")</f>
        <v>#VALUE!</v>
      </c>
      <c r="IB99" t="e">
        <f>AND('Planilla_General_29-11-2012_10_'!J1490,"AAAAAH3H1us=")</f>
        <v>#VALUE!</v>
      </c>
      <c r="IC99" t="e">
        <f>AND('Planilla_General_29-11-2012_10_'!K1490,"AAAAAH3H1uw=")</f>
        <v>#VALUE!</v>
      </c>
      <c r="ID99" t="e">
        <f>AND('Planilla_General_29-11-2012_10_'!L1490,"AAAAAH3H1u0=")</f>
        <v>#VALUE!</v>
      </c>
      <c r="IE99" t="e">
        <f>AND('Planilla_General_29-11-2012_10_'!M1490,"AAAAAH3H1u4=")</f>
        <v>#VALUE!</v>
      </c>
      <c r="IF99" t="e">
        <f>AND('Planilla_General_29-11-2012_10_'!N1490,"AAAAAH3H1u8=")</f>
        <v>#VALUE!</v>
      </c>
      <c r="IG99" t="e">
        <f>AND('Planilla_General_29-11-2012_10_'!O1490,"AAAAAH3H1vA=")</f>
        <v>#VALUE!</v>
      </c>
      <c r="IH99" t="e">
        <f>AND('Planilla_General_29-11-2012_10_'!P1490,"AAAAAH3H1vE=")</f>
        <v>#VALUE!</v>
      </c>
      <c r="II99">
        <f>IF('Planilla_General_29-11-2012_10_'!1491:1491,"AAAAAH3H1vI=",0)</f>
        <v>0</v>
      </c>
      <c r="IJ99" t="e">
        <f>AND('Planilla_General_29-11-2012_10_'!A1491,"AAAAAH3H1vM=")</f>
        <v>#VALUE!</v>
      </c>
      <c r="IK99" t="e">
        <f>AND('Planilla_General_29-11-2012_10_'!B1491,"AAAAAH3H1vQ=")</f>
        <v>#VALUE!</v>
      </c>
      <c r="IL99" t="e">
        <f>AND('Planilla_General_29-11-2012_10_'!C1491,"AAAAAH3H1vU=")</f>
        <v>#VALUE!</v>
      </c>
      <c r="IM99" t="e">
        <f>AND('Planilla_General_29-11-2012_10_'!D1491,"AAAAAH3H1vY=")</f>
        <v>#VALUE!</v>
      </c>
      <c r="IN99" t="e">
        <f>AND('Planilla_General_29-11-2012_10_'!E1491,"AAAAAH3H1vc=")</f>
        <v>#VALUE!</v>
      </c>
      <c r="IO99" t="e">
        <f>AND('Planilla_General_29-11-2012_10_'!F1491,"AAAAAH3H1vg=")</f>
        <v>#VALUE!</v>
      </c>
      <c r="IP99" t="e">
        <f>AND('Planilla_General_29-11-2012_10_'!G1491,"AAAAAH3H1vk=")</f>
        <v>#VALUE!</v>
      </c>
      <c r="IQ99" t="e">
        <f>AND('Planilla_General_29-11-2012_10_'!H1491,"AAAAAH3H1vo=")</f>
        <v>#VALUE!</v>
      </c>
      <c r="IR99" t="e">
        <f>AND('Planilla_General_29-11-2012_10_'!I1491,"AAAAAH3H1vs=")</f>
        <v>#VALUE!</v>
      </c>
      <c r="IS99" t="e">
        <f>AND('Planilla_General_29-11-2012_10_'!J1491,"AAAAAH3H1vw=")</f>
        <v>#VALUE!</v>
      </c>
      <c r="IT99" t="e">
        <f>AND('Planilla_General_29-11-2012_10_'!K1491,"AAAAAH3H1v0=")</f>
        <v>#VALUE!</v>
      </c>
      <c r="IU99" t="e">
        <f>AND('Planilla_General_29-11-2012_10_'!L1491,"AAAAAH3H1v4=")</f>
        <v>#VALUE!</v>
      </c>
      <c r="IV99" t="e">
        <f>AND('Planilla_General_29-11-2012_10_'!M1491,"AAAAAH3H1v8=")</f>
        <v>#VALUE!</v>
      </c>
    </row>
    <row r="100" spans="1:256" x14ac:dyDescent="0.25">
      <c r="A100" t="e">
        <f>AND('Planilla_General_29-11-2012_10_'!N1491,"AAAAAH//dgA=")</f>
        <v>#VALUE!</v>
      </c>
      <c r="B100" t="e">
        <f>AND('Planilla_General_29-11-2012_10_'!O1491,"AAAAAH//dgE=")</f>
        <v>#VALUE!</v>
      </c>
      <c r="C100" t="e">
        <f>AND('Planilla_General_29-11-2012_10_'!P1491,"AAAAAH//dgI=")</f>
        <v>#VALUE!</v>
      </c>
      <c r="D100" t="e">
        <f>IF('Planilla_General_29-11-2012_10_'!1492:1492,"AAAAAH//dgM=",0)</f>
        <v>#VALUE!</v>
      </c>
      <c r="E100" t="e">
        <f>AND('Planilla_General_29-11-2012_10_'!A1492,"AAAAAH//dgQ=")</f>
        <v>#VALUE!</v>
      </c>
      <c r="F100" t="e">
        <f>AND('Planilla_General_29-11-2012_10_'!B1492,"AAAAAH//dgU=")</f>
        <v>#VALUE!</v>
      </c>
      <c r="G100" t="e">
        <f>AND('Planilla_General_29-11-2012_10_'!C1492,"AAAAAH//dgY=")</f>
        <v>#VALUE!</v>
      </c>
      <c r="H100" t="e">
        <f>AND('Planilla_General_29-11-2012_10_'!D1492,"AAAAAH//dgc=")</f>
        <v>#VALUE!</v>
      </c>
      <c r="I100" t="e">
        <f>AND('Planilla_General_29-11-2012_10_'!E1492,"AAAAAH//dgg=")</f>
        <v>#VALUE!</v>
      </c>
      <c r="J100" t="e">
        <f>AND('Planilla_General_29-11-2012_10_'!F1492,"AAAAAH//dgk=")</f>
        <v>#VALUE!</v>
      </c>
      <c r="K100" t="e">
        <f>AND('Planilla_General_29-11-2012_10_'!G1492,"AAAAAH//dgo=")</f>
        <v>#VALUE!</v>
      </c>
      <c r="L100" t="e">
        <f>AND('Planilla_General_29-11-2012_10_'!H1492,"AAAAAH//dgs=")</f>
        <v>#VALUE!</v>
      </c>
      <c r="M100" t="e">
        <f>AND('Planilla_General_29-11-2012_10_'!I1492,"AAAAAH//dgw=")</f>
        <v>#VALUE!</v>
      </c>
      <c r="N100" t="e">
        <f>AND('Planilla_General_29-11-2012_10_'!J1492,"AAAAAH//dg0=")</f>
        <v>#VALUE!</v>
      </c>
      <c r="O100" t="e">
        <f>AND('Planilla_General_29-11-2012_10_'!K1492,"AAAAAH//dg4=")</f>
        <v>#VALUE!</v>
      </c>
      <c r="P100" t="e">
        <f>AND('Planilla_General_29-11-2012_10_'!L1492,"AAAAAH//dg8=")</f>
        <v>#VALUE!</v>
      </c>
      <c r="Q100" t="e">
        <f>AND('Planilla_General_29-11-2012_10_'!M1492,"AAAAAH//dhA=")</f>
        <v>#VALUE!</v>
      </c>
      <c r="R100" t="e">
        <f>AND('Planilla_General_29-11-2012_10_'!N1492,"AAAAAH//dhE=")</f>
        <v>#VALUE!</v>
      </c>
      <c r="S100" t="e">
        <f>AND('Planilla_General_29-11-2012_10_'!O1492,"AAAAAH//dhI=")</f>
        <v>#VALUE!</v>
      </c>
      <c r="T100" t="e">
        <f>AND('Planilla_General_29-11-2012_10_'!P1492,"AAAAAH//dhM=")</f>
        <v>#VALUE!</v>
      </c>
      <c r="U100">
        <f>IF('Planilla_General_29-11-2012_10_'!1493:1493,"AAAAAH//dhQ=",0)</f>
        <v>0</v>
      </c>
      <c r="V100" t="e">
        <f>AND('Planilla_General_29-11-2012_10_'!A1493,"AAAAAH//dhU=")</f>
        <v>#VALUE!</v>
      </c>
      <c r="W100" t="e">
        <f>AND('Planilla_General_29-11-2012_10_'!B1493,"AAAAAH//dhY=")</f>
        <v>#VALUE!</v>
      </c>
      <c r="X100" t="e">
        <f>AND('Planilla_General_29-11-2012_10_'!C1493,"AAAAAH//dhc=")</f>
        <v>#VALUE!</v>
      </c>
      <c r="Y100" t="e">
        <f>AND('Planilla_General_29-11-2012_10_'!D1493,"AAAAAH//dhg=")</f>
        <v>#VALUE!</v>
      </c>
      <c r="Z100" t="e">
        <f>AND('Planilla_General_29-11-2012_10_'!E1493,"AAAAAH//dhk=")</f>
        <v>#VALUE!</v>
      </c>
      <c r="AA100" t="e">
        <f>AND('Planilla_General_29-11-2012_10_'!F1493,"AAAAAH//dho=")</f>
        <v>#VALUE!</v>
      </c>
      <c r="AB100" t="e">
        <f>AND('Planilla_General_29-11-2012_10_'!G1493,"AAAAAH//dhs=")</f>
        <v>#VALUE!</v>
      </c>
      <c r="AC100" t="e">
        <f>AND('Planilla_General_29-11-2012_10_'!H1493,"AAAAAH//dhw=")</f>
        <v>#VALUE!</v>
      </c>
      <c r="AD100" t="e">
        <f>AND('Planilla_General_29-11-2012_10_'!I1493,"AAAAAH//dh0=")</f>
        <v>#VALUE!</v>
      </c>
      <c r="AE100" t="e">
        <f>AND('Planilla_General_29-11-2012_10_'!J1493,"AAAAAH//dh4=")</f>
        <v>#VALUE!</v>
      </c>
      <c r="AF100" t="e">
        <f>AND('Planilla_General_29-11-2012_10_'!K1493,"AAAAAH//dh8=")</f>
        <v>#VALUE!</v>
      </c>
      <c r="AG100" t="e">
        <f>AND('Planilla_General_29-11-2012_10_'!L1493,"AAAAAH//diA=")</f>
        <v>#VALUE!</v>
      </c>
      <c r="AH100" t="e">
        <f>AND('Planilla_General_29-11-2012_10_'!M1493,"AAAAAH//diE=")</f>
        <v>#VALUE!</v>
      </c>
      <c r="AI100" t="e">
        <f>AND('Planilla_General_29-11-2012_10_'!N1493,"AAAAAH//diI=")</f>
        <v>#VALUE!</v>
      </c>
      <c r="AJ100" t="e">
        <f>AND('Planilla_General_29-11-2012_10_'!O1493,"AAAAAH//diM=")</f>
        <v>#VALUE!</v>
      </c>
      <c r="AK100" t="e">
        <f>AND('Planilla_General_29-11-2012_10_'!P1493,"AAAAAH//diQ=")</f>
        <v>#VALUE!</v>
      </c>
      <c r="AL100">
        <f>IF('Planilla_General_29-11-2012_10_'!1494:1494,"AAAAAH//diU=",0)</f>
        <v>0</v>
      </c>
      <c r="AM100" t="e">
        <f>AND('Planilla_General_29-11-2012_10_'!A1494,"AAAAAH//diY=")</f>
        <v>#VALUE!</v>
      </c>
      <c r="AN100" t="e">
        <f>AND('Planilla_General_29-11-2012_10_'!B1494,"AAAAAH//dic=")</f>
        <v>#VALUE!</v>
      </c>
      <c r="AO100" t="e">
        <f>AND('Planilla_General_29-11-2012_10_'!C1494,"AAAAAH//dig=")</f>
        <v>#VALUE!</v>
      </c>
      <c r="AP100" t="e">
        <f>AND('Planilla_General_29-11-2012_10_'!D1494,"AAAAAH//dik=")</f>
        <v>#VALUE!</v>
      </c>
      <c r="AQ100" t="e">
        <f>AND('Planilla_General_29-11-2012_10_'!E1494,"AAAAAH//dio=")</f>
        <v>#VALUE!</v>
      </c>
      <c r="AR100" t="e">
        <f>AND('Planilla_General_29-11-2012_10_'!F1494,"AAAAAH//dis=")</f>
        <v>#VALUE!</v>
      </c>
      <c r="AS100" t="e">
        <f>AND('Planilla_General_29-11-2012_10_'!G1494,"AAAAAH//diw=")</f>
        <v>#VALUE!</v>
      </c>
      <c r="AT100" t="e">
        <f>AND('Planilla_General_29-11-2012_10_'!H1494,"AAAAAH//di0=")</f>
        <v>#VALUE!</v>
      </c>
      <c r="AU100" t="e">
        <f>AND('Planilla_General_29-11-2012_10_'!I1494,"AAAAAH//di4=")</f>
        <v>#VALUE!</v>
      </c>
      <c r="AV100" t="e">
        <f>AND('Planilla_General_29-11-2012_10_'!J1494,"AAAAAH//di8=")</f>
        <v>#VALUE!</v>
      </c>
      <c r="AW100" t="e">
        <f>AND('Planilla_General_29-11-2012_10_'!K1494,"AAAAAH//djA=")</f>
        <v>#VALUE!</v>
      </c>
      <c r="AX100" t="e">
        <f>AND('Planilla_General_29-11-2012_10_'!L1494,"AAAAAH//djE=")</f>
        <v>#VALUE!</v>
      </c>
      <c r="AY100" t="e">
        <f>AND('Planilla_General_29-11-2012_10_'!M1494,"AAAAAH//djI=")</f>
        <v>#VALUE!</v>
      </c>
      <c r="AZ100" t="e">
        <f>AND('Planilla_General_29-11-2012_10_'!N1494,"AAAAAH//djM=")</f>
        <v>#VALUE!</v>
      </c>
      <c r="BA100" t="e">
        <f>AND('Planilla_General_29-11-2012_10_'!O1494,"AAAAAH//djQ=")</f>
        <v>#VALUE!</v>
      </c>
      <c r="BB100" t="e">
        <f>AND('Planilla_General_29-11-2012_10_'!P1494,"AAAAAH//djU=")</f>
        <v>#VALUE!</v>
      </c>
      <c r="BC100">
        <f>IF('Planilla_General_29-11-2012_10_'!1495:1495,"AAAAAH//djY=",0)</f>
        <v>0</v>
      </c>
      <c r="BD100" t="e">
        <f>AND('Planilla_General_29-11-2012_10_'!A1495,"AAAAAH//djc=")</f>
        <v>#VALUE!</v>
      </c>
      <c r="BE100" t="e">
        <f>AND('Planilla_General_29-11-2012_10_'!B1495,"AAAAAH//djg=")</f>
        <v>#VALUE!</v>
      </c>
      <c r="BF100" t="e">
        <f>AND('Planilla_General_29-11-2012_10_'!C1495,"AAAAAH//djk=")</f>
        <v>#VALUE!</v>
      </c>
      <c r="BG100" t="e">
        <f>AND('Planilla_General_29-11-2012_10_'!D1495,"AAAAAH//djo=")</f>
        <v>#VALUE!</v>
      </c>
      <c r="BH100" t="e">
        <f>AND('Planilla_General_29-11-2012_10_'!E1495,"AAAAAH//djs=")</f>
        <v>#VALUE!</v>
      </c>
      <c r="BI100" t="e">
        <f>AND('Planilla_General_29-11-2012_10_'!F1495,"AAAAAH//djw=")</f>
        <v>#VALUE!</v>
      </c>
      <c r="BJ100" t="e">
        <f>AND('Planilla_General_29-11-2012_10_'!G1495,"AAAAAH//dj0=")</f>
        <v>#VALUE!</v>
      </c>
      <c r="BK100" t="e">
        <f>AND('Planilla_General_29-11-2012_10_'!H1495,"AAAAAH//dj4=")</f>
        <v>#VALUE!</v>
      </c>
      <c r="BL100" t="e">
        <f>AND('Planilla_General_29-11-2012_10_'!I1495,"AAAAAH//dj8=")</f>
        <v>#VALUE!</v>
      </c>
      <c r="BM100" t="e">
        <f>AND('Planilla_General_29-11-2012_10_'!J1495,"AAAAAH//dkA=")</f>
        <v>#VALUE!</v>
      </c>
      <c r="BN100" t="e">
        <f>AND('Planilla_General_29-11-2012_10_'!K1495,"AAAAAH//dkE=")</f>
        <v>#VALUE!</v>
      </c>
      <c r="BO100" t="e">
        <f>AND('Planilla_General_29-11-2012_10_'!L1495,"AAAAAH//dkI=")</f>
        <v>#VALUE!</v>
      </c>
      <c r="BP100" t="e">
        <f>AND('Planilla_General_29-11-2012_10_'!M1495,"AAAAAH//dkM=")</f>
        <v>#VALUE!</v>
      </c>
      <c r="BQ100" t="e">
        <f>AND('Planilla_General_29-11-2012_10_'!N1495,"AAAAAH//dkQ=")</f>
        <v>#VALUE!</v>
      </c>
      <c r="BR100" t="e">
        <f>AND('Planilla_General_29-11-2012_10_'!O1495,"AAAAAH//dkU=")</f>
        <v>#VALUE!</v>
      </c>
      <c r="BS100" t="e">
        <f>AND('Planilla_General_29-11-2012_10_'!P1495,"AAAAAH//dkY=")</f>
        <v>#VALUE!</v>
      </c>
      <c r="BT100">
        <f>IF('Planilla_General_29-11-2012_10_'!1496:1496,"AAAAAH//dkc=",0)</f>
        <v>0</v>
      </c>
      <c r="BU100" t="e">
        <f>AND('Planilla_General_29-11-2012_10_'!A1496,"AAAAAH//dkg=")</f>
        <v>#VALUE!</v>
      </c>
      <c r="BV100" t="e">
        <f>AND('Planilla_General_29-11-2012_10_'!B1496,"AAAAAH//dkk=")</f>
        <v>#VALUE!</v>
      </c>
      <c r="BW100" t="e">
        <f>AND('Planilla_General_29-11-2012_10_'!C1496,"AAAAAH//dko=")</f>
        <v>#VALUE!</v>
      </c>
      <c r="BX100" t="e">
        <f>AND('Planilla_General_29-11-2012_10_'!D1496,"AAAAAH//dks=")</f>
        <v>#VALUE!</v>
      </c>
      <c r="BY100" t="e">
        <f>AND('Planilla_General_29-11-2012_10_'!E1496,"AAAAAH//dkw=")</f>
        <v>#VALUE!</v>
      </c>
      <c r="BZ100" t="e">
        <f>AND('Planilla_General_29-11-2012_10_'!F1496,"AAAAAH//dk0=")</f>
        <v>#VALUE!</v>
      </c>
      <c r="CA100" t="e">
        <f>AND('Planilla_General_29-11-2012_10_'!G1496,"AAAAAH//dk4=")</f>
        <v>#VALUE!</v>
      </c>
      <c r="CB100" t="e">
        <f>AND('Planilla_General_29-11-2012_10_'!H1496,"AAAAAH//dk8=")</f>
        <v>#VALUE!</v>
      </c>
      <c r="CC100" t="e">
        <f>AND('Planilla_General_29-11-2012_10_'!I1496,"AAAAAH//dlA=")</f>
        <v>#VALUE!</v>
      </c>
      <c r="CD100" t="e">
        <f>AND('Planilla_General_29-11-2012_10_'!J1496,"AAAAAH//dlE=")</f>
        <v>#VALUE!</v>
      </c>
      <c r="CE100" t="e">
        <f>AND('Planilla_General_29-11-2012_10_'!K1496,"AAAAAH//dlI=")</f>
        <v>#VALUE!</v>
      </c>
      <c r="CF100" t="e">
        <f>AND('Planilla_General_29-11-2012_10_'!L1496,"AAAAAH//dlM=")</f>
        <v>#VALUE!</v>
      </c>
      <c r="CG100" t="e">
        <f>AND('Planilla_General_29-11-2012_10_'!M1496,"AAAAAH//dlQ=")</f>
        <v>#VALUE!</v>
      </c>
      <c r="CH100" t="e">
        <f>AND('Planilla_General_29-11-2012_10_'!N1496,"AAAAAH//dlU=")</f>
        <v>#VALUE!</v>
      </c>
      <c r="CI100" t="e">
        <f>AND('Planilla_General_29-11-2012_10_'!O1496,"AAAAAH//dlY=")</f>
        <v>#VALUE!</v>
      </c>
      <c r="CJ100" t="e">
        <f>AND('Planilla_General_29-11-2012_10_'!P1496,"AAAAAH//dlc=")</f>
        <v>#VALUE!</v>
      </c>
      <c r="CK100">
        <f>IF('Planilla_General_29-11-2012_10_'!1497:1497,"AAAAAH//dlg=",0)</f>
        <v>0</v>
      </c>
      <c r="CL100" t="e">
        <f>AND('Planilla_General_29-11-2012_10_'!A1497,"AAAAAH//dlk=")</f>
        <v>#VALUE!</v>
      </c>
      <c r="CM100" t="e">
        <f>AND('Planilla_General_29-11-2012_10_'!B1497,"AAAAAH//dlo=")</f>
        <v>#VALUE!</v>
      </c>
      <c r="CN100" t="e">
        <f>AND('Planilla_General_29-11-2012_10_'!C1497,"AAAAAH//dls=")</f>
        <v>#VALUE!</v>
      </c>
      <c r="CO100" t="e">
        <f>AND('Planilla_General_29-11-2012_10_'!D1497,"AAAAAH//dlw=")</f>
        <v>#VALUE!</v>
      </c>
      <c r="CP100" t="e">
        <f>AND('Planilla_General_29-11-2012_10_'!E1497,"AAAAAH//dl0=")</f>
        <v>#VALUE!</v>
      </c>
      <c r="CQ100" t="e">
        <f>AND('Planilla_General_29-11-2012_10_'!F1497,"AAAAAH//dl4=")</f>
        <v>#VALUE!</v>
      </c>
      <c r="CR100" t="e">
        <f>AND('Planilla_General_29-11-2012_10_'!G1497,"AAAAAH//dl8=")</f>
        <v>#VALUE!</v>
      </c>
      <c r="CS100" t="e">
        <f>AND('Planilla_General_29-11-2012_10_'!H1497,"AAAAAH//dmA=")</f>
        <v>#VALUE!</v>
      </c>
      <c r="CT100" t="e">
        <f>AND('Planilla_General_29-11-2012_10_'!I1497,"AAAAAH//dmE=")</f>
        <v>#VALUE!</v>
      </c>
      <c r="CU100" t="e">
        <f>AND('Planilla_General_29-11-2012_10_'!J1497,"AAAAAH//dmI=")</f>
        <v>#VALUE!</v>
      </c>
      <c r="CV100" t="e">
        <f>AND('Planilla_General_29-11-2012_10_'!K1497,"AAAAAH//dmM=")</f>
        <v>#VALUE!</v>
      </c>
      <c r="CW100" t="e">
        <f>AND('Planilla_General_29-11-2012_10_'!L1497,"AAAAAH//dmQ=")</f>
        <v>#VALUE!</v>
      </c>
      <c r="CX100" t="e">
        <f>AND('Planilla_General_29-11-2012_10_'!M1497,"AAAAAH//dmU=")</f>
        <v>#VALUE!</v>
      </c>
      <c r="CY100" t="e">
        <f>AND('Planilla_General_29-11-2012_10_'!N1497,"AAAAAH//dmY=")</f>
        <v>#VALUE!</v>
      </c>
      <c r="CZ100" t="e">
        <f>AND('Planilla_General_29-11-2012_10_'!O1497,"AAAAAH//dmc=")</f>
        <v>#VALUE!</v>
      </c>
      <c r="DA100" t="e">
        <f>AND('Planilla_General_29-11-2012_10_'!P1497,"AAAAAH//dmg=")</f>
        <v>#VALUE!</v>
      </c>
      <c r="DB100">
        <f>IF('Planilla_General_29-11-2012_10_'!1498:1498,"AAAAAH//dmk=",0)</f>
        <v>0</v>
      </c>
      <c r="DC100" t="e">
        <f>AND('Planilla_General_29-11-2012_10_'!A1498,"AAAAAH//dmo=")</f>
        <v>#VALUE!</v>
      </c>
      <c r="DD100" t="e">
        <f>AND('Planilla_General_29-11-2012_10_'!B1498,"AAAAAH//dms=")</f>
        <v>#VALUE!</v>
      </c>
      <c r="DE100" t="e">
        <f>AND('Planilla_General_29-11-2012_10_'!C1498,"AAAAAH//dmw=")</f>
        <v>#VALUE!</v>
      </c>
      <c r="DF100" t="e">
        <f>AND('Planilla_General_29-11-2012_10_'!D1498,"AAAAAH//dm0=")</f>
        <v>#VALUE!</v>
      </c>
      <c r="DG100" t="e">
        <f>AND('Planilla_General_29-11-2012_10_'!E1498,"AAAAAH//dm4=")</f>
        <v>#VALUE!</v>
      </c>
      <c r="DH100" t="e">
        <f>AND('Planilla_General_29-11-2012_10_'!F1498,"AAAAAH//dm8=")</f>
        <v>#VALUE!</v>
      </c>
      <c r="DI100" t="e">
        <f>AND('Planilla_General_29-11-2012_10_'!G1498,"AAAAAH//dnA=")</f>
        <v>#VALUE!</v>
      </c>
      <c r="DJ100" t="e">
        <f>AND('Planilla_General_29-11-2012_10_'!H1498,"AAAAAH//dnE=")</f>
        <v>#VALUE!</v>
      </c>
      <c r="DK100" t="e">
        <f>AND('Planilla_General_29-11-2012_10_'!I1498,"AAAAAH//dnI=")</f>
        <v>#VALUE!</v>
      </c>
      <c r="DL100" t="e">
        <f>AND('Planilla_General_29-11-2012_10_'!J1498,"AAAAAH//dnM=")</f>
        <v>#VALUE!</v>
      </c>
      <c r="DM100" t="e">
        <f>AND('Planilla_General_29-11-2012_10_'!K1498,"AAAAAH//dnQ=")</f>
        <v>#VALUE!</v>
      </c>
      <c r="DN100" t="e">
        <f>AND('Planilla_General_29-11-2012_10_'!L1498,"AAAAAH//dnU=")</f>
        <v>#VALUE!</v>
      </c>
      <c r="DO100" t="e">
        <f>AND('Planilla_General_29-11-2012_10_'!M1498,"AAAAAH//dnY=")</f>
        <v>#VALUE!</v>
      </c>
      <c r="DP100" t="e">
        <f>AND('Planilla_General_29-11-2012_10_'!N1498,"AAAAAH//dnc=")</f>
        <v>#VALUE!</v>
      </c>
      <c r="DQ100" t="e">
        <f>AND('Planilla_General_29-11-2012_10_'!O1498,"AAAAAH//dng=")</f>
        <v>#VALUE!</v>
      </c>
      <c r="DR100" t="e">
        <f>AND('Planilla_General_29-11-2012_10_'!P1498,"AAAAAH//dnk=")</f>
        <v>#VALUE!</v>
      </c>
      <c r="DS100">
        <f>IF('Planilla_General_29-11-2012_10_'!1499:1499,"AAAAAH//dno=",0)</f>
        <v>0</v>
      </c>
      <c r="DT100" t="e">
        <f>AND('Planilla_General_29-11-2012_10_'!A1499,"AAAAAH//dns=")</f>
        <v>#VALUE!</v>
      </c>
      <c r="DU100" t="e">
        <f>AND('Planilla_General_29-11-2012_10_'!B1499,"AAAAAH//dnw=")</f>
        <v>#VALUE!</v>
      </c>
      <c r="DV100" t="e">
        <f>AND('Planilla_General_29-11-2012_10_'!C1499,"AAAAAH//dn0=")</f>
        <v>#VALUE!</v>
      </c>
      <c r="DW100" t="e">
        <f>AND('Planilla_General_29-11-2012_10_'!D1499,"AAAAAH//dn4=")</f>
        <v>#VALUE!</v>
      </c>
      <c r="DX100" t="e">
        <f>AND('Planilla_General_29-11-2012_10_'!E1499,"AAAAAH//dn8=")</f>
        <v>#VALUE!</v>
      </c>
      <c r="DY100" t="e">
        <f>AND('Planilla_General_29-11-2012_10_'!F1499,"AAAAAH//doA=")</f>
        <v>#VALUE!</v>
      </c>
      <c r="DZ100" t="e">
        <f>AND('Planilla_General_29-11-2012_10_'!G1499,"AAAAAH//doE=")</f>
        <v>#VALUE!</v>
      </c>
      <c r="EA100" t="e">
        <f>AND('Planilla_General_29-11-2012_10_'!H1499,"AAAAAH//doI=")</f>
        <v>#VALUE!</v>
      </c>
      <c r="EB100" t="e">
        <f>AND('Planilla_General_29-11-2012_10_'!I1499,"AAAAAH//doM=")</f>
        <v>#VALUE!</v>
      </c>
      <c r="EC100" t="e">
        <f>AND('Planilla_General_29-11-2012_10_'!J1499,"AAAAAH//doQ=")</f>
        <v>#VALUE!</v>
      </c>
      <c r="ED100" t="e">
        <f>AND('Planilla_General_29-11-2012_10_'!K1499,"AAAAAH//doU=")</f>
        <v>#VALUE!</v>
      </c>
      <c r="EE100" t="e">
        <f>AND('Planilla_General_29-11-2012_10_'!L1499,"AAAAAH//doY=")</f>
        <v>#VALUE!</v>
      </c>
      <c r="EF100" t="e">
        <f>AND('Planilla_General_29-11-2012_10_'!M1499,"AAAAAH//doc=")</f>
        <v>#VALUE!</v>
      </c>
      <c r="EG100" t="e">
        <f>AND('Planilla_General_29-11-2012_10_'!N1499,"AAAAAH//dog=")</f>
        <v>#VALUE!</v>
      </c>
      <c r="EH100" t="e">
        <f>AND('Planilla_General_29-11-2012_10_'!O1499,"AAAAAH//dok=")</f>
        <v>#VALUE!</v>
      </c>
      <c r="EI100" t="e">
        <f>AND('Planilla_General_29-11-2012_10_'!P1499,"AAAAAH//doo=")</f>
        <v>#VALUE!</v>
      </c>
      <c r="EJ100">
        <f>IF('Planilla_General_29-11-2012_10_'!1500:1500,"AAAAAH//dos=",0)</f>
        <v>0</v>
      </c>
      <c r="EK100" t="e">
        <f>AND('Planilla_General_29-11-2012_10_'!A1500,"AAAAAH//dow=")</f>
        <v>#VALUE!</v>
      </c>
      <c r="EL100" t="e">
        <f>AND('Planilla_General_29-11-2012_10_'!B1500,"AAAAAH//do0=")</f>
        <v>#VALUE!</v>
      </c>
      <c r="EM100" t="e">
        <f>AND('Planilla_General_29-11-2012_10_'!C1500,"AAAAAH//do4=")</f>
        <v>#VALUE!</v>
      </c>
      <c r="EN100" t="e">
        <f>AND('Planilla_General_29-11-2012_10_'!D1500,"AAAAAH//do8=")</f>
        <v>#VALUE!</v>
      </c>
      <c r="EO100" t="e">
        <f>AND('Planilla_General_29-11-2012_10_'!E1500,"AAAAAH//dpA=")</f>
        <v>#VALUE!</v>
      </c>
      <c r="EP100" t="e">
        <f>AND('Planilla_General_29-11-2012_10_'!F1500,"AAAAAH//dpE=")</f>
        <v>#VALUE!</v>
      </c>
      <c r="EQ100" t="e">
        <f>AND('Planilla_General_29-11-2012_10_'!G1500,"AAAAAH//dpI=")</f>
        <v>#VALUE!</v>
      </c>
      <c r="ER100" t="e">
        <f>AND('Planilla_General_29-11-2012_10_'!H1500,"AAAAAH//dpM=")</f>
        <v>#VALUE!</v>
      </c>
      <c r="ES100" t="e">
        <f>AND('Planilla_General_29-11-2012_10_'!I1500,"AAAAAH//dpQ=")</f>
        <v>#VALUE!</v>
      </c>
      <c r="ET100" t="e">
        <f>AND('Planilla_General_29-11-2012_10_'!J1500,"AAAAAH//dpU=")</f>
        <v>#VALUE!</v>
      </c>
      <c r="EU100" t="e">
        <f>AND('Planilla_General_29-11-2012_10_'!K1500,"AAAAAH//dpY=")</f>
        <v>#VALUE!</v>
      </c>
      <c r="EV100" t="e">
        <f>AND('Planilla_General_29-11-2012_10_'!L1500,"AAAAAH//dpc=")</f>
        <v>#VALUE!</v>
      </c>
      <c r="EW100" t="e">
        <f>AND('Planilla_General_29-11-2012_10_'!M1500,"AAAAAH//dpg=")</f>
        <v>#VALUE!</v>
      </c>
      <c r="EX100" t="e">
        <f>AND('Planilla_General_29-11-2012_10_'!N1500,"AAAAAH//dpk=")</f>
        <v>#VALUE!</v>
      </c>
      <c r="EY100" t="e">
        <f>AND('Planilla_General_29-11-2012_10_'!O1500,"AAAAAH//dpo=")</f>
        <v>#VALUE!</v>
      </c>
      <c r="EZ100" t="e">
        <f>AND('Planilla_General_29-11-2012_10_'!P1500,"AAAAAH//dps=")</f>
        <v>#VALUE!</v>
      </c>
      <c r="FA100">
        <f>IF('Planilla_General_29-11-2012_10_'!1501:1501,"AAAAAH//dpw=",0)</f>
        <v>0</v>
      </c>
      <c r="FB100" t="e">
        <f>AND('Planilla_General_29-11-2012_10_'!A1501,"AAAAAH//dp0=")</f>
        <v>#VALUE!</v>
      </c>
      <c r="FC100" t="e">
        <f>AND('Planilla_General_29-11-2012_10_'!B1501,"AAAAAH//dp4=")</f>
        <v>#VALUE!</v>
      </c>
      <c r="FD100" t="e">
        <f>AND('Planilla_General_29-11-2012_10_'!C1501,"AAAAAH//dp8=")</f>
        <v>#VALUE!</v>
      </c>
      <c r="FE100" t="e">
        <f>AND('Planilla_General_29-11-2012_10_'!D1501,"AAAAAH//dqA=")</f>
        <v>#VALUE!</v>
      </c>
      <c r="FF100" t="e">
        <f>AND('Planilla_General_29-11-2012_10_'!E1501,"AAAAAH//dqE=")</f>
        <v>#VALUE!</v>
      </c>
      <c r="FG100" t="e">
        <f>AND('Planilla_General_29-11-2012_10_'!F1501,"AAAAAH//dqI=")</f>
        <v>#VALUE!</v>
      </c>
      <c r="FH100" t="e">
        <f>AND('Planilla_General_29-11-2012_10_'!G1501,"AAAAAH//dqM=")</f>
        <v>#VALUE!</v>
      </c>
      <c r="FI100" t="e">
        <f>AND('Planilla_General_29-11-2012_10_'!H1501,"AAAAAH//dqQ=")</f>
        <v>#VALUE!</v>
      </c>
      <c r="FJ100" t="e">
        <f>AND('Planilla_General_29-11-2012_10_'!I1501,"AAAAAH//dqU=")</f>
        <v>#VALUE!</v>
      </c>
      <c r="FK100" t="e">
        <f>AND('Planilla_General_29-11-2012_10_'!J1501,"AAAAAH//dqY=")</f>
        <v>#VALUE!</v>
      </c>
      <c r="FL100" t="e">
        <f>AND('Planilla_General_29-11-2012_10_'!K1501,"AAAAAH//dqc=")</f>
        <v>#VALUE!</v>
      </c>
      <c r="FM100" t="e">
        <f>AND('Planilla_General_29-11-2012_10_'!L1501,"AAAAAH//dqg=")</f>
        <v>#VALUE!</v>
      </c>
      <c r="FN100" t="e">
        <f>AND('Planilla_General_29-11-2012_10_'!M1501,"AAAAAH//dqk=")</f>
        <v>#VALUE!</v>
      </c>
      <c r="FO100" t="e">
        <f>AND('Planilla_General_29-11-2012_10_'!N1501,"AAAAAH//dqo=")</f>
        <v>#VALUE!</v>
      </c>
      <c r="FP100" t="e">
        <f>AND('Planilla_General_29-11-2012_10_'!O1501,"AAAAAH//dqs=")</f>
        <v>#VALUE!</v>
      </c>
      <c r="FQ100" t="e">
        <f>AND('Planilla_General_29-11-2012_10_'!P1501,"AAAAAH//dqw=")</f>
        <v>#VALUE!</v>
      </c>
      <c r="FR100">
        <f>IF('Planilla_General_29-11-2012_10_'!1502:1502,"AAAAAH//dq0=",0)</f>
        <v>0</v>
      </c>
      <c r="FS100" t="e">
        <f>AND('Planilla_General_29-11-2012_10_'!A1502,"AAAAAH//dq4=")</f>
        <v>#VALUE!</v>
      </c>
      <c r="FT100" t="e">
        <f>AND('Planilla_General_29-11-2012_10_'!B1502,"AAAAAH//dq8=")</f>
        <v>#VALUE!</v>
      </c>
      <c r="FU100" t="e">
        <f>AND('Planilla_General_29-11-2012_10_'!C1502,"AAAAAH//drA=")</f>
        <v>#VALUE!</v>
      </c>
      <c r="FV100" t="e">
        <f>AND('Planilla_General_29-11-2012_10_'!D1502,"AAAAAH//drE=")</f>
        <v>#VALUE!</v>
      </c>
      <c r="FW100" t="e">
        <f>AND('Planilla_General_29-11-2012_10_'!E1502,"AAAAAH//drI=")</f>
        <v>#VALUE!</v>
      </c>
      <c r="FX100" t="e">
        <f>AND('Planilla_General_29-11-2012_10_'!F1502,"AAAAAH//drM=")</f>
        <v>#VALUE!</v>
      </c>
      <c r="FY100" t="e">
        <f>AND('Planilla_General_29-11-2012_10_'!G1502,"AAAAAH//drQ=")</f>
        <v>#VALUE!</v>
      </c>
      <c r="FZ100" t="e">
        <f>AND('Planilla_General_29-11-2012_10_'!H1502,"AAAAAH//drU=")</f>
        <v>#VALUE!</v>
      </c>
      <c r="GA100" t="e">
        <f>AND('Planilla_General_29-11-2012_10_'!I1502,"AAAAAH//drY=")</f>
        <v>#VALUE!</v>
      </c>
      <c r="GB100" t="e">
        <f>AND('Planilla_General_29-11-2012_10_'!J1502,"AAAAAH//drc=")</f>
        <v>#VALUE!</v>
      </c>
      <c r="GC100" t="e">
        <f>AND('Planilla_General_29-11-2012_10_'!K1502,"AAAAAH//drg=")</f>
        <v>#VALUE!</v>
      </c>
      <c r="GD100" t="e">
        <f>AND('Planilla_General_29-11-2012_10_'!L1502,"AAAAAH//drk=")</f>
        <v>#VALUE!</v>
      </c>
      <c r="GE100" t="e">
        <f>AND('Planilla_General_29-11-2012_10_'!M1502,"AAAAAH//dro=")</f>
        <v>#VALUE!</v>
      </c>
      <c r="GF100" t="e">
        <f>AND('Planilla_General_29-11-2012_10_'!N1502,"AAAAAH//drs=")</f>
        <v>#VALUE!</v>
      </c>
      <c r="GG100" t="e">
        <f>AND('Planilla_General_29-11-2012_10_'!O1502,"AAAAAH//drw=")</f>
        <v>#VALUE!</v>
      </c>
      <c r="GH100" t="e">
        <f>AND('Planilla_General_29-11-2012_10_'!P1502,"AAAAAH//dr0=")</f>
        <v>#VALUE!</v>
      </c>
      <c r="GI100">
        <f>IF('Planilla_General_29-11-2012_10_'!1503:1503,"AAAAAH//dr4=",0)</f>
        <v>0</v>
      </c>
      <c r="GJ100" t="e">
        <f>AND('Planilla_General_29-11-2012_10_'!A1503,"AAAAAH//dr8=")</f>
        <v>#VALUE!</v>
      </c>
      <c r="GK100" t="e">
        <f>AND('Planilla_General_29-11-2012_10_'!B1503,"AAAAAH//dsA=")</f>
        <v>#VALUE!</v>
      </c>
      <c r="GL100" t="e">
        <f>AND('Planilla_General_29-11-2012_10_'!C1503,"AAAAAH//dsE=")</f>
        <v>#VALUE!</v>
      </c>
      <c r="GM100" t="e">
        <f>AND('Planilla_General_29-11-2012_10_'!D1503,"AAAAAH//dsI=")</f>
        <v>#VALUE!</v>
      </c>
      <c r="GN100" t="e">
        <f>AND('Planilla_General_29-11-2012_10_'!E1503,"AAAAAH//dsM=")</f>
        <v>#VALUE!</v>
      </c>
      <c r="GO100" t="e">
        <f>AND('Planilla_General_29-11-2012_10_'!F1503,"AAAAAH//dsQ=")</f>
        <v>#VALUE!</v>
      </c>
      <c r="GP100" t="e">
        <f>AND('Planilla_General_29-11-2012_10_'!G1503,"AAAAAH//dsU=")</f>
        <v>#VALUE!</v>
      </c>
      <c r="GQ100" t="e">
        <f>AND('Planilla_General_29-11-2012_10_'!H1503,"AAAAAH//dsY=")</f>
        <v>#VALUE!</v>
      </c>
      <c r="GR100" t="e">
        <f>AND('Planilla_General_29-11-2012_10_'!I1503,"AAAAAH//dsc=")</f>
        <v>#VALUE!</v>
      </c>
      <c r="GS100" t="e">
        <f>AND('Planilla_General_29-11-2012_10_'!J1503,"AAAAAH//dsg=")</f>
        <v>#VALUE!</v>
      </c>
      <c r="GT100" t="e">
        <f>AND('Planilla_General_29-11-2012_10_'!K1503,"AAAAAH//dsk=")</f>
        <v>#VALUE!</v>
      </c>
      <c r="GU100" t="e">
        <f>AND('Planilla_General_29-11-2012_10_'!L1503,"AAAAAH//dso=")</f>
        <v>#VALUE!</v>
      </c>
      <c r="GV100" t="e">
        <f>AND('Planilla_General_29-11-2012_10_'!M1503,"AAAAAH//dss=")</f>
        <v>#VALUE!</v>
      </c>
      <c r="GW100" t="e">
        <f>AND('Planilla_General_29-11-2012_10_'!N1503,"AAAAAH//dsw=")</f>
        <v>#VALUE!</v>
      </c>
      <c r="GX100" t="e">
        <f>AND('Planilla_General_29-11-2012_10_'!O1503,"AAAAAH//ds0=")</f>
        <v>#VALUE!</v>
      </c>
      <c r="GY100" t="e">
        <f>AND('Planilla_General_29-11-2012_10_'!P1503,"AAAAAH//ds4=")</f>
        <v>#VALUE!</v>
      </c>
      <c r="GZ100">
        <f>IF('Planilla_General_29-11-2012_10_'!1504:1504,"AAAAAH//ds8=",0)</f>
        <v>0</v>
      </c>
      <c r="HA100" t="e">
        <f>AND('Planilla_General_29-11-2012_10_'!A1504,"AAAAAH//dtA=")</f>
        <v>#VALUE!</v>
      </c>
      <c r="HB100" t="e">
        <f>AND('Planilla_General_29-11-2012_10_'!B1504,"AAAAAH//dtE=")</f>
        <v>#VALUE!</v>
      </c>
      <c r="HC100" t="e">
        <f>AND('Planilla_General_29-11-2012_10_'!C1504,"AAAAAH//dtI=")</f>
        <v>#VALUE!</v>
      </c>
      <c r="HD100" t="e">
        <f>AND('Planilla_General_29-11-2012_10_'!D1504,"AAAAAH//dtM=")</f>
        <v>#VALUE!</v>
      </c>
      <c r="HE100" t="e">
        <f>AND('Planilla_General_29-11-2012_10_'!E1504,"AAAAAH//dtQ=")</f>
        <v>#VALUE!</v>
      </c>
      <c r="HF100" t="e">
        <f>AND('Planilla_General_29-11-2012_10_'!F1504,"AAAAAH//dtU=")</f>
        <v>#VALUE!</v>
      </c>
      <c r="HG100" t="e">
        <f>AND('Planilla_General_29-11-2012_10_'!G1504,"AAAAAH//dtY=")</f>
        <v>#VALUE!</v>
      </c>
      <c r="HH100" t="e">
        <f>AND('Planilla_General_29-11-2012_10_'!H1504,"AAAAAH//dtc=")</f>
        <v>#VALUE!</v>
      </c>
      <c r="HI100" t="e">
        <f>AND('Planilla_General_29-11-2012_10_'!I1504,"AAAAAH//dtg=")</f>
        <v>#VALUE!</v>
      </c>
      <c r="HJ100" t="e">
        <f>AND('Planilla_General_29-11-2012_10_'!J1504,"AAAAAH//dtk=")</f>
        <v>#VALUE!</v>
      </c>
      <c r="HK100" t="e">
        <f>AND('Planilla_General_29-11-2012_10_'!K1504,"AAAAAH//dto=")</f>
        <v>#VALUE!</v>
      </c>
      <c r="HL100" t="e">
        <f>AND('Planilla_General_29-11-2012_10_'!L1504,"AAAAAH//dts=")</f>
        <v>#VALUE!</v>
      </c>
      <c r="HM100" t="e">
        <f>AND('Planilla_General_29-11-2012_10_'!M1504,"AAAAAH//dtw=")</f>
        <v>#VALUE!</v>
      </c>
      <c r="HN100" t="e">
        <f>AND('Planilla_General_29-11-2012_10_'!N1504,"AAAAAH//dt0=")</f>
        <v>#VALUE!</v>
      </c>
      <c r="HO100" t="e">
        <f>AND('Planilla_General_29-11-2012_10_'!O1504,"AAAAAH//dt4=")</f>
        <v>#VALUE!</v>
      </c>
      <c r="HP100" t="e">
        <f>AND('Planilla_General_29-11-2012_10_'!P1504,"AAAAAH//dt8=")</f>
        <v>#VALUE!</v>
      </c>
      <c r="HQ100">
        <f>IF('Planilla_General_29-11-2012_10_'!1505:1505,"AAAAAH//duA=",0)</f>
        <v>0</v>
      </c>
      <c r="HR100" t="e">
        <f>AND('Planilla_General_29-11-2012_10_'!A1505,"AAAAAH//duE=")</f>
        <v>#VALUE!</v>
      </c>
      <c r="HS100" t="e">
        <f>AND('Planilla_General_29-11-2012_10_'!B1505,"AAAAAH//duI=")</f>
        <v>#VALUE!</v>
      </c>
      <c r="HT100" t="e">
        <f>AND('Planilla_General_29-11-2012_10_'!C1505,"AAAAAH//duM=")</f>
        <v>#VALUE!</v>
      </c>
      <c r="HU100" t="e">
        <f>AND('Planilla_General_29-11-2012_10_'!D1505,"AAAAAH//duQ=")</f>
        <v>#VALUE!</v>
      </c>
      <c r="HV100" t="e">
        <f>AND('Planilla_General_29-11-2012_10_'!E1505,"AAAAAH//duU=")</f>
        <v>#VALUE!</v>
      </c>
      <c r="HW100" t="e">
        <f>AND('Planilla_General_29-11-2012_10_'!F1505,"AAAAAH//duY=")</f>
        <v>#VALUE!</v>
      </c>
      <c r="HX100" t="e">
        <f>AND('Planilla_General_29-11-2012_10_'!G1505,"AAAAAH//duc=")</f>
        <v>#VALUE!</v>
      </c>
      <c r="HY100" t="e">
        <f>AND('Planilla_General_29-11-2012_10_'!H1505,"AAAAAH//dug=")</f>
        <v>#VALUE!</v>
      </c>
      <c r="HZ100" t="e">
        <f>AND('Planilla_General_29-11-2012_10_'!I1505,"AAAAAH//duk=")</f>
        <v>#VALUE!</v>
      </c>
      <c r="IA100" t="e">
        <f>AND('Planilla_General_29-11-2012_10_'!J1505,"AAAAAH//duo=")</f>
        <v>#VALUE!</v>
      </c>
      <c r="IB100" t="e">
        <f>AND('Planilla_General_29-11-2012_10_'!K1505,"AAAAAH//dus=")</f>
        <v>#VALUE!</v>
      </c>
      <c r="IC100" t="e">
        <f>AND('Planilla_General_29-11-2012_10_'!L1505,"AAAAAH//duw=")</f>
        <v>#VALUE!</v>
      </c>
      <c r="ID100" t="e">
        <f>AND('Planilla_General_29-11-2012_10_'!M1505,"AAAAAH//du0=")</f>
        <v>#VALUE!</v>
      </c>
      <c r="IE100" t="e">
        <f>AND('Planilla_General_29-11-2012_10_'!N1505,"AAAAAH//du4=")</f>
        <v>#VALUE!</v>
      </c>
      <c r="IF100" t="e">
        <f>AND('Planilla_General_29-11-2012_10_'!O1505,"AAAAAH//du8=")</f>
        <v>#VALUE!</v>
      </c>
      <c r="IG100" t="e">
        <f>AND('Planilla_General_29-11-2012_10_'!P1505,"AAAAAH//dvA=")</f>
        <v>#VALUE!</v>
      </c>
      <c r="IH100">
        <f>IF('Planilla_General_29-11-2012_10_'!1506:1506,"AAAAAH//dvE=",0)</f>
        <v>0</v>
      </c>
      <c r="II100" t="e">
        <f>AND('Planilla_General_29-11-2012_10_'!A1506,"AAAAAH//dvI=")</f>
        <v>#VALUE!</v>
      </c>
      <c r="IJ100" t="e">
        <f>AND('Planilla_General_29-11-2012_10_'!B1506,"AAAAAH//dvM=")</f>
        <v>#VALUE!</v>
      </c>
      <c r="IK100" t="e">
        <f>AND('Planilla_General_29-11-2012_10_'!C1506,"AAAAAH//dvQ=")</f>
        <v>#VALUE!</v>
      </c>
      <c r="IL100" t="e">
        <f>AND('Planilla_General_29-11-2012_10_'!D1506,"AAAAAH//dvU=")</f>
        <v>#VALUE!</v>
      </c>
      <c r="IM100" t="e">
        <f>AND('Planilla_General_29-11-2012_10_'!E1506,"AAAAAH//dvY=")</f>
        <v>#VALUE!</v>
      </c>
      <c r="IN100" t="e">
        <f>AND('Planilla_General_29-11-2012_10_'!F1506,"AAAAAH//dvc=")</f>
        <v>#VALUE!</v>
      </c>
      <c r="IO100" t="e">
        <f>AND('Planilla_General_29-11-2012_10_'!G1506,"AAAAAH//dvg=")</f>
        <v>#VALUE!</v>
      </c>
      <c r="IP100" t="e">
        <f>AND('Planilla_General_29-11-2012_10_'!H1506,"AAAAAH//dvk=")</f>
        <v>#VALUE!</v>
      </c>
      <c r="IQ100" t="e">
        <f>AND('Planilla_General_29-11-2012_10_'!I1506,"AAAAAH//dvo=")</f>
        <v>#VALUE!</v>
      </c>
      <c r="IR100" t="e">
        <f>AND('Planilla_General_29-11-2012_10_'!J1506,"AAAAAH//dvs=")</f>
        <v>#VALUE!</v>
      </c>
      <c r="IS100" t="e">
        <f>AND('Planilla_General_29-11-2012_10_'!K1506,"AAAAAH//dvw=")</f>
        <v>#VALUE!</v>
      </c>
      <c r="IT100" t="e">
        <f>AND('Planilla_General_29-11-2012_10_'!L1506,"AAAAAH//dv0=")</f>
        <v>#VALUE!</v>
      </c>
      <c r="IU100" t="e">
        <f>AND('Planilla_General_29-11-2012_10_'!M1506,"AAAAAH//dv4=")</f>
        <v>#VALUE!</v>
      </c>
      <c r="IV100" t="e">
        <f>AND('Planilla_General_29-11-2012_10_'!N1506,"AAAAAH//dv8=")</f>
        <v>#VALUE!</v>
      </c>
    </row>
    <row r="101" spans="1:256" x14ac:dyDescent="0.25">
      <c r="A101" t="e">
        <f>AND('Planilla_General_29-11-2012_10_'!O1506,"AAAAAGJ73wA=")</f>
        <v>#VALUE!</v>
      </c>
      <c r="B101" t="e">
        <f>AND('Planilla_General_29-11-2012_10_'!P1506,"AAAAAGJ73wE=")</f>
        <v>#VALUE!</v>
      </c>
      <c r="C101" t="str">
        <f>IF('Planilla_General_29-11-2012_10_'!1507:1507,"AAAAAGJ73wI=",0)</f>
        <v>AAAAAGJ73wI=</v>
      </c>
      <c r="D101" t="e">
        <f>AND('Planilla_General_29-11-2012_10_'!A1507,"AAAAAGJ73wM=")</f>
        <v>#VALUE!</v>
      </c>
      <c r="E101" t="e">
        <f>AND('Planilla_General_29-11-2012_10_'!B1507,"AAAAAGJ73wQ=")</f>
        <v>#VALUE!</v>
      </c>
      <c r="F101" t="e">
        <f>AND('Planilla_General_29-11-2012_10_'!C1507,"AAAAAGJ73wU=")</f>
        <v>#VALUE!</v>
      </c>
      <c r="G101" t="e">
        <f>AND('Planilla_General_29-11-2012_10_'!D1507,"AAAAAGJ73wY=")</f>
        <v>#VALUE!</v>
      </c>
      <c r="H101" t="e">
        <f>AND('Planilla_General_29-11-2012_10_'!E1507,"AAAAAGJ73wc=")</f>
        <v>#VALUE!</v>
      </c>
      <c r="I101" t="e">
        <f>AND('Planilla_General_29-11-2012_10_'!F1507,"AAAAAGJ73wg=")</f>
        <v>#VALUE!</v>
      </c>
      <c r="J101" t="e">
        <f>AND('Planilla_General_29-11-2012_10_'!G1507,"AAAAAGJ73wk=")</f>
        <v>#VALUE!</v>
      </c>
      <c r="K101" t="e">
        <f>AND('Planilla_General_29-11-2012_10_'!H1507,"AAAAAGJ73wo=")</f>
        <v>#VALUE!</v>
      </c>
      <c r="L101" t="e">
        <f>AND('Planilla_General_29-11-2012_10_'!I1507,"AAAAAGJ73ws=")</f>
        <v>#VALUE!</v>
      </c>
      <c r="M101" t="e">
        <f>AND('Planilla_General_29-11-2012_10_'!J1507,"AAAAAGJ73ww=")</f>
        <v>#VALUE!</v>
      </c>
      <c r="N101" t="e">
        <f>AND('Planilla_General_29-11-2012_10_'!K1507,"AAAAAGJ73w0=")</f>
        <v>#VALUE!</v>
      </c>
      <c r="O101" t="e">
        <f>AND('Planilla_General_29-11-2012_10_'!L1507,"AAAAAGJ73w4=")</f>
        <v>#VALUE!</v>
      </c>
      <c r="P101" t="e">
        <f>AND('Planilla_General_29-11-2012_10_'!M1507,"AAAAAGJ73w8=")</f>
        <v>#VALUE!</v>
      </c>
      <c r="Q101" t="e">
        <f>AND('Planilla_General_29-11-2012_10_'!N1507,"AAAAAGJ73xA=")</f>
        <v>#VALUE!</v>
      </c>
      <c r="R101" t="e">
        <f>AND('Planilla_General_29-11-2012_10_'!O1507,"AAAAAGJ73xE=")</f>
        <v>#VALUE!</v>
      </c>
      <c r="S101" t="e">
        <f>AND('Planilla_General_29-11-2012_10_'!P1507,"AAAAAGJ73xI=")</f>
        <v>#VALUE!</v>
      </c>
      <c r="T101">
        <f>IF('Planilla_General_29-11-2012_10_'!1508:1508,"AAAAAGJ73xM=",0)</f>
        <v>0</v>
      </c>
      <c r="U101" t="e">
        <f>AND('Planilla_General_29-11-2012_10_'!A1508,"AAAAAGJ73xQ=")</f>
        <v>#VALUE!</v>
      </c>
      <c r="V101" t="e">
        <f>AND('Planilla_General_29-11-2012_10_'!B1508,"AAAAAGJ73xU=")</f>
        <v>#VALUE!</v>
      </c>
      <c r="W101" t="e">
        <f>AND('Planilla_General_29-11-2012_10_'!C1508,"AAAAAGJ73xY=")</f>
        <v>#VALUE!</v>
      </c>
      <c r="X101" t="e">
        <f>AND('Planilla_General_29-11-2012_10_'!D1508,"AAAAAGJ73xc=")</f>
        <v>#VALUE!</v>
      </c>
      <c r="Y101" t="e">
        <f>AND('Planilla_General_29-11-2012_10_'!E1508,"AAAAAGJ73xg=")</f>
        <v>#VALUE!</v>
      </c>
      <c r="Z101" t="e">
        <f>AND('Planilla_General_29-11-2012_10_'!F1508,"AAAAAGJ73xk=")</f>
        <v>#VALUE!</v>
      </c>
      <c r="AA101" t="e">
        <f>AND('Planilla_General_29-11-2012_10_'!G1508,"AAAAAGJ73xo=")</f>
        <v>#VALUE!</v>
      </c>
      <c r="AB101" t="e">
        <f>AND('Planilla_General_29-11-2012_10_'!H1508,"AAAAAGJ73xs=")</f>
        <v>#VALUE!</v>
      </c>
      <c r="AC101" t="e">
        <f>AND('Planilla_General_29-11-2012_10_'!I1508,"AAAAAGJ73xw=")</f>
        <v>#VALUE!</v>
      </c>
      <c r="AD101" t="e">
        <f>AND('Planilla_General_29-11-2012_10_'!J1508,"AAAAAGJ73x0=")</f>
        <v>#VALUE!</v>
      </c>
      <c r="AE101" t="e">
        <f>AND('Planilla_General_29-11-2012_10_'!K1508,"AAAAAGJ73x4=")</f>
        <v>#VALUE!</v>
      </c>
      <c r="AF101" t="e">
        <f>AND('Planilla_General_29-11-2012_10_'!L1508,"AAAAAGJ73x8=")</f>
        <v>#VALUE!</v>
      </c>
      <c r="AG101" t="e">
        <f>AND('Planilla_General_29-11-2012_10_'!M1508,"AAAAAGJ73yA=")</f>
        <v>#VALUE!</v>
      </c>
      <c r="AH101" t="e">
        <f>AND('Planilla_General_29-11-2012_10_'!N1508,"AAAAAGJ73yE=")</f>
        <v>#VALUE!</v>
      </c>
      <c r="AI101" t="e">
        <f>AND('Planilla_General_29-11-2012_10_'!O1508,"AAAAAGJ73yI=")</f>
        <v>#VALUE!</v>
      </c>
      <c r="AJ101" t="e">
        <f>AND('Planilla_General_29-11-2012_10_'!P1508,"AAAAAGJ73yM=")</f>
        <v>#VALUE!</v>
      </c>
      <c r="AK101">
        <f>IF('Planilla_General_29-11-2012_10_'!1509:1509,"AAAAAGJ73yQ=",0)</f>
        <v>0</v>
      </c>
      <c r="AL101" t="e">
        <f>AND('Planilla_General_29-11-2012_10_'!A1509,"AAAAAGJ73yU=")</f>
        <v>#VALUE!</v>
      </c>
      <c r="AM101" t="e">
        <f>AND('Planilla_General_29-11-2012_10_'!B1509,"AAAAAGJ73yY=")</f>
        <v>#VALUE!</v>
      </c>
      <c r="AN101" t="e">
        <f>AND('Planilla_General_29-11-2012_10_'!C1509,"AAAAAGJ73yc=")</f>
        <v>#VALUE!</v>
      </c>
      <c r="AO101" t="e">
        <f>AND('Planilla_General_29-11-2012_10_'!D1509,"AAAAAGJ73yg=")</f>
        <v>#VALUE!</v>
      </c>
      <c r="AP101" t="e">
        <f>AND('Planilla_General_29-11-2012_10_'!E1509,"AAAAAGJ73yk=")</f>
        <v>#VALUE!</v>
      </c>
      <c r="AQ101" t="e">
        <f>AND('Planilla_General_29-11-2012_10_'!F1509,"AAAAAGJ73yo=")</f>
        <v>#VALUE!</v>
      </c>
      <c r="AR101" t="e">
        <f>AND('Planilla_General_29-11-2012_10_'!G1509,"AAAAAGJ73ys=")</f>
        <v>#VALUE!</v>
      </c>
      <c r="AS101" t="e">
        <f>AND('Planilla_General_29-11-2012_10_'!H1509,"AAAAAGJ73yw=")</f>
        <v>#VALUE!</v>
      </c>
      <c r="AT101" t="e">
        <f>AND('Planilla_General_29-11-2012_10_'!I1509,"AAAAAGJ73y0=")</f>
        <v>#VALUE!</v>
      </c>
      <c r="AU101" t="e">
        <f>AND('Planilla_General_29-11-2012_10_'!J1509,"AAAAAGJ73y4=")</f>
        <v>#VALUE!</v>
      </c>
      <c r="AV101" t="e">
        <f>AND('Planilla_General_29-11-2012_10_'!K1509,"AAAAAGJ73y8=")</f>
        <v>#VALUE!</v>
      </c>
      <c r="AW101" t="e">
        <f>AND('Planilla_General_29-11-2012_10_'!L1509,"AAAAAGJ73zA=")</f>
        <v>#VALUE!</v>
      </c>
      <c r="AX101" t="e">
        <f>AND('Planilla_General_29-11-2012_10_'!M1509,"AAAAAGJ73zE=")</f>
        <v>#VALUE!</v>
      </c>
      <c r="AY101" t="e">
        <f>AND('Planilla_General_29-11-2012_10_'!N1509,"AAAAAGJ73zI=")</f>
        <v>#VALUE!</v>
      </c>
      <c r="AZ101" t="e">
        <f>AND('Planilla_General_29-11-2012_10_'!O1509,"AAAAAGJ73zM=")</f>
        <v>#VALUE!</v>
      </c>
      <c r="BA101" t="e">
        <f>AND('Planilla_General_29-11-2012_10_'!P1509,"AAAAAGJ73zQ=")</f>
        <v>#VALUE!</v>
      </c>
      <c r="BB101">
        <f>IF('Planilla_General_29-11-2012_10_'!1510:1510,"AAAAAGJ73zU=",0)</f>
        <v>0</v>
      </c>
      <c r="BC101" t="e">
        <f>AND('Planilla_General_29-11-2012_10_'!A1510,"AAAAAGJ73zY=")</f>
        <v>#VALUE!</v>
      </c>
      <c r="BD101" t="e">
        <f>AND('Planilla_General_29-11-2012_10_'!B1510,"AAAAAGJ73zc=")</f>
        <v>#VALUE!</v>
      </c>
      <c r="BE101" t="e">
        <f>AND('Planilla_General_29-11-2012_10_'!C1510,"AAAAAGJ73zg=")</f>
        <v>#VALUE!</v>
      </c>
      <c r="BF101" t="e">
        <f>AND('Planilla_General_29-11-2012_10_'!D1510,"AAAAAGJ73zk=")</f>
        <v>#VALUE!</v>
      </c>
      <c r="BG101" t="e">
        <f>AND('Planilla_General_29-11-2012_10_'!E1510,"AAAAAGJ73zo=")</f>
        <v>#VALUE!</v>
      </c>
      <c r="BH101" t="e">
        <f>AND('Planilla_General_29-11-2012_10_'!F1510,"AAAAAGJ73zs=")</f>
        <v>#VALUE!</v>
      </c>
      <c r="BI101" t="e">
        <f>AND('Planilla_General_29-11-2012_10_'!G1510,"AAAAAGJ73zw=")</f>
        <v>#VALUE!</v>
      </c>
      <c r="BJ101" t="e">
        <f>AND('Planilla_General_29-11-2012_10_'!H1510,"AAAAAGJ73z0=")</f>
        <v>#VALUE!</v>
      </c>
      <c r="BK101" t="e">
        <f>AND('Planilla_General_29-11-2012_10_'!I1510,"AAAAAGJ73z4=")</f>
        <v>#VALUE!</v>
      </c>
      <c r="BL101" t="e">
        <f>AND('Planilla_General_29-11-2012_10_'!J1510,"AAAAAGJ73z8=")</f>
        <v>#VALUE!</v>
      </c>
      <c r="BM101" t="e">
        <f>AND('Planilla_General_29-11-2012_10_'!K1510,"AAAAAGJ730A=")</f>
        <v>#VALUE!</v>
      </c>
      <c r="BN101" t="e">
        <f>AND('Planilla_General_29-11-2012_10_'!L1510,"AAAAAGJ730E=")</f>
        <v>#VALUE!</v>
      </c>
      <c r="BO101" t="e">
        <f>AND('Planilla_General_29-11-2012_10_'!M1510,"AAAAAGJ730I=")</f>
        <v>#VALUE!</v>
      </c>
      <c r="BP101" t="e">
        <f>AND('Planilla_General_29-11-2012_10_'!N1510,"AAAAAGJ730M=")</f>
        <v>#VALUE!</v>
      </c>
      <c r="BQ101" t="e">
        <f>AND('Planilla_General_29-11-2012_10_'!O1510,"AAAAAGJ730Q=")</f>
        <v>#VALUE!</v>
      </c>
      <c r="BR101" t="e">
        <f>AND('Planilla_General_29-11-2012_10_'!P1510,"AAAAAGJ730U=")</f>
        <v>#VALUE!</v>
      </c>
      <c r="BS101">
        <f>IF('Planilla_General_29-11-2012_10_'!1511:1511,"AAAAAGJ730Y=",0)</f>
        <v>0</v>
      </c>
      <c r="BT101" t="e">
        <f>AND('Planilla_General_29-11-2012_10_'!A1511,"AAAAAGJ730c=")</f>
        <v>#VALUE!</v>
      </c>
      <c r="BU101" t="e">
        <f>AND('Planilla_General_29-11-2012_10_'!B1511,"AAAAAGJ730g=")</f>
        <v>#VALUE!</v>
      </c>
      <c r="BV101" t="e">
        <f>AND('Planilla_General_29-11-2012_10_'!C1511,"AAAAAGJ730k=")</f>
        <v>#VALUE!</v>
      </c>
      <c r="BW101" t="e">
        <f>AND('Planilla_General_29-11-2012_10_'!D1511,"AAAAAGJ730o=")</f>
        <v>#VALUE!</v>
      </c>
      <c r="BX101" t="e">
        <f>AND('Planilla_General_29-11-2012_10_'!E1511,"AAAAAGJ730s=")</f>
        <v>#VALUE!</v>
      </c>
      <c r="BY101" t="e">
        <f>AND('Planilla_General_29-11-2012_10_'!F1511,"AAAAAGJ730w=")</f>
        <v>#VALUE!</v>
      </c>
      <c r="BZ101" t="e">
        <f>AND('Planilla_General_29-11-2012_10_'!G1511,"AAAAAGJ7300=")</f>
        <v>#VALUE!</v>
      </c>
      <c r="CA101" t="e">
        <f>AND('Planilla_General_29-11-2012_10_'!H1511,"AAAAAGJ7304=")</f>
        <v>#VALUE!</v>
      </c>
      <c r="CB101" t="e">
        <f>AND('Planilla_General_29-11-2012_10_'!I1511,"AAAAAGJ7308=")</f>
        <v>#VALUE!</v>
      </c>
      <c r="CC101" t="e">
        <f>AND('Planilla_General_29-11-2012_10_'!J1511,"AAAAAGJ731A=")</f>
        <v>#VALUE!</v>
      </c>
      <c r="CD101" t="e">
        <f>AND('Planilla_General_29-11-2012_10_'!K1511,"AAAAAGJ731E=")</f>
        <v>#VALUE!</v>
      </c>
      <c r="CE101" t="e">
        <f>AND('Planilla_General_29-11-2012_10_'!L1511,"AAAAAGJ731I=")</f>
        <v>#VALUE!</v>
      </c>
      <c r="CF101" t="e">
        <f>AND('Planilla_General_29-11-2012_10_'!M1511,"AAAAAGJ731M=")</f>
        <v>#VALUE!</v>
      </c>
      <c r="CG101" t="e">
        <f>AND('Planilla_General_29-11-2012_10_'!N1511,"AAAAAGJ731Q=")</f>
        <v>#VALUE!</v>
      </c>
      <c r="CH101" t="e">
        <f>AND('Planilla_General_29-11-2012_10_'!O1511,"AAAAAGJ731U=")</f>
        <v>#VALUE!</v>
      </c>
      <c r="CI101" t="e">
        <f>AND('Planilla_General_29-11-2012_10_'!P1511,"AAAAAGJ731Y=")</f>
        <v>#VALUE!</v>
      </c>
      <c r="CJ101">
        <f>IF('Planilla_General_29-11-2012_10_'!1512:1512,"AAAAAGJ731c=",0)</f>
        <v>0</v>
      </c>
      <c r="CK101" t="e">
        <f>AND('Planilla_General_29-11-2012_10_'!A1512,"AAAAAGJ731g=")</f>
        <v>#VALUE!</v>
      </c>
      <c r="CL101" t="e">
        <f>AND('Planilla_General_29-11-2012_10_'!B1512,"AAAAAGJ731k=")</f>
        <v>#VALUE!</v>
      </c>
      <c r="CM101" t="e">
        <f>AND('Planilla_General_29-11-2012_10_'!C1512,"AAAAAGJ731o=")</f>
        <v>#VALUE!</v>
      </c>
      <c r="CN101" t="e">
        <f>AND('Planilla_General_29-11-2012_10_'!D1512,"AAAAAGJ731s=")</f>
        <v>#VALUE!</v>
      </c>
      <c r="CO101" t="e">
        <f>AND('Planilla_General_29-11-2012_10_'!E1512,"AAAAAGJ731w=")</f>
        <v>#VALUE!</v>
      </c>
      <c r="CP101" t="e">
        <f>AND('Planilla_General_29-11-2012_10_'!F1512,"AAAAAGJ7310=")</f>
        <v>#VALUE!</v>
      </c>
      <c r="CQ101" t="e">
        <f>AND('Planilla_General_29-11-2012_10_'!G1512,"AAAAAGJ7314=")</f>
        <v>#VALUE!</v>
      </c>
      <c r="CR101" t="e">
        <f>AND('Planilla_General_29-11-2012_10_'!H1512,"AAAAAGJ7318=")</f>
        <v>#VALUE!</v>
      </c>
      <c r="CS101" t="e">
        <f>AND('Planilla_General_29-11-2012_10_'!I1512,"AAAAAGJ732A=")</f>
        <v>#VALUE!</v>
      </c>
      <c r="CT101" t="e">
        <f>AND('Planilla_General_29-11-2012_10_'!J1512,"AAAAAGJ732E=")</f>
        <v>#VALUE!</v>
      </c>
      <c r="CU101" t="e">
        <f>AND('Planilla_General_29-11-2012_10_'!K1512,"AAAAAGJ732I=")</f>
        <v>#VALUE!</v>
      </c>
      <c r="CV101" t="e">
        <f>AND('Planilla_General_29-11-2012_10_'!L1512,"AAAAAGJ732M=")</f>
        <v>#VALUE!</v>
      </c>
      <c r="CW101" t="e">
        <f>AND('Planilla_General_29-11-2012_10_'!M1512,"AAAAAGJ732Q=")</f>
        <v>#VALUE!</v>
      </c>
      <c r="CX101" t="e">
        <f>AND('Planilla_General_29-11-2012_10_'!N1512,"AAAAAGJ732U=")</f>
        <v>#VALUE!</v>
      </c>
      <c r="CY101" t="e">
        <f>AND('Planilla_General_29-11-2012_10_'!O1512,"AAAAAGJ732Y=")</f>
        <v>#VALUE!</v>
      </c>
      <c r="CZ101" t="e">
        <f>AND('Planilla_General_29-11-2012_10_'!P1512,"AAAAAGJ732c=")</f>
        <v>#VALUE!</v>
      </c>
      <c r="DA101">
        <f>IF('Planilla_General_29-11-2012_10_'!1513:1513,"AAAAAGJ732g=",0)</f>
        <v>0</v>
      </c>
      <c r="DB101" t="e">
        <f>AND('Planilla_General_29-11-2012_10_'!A1513,"AAAAAGJ732k=")</f>
        <v>#VALUE!</v>
      </c>
      <c r="DC101" t="e">
        <f>AND('Planilla_General_29-11-2012_10_'!B1513,"AAAAAGJ732o=")</f>
        <v>#VALUE!</v>
      </c>
      <c r="DD101" t="e">
        <f>AND('Planilla_General_29-11-2012_10_'!C1513,"AAAAAGJ732s=")</f>
        <v>#VALUE!</v>
      </c>
      <c r="DE101" t="e">
        <f>AND('Planilla_General_29-11-2012_10_'!D1513,"AAAAAGJ732w=")</f>
        <v>#VALUE!</v>
      </c>
      <c r="DF101" t="e">
        <f>AND('Planilla_General_29-11-2012_10_'!E1513,"AAAAAGJ7320=")</f>
        <v>#VALUE!</v>
      </c>
      <c r="DG101" t="e">
        <f>AND('Planilla_General_29-11-2012_10_'!F1513,"AAAAAGJ7324=")</f>
        <v>#VALUE!</v>
      </c>
      <c r="DH101" t="e">
        <f>AND('Planilla_General_29-11-2012_10_'!G1513,"AAAAAGJ7328=")</f>
        <v>#VALUE!</v>
      </c>
      <c r="DI101" t="e">
        <f>AND('Planilla_General_29-11-2012_10_'!H1513,"AAAAAGJ733A=")</f>
        <v>#VALUE!</v>
      </c>
      <c r="DJ101" t="e">
        <f>AND('Planilla_General_29-11-2012_10_'!I1513,"AAAAAGJ733E=")</f>
        <v>#VALUE!</v>
      </c>
      <c r="DK101" t="e">
        <f>AND('Planilla_General_29-11-2012_10_'!J1513,"AAAAAGJ733I=")</f>
        <v>#VALUE!</v>
      </c>
      <c r="DL101" t="e">
        <f>AND('Planilla_General_29-11-2012_10_'!K1513,"AAAAAGJ733M=")</f>
        <v>#VALUE!</v>
      </c>
      <c r="DM101" t="e">
        <f>AND('Planilla_General_29-11-2012_10_'!L1513,"AAAAAGJ733Q=")</f>
        <v>#VALUE!</v>
      </c>
      <c r="DN101" t="e">
        <f>AND('Planilla_General_29-11-2012_10_'!M1513,"AAAAAGJ733U=")</f>
        <v>#VALUE!</v>
      </c>
      <c r="DO101" t="e">
        <f>AND('Planilla_General_29-11-2012_10_'!N1513,"AAAAAGJ733Y=")</f>
        <v>#VALUE!</v>
      </c>
      <c r="DP101" t="e">
        <f>AND('Planilla_General_29-11-2012_10_'!O1513,"AAAAAGJ733c=")</f>
        <v>#VALUE!</v>
      </c>
      <c r="DQ101" t="e">
        <f>AND('Planilla_General_29-11-2012_10_'!P1513,"AAAAAGJ733g=")</f>
        <v>#VALUE!</v>
      </c>
      <c r="DR101">
        <f>IF('Planilla_General_29-11-2012_10_'!1514:1514,"AAAAAGJ733k=",0)</f>
        <v>0</v>
      </c>
      <c r="DS101" t="e">
        <f>AND('Planilla_General_29-11-2012_10_'!A1514,"AAAAAGJ733o=")</f>
        <v>#VALUE!</v>
      </c>
      <c r="DT101" t="e">
        <f>AND('Planilla_General_29-11-2012_10_'!B1514,"AAAAAGJ733s=")</f>
        <v>#VALUE!</v>
      </c>
      <c r="DU101" t="e">
        <f>AND('Planilla_General_29-11-2012_10_'!C1514,"AAAAAGJ733w=")</f>
        <v>#VALUE!</v>
      </c>
      <c r="DV101" t="e">
        <f>AND('Planilla_General_29-11-2012_10_'!D1514,"AAAAAGJ7330=")</f>
        <v>#VALUE!</v>
      </c>
      <c r="DW101" t="e">
        <f>AND('Planilla_General_29-11-2012_10_'!E1514,"AAAAAGJ7334=")</f>
        <v>#VALUE!</v>
      </c>
      <c r="DX101" t="e">
        <f>AND('Planilla_General_29-11-2012_10_'!F1514,"AAAAAGJ7338=")</f>
        <v>#VALUE!</v>
      </c>
      <c r="DY101" t="e">
        <f>AND('Planilla_General_29-11-2012_10_'!G1514,"AAAAAGJ734A=")</f>
        <v>#VALUE!</v>
      </c>
      <c r="DZ101" t="e">
        <f>AND('Planilla_General_29-11-2012_10_'!H1514,"AAAAAGJ734E=")</f>
        <v>#VALUE!</v>
      </c>
      <c r="EA101" t="e">
        <f>AND('Planilla_General_29-11-2012_10_'!I1514,"AAAAAGJ734I=")</f>
        <v>#VALUE!</v>
      </c>
      <c r="EB101" t="e">
        <f>AND('Planilla_General_29-11-2012_10_'!J1514,"AAAAAGJ734M=")</f>
        <v>#VALUE!</v>
      </c>
      <c r="EC101" t="e">
        <f>AND('Planilla_General_29-11-2012_10_'!K1514,"AAAAAGJ734Q=")</f>
        <v>#VALUE!</v>
      </c>
      <c r="ED101" t="e">
        <f>AND('Planilla_General_29-11-2012_10_'!L1514,"AAAAAGJ734U=")</f>
        <v>#VALUE!</v>
      </c>
      <c r="EE101" t="e">
        <f>AND('Planilla_General_29-11-2012_10_'!M1514,"AAAAAGJ734Y=")</f>
        <v>#VALUE!</v>
      </c>
      <c r="EF101" t="e">
        <f>AND('Planilla_General_29-11-2012_10_'!N1514,"AAAAAGJ734c=")</f>
        <v>#VALUE!</v>
      </c>
      <c r="EG101" t="e">
        <f>AND('Planilla_General_29-11-2012_10_'!O1514,"AAAAAGJ734g=")</f>
        <v>#VALUE!</v>
      </c>
      <c r="EH101" t="e">
        <f>AND('Planilla_General_29-11-2012_10_'!P1514,"AAAAAGJ734k=")</f>
        <v>#VALUE!</v>
      </c>
      <c r="EI101">
        <f>IF('Planilla_General_29-11-2012_10_'!1515:1515,"AAAAAGJ734o=",0)</f>
        <v>0</v>
      </c>
      <c r="EJ101" t="e">
        <f>AND('Planilla_General_29-11-2012_10_'!A1515,"AAAAAGJ734s=")</f>
        <v>#VALUE!</v>
      </c>
      <c r="EK101" t="e">
        <f>AND('Planilla_General_29-11-2012_10_'!B1515,"AAAAAGJ734w=")</f>
        <v>#VALUE!</v>
      </c>
      <c r="EL101" t="e">
        <f>AND('Planilla_General_29-11-2012_10_'!C1515,"AAAAAGJ7340=")</f>
        <v>#VALUE!</v>
      </c>
      <c r="EM101" t="e">
        <f>AND('Planilla_General_29-11-2012_10_'!D1515,"AAAAAGJ7344=")</f>
        <v>#VALUE!</v>
      </c>
      <c r="EN101" t="e">
        <f>AND('Planilla_General_29-11-2012_10_'!E1515,"AAAAAGJ7348=")</f>
        <v>#VALUE!</v>
      </c>
      <c r="EO101" t="e">
        <f>AND('Planilla_General_29-11-2012_10_'!F1515,"AAAAAGJ735A=")</f>
        <v>#VALUE!</v>
      </c>
      <c r="EP101" t="e">
        <f>AND('Planilla_General_29-11-2012_10_'!G1515,"AAAAAGJ735E=")</f>
        <v>#VALUE!</v>
      </c>
      <c r="EQ101" t="e">
        <f>AND('Planilla_General_29-11-2012_10_'!H1515,"AAAAAGJ735I=")</f>
        <v>#VALUE!</v>
      </c>
      <c r="ER101" t="e">
        <f>AND('Planilla_General_29-11-2012_10_'!I1515,"AAAAAGJ735M=")</f>
        <v>#VALUE!</v>
      </c>
      <c r="ES101" t="e">
        <f>AND('Planilla_General_29-11-2012_10_'!J1515,"AAAAAGJ735Q=")</f>
        <v>#VALUE!</v>
      </c>
      <c r="ET101" t="e">
        <f>AND('Planilla_General_29-11-2012_10_'!K1515,"AAAAAGJ735U=")</f>
        <v>#VALUE!</v>
      </c>
      <c r="EU101" t="e">
        <f>AND('Planilla_General_29-11-2012_10_'!L1515,"AAAAAGJ735Y=")</f>
        <v>#VALUE!</v>
      </c>
      <c r="EV101" t="e">
        <f>AND('Planilla_General_29-11-2012_10_'!M1515,"AAAAAGJ735c=")</f>
        <v>#VALUE!</v>
      </c>
      <c r="EW101" t="e">
        <f>AND('Planilla_General_29-11-2012_10_'!N1515,"AAAAAGJ735g=")</f>
        <v>#VALUE!</v>
      </c>
      <c r="EX101" t="e">
        <f>AND('Planilla_General_29-11-2012_10_'!O1515,"AAAAAGJ735k=")</f>
        <v>#VALUE!</v>
      </c>
      <c r="EY101" t="e">
        <f>AND('Planilla_General_29-11-2012_10_'!P1515,"AAAAAGJ735o=")</f>
        <v>#VALUE!</v>
      </c>
      <c r="EZ101">
        <f>IF('Planilla_General_29-11-2012_10_'!1516:1516,"AAAAAGJ735s=",0)</f>
        <v>0</v>
      </c>
      <c r="FA101" t="e">
        <f>AND('Planilla_General_29-11-2012_10_'!A1516,"AAAAAGJ735w=")</f>
        <v>#VALUE!</v>
      </c>
      <c r="FB101" t="e">
        <f>AND('Planilla_General_29-11-2012_10_'!B1516,"AAAAAGJ7350=")</f>
        <v>#VALUE!</v>
      </c>
      <c r="FC101" t="e">
        <f>AND('Planilla_General_29-11-2012_10_'!C1516,"AAAAAGJ7354=")</f>
        <v>#VALUE!</v>
      </c>
      <c r="FD101" t="e">
        <f>AND('Planilla_General_29-11-2012_10_'!D1516,"AAAAAGJ7358=")</f>
        <v>#VALUE!</v>
      </c>
      <c r="FE101" t="e">
        <f>AND('Planilla_General_29-11-2012_10_'!E1516,"AAAAAGJ736A=")</f>
        <v>#VALUE!</v>
      </c>
      <c r="FF101" t="e">
        <f>AND('Planilla_General_29-11-2012_10_'!F1516,"AAAAAGJ736E=")</f>
        <v>#VALUE!</v>
      </c>
      <c r="FG101" t="e">
        <f>AND('Planilla_General_29-11-2012_10_'!G1516,"AAAAAGJ736I=")</f>
        <v>#VALUE!</v>
      </c>
      <c r="FH101" t="e">
        <f>AND('Planilla_General_29-11-2012_10_'!H1516,"AAAAAGJ736M=")</f>
        <v>#VALUE!</v>
      </c>
      <c r="FI101" t="e">
        <f>AND('Planilla_General_29-11-2012_10_'!I1516,"AAAAAGJ736Q=")</f>
        <v>#VALUE!</v>
      </c>
      <c r="FJ101" t="e">
        <f>AND('Planilla_General_29-11-2012_10_'!J1516,"AAAAAGJ736U=")</f>
        <v>#VALUE!</v>
      </c>
      <c r="FK101" t="e">
        <f>AND('Planilla_General_29-11-2012_10_'!K1516,"AAAAAGJ736Y=")</f>
        <v>#VALUE!</v>
      </c>
      <c r="FL101" t="e">
        <f>AND('Planilla_General_29-11-2012_10_'!L1516,"AAAAAGJ736c=")</f>
        <v>#VALUE!</v>
      </c>
      <c r="FM101" t="e">
        <f>AND('Planilla_General_29-11-2012_10_'!M1516,"AAAAAGJ736g=")</f>
        <v>#VALUE!</v>
      </c>
      <c r="FN101" t="e">
        <f>AND('Planilla_General_29-11-2012_10_'!N1516,"AAAAAGJ736k=")</f>
        <v>#VALUE!</v>
      </c>
      <c r="FO101" t="e">
        <f>AND('Planilla_General_29-11-2012_10_'!O1516,"AAAAAGJ736o=")</f>
        <v>#VALUE!</v>
      </c>
      <c r="FP101" t="e">
        <f>AND('Planilla_General_29-11-2012_10_'!P1516,"AAAAAGJ736s=")</f>
        <v>#VALUE!</v>
      </c>
      <c r="FQ101">
        <f>IF('Planilla_General_29-11-2012_10_'!1517:1517,"AAAAAGJ736w=",0)</f>
        <v>0</v>
      </c>
      <c r="FR101" t="e">
        <f>AND('Planilla_General_29-11-2012_10_'!A1517,"AAAAAGJ7360=")</f>
        <v>#VALUE!</v>
      </c>
      <c r="FS101" t="e">
        <f>AND('Planilla_General_29-11-2012_10_'!B1517,"AAAAAGJ7364=")</f>
        <v>#VALUE!</v>
      </c>
      <c r="FT101" t="e">
        <f>AND('Planilla_General_29-11-2012_10_'!C1517,"AAAAAGJ7368=")</f>
        <v>#VALUE!</v>
      </c>
      <c r="FU101" t="e">
        <f>AND('Planilla_General_29-11-2012_10_'!D1517,"AAAAAGJ737A=")</f>
        <v>#VALUE!</v>
      </c>
      <c r="FV101" t="e">
        <f>AND('Planilla_General_29-11-2012_10_'!E1517,"AAAAAGJ737E=")</f>
        <v>#VALUE!</v>
      </c>
      <c r="FW101" t="e">
        <f>AND('Planilla_General_29-11-2012_10_'!F1517,"AAAAAGJ737I=")</f>
        <v>#VALUE!</v>
      </c>
      <c r="FX101" t="e">
        <f>AND('Planilla_General_29-11-2012_10_'!G1517,"AAAAAGJ737M=")</f>
        <v>#VALUE!</v>
      </c>
      <c r="FY101" t="e">
        <f>AND('Planilla_General_29-11-2012_10_'!H1517,"AAAAAGJ737Q=")</f>
        <v>#VALUE!</v>
      </c>
      <c r="FZ101" t="e">
        <f>AND('Planilla_General_29-11-2012_10_'!I1517,"AAAAAGJ737U=")</f>
        <v>#VALUE!</v>
      </c>
      <c r="GA101" t="e">
        <f>AND('Planilla_General_29-11-2012_10_'!J1517,"AAAAAGJ737Y=")</f>
        <v>#VALUE!</v>
      </c>
      <c r="GB101" t="e">
        <f>AND('Planilla_General_29-11-2012_10_'!K1517,"AAAAAGJ737c=")</f>
        <v>#VALUE!</v>
      </c>
      <c r="GC101" t="e">
        <f>AND('Planilla_General_29-11-2012_10_'!L1517,"AAAAAGJ737g=")</f>
        <v>#VALUE!</v>
      </c>
      <c r="GD101" t="e">
        <f>AND('Planilla_General_29-11-2012_10_'!M1517,"AAAAAGJ737k=")</f>
        <v>#VALUE!</v>
      </c>
      <c r="GE101" t="e">
        <f>AND('Planilla_General_29-11-2012_10_'!N1517,"AAAAAGJ737o=")</f>
        <v>#VALUE!</v>
      </c>
      <c r="GF101" t="e">
        <f>AND('Planilla_General_29-11-2012_10_'!O1517,"AAAAAGJ737s=")</f>
        <v>#VALUE!</v>
      </c>
      <c r="GG101" t="e">
        <f>AND('Planilla_General_29-11-2012_10_'!P1517,"AAAAAGJ737w=")</f>
        <v>#VALUE!</v>
      </c>
      <c r="GH101">
        <f>IF('Planilla_General_29-11-2012_10_'!1518:1518,"AAAAAGJ7370=",0)</f>
        <v>0</v>
      </c>
      <c r="GI101" t="e">
        <f>AND('Planilla_General_29-11-2012_10_'!A1518,"AAAAAGJ7374=")</f>
        <v>#VALUE!</v>
      </c>
      <c r="GJ101" t="e">
        <f>AND('Planilla_General_29-11-2012_10_'!B1518,"AAAAAGJ7378=")</f>
        <v>#VALUE!</v>
      </c>
      <c r="GK101" t="e">
        <f>AND('Planilla_General_29-11-2012_10_'!C1518,"AAAAAGJ738A=")</f>
        <v>#VALUE!</v>
      </c>
      <c r="GL101" t="e">
        <f>AND('Planilla_General_29-11-2012_10_'!D1518,"AAAAAGJ738E=")</f>
        <v>#VALUE!</v>
      </c>
      <c r="GM101" t="e">
        <f>AND('Planilla_General_29-11-2012_10_'!E1518,"AAAAAGJ738I=")</f>
        <v>#VALUE!</v>
      </c>
      <c r="GN101" t="e">
        <f>AND('Planilla_General_29-11-2012_10_'!F1518,"AAAAAGJ738M=")</f>
        <v>#VALUE!</v>
      </c>
      <c r="GO101" t="e">
        <f>AND('Planilla_General_29-11-2012_10_'!G1518,"AAAAAGJ738Q=")</f>
        <v>#VALUE!</v>
      </c>
      <c r="GP101" t="e">
        <f>AND('Planilla_General_29-11-2012_10_'!H1518,"AAAAAGJ738U=")</f>
        <v>#VALUE!</v>
      </c>
      <c r="GQ101" t="e">
        <f>AND('Planilla_General_29-11-2012_10_'!I1518,"AAAAAGJ738Y=")</f>
        <v>#VALUE!</v>
      </c>
      <c r="GR101" t="e">
        <f>AND('Planilla_General_29-11-2012_10_'!J1518,"AAAAAGJ738c=")</f>
        <v>#VALUE!</v>
      </c>
      <c r="GS101" t="e">
        <f>AND('Planilla_General_29-11-2012_10_'!K1518,"AAAAAGJ738g=")</f>
        <v>#VALUE!</v>
      </c>
      <c r="GT101" t="e">
        <f>AND('Planilla_General_29-11-2012_10_'!L1518,"AAAAAGJ738k=")</f>
        <v>#VALUE!</v>
      </c>
      <c r="GU101" t="e">
        <f>AND('Planilla_General_29-11-2012_10_'!M1518,"AAAAAGJ738o=")</f>
        <v>#VALUE!</v>
      </c>
      <c r="GV101" t="e">
        <f>AND('Planilla_General_29-11-2012_10_'!N1518,"AAAAAGJ738s=")</f>
        <v>#VALUE!</v>
      </c>
      <c r="GW101" t="e">
        <f>AND('Planilla_General_29-11-2012_10_'!O1518,"AAAAAGJ738w=")</f>
        <v>#VALUE!</v>
      </c>
      <c r="GX101" t="e">
        <f>AND('Planilla_General_29-11-2012_10_'!P1518,"AAAAAGJ7380=")</f>
        <v>#VALUE!</v>
      </c>
      <c r="GY101">
        <f>IF('Planilla_General_29-11-2012_10_'!1519:1519,"AAAAAGJ7384=",0)</f>
        <v>0</v>
      </c>
      <c r="GZ101" t="e">
        <f>AND('Planilla_General_29-11-2012_10_'!A1519,"AAAAAGJ7388=")</f>
        <v>#VALUE!</v>
      </c>
      <c r="HA101" t="e">
        <f>AND('Planilla_General_29-11-2012_10_'!B1519,"AAAAAGJ739A=")</f>
        <v>#VALUE!</v>
      </c>
      <c r="HB101" t="e">
        <f>AND('Planilla_General_29-11-2012_10_'!C1519,"AAAAAGJ739E=")</f>
        <v>#VALUE!</v>
      </c>
      <c r="HC101" t="e">
        <f>AND('Planilla_General_29-11-2012_10_'!D1519,"AAAAAGJ739I=")</f>
        <v>#VALUE!</v>
      </c>
      <c r="HD101" t="e">
        <f>AND('Planilla_General_29-11-2012_10_'!E1519,"AAAAAGJ739M=")</f>
        <v>#VALUE!</v>
      </c>
      <c r="HE101" t="e">
        <f>AND('Planilla_General_29-11-2012_10_'!F1519,"AAAAAGJ739Q=")</f>
        <v>#VALUE!</v>
      </c>
      <c r="HF101" t="e">
        <f>AND('Planilla_General_29-11-2012_10_'!G1519,"AAAAAGJ739U=")</f>
        <v>#VALUE!</v>
      </c>
      <c r="HG101" t="e">
        <f>AND('Planilla_General_29-11-2012_10_'!H1519,"AAAAAGJ739Y=")</f>
        <v>#VALUE!</v>
      </c>
      <c r="HH101" t="e">
        <f>AND('Planilla_General_29-11-2012_10_'!I1519,"AAAAAGJ739c=")</f>
        <v>#VALUE!</v>
      </c>
      <c r="HI101" t="e">
        <f>AND('Planilla_General_29-11-2012_10_'!J1519,"AAAAAGJ739g=")</f>
        <v>#VALUE!</v>
      </c>
      <c r="HJ101" t="e">
        <f>AND('Planilla_General_29-11-2012_10_'!K1519,"AAAAAGJ739k=")</f>
        <v>#VALUE!</v>
      </c>
      <c r="HK101" t="e">
        <f>AND('Planilla_General_29-11-2012_10_'!L1519,"AAAAAGJ739o=")</f>
        <v>#VALUE!</v>
      </c>
      <c r="HL101" t="e">
        <f>AND('Planilla_General_29-11-2012_10_'!M1519,"AAAAAGJ739s=")</f>
        <v>#VALUE!</v>
      </c>
      <c r="HM101" t="e">
        <f>AND('Planilla_General_29-11-2012_10_'!N1519,"AAAAAGJ739w=")</f>
        <v>#VALUE!</v>
      </c>
      <c r="HN101" t="e">
        <f>AND('Planilla_General_29-11-2012_10_'!O1519,"AAAAAGJ7390=")</f>
        <v>#VALUE!</v>
      </c>
      <c r="HO101" t="e">
        <f>AND('Planilla_General_29-11-2012_10_'!P1519,"AAAAAGJ7394=")</f>
        <v>#VALUE!</v>
      </c>
      <c r="HP101">
        <f>IF('Planilla_General_29-11-2012_10_'!1520:1520,"AAAAAGJ7398=",0)</f>
        <v>0</v>
      </c>
      <c r="HQ101" t="e">
        <f>AND('Planilla_General_29-11-2012_10_'!A1520,"AAAAAGJ73+A=")</f>
        <v>#VALUE!</v>
      </c>
      <c r="HR101" t="e">
        <f>AND('Planilla_General_29-11-2012_10_'!B1520,"AAAAAGJ73+E=")</f>
        <v>#VALUE!</v>
      </c>
      <c r="HS101" t="e">
        <f>AND('Planilla_General_29-11-2012_10_'!C1520,"AAAAAGJ73+I=")</f>
        <v>#VALUE!</v>
      </c>
      <c r="HT101" t="e">
        <f>AND('Planilla_General_29-11-2012_10_'!D1520,"AAAAAGJ73+M=")</f>
        <v>#VALUE!</v>
      </c>
      <c r="HU101" t="e">
        <f>AND('Planilla_General_29-11-2012_10_'!E1520,"AAAAAGJ73+Q=")</f>
        <v>#VALUE!</v>
      </c>
      <c r="HV101" t="e">
        <f>AND('Planilla_General_29-11-2012_10_'!F1520,"AAAAAGJ73+U=")</f>
        <v>#VALUE!</v>
      </c>
      <c r="HW101" t="e">
        <f>AND('Planilla_General_29-11-2012_10_'!G1520,"AAAAAGJ73+Y=")</f>
        <v>#VALUE!</v>
      </c>
      <c r="HX101" t="e">
        <f>AND('Planilla_General_29-11-2012_10_'!H1520,"AAAAAGJ73+c=")</f>
        <v>#VALUE!</v>
      </c>
      <c r="HY101" t="e">
        <f>AND('Planilla_General_29-11-2012_10_'!I1520,"AAAAAGJ73+g=")</f>
        <v>#VALUE!</v>
      </c>
      <c r="HZ101" t="e">
        <f>AND('Planilla_General_29-11-2012_10_'!J1520,"AAAAAGJ73+k=")</f>
        <v>#VALUE!</v>
      </c>
      <c r="IA101" t="e">
        <f>AND('Planilla_General_29-11-2012_10_'!K1520,"AAAAAGJ73+o=")</f>
        <v>#VALUE!</v>
      </c>
      <c r="IB101" t="e">
        <f>AND('Planilla_General_29-11-2012_10_'!L1520,"AAAAAGJ73+s=")</f>
        <v>#VALUE!</v>
      </c>
      <c r="IC101" t="e">
        <f>AND('Planilla_General_29-11-2012_10_'!M1520,"AAAAAGJ73+w=")</f>
        <v>#VALUE!</v>
      </c>
      <c r="ID101" t="e">
        <f>AND('Planilla_General_29-11-2012_10_'!N1520,"AAAAAGJ73+0=")</f>
        <v>#VALUE!</v>
      </c>
      <c r="IE101" t="e">
        <f>AND('Planilla_General_29-11-2012_10_'!O1520,"AAAAAGJ73+4=")</f>
        <v>#VALUE!</v>
      </c>
      <c r="IF101" t="e">
        <f>AND('Planilla_General_29-11-2012_10_'!P1520,"AAAAAGJ73+8=")</f>
        <v>#VALUE!</v>
      </c>
      <c r="IG101">
        <f>IF('Planilla_General_29-11-2012_10_'!1521:1521,"AAAAAGJ73/A=",0)</f>
        <v>0</v>
      </c>
      <c r="IH101" t="e">
        <f>AND('Planilla_General_29-11-2012_10_'!A1521,"AAAAAGJ73/E=")</f>
        <v>#VALUE!</v>
      </c>
      <c r="II101" t="e">
        <f>AND('Planilla_General_29-11-2012_10_'!B1521,"AAAAAGJ73/I=")</f>
        <v>#VALUE!</v>
      </c>
      <c r="IJ101" t="e">
        <f>AND('Planilla_General_29-11-2012_10_'!C1521,"AAAAAGJ73/M=")</f>
        <v>#VALUE!</v>
      </c>
      <c r="IK101" t="e">
        <f>AND('Planilla_General_29-11-2012_10_'!D1521,"AAAAAGJ73/Q=")</f>
        <v>#VALUE!</v>
      </c>
      <c r="IL101" t="e">
        <f>AND('Planilla_General_29-11-2012_10_'!E1521,"AAAAAGJ73/U=")</f>
        <v>#VALUE!</v>
      </c>
      <c r="IM101" t="e">
        <f>AND('Planilla_General_29-11-2012_10_'!F1521,"AAAAAGJ73/Y=")</f>
        <v>#VALUE!</v>
      </c>
      <c r="IN101" t="e">
        <f>AND('Planilla_General_29-11-2012_10_'!G1521,"AAAAAGJ73/c=")</f>
        <v>#VALUE!</v>
      </c>
      <c r="IO101" t="e">
        <f>AND('Planilla_General_29-11-2012_10_'!H1521,"AAAAAGJ73/g=")</f>
        <v>#VALUE!</v>
      </c>
      <c r="IP101" t="e">
        <f>AND('Planilla_General_29-11-2012_10_'!I1521,"AAAAAGJ73/k=")</f>
        <v>#VALUE!</v>
      </c>
      <c r="IQ101" t="e">
        <f>AND('Planilla_General_29-11-2012_10_'!J1521,"AAAAAGJ73/o=")</f>
        <v>#VALUE!</v>
      </c>
      <c r="IR101" t="e">
        <f>AND('Planilla_General_29-11-2012_10_'!K1521,"AAAAAGJ73/s=")</f>
        <v>#VALUE!</v>
      </c>
      <c r="IS101" t="e">
        <f>AND('Planilla_General_29-11-2012_10_'!L1521,"AAAAAGJ73/w=")</f>
        <v>#VALUE!</v>
      </c>
      <c r="IT101" t="e">
        <f>AND('Planilla_General_29-11-2012_10_'!M1521,"AAAAAGJ73/0=")</f>
        <v>#VALUE!</v>
      </c>
      <c r="IU101" t="e">
        <f>AND('Planilla_General_29-11-2012_10_'!N1521,"AAAAAGJ73/4=")</f>
        <v>#VALUE!</v>
      </c>
      <c r="IV101" t="e">
        <f>AND('Planilla_General_29-11-2012_10_'!O1521,"AAAAAGJ73/8=")</f>
        <v>#VALUE!</v>
      </c>
    </row>
    <row r="102" spans="1:256" x14ac:dyDescent="0.25">
      <c r="A102" t="e">
        <f>AND('Planilla_General_29-11-2012_10_'!P1521,"AAAAAG//bwA=")</f>
        <v>#VALUE!</v>
      </c>
      <c r="B102" t="e">
        <f>IF('Planilla_General_29-11-2012_10_'!1522:1522,"AAAAAG//bwE=",0)</f>
        <v>#VALUE!</v>
      </c>
      <c r="C102" t="e">
        <f>AND('Planilla_General_29-11-2012_10_'!A1522,"AAAAAG//bwI=")</f>
        <v>#VALUE!</v>
      </c>
      <c r="D102" t="e">
        <f>AND('Planilla_General_29-11-2012_10_'!B1522,"AAAAAG//bwM=")</f>
        <v>#VALUE!</v>
      </c>
      <c r="E102" t="e">
        <f>AND('Planilla_General_29-11-2012_10_'!C1522,"AAAAAG//bwQ=")</f>
        <v>#VALUE!</v>
      </c>
      <c r="F102" t="e">
        <f>AND('Planilla_General_29-11-2012_10_'!D1522,"AAAAAG//bwU=")</f>
        <v>#VALUE!</v>
      </c>
      <c r="G102" t="e">
        <f>AND('Planilla_General_29-11-2012_10_'!E1522,"AAAAAG//bwY=")</f>
        <v>#VALUE!</v>
      </c>
      <c r="H102" t="e">
        <f>AND('Planilla_General_29-11-2012_10_'!F1522,"AAAAAG//bwc=")</f>
        <v>#VALUE!</v>
      </c>
      <c r="I102" t="e">
        <f>AND('Planilla_General_29-11-2012_10_'!G1522,"AAAAAG//bwg=")</f>
        <v>#VALUE!</v>
      </c>
      <c r="J102" t="e">
        <f>AND('Planilla_General_29-11-2012_10_'!H1522,"AAAAAG//bwk=")</f>
        <v>#VALUE!</v>
      </c>
      <c r="K102" t="e">
        <f>AND('Planilla_General_29-11-2012_10_'!I1522,"AAAAAG//bwo=")</f>
        <v>#VALUE!</v>
      </c>
      <c r="L102" t="e">
        <f>AND('Planilla_General_29-11-2012_10_'!J1522,"AAAAAG//bws=")</f>
        <v>#VALUE!</v>
      </c>
      <c r="M102" t="e">
        <f>AND('Planilla_General_29-11-2012_10_'!K1522,"AAAAAG//bww=")</f>
        <v>#VALUE!</v>
      </c>
      <c r="N102" t="e">
        <f>AND('Planilla_General_29-11-2012_10_'!L1522,"AAAAAG//bw0=")</f>
        <v>#VALUE!</v>
      </c>
      <c r="O102" t="e">
        <f>AND('Planilla_General_29-11-2012_10_'!M1522,"AAAAAG//bw4=")</f>
        <v>#VALUE!</v>
      </c>
      <c r="P102" t="e">
        <f>AND('Planilla_General_29-11-2012_10_'!N1522,"AAAAAG//bw8=")</f>
        <v>#VALUE!</v>
      </c>
      <c r="Q102" t="e">
        <f>AND('Planilla_General_29-11-2012_10_'!O1522,"AAAAAG//bxA=")</f>
        <v>#VALUE!</v>
      </c>
      <c r="R102" t="e">
        <f>AND('Planilla_General_29-11-2012_10_'!P1522,"AAAAAG//bxE=")</f>
        <v>#VALUE!</v>
      </c>
      <c r="S102">
        <f>IF('Planilla_General_29-11-2012_10_'!1523:1523,"AAAAAG//bxI=",0)</f>
        <v>0</v>
      </c>
      <c r="T102" t="e">
        <f>AND('Planilla_General_29-11-2012_10_'!A1523,"AAAAAG//bxM=")</f>
        <v>#VALUE!</v>
      </c>
      <c r="U102" t="e">
        <f>AND('Planilla_General_29-11-2012_10_'!B1523,"AAAAAG//bxQ=")</f>
        <v>#VALUE!</v>
      </c>
      <c r="V102" t="e">
        <f>AND('Planilla_General_29-11-2012_10_'!C1523,"AAAAAG//bxU=")</f>
        <v>#VALUE!</v>
      </c>
      <c r="W102" t="e">
        <f>AND('Planilla_General_29-11-2012_10_'!D1523,"AAAAAG//bxY=")</f>
        <v>#VALUE!</v>
      </c>
      <c r="X102" t="e">
        <f>AND('Planilla_General_29-11-2012_10_'!E1523,"AAAAAG//bxc=")</f>
        <v>#VALUE!</v>
      </c>
      <c r="Y102" t="e">
        <f>AND('Planilla_General_29-11-2012_10_'!F1523,"AAAAAG//bxg=")</f>
        <v>#VALUE!</v>
      </c>
      <c r="Z102" t="e">
        <f>AND('Planilla_General_29-11-2012_10_'!G1523,"AAAAAG//bxk=")</f>
        <v>#VALUE!</v>
      </c>
      <c r="AA102" t="e">
        <f>AND('Planilla_General_29-11-2012_10_'!H1523,"AAAAAG//bxo=")</f>
        <v>#VALUE!</v>
      </c>
      <c r="AB102" t="e">
        <f>AND('Planilla_General_29-11-2012_10_'!I1523,"AAAAAG//bxs=")</f>
        <v>#VALUE!</v>
      </c>
      <c r="AC102" t="e">
        <f>AND('Planilla_General_29-11-2012_10_'!J1523,"AAAAAG//bxw=")</f>
        <v>#VALUE!</v>
      </c>
      <c r="AD102" t="e">
        <f>AND('Planilla_General_29-11-2012_10_'!K1523,"AAAAAG//bx0=")</f>
        <v>#VALUE!</v>
      </c>
      <c r="AE102" t="e">
        <f>AND('Planilla_General_29-11-2012_10_'!L1523,"AAAAAG//bx4=")</f>
        <v>#VALUE!</v>
      </c>
      <c r="AF102" t="e">
        <f>AND('Planilla_General_29-11-2012_10_'!M1523,"AAAAAG//bx8=")</f>
        <v>#VALUE!</v>
      </c>
      <c r="AG102" t="e">
        <f>AND('Planilla_General_29-11-2012_10_'!N1523,"AAAAAG//byA=")</f>
        <v>#VALUE!</v>
      </c>
      <c r="AH102" t="e">
        <f>AND('Planilla_General_29-11-2012_10_'!O1523,"AAAAAG//byE=")</f>
        <v>#VALUE!</v>
      </c>
      <c r="AI102" t="e">
        <f>AND('Planilla_General_29-11-2012_10_'!P1523,"AAAAAG//byI=")</f>
        <v>#VALUE!</v>
      </c>
      <c r="AJ102">
        <f>IF('Planilla_General_29-11-2012_10_'!1524:1524,"AAAAAG//byM=",0)</f>
        <v>0</v>
      </c>
      <c r="AK102" t="e">
        <f>AND('Planilla_General_29-11-2012_10_'!A1524,"AAAAAG//byQ=")</f>
        <v>#VALUE!</v>
      </c>
      <c r="AL102" t="e">
        <f>AND('Planilla_General_29-11-2012_10_'!B1524,"AAAAAG//byU=")</f>
        <v>#VALUE!</v>
      </c>
      <c r="AM102" t="e">
        <f>AND('Planilla_General_29-11-2012_10_'!C1524,"AAAAAG//byY=")</f>
        <v>#VALUE!</v>
      </c>
      <c r="AN102" t="e">
        <f>AND('Planilla_General_29-11-2012_10_'!D1524,"AAAAAG//byc=")</f>
        <v>#VALUE!</v>
      </c>
      <c r="AO102" t="e">
        <f>AND('Planilla_General_29-11-2012_10_'!E1524,"AAAAAG//byg=")</f>
        <v>#VALUE!</v>
      </c>
      <c r="AP102" t="e">
        <f>AND('Planilla_General_29-11-2012_10_'!F1524,"AAAAAG//byk=")</f>
        <v>#VALUE!</v>
      </c>
      <c r="AQ102" t="e">
        <f>AND('Planilla_General_29-11-2012_10_'!G1524,"AAAAAG//byo=")</f>
        <v>#VALUE!</v>
      </c>
      <c r="AR102" t="e">
        <f>AND('Planilla_General_29-11-2012_10_'!H1524,"AAAAAG//bys=")</f>
        <v>#VALUE!</v>
      </c>
      <c r="AS102" t="e">
        <f>AND('Planilla_General_29-11-2012_10_'!I1524,"AAAAAG//byw=")</f>
        <v>#VALUE!</v>
      </c>
      <c r="AT102" t="e">
        <f>AND('Planilla_General_29-11-2012_10_'!J1524,"AAAAAG//by0=")</f>
        <v>#VALUE!</v>
      </c>
      <c r="AU102" t="e">
        <f>AND('Planilla_General_29-11-2012_10_'!K1524,"AAAAAG//by4=")</f>
        <v>#VALUE!</v>
      </c>
      <c r="AV102" t="e">
        <f>AND('Planilla_General_29-11-2012_10_'!L1524,"AAAAAG//by8=")</f>
        <v>#VALUE!</v>
      </c>
      <c r="AW102" t="e">
        <f>AND('Planilla_General_29-11-2012_10_'!M1524,"AAAAAG//bzA=")</f>
        <v>#VALUE!</v>
      </c>
      <c r="AX102" t="e">
        <f>AND('Planilla_General_29-11-2012_10_'!N1524,"AAAAAG//bzE=")</f>
        <v>#VALUE!</v>
      </c>
      <c r="AY102" t="e">
        <f>AND('Planilla_General_29-11-2012_10_'!O1524,"AAAAAG//bzI=")</f>
        <v>#VALUE!</v>
      </c>
      <c r="AZ102" t="e">
        <f>AND('Planilla_General_29-11-2012_10_'!P1524,"AAAAAG//bzM=")</f>
        <v>#VALUE!</v>
      </c>
      <c r="BA102">
        <f>IF('Planilla_General_29-11-2012_10_'!1525:1525,"AAAAAG//bzQ=",0)</f>
        <v>0</v>
      </c>
      <c r="BB102" t="e">
        <f>AND('Planilla_General_29-11-2012_10_'!A1525,"AAAAAG//bzU=")</f>
        <v>#VALUE!</v>
      </c>
      <c r="BC102" t="e">
        <f>AND('Planilla_General_29-11-2012_10_'!B1525,"AAAAAG//bzY=")</f>
        <v>#VALUE!</v>
      </c>
      <c r="BD102" t="e">
        <f>AND('Planilla_General_29-11-2012_10_'!C1525,"AAAAAG//bzc=")</f>
        <v>#VALUE!</v>
      </c>
      <c r="BE102" t="e">
        <f>AND('Planilla_General_29-11-2012_10_'!D1525,"AAAAAG//bzg=")</f>
        <v>#VALUE!</v>
      </c>
      <c r="BF102" t="e">
        <f>AND('Planilla_General_29-11-2012_10_'!E1525,"AAAAAG//bzk=")</f>
        <v>#VALUE!</v>
      </c>
      <c r="BG102" t="e">
        <f>AND('Planilla_General_29-11-2012_10_'!F1525,"AAAAAG//bzo=")</f>
        <v>#VALUE!</v>
      </c>
      <c r="BH102" t="e">
        <f>AND('Planilla_General_29-11-2012_10_'!G1525,"AAAAAG//bzs=")</f>
        <v>#VALUE!</v>
      </c>
      <c r="BI102" t="e">
        <f>AND('Planilla_General_29-11-2012_10_'!H1525,"AAAAAG//bzw=")</f>
        <v>#VALUE!</v>
      </c>
      <c r="BJ102" t="e">
        <f>AND('Planilla_General_29-11-2012_10_'!I1525,"AAAAAG//bz0=")</f>
        <v>#VALUE!</v>
      </c>
      <c r="BK102" t="e">
        <f>AND('Planilla_General_29-11-2012_10_'!J1525,"AAAAAG//bz4=")</f>
        <v>#VALUE!</v>
      </c>
      <c r="BL102" t="e">
        <f>AND('Planilla_General_29-11-2012_10_'!K1525,"AAAAAG//bz8=")</f>
        <v>#VALUE!</v>
      </c>
      <c r="BM102" t="e">
        <f>AND('Planilla_General_29-11-2012_10_'!L1525,"AAAAAG//b0A=")</f>
        <v>#VALUE!</v>
      </c>
      <c r="BN102" t="e">
        <f>AND('Planilla_General_29-11-2012_10_'!M1525,"AAAAAG//b0E=")</f>
        <v>#VALUE!</v>
      </c>
      <c r="BO102" t="e">
        <f>AND('Planilla_General_29-11-2012_10_'!N1525,"AAAAAG//b0I=")</f>
        <v>#VALUE!</v>
      </c>
      <c r="BP102" t="e">
        <f>AND('Planilla_General_29-11-2012_10_'!O1525,"AAAAAG//b0M=")</f>
        <v>#VALUE!</v>
      </c>
      <c r="BQ102" t="e">
        <f>AND('Planilla_General_29-11-2012_10_'!P1525,"AAAAAG//b0Q=")</f>
        <v>#VALUE!</v>
      </c>
      <c r="BR102">
        <f>IF('Planilla_General_29-11-2012_10_'!1526:1526,"AAAAAG//b0U=",0)</f>
        <v>0</v>
      </c>
      <c r="BS102" t="e">
        <f>AND('Planilla_General_29-11-2012_10_'!A1526,"AAAAAG//b0Y=")</f>
        <v>#VALUE!</v>
      </c>
      <c r="BT102" t="e">
        <f>AND('Planilla_General_29-11-2012_10_'!B1526,"AAAAAG//b0c=")</f>
        <v>#VALUE!</v>
      </c>
      <c r="BU102" t="e">
        <f>AND('Planilla_General_29-11-2012_10_'!C1526,"AAAAAG//b0g=")</f>
        <v>#VALUE!</v>
      </c>
      <c r="BV102" t="e">
        <f>AND('Planilla_General_29-11-2012_10_'!D1526,"AAAAAG//b0k=")</f>
        <v>#VALUE!</v>
      </c>
      <c r="BW102" t="e">
        <f>AND('Planilla_General_29-11-2012_10_'!E1526,"AAAAAG//b0o=")</f>
        <v>#VALUE!</v>
      </c>
      <c r="BX102" t="e">
        <f>AND('Planilla_General_29-11-2012_10_'!F1526,"AAAAAG//b0s=")</f>
        <v>#VALUE!</v>
      </c>
      <c r="BY102" t="e">
        <f>AND('Planilla_General_29-11-2012_10_'!G1526,"AAAAAG//b0w=")</f>
        <v>#VALUE!</v>
      </c>
      <c r="BZ102" t="e">
        <f>AND('Planilla_General_29-11-2012_10_'!H1526,"AAAAAG//b00=")</f>
        <v>#VALUE!</v>
      </c>
      <c r="CA102" t="e">
        <f>AND('Planilla_General_29-11-2012_10_'!I1526,"AAAAAG//b04=")</f>
        <v>#VALUE!</v>
      </c>
      <c r="CB102" t="e">
        <f>AND('Planilla_General_29-11-2012_10_'!J1526,"AAAAAG//b08=")</f>
        <v>#VALUE!</v>
      </c>
      <c r="CC102" t="e">
        <f>AND('Planilla_General_29-11-2012_10_'!K1526,"AAAAAG//b1A=")</f>
        <v>#VALUE!</v>
      </c>
      <c r="CD102" t="e">
        <f>AND('Planilla_General_29-11-2012_10_'!L1526,"AAAAAG//b1E=")</f>
        <v>#VALUE!</v>
      </c>
      <c r="CE102" t="e">
        <f>AND('Planilla_General_29-11-2012_10_'!M1526,"AAAAAG//b1I=")</f>
        <v>#VALUE!</v>
      </c>
      <c r="CF102" t="e">
        <f>AND('Planilla_General_29-11-2012_10_'!N1526,"AAAAAG//b1M=")</f>
        <v>#VALUE!</v>
      </c>
      <c r="CG102" t="e">
        <f>AND('Planilla_General_29-11-2012_10_'!O1526,"AAAAAG//b1Q=")</f>
        <v>#VALUE!</v>
      </c>
      <c r="CH102" t="e">
        <f>AND('Planilla_General_29-11-2012_10_'!P1526,"AAAAAG//b1U=")</f>
        <v>#VALUE!</v>
      </c>
      <c r="CI102">
        <f>IF('Planilla_General_29-11-2012_10_'!1527:1527,"AAAAAG//b1Y=",0)</f>
        <v>0</v>
      </c>
      <c r="CJ102" t="e">
        <f>AND('Planilla_General_29-11-2012_10_'!A1527,"AAAAAG//b1c=")</f>
        <v>#VALUE!</v>
      </c>
      <c r="CK102" t="e">
        <f>AND('Planilla_General_29-11-2012_10_'!B1527,"AAAAAG//b1g=")</f>
        <v>#VALUE!</v>
      </c>
      <c r="CL102" t="e">
        <f>AND('Planilla_General_29-11-2012_10_'!C1527,"AAAAAG//b1k=")</f>
        <v>#VALUE!</v>
      </c>
      <c r="CM102" t="e">
        <f>AND('Planilla_General_29-11-2012_10_'!D1527,"AAAAAG//b1o=")</f>
        <v>#VALUE!</v>
      </c>
      <c r="CN102" t="e">
        <f>AND('Planilla_General_29-11-2012_10_'!E1527,"AAAAAG//b1s=")</f>
        <v>#VALUE!</v>
      </c>
      <c r="CO102" t="e">
        <f>AND('Planilla_General_29-11-2012_10_'!F1527,"AAAAAG//b1w=")</f>
        <v>#VALUE!</v>
      </c>
      <c r="CP102" t="e">
        <f>AND('Planilla_General_29-11-2012_10_'!G1527,"AAAAAG//b10=")</f>
        <v>#VALUE!</v>
      </c>
      <c r="CQ102" t="e">
        <f>AND('Planilla_General_29-11-2012_10_'!H1527,"AAAAAG//b14=")</f>
        <v>#VALUE!</v>
      </c>
      <c r="CR102" t="e">
        <f>AND('Planilla_General_29-11-2012_10_'!I1527,"AAAAAG//b18=")</f>
        <v>#VALUE!</v>
      </c>
      <c r="CS102" t="e">
        <f>AND('Planilla_General_29-11-2012_10_'!J1527,"AAAAAG//b2A=")</f>
        <v>#VALUE!</v>
      </c>
      <c r="CT102" t="e">
        <f>AND('Planilla_General_29-11-2012_10_'!K1527,"AAAAAG//b2E=")</f>
        <v>#VALUE!</v>
      </c>
      <c r="CU102" t="e">
        <f>AND('Planilla_General_29-11-2012_10_'!L1527,"AAAAAG//b2I=")</f>
        <v>#VALUE!</v>
      </c>
      <c r="CV102" t="e">
        <f>AND('Planilla_General_29-11-2012_10_'!M1527,"AAAAAG//b2M=")</f>
        <v>#VALUE!</v>
      </c>
      <c r="CW102" t="e">
        <f>AND('Planilla_General_29-11-2012_10_'!N1527,"AAAAAG//b2Q=")</f>
        <v>#VALUE!</v>
      </c>
      <c r="CX102" t="e">
        <f>AND('Planilla_General_29-11-2012_10_'!O1527,"AAAAAG//b2U=")</f>
        <v>#VALUE!</v>
      </c>
      <c r="CY102" t="e">
        <f>AND('Planilla_General_29-11-2012_10_'!P1527,"AAAAAG//b2Y=")</f>
        <v>#VALUE!</v>
      </c>
      <c r="CZ102">
        <f>IF('Planilla_General_29-11-2012_10_'!1528:1528,"AAAAAG//b2c=",0)</f>
        <v>0</v>
      </c>
      <c r="DA102" t="e">
        <f>AND('Planilla_General_29-11-2012_10_'!A1528,"AAAAAG//b2g=")</f>
        <v>#VALUE!</v>
      </c>
      <c r="DB102" t="e">
        <f>AND('Planilla_General_29-11-2012_10_'!B1528,"AAAAAG//b2k=")</f>
        <v>#VALUE!</v>
      </c>
      <c r="DC102" t="e">
        <f>AND('Planilla_General_29-11-2012_10_'!C1528,"AAAAAG//b2o=")</f>
        <v>#VALUE!</v>
      </c>
      <c r="DD102" t="e">
        <f>AND('Planilla_General_29-11-2012_10_'!D1528,"AAAAAG//b2s=")</f>
        <v>#VALUE!</v>
      </c>
      <c r="DE102" t="e">
        <f>AND('Planilla_General_29-11-2012_10_'!E1528,"AAAAAG//b2w=")</f>
        <v>#VALUE!</v>
      </c>
      <c r="DF102" t="e">
        <f>AND('Planilla_General_29-11-2012_10_'!F1528,"AAAAAG//b20=")</f>
        <v>#VALUE!</v>
      </c>
      <c r="DG102" t="e">
        <f>AND('Planilla_General_29-11-2012_10_'!G1528,"AAAAAG//b24=")</f>
        <v>#VALUE!</v>
      </c>
      <c r="DH102" t="e">
        <f>AND('Planilla_General_29-11-2012_10_'!H1528,"AAAAAG//b28=")</f>
        <v>#VALUE!</v>
      </c>
      <c r="DI102" t="e">
        <f>AND('Planilla_General_29-11-2012_10_'!I1528,"AAAAAG//b3A=")</f>
        <v>#VALUE!</v>
      </c>
      <c r="DJ102" t="e">
        <f>AND('Planilla_General_29-11-2012_10_'!J1528,"AAAAAG//b3E=")</f>
        <v>#VALUE!</v>
      </c>
      <c r="DK102" t="e">
        <f>AND('Planilla_General_29-11-2012_10_'!K1528,"AAAAAG//b3I=")</f>
        <v>#VALUE!</v>
      </c>
      <c r="DL102" t="e">
        <f>AND('Planilla_General_29-11-2012_10_'!L1528,"AAAAAG//b3M=")</f>
        <v>#VALUE!</v>
      </c>
      <c r="DM102" t="e">
        <f>AND('Planilla_General_29-11-2012_10_'!M1528,"AAAAAG//b3Q=")</f>
        <v>#VALUE!</v>
      </c>
      <c r="DN102" t="e">
        <f>AND('Planilla_General_29-11-2012_10_'!N1528,"AAAAAG//b3U=")</f>
        <v>#VALUE!</v>
      </c>
      <c r="DO102" t="e">
        <f>AND('Planilla_General_29-11-2012_10_'!O1528,"AAAAAG//b3Y=")</f>
        <v>#VALUE!</v>
      </c>
      <c r="DP102" t="e">
        <f>AND('Planilla_General_29-11-2012_10_'!P1528,"AAAAAG//b3c=")</f>
        <v>#VALUE!</v>
      </c>
      <c r="DQ102">
        <f>IF('Planilla_General_29-11-2012_10_'!1529:1529,"AAAAAG//b3g=",0)</f>
        <v>0</v>
      </c>
      <c r="DR102" t="e">
        <f>AND('Planilla_General_29-11-2012_10_'!A1529,"AAAAAG//b3k=")</f>
        <v>#VALUE!</v>
      </c>
      <c r="DS102" t="e">
        <f>AND('Planilla_General_29-11-2012_10_'!B1529,"AAAAAG//b3o=")</f>
        <v>#VALUE!</v>
      </c>
      <c r="DT102" t="e">
        <f>AND('Planilla_General_29-11-2012_10_'!C1529,"AAAAAG//b3s=")</f>
        <v>#VALUE!</v>
      </c>
      <c r="DU102" t="e">
        <f>AND('Planilla_General_29-11-2012_10_'!D1529,"AAAAAG//b3w=")</f>
        <v>#VALUE!</v>
      </c>
      <c r="DV102" t="e">
        <f>AND('Planilla_General_29-11-2012_10_'!E1529,"AAAAAG//b30=")</f>
        <v>#VALUE!</v>
      </c>
      <c r="DW102" t="e">
        <f>AND('Planilla_General_29-11-2012_10_'!F1529,"AAAAAG//b34=")</f>
        <v>#VALUE!</v>
      </c>
      <c r="DX102" t="e">
        <f>AND('Planilla_General_29-11-2012_10_'!G1529,"AAAAAG//b38=")</f>
        <v>#VALUE!</v>
      </c>
      <c r="DY102" t="e">
        <f>AND('Planilla_General_29-11-2012_10_'!H1529,"AAAAAG//b4A=")</f>
        <v>#VALUE!</v>
      </c>
      <c r="DZ102" t="e">
        <f>AND('Planilla_General_29-11-2012_10_'!I1529,"AAAAAG//b4E=")</f>
        <v>#VALUE!</v>
      </c>
      <c r="EA102" t="e">
        <f>AND('Planilla_General_29-11-2012_10_'!J1529,"AAAAAG//b4I=")</f>
        <v>#VALUE!</v>
      </c>
      <c r="EB102" t="e">
        <f>AND('Planilla_General_29-11-2012_10_'!K1529,"AAAAAG//b4M=")</f>
        <v>#VALUE!</v>
      </c>
      <c r="EC102" t="e">
        <f>AND('Planilla_General_29-11-2012_10_'!L1529,"AAAAAG//b4Q=")</f>
        <v>#VALUE!</v>
      </c>
      <c r="ED102" t="e">
        <f>AND('Planilla_General_29-11-2012_10_'!M1529,"AAAAAG//b4U=")</f>
        <v>#VALUE!</v>
      </c>
      <c r="EE102" t="e">
        <f>AND('Planilla_General_29-11-2012_10_'!N1529,"AAAAAG//b4Y=")</f>
        <v>#VALUE!</v>
      </c>
      <c r="EF102" t="e">
        <f>AND('Planilla_General_29-11-2012_10_'!O1529,"AAAAAG//b4c=")</f>
        <v>#VALUE!</v>
      </c>
      <c r="EG102" t="e">
        <f>AND('Planilla_General_29-11-2012_10_'!P1529,"AAAAAG//b4g=")</f>
        <v>#VALUE!</v>
      </c>
      <c r="EH102">
        <f>IF('Planilla_General_29-11-2012_10_'!1530:1530,"AAAAAG//b4k=",0)</f>
        <v>0</v>
      </c>
      <c r="EI102" t="e">
        <f>AND('Planilla_General_29-11-2012_10_'!A1530,"AAAAAG//b4o=")</f>
        <v>#VALUE!</v>
      </c>
      <c r="EJ102" t="e">
        <f>AND('Planilla_General_29-11-2012_10_'!B1530,"AAAAAG//b4s=")</f>
        <v>#VALUE!</v>
      </c>
      <c r="EK102" t="e">
        <f>AND('Planilla_General_29-11-2012_10_'!C1530,"AAAAAG//b4w=")</f>
        <v>#VALUE!</v>
      </c>
      <c r="EL102" t="e">
        <f>AND('Planilla_General_29-11-2012_10_'!D1530,"AAAAAG//b40=")</f>
        <v>#VALUE!</v>
      </c>
      <c r="EM102" t="e">
        <f>AND('Planilla_General_29-11-2012_10_'!E1530,"AAAAAG//b44=")</f>
        <v>#VALUE!</v>
      </c>
      <c r="EN102" t="e">
        <f>AND('Planilla_General_29-11-2012_10_'!F1530,"AAAAAG//b48=")</f>
        <v>#VALUE!</v>
      </c>
      <c r="EO102" t="e">
        <f>AND('Planilla_General_29-11-2012_10_'!G1530,"AAAAAG//b5A=")</f>
        <v>#VALUE!</v>
      </c>
      <c r="EP102" t="e">
        <f>AND('Planilla_General_29-11-2012_10_'!H1530,"AAAAAG//b5E=")</f>
        <v>#VALUE!</v>
      </c>
      <c r="EQ102" t="e">
        <f>AND('Planilla_General_29-11-2012_10_'!I1530,"AAAAAG//b5I=")</f>
        <v>#VALUE!</v>
      </c>
      <c r="ER102" t="e">
        <f>AND('Planilla_General_29-11-2012_10_'!J1530,"AAAAAG//b5M=")</f>
        <v>#VALUE!</v>
      </c>
      <c r="ES102" t="e">
        <f>AND('Planilla_General_29-11-2012_10_'!K1530,"AAAAAG//b5Q=")</f>
        <v>#VALUE!</v>
      </c>
      <c r="ET102" t="e">
        <f>AND('Planilla_General_29-11-2012_10_'!L1530,"AAAAAG//b5U=")</f>
        <v>#VALUE!</v>
      </c>
      <c r="EU102" t="e">
        <f>AND('Planilla_General_29-11-2012_10_'!M1530,"AAAAAG//b5Y=")</f>
        <v>#VALUE!</v>
      </c>
      <c r="EV102" t="e">
        <f>AND('Planilla_General_29-11-2012_10_'!N1530,"AAAAAG//b5c=")</f>
        <v>#VALUE!</v>
      </c>
      <c r="EW102" t="e">
        <f>AND('Planilla_General_29-11-2012_10_'!O1530,"AAAAAG//b5g=")</f>
        <v>#VALUE!</v>
      </c>
      <c r="EX102" t="e">
        <f>AND('Planilla_General_29-11-2012_10_'!P1530,"AAAAAG//b5k=")</f>
        <v>#VALUE!</v>
      </c>
      <c r="EY102">
        <f>IF('Planilla_General_29-11-2012_10_'!1531:1531,"AAAAAG//b5o=",0)</f>
        <v>0</v>
      </c>
      <c r="EZ102" t="e">
        <f>AND('Planilla_General_29-11-2012_10_'!A1531,"AAAAAG//b5s=")</f>
        <v>#VALUE!</v>
      </c>
      <c r="FA102" t="e">
        <f>AND('Planilla_General_29-11-2012_10_'!B1531,"AAAAAG//b5w=")</f>
        <v>#VALUE!</v>
      </c>
      <c r="FB102" t="e">
        <f>AND('Planilla_General_29-11-2012_10_'!C1531,"AAAAAG//b50=")</f>
        <v>#VALUE!</v>
      </c>
      <c r="FC102" t="e">
        <f>AND('Planilla_General_29-11-2012_10_'!D1531,"AAAAAG//b54=")</f>
        <v>#VALUE!</v>
      </c>
      <c r="FD102" t="e">
        <f>AND('Planilla_General_29-11-2012_10_'!E1531,"AAAAAG//b58=")</f>
        <v>#VALUE!</v>
      </c>
      <c r="FE102" t="e">
        <f>AND('Planilla_General_29-11-2012_10_'!F1531,"AAAAAG//b6A=")</f>
        <v>#VALUE!</v>
      </c>
      <c r="FF102" t="e">
        <f>AND('Planilla_General_29-11-2012_10_'!G1531,"AAAAAG//b6E=")</f>
        <v>#VALUE!</v>
      </c>
      <c r="FG102" t="e">
        <f>AND('Planilla_General_29-11-2012_10_'!H1531,"AAAAAG//b6I=")</f>
        <v>#VALUE!</v>
      </c>
      <c r="FH102" t="e">
        <f>AND('Planilla_General_29-11-2012_10_'!I1531,"AAAAAG//b6M=")</f>
        <v>#VALUE!</v>
      </c>
      <c r="FI102" t="e">
        <f>AND('Planilla_General_29-11-2012_10_'!J1531,"AAAAAG//b6Q=")</f>
        <v>#VALUE!</v>
      </c>
      <c r="FJ102" t="e">
        <f>AND('Planilla_General_29-11-2012_10_'!K1531,"AAAAAG//b6U=")</f>
        <v>#VALUE!</v>
      </c>
      <c r="FK102" t="e">
        <f>AND('Planilla_General_29-11-2012_10_'!L1531,"AAAAAG//b6Y=")</f>
        <v>#VALUE!</v>
      </c>
      <c r="FL102" t="e">
        <f>AND('Planilla_General_29-11-2012_10_'!M1531,"AAAAAG//b6c=")</f>
        <v>#VALUE!</v>
      </c>
      <c r="FM102" t="e">
        <f>AND('Planilla_General_29-11-2012_10_'!N1531,"AAAAAG//b6g=")</f>
        <v>#VALUE!</v>
      </c>
      <c r="FN102" t="e">
        <f>AND('Planilla_General_29-11-2012_10_'!O1531,"AAAAAG//b6k=")</f>
        <v>#VALUE!</v>
      </c>
      <c r="FO102" t="e">
        <f>AND('Planilla_General_29-11-2012_10_'!P1531,"AAAAAG//b6o=")</f>
        <v>#VALUE!</v>
      </c>
      <c r="FP102">
        <f>IF('Planilla_General_29-11-2012_10_'!1532:1532,"AAAAAG//b6s=",0)</f>
        <v>0</v>
      </c>
      <c r="FQ102" t="e">
        <f>AND('Planilla_General_29-11-2012_10_'!A1532,"AAAAAG//b6w=")</f>
        <v>#VALUE!</v>
      </c>
      <c r="FR102" t="e">
        <f>AND('Planilla_General_29-11-2012_10_'!B1532,"AAAAAG//b60=")</f>
        <v>#VALUE!</v>
      </c>
      <c r="FS102" t="e">
        <f>AND('Planilla_General_29-11-2012_10_'!C1532,"AAAAAG//b64=")</f>
        <v>#VALUE!</v>
      </c>
      <c r="FT102" t="e">
        <f>AND('Planilla_General_29-11-2012_10_'!D1532,"AAAAAG//b68=")</f>
        <v>#VALUE!</v>
      </c>
      <c r="FU102" t="e">
        <f>AND('Planilla_General_29-11-2012_10_'!E1532,"AAAAAG//b7A=")</f>
        <v>#VALUE!</v>
      </c>
      <c r="FV102" t="e">
        <f>AND('Planilla_General_29-11-2012_10_'!F1532,"AAAAAG//b7E=")</f>
        <v>#VALUE!</v>
      </c>
      <c r="FW102" t="e">
        <f>AND('Planilla_General_29-11-2012_10_'!G1532,"AAAAAG//b7I=")</f>
        <v>#VALUE!</v>
      </c>
      <c r="FX102" t="e">
        <f>AND('Planilla_General_29-11-2012_10_'!H1532,"AAAAAG//b7M=")</f>
        <v>#VALUE!</v>
      </c>
      <c r="FY102" t="e">
        <f>AND('Planilla_General_29-11-2012_10_'!I1532,"AAAAAG//b7Q=")</f>
        <v>#VALUE!</v>
      </c>
      <c r="FZ102" t="e">
        <f>AND('Planilla_General_29-11-2012_10_'!J1532,"AAAAAG//b7U=")</f>
        <v>#VALUE!</v>
      </c>
      <c r="GA102" t="e">
        <f>AND('Planilla_General_29-11-2012_10_'!K1532,"AAAAAG//b7Y=")</f>
        <v>#VALUE!</v>
      </c>
      <c r="GB102" t="e">
        <f>AND('Planilla_General_29-11-2012_10_'!L1532,"AAAAAG//b7c=")</f>
        <v>#VALUE!</v>
      </c>
      <c r="GC102" t="e">
        <f>AND('Planilla_General_29-11-2012_10_'!M1532,"AAAAAG//b7g=")</f>
        <v>#VALUE!</v>
      </c>
      <c r="GD102" t="e">
        <f>AND('Planilla_General_29-11-2012_10_'!N1532,"AAAAAG//b7k=")</f>
        <v>#VALUE!</v>
      </c>
      <c r="GE102" t="e">
        <f>AND('Planilla_General_29-11-2012_10_'!O1532,"AAAAAG//b7o=")</f>
        <v>#VALUE!</v>
      </c>
      <c r="GF102" t="e">
        <f>AND('Planilla_General_29-11-2012_10_'!P1532,"AAAAAG//b7s=")</f>
        <v>#VALUE!</v>
      </c>
      <c r="GG102">
        <f>IF('Planilla_General_29-11-2012_10_'!1533:1533,"AAAAAG//b7w=",0)</f>
        <v>0</v>
      </c>
      <c r="GH102" t="e">
        <f>AND('Planilla_General_29-11-2012_10_'!A1533,"AAAAAG//b70=")</f>
        <v>#VALUE!</v>
      </c>
      <c r="GI102" t="e">
        <f>AND('Planilla_General_29-11-2012_10_'!B1533,"AAAAAG//b74=")</f>
        <v>#VALUE!</v>
      </c>
      <c r="GJ102" t="e">
        <f>AND('Planilla_General_29-11-2012_10_'!C1533,"AAAAAG//b78=")</f>
        <v>#VALUE!</v>
      </c>
      <c r="GK102" t="e">
        <f>AND('Planilla_General_29-11-2012_10_'!D1533,"AAAAAG//b8A=")</f>
        <v>#VALUE!</v>
      </c>
      <c r="GL102" t="e">
        <f>AND('Planilla_General_29-11-2012_10_'!E1533,"AAAAAG//b8E=")</f>
        <v>#VALUE!</v>
      </c>
      <c r="GM102" t="e">
        <f>AND('Planilla_General_29-11-2012_10_'!F1533,"AAAAAG//b8I=")</f>
        <v>#VALUE!</v>
      </c>
      <c r="GN102" t="e">
        <f>AND('Planilla_General_29-11-2012_10_'!G1533,"AAAAAG//b8M=")</f>
        <v>#VALUE!</v>
      </c>
      <c r="GO102" t="e">
        <f>AND('Planilla_General_29-11-2012_10_'!H1533,"AAAAAG//b8Q=")</f>
        <v>#VALUE!</v>
      </c>
      <c r="GP102" t="e">
        <f>AND('Planilla_General_29-11-2012_10_'!I1533,"AAAAAG//b8U=")</f>
        <v>#VALUE!</v>
      </c>
      <c r="GQ102" t="e">
        <f>AND('Planilla_General_29-11-2012_10_'!J1533,"AAAAAG//b8Y=")</f>
        <v>#VALUE!</v>
      </c>
      <c r="GR102" t="e">
        <f>AND('Planilla_General_29-11-2012_10_'!K1533,"AAAAAG//b8c=")</f>
        <v>#VALUE!</v>
      </c>
      <c r="GS102" t="e">
        <f>AND('Planilla_General_29-11-2012_10_'!L1533,"AAAAAG//b8g=")</f>
        <v>#VALUE!</v>
      </c>
      <c r="GT102" t="e">
        <f>AND('Planilla_General_29-11-2012_10_'!M1533,"AAAAAG//b8k=")</f>
        <v>#VALUE!</v>
      </c>
      <c r="GU102" t="e">
        <f>AND('Planilla_General_29-11-2012_10_'!N1533,"AAAAAG//b8o=")</f>
        <v>#VALUE!</v>
      </c>
      <c r="GV102" t="e">
        <f>AND('Planilla_General_29-11-2012_10_'!O1533,"AAAAAG//b8s=")</f>
        <v>#VALUE!</v>
      </c>
      <c r="GW102" t="e">
        <f>AND('Planilla_General_29-11-2012_10_'!P1533,"AAAAAG//b8w=")</f>
        <v>#VALUE!</v>
      </c>
      <c r="GX102">
        <f>IF('Planilla_General_29-11-2012_10_'!1534:1534,"AAAAAG//b80=",0)</f>
        <v>0</v>
      </c>
      <c r="GY102" t="e">
        <f>AND('Planilla_General_29-11-2012_10_'!A1534,"AAAAAG//b84=")</f>
        <v>#VALUE!</v>
      </c>
      <c r="GZ102" t="e">
        <f>AND('Planilla_General_29-11-2012_10_'!B1534,"AAAAAG//b88=")</f>
        <v>#VALUE!</v>
      </c>
      <c r="HA102" t="e">
        <f>AND('Planilla_General_29-11-2012_10_'!C1534,"AAAAAG//b9A=")</f>
        <v>#VALUE!</v>
      </c>
      <c r="HB102" t="e">
        <f>AND('Planilla_General_29-11-2012_10_'!D1534,"AAAAAG//b9E=")</f>
        <v>#VALUE!</v>
      </c>
      <c r="HC102" t="e">
        <f>AND('Planilla_General_29-11-2012_10_'!E1534,"AAAAAG//b9I=")</f>
        <v>#VALUE!</v>
      </c>
      <c r="HD102" t="e">
        <f>AND('Planilla_General_29-11-2012_10_'!F1534,"AAAAAG//b9M=")</f>
        <v>#VALUE!</v>
      </c>
      <c r="HE102" t="e">
        <f>AND('Planilla_General_29-11-2012_10_'!G1534,"AAAAAG//b9Q=")</f>
        <v>#VALUE!</v>
      </c>
      <c r="HF102" t="e">
        <f>AND('Planilla_General_29-11-2012_10_'!H1534,"AAAAAG//b9U=")</f>
        <v>#VALUE!</v>
      </c>
      <c r="HG102" t="e">
        <f>AND('Planilla_General_29-11-2012_10_'!I1534,"AAAAAG//b9Y=")</f>
        <v>#VALUE!</v>
      </c>
      <c r="HH102" t="e">
        <f>AND('Planilla_General_29-11-2012_10_'!J1534,"AAAAAG//b9c=")</f>
        <v>#VALUE!</v>
      </c>
      <c r="HI102" t="e">
        <f>AND('Planilla_General_29-11-2012_10_'!K1534,"AAAAAG//b9g=")</f>
        <v>#VALUE!</v>
      </c>
      <c r="HJ102" t="e">
        <f>AND('Planilla_General_29-11-2012_10_'!L1534,"AAAAAG//b9k=")</f>
        <v>#VALUE!</v>
      </c>
      <c r="HK102" t="e">
        <f>AND('Planilla_General_29-11-2012_10_'!M1534,"AAAAAG//b9o=")</f>
        <v>#VALUE!</v>
      </c>
      <c r="HL102" t="e">
        <f>AND('Planilla_General_29-11-2012_10_'!N1534,"AAAAAG//b9s=")</f>
        <v>#VALUE!</v>
      </c>
      <c r="HM102" t="e">
        <f>AND('Planilla_General_29-11-2012_10_'!O1534,"AAAAAG//b9w=")</f>
        <v>#VALUE!</v>
      </c>
      <c r="HN102" t="e">
        <f>AND('Planilla_General_29-11-2012_10_'!P1534,"AAAAAG//b90=")</f>
        <v>#VALUE!</v>
      </c>
      <c r="HO102">
        <f>IF('Planilla_General_29-11-2012_10_'!1535:1535,"AAAAAG//b94=",0)</f>
        <v>0</v>
      </c>
      <c r="HP102" t="e">
        <f>AND('Planilla_General_29-11-2012_10_'!A1535,"AAAAAG//b98=")</f>
        <v>#VALUE!</v>
      </c>
      <c r="HQ102" t="e">
        <f>AND('Planilla_General_29-11-2012_10_'!B1535,"AAAAAG//b+A=")</f>
        <v>#VALUE!</v>
      </c>
      <c r="HR102" t="e">
        <f>AND('Planilla_General_29-11-2012_10_'!C1535,"AAAAAG//b+E=")</f>
        <v>#VALUE!</v>
      </c>
      <c r="HS102" t="e">
        <f>AND('Planilla_General_29-11-2012_10_'!D1535,"AAAAAG//b+I=")</f>
        <v>#VALUE!</v>
      </c>
      <c r="HT102" t="e">
        <f>AND('Planilla_General_29-11-2012_10_'!E1535,"AAAAAG//b+M=")</f>
        <v>#VALUE!</v>
      </c>
      <c r="HU102" t="e">
        <f>AND('Planilla_General_29-11-2012_10_'!F1535,"AAAAAG//b+Q=")</f>
        <v>#VALUE!</v>
      </c>
      <c r="HV102" t="e">
        <f>AND('Planilla_General_29-11-2012_10_'!G1535,"AAAAAG//b+U=")</f>
        <v>#VALUE!</v>
      </c>
      <c r="HW102" t="e">
        <f>AND('Planilla_General_29-11-2012_10_'!H1535,"AAAAAG//b+Y=")</f>
        <v>#VALUE!</v>
      </c>
      <c r="HX102" t="e">
        <f>AND('Planilla_General_29-11-2012_10_'!I1535,"AAAAAG//b+c=")</f>
        <v>#VALUE!</v>
      </c>
      <c r="HY102" t="e">
        <f>AND('Planilla_General_29-11-2012_10_'!J1535,"AAAAAG//b+g=")</f>
        <v>#VALUE!</v>
      </c>
      <c r="HZ102" t="e">
        <f>AND('Planilla_General_29-11-2012_10_'!K1535,"AAAAAG//b+k=")</f>
        <v>#VALUE!</v>
      </c>
      <c r="IA102" t="e">
        <f>AND('Planilla_General_29-11-2012_10_'!L1535,"AAAAAG//b+o=")</f>
        <v>#VALUE!</v>
      </c>
      <c r="IB102" t="e">
        <f>AND('Planilla_General_29-11-2012_10_'!M1535,"AAAAAG//b+s=")</f>
        <v>#VALUE!</v>
      </c>
      <c r="IC102" t="e">
        <f>AND('Planilla_General_29-11-2012_10_'!N1535,"AAAAAG//b+w=")</f>
        <v>#VALUE!</v>
      </c>
      <c r="ID102" t="e">
        <f>AND('Planilla_General_29-11-2012_10_'!O1535,"AAAAAG//b+0=")</f>
        <v>#VALUE!</v>
      </c>
      <c r="IE102" t="e">
        <f>AND('Planilla_General_29-11-2012_10_'!P1535,"AAAAAG//b+4=")</f>
        <v>#VALUE!</v>
      </c>
      <c r="IF102">
        <f>IF('Planilla_General_29-11-2012_10_'!1536:1536,"AAAAAG//b+8=",0)</f>
        <v>0</v>
      </c>
      <c r="IG102" t="e">
        <f>AND('Planilla_General_29-11-2012_10_'!A1536,"AAAAAG//b/A=")</f>
        <v>#VALUE!</v>
      </c>
      <c r="IH102" t="e">
        <f>AND('Planilla_General_29-11-2012_10_'!B1536,"AAAAAG//b/E=")</f>
        <v>#VALUE!</v>
      </c>
      <c r="II102" t="e">
        <f>AND('Planilla_General_29-11-2012_10_'!C1536,"AAAAAG//b/I=")</f>
        <v>#VALUE!</v>
      </c>
      <c r="IJ102" t="e">
        <f>AND('Planilla_General_29-11-2012_10_'!D1536,"AAAAAG//b/M=")</f>
        <v>#VALUE!</v>
      </c>
      <c r="IK102" t="e">
        <f>AND('Planilla_General_29-11-2012_10_'!E1536,"AAAAAG//b/Q=")</f>
        <v>#VALUE!</v>
      </c>
      <c r="IL102" t="e">
        <f>AND('Planilla_General_29-11-2012_10_'!F1536,"AAAAAG//b/U=")</f>
        <v>#VALUE!</v>
      </c>
      <c r="IM102" t="e">
        <f>AND('Planilla_General_29-11-2012_10_'!G1536,"AAAAAG//b/Y=")</f>
        <v>#VALUE!</v>
      </c>
      <c r="IN102" t="e">
        <f>AND('Planilla_General_29-11-2012_10_'!H1536,"AAAAAG//b/c=")</f>
        <v>#VALUE!</v>
      </c>
      <c r="IO102" t="e">
        <f>AND('Planilla_General_29-11-2012_10_'!I1536,"AAAAAG//b/g=")</f>
        <v>#VALUE!</v>
      </c>
      <c r="IP102" t="e">
        <f>AND('Planilla_General_29-11-2012_10_'!J1536,"AAAAAG//b/k=")</f>
        <v>#VALUE!</v>
      </c>
      <c r="IQ102" t="e">
        <f>AND('Planilla_General_29-11-2012_10_'!K1536,"AAAAAG//b/o=")</f>
        <v>#VALUE!</v>
      </c>
      <c r="IR102" t="e">
        <f>AND('Planilla_General_29-11-2012_10_'!L1536,"AAAAAG//b/s=")</f>
        <v>#VALUE!</v>
      </c>
      <c r="IS102" t="e">
        <f>AND('Planilla_General_29-11-2012_10_'!M1536,"AAAAAG//b/w=")</f>
        <v>#VALUE!</v>
      </c>
      <c r="IT102" t="e">
        <f>AND('Planilla_General_29-11-2012_10_'!N1536,"AAAAAG//b/0=")</f>
        <v>#VALUE!</v>
      </c>
      <c r="IU102" t="e">
        <f>AND('Planilla_General_29-11-2012_10_'!O1536,"AAAAAG//b/4=")</f>
        <v>#VALUE!</v>
      </c>
      <c r="IV102" t="e">
        <f>AND('Planilla_General_29-11-2012_10_'!P1536,"AAAAAG//b/8=")</f>
        <v>#VALUE!</v>
      </c>
    </row>
    <row r="103" spans="1:256" x14ac:dyDescent="0.25">
      <c r="A103" t="e">
        <f>IF('Planilla_General_29-11-2012_10_'!1537:1537,"AAAAAD/36wA=",0)</f>
        <v>#VALUE!</v>
      </c>
      <c r="B103" t="e">
        <f>AND('Planilla_General_29-11-2012_10_'!A1537,"AAAAAD/36wE=")</f>
        <v>#VALUE!</v>
      </c>
      <c r="C103" t="e">
        <f>AND('Planilla_General_29-11-2012_10_'!B1537,"AAAAAD/36wI=")</f>
        <v>#VALUE!</v>
      </c>
      <c r="D103" t="e">
        <f>AND('Planilla_General_29-11-2012_10_'!C1537,"AAAAAD/36wM=")</f>
        <v>#VALUE!</v>
      </c>
      <c r="E103" t="e">
        <f>AND('Planilla_General_29-11-2012_10_'!D1537,"AAAAAD/36wQ=")</f>
        <v>#VALUE!</v>
      </c>
      <c r="F103" t="e">
        <f>AND('Planilla_General_29-11-2012_10_'!E1537,"AAAAAD/36wU=")</f>
        <v>#VALUE!</v>
      </c>
      <c r="G103" t="e">
        <f>AND('Planilla_General_29-11-2012_10_'!F1537,"AAAAAD/36wY=")</f>
        <v>#VALUE!</v>
      </c>
      <c r="H103" t="e">
        <f>AND('Planilla_General_29-11-2012_10_'!G1537,"AAAAAD/36wc=")</f>
        <v>#VALUE!</v>
      </c>
      <c r="I103" t="e">
        <f>AND('Planilla_General_29-11-2012_10_'!H1537,"AAAAAD/36wg=")</f>
        <v>#VALUE!</v>
      </c>
      <c r="J103" t="e">
        <f>AND('Planilla_General_29-11-2012_10_'!I1537,"AAAAAD/36wk=")</f>
        <v>#VALUE!</v>
      </c>
      <c r="K103" t="e">
        <f>AND('Planilla_General_29-11-2012_10_'!J1537,"AAAAAD/36wo=")</f>
        <v>#VALUE!</v>
      </c>
      <c r="L103" t="e">
        <f>AND('Planilla_General_29-11-2012_10_'!K1537,"AAAAAD/36ws=")</f>
        <v>#VALUE!</v>
      </c>
      <c r="M103" t="e">
        <f>AND('Planilla_General_29-11-2012_10_'!L1537,"AAAAAD/36ww=")</f>
        <v>#VALUE!</v>
      </c>
      <c r="N103" t="e">
        <f>AND('Planilla_General_29-11-2012_10_'!M1537,"AAAAAD/36w0=")</f>
        <v>#VALUE!</v>
      </c>
      <c r="O103" t="e">
        <f>AND('Planilla_General_29-11-2012_10_'!N1537,"AAAAAD/36w4=")</f>
        <v>#VALUE!</v>
      </c>
      <c r="P103" t="e">
        <f>AND('Planilla_General_29-11-2012_10_'!O1537,"AAAAAD/36w8=")</f>
        <v>#VALUE!</v>
      </c>
      <c r="Q103" t="e">
        <f>AND('Planilla_General_29-11-2012_10_'!P1537,"AAAAAD/36xA=")</f>
        <v>#VALUE!</v>
      </c>
      <c r="R103">
        <f>IF('Planilla_General_29-11-2012_10_'!1538:1538,"AAAAAD/36xE=",0)</f>
        <v>0</v>
      </c>
      <c r="S103" t="e">
        <f>AND('Planilla_General_29-11-2012_10_'!A1538,"AAAAAD/36xI=")</f>
        <v>#VALUE!</v>
      </c>
      <c r="T103" t="e">
        <f>AND('Planilla_General_29-11-2012_10_'!B1538,"AAAAAD/36xM=")</f>
        <v>#VALUE!</v>
      </c>
      <c r="U103" t="e">
        <f>AND('Planilla_General_29-11-2012_10_'!C1538,"AAAAAD/36xQ=")</f>
        <v>#VALUE!</v>
      </c>
      <c r="V103" t="e">
        <f>AND('Planilla_General_29-11-2012_10_'!D1538,"AAAAAD/36xU=")</f>
        <v>#VALUE!</v>
      </c>
      <c r="W103" t="e">
        <f>AND('Planilla_General_29-11-2012_10_'!E1538,"AAAAAD/36xY=")</f>
        <v>#VALUE!</v>
      </c>
      <c r="X103" t="e">
        <f>AND('Planilla_General_29-11-2012_10_'!F1538,"AAAAAD/36xc=")</f>
        <v>#VALUE!</v>
      </c>
      <c r="Y103" t="e">
        <f>AND('Planilla_General_29-11-2012_10_'!G1538,"AAAAAD/36xg=")</f>
        <v>#VALUE!</v>
      </c>
      <c r="Z103" t="e">
        <f>AND('Planilla_General_29-11-2012_10_'!H1538,"AAAAAD/36xk=")</f>
        <v>#VALUE!</v>
      </c>
      <c r="AA103" t="e">
        <f>AND('Planilla_General_29-11-2012_10_'!I1538,"AAAAAD/36xo=")</f>
        <v>#VALUE!</v>
      </c>
      <c r="AB103" t="e">
        <f>AND('Planilla_General_29-11-2012_10_'!J1538,"AAAAAD/36xs=")</f>
        <v>#VALUE!</v>
      </c>
      <c r="AC103" t="e">
        <f>AND('Planilla_General_29-11-2012_10_'!K1538,"AAAAAD/36xw=")</f>
        <v>#VALUE!</v>
      </c>
      <c r="AD103" t="e">
        <f>AND('Planilla_General_29-11-2012_10_'!L1538,"AAAAAD/36x0=")</f>
        <v>#VALUE!</v>
      </c>
      <c r="AE103" t="e">
        <f>AND('Planilla_General_29-11-2012_10_'!M1538,"AAAAAD/36x4=")</f>
        <v>#VALUE!</v>
      </c>
      <c r="AF103" t="e">
        <f>AND('Planilla_General_29-11-2012_10_'!N1538,"AAAAAD/36x8=")</f>
        <v>#VALUE!</v>
      </c>
      <c r="AG103" t="e">
        <f>AND('Planilla_General_29-11-2012_10_'!O1538,"AAAAAD/36yA=")</f>
        <v>#VALUE!</v>
      </c>
      <c r="AH103" t="e">
        <f>AND('Planilla_General_29-11-2012_10_'!P1538,"AAAAAD/36yE=")</f>
        <v>#VALUE!</v>
      </c>
      <c r="AI103">
        <f>IF('Planilla_General_29-11-2012_10_'!1539:1539,"AAAAAD/36yI=",0)</f>
        <v>0</v>
      </c>
      <c r="AJ103" t="e">
        <f>AND('Planilla_General_29-11-2012_10_'!A1539,"AAAAAD/36yM=")</f>
        <v>#VALUE!</v>
      </c>
      <c r="AK103" t="e">
        <f>AND('Planilla_General_29-11-2012_10_'!B1539,"AAAAAD/36yQ=")</f>
        <v>#VALUE!</v>
      </c>
      <c r="AL103" t="e">
        <f>AND('Planilla_General_29-11-2012_10_'!C1539,"AAAAAD/36yU=")</f>
        <v>#VALUE!</v>
      </c>
      <c r="AM103" t="e">
        <f>AND('Planilla_General_29-11-2012_10_'!D1539,"AAAAAD/36yY=")</f>
        <v>#VALUE!</v>
      </c>
      <c r="AN103" t="e">
        <f>AND('Planilla_General_29-11-2012_10_'!E1539,"AAAAAD/36yc=")</f>
        <v>#VALUE!</v>
      </c>
      <c r="AO103" t="e">
        <f>AND('Planilla_General_29-11-2012_10_'!F1539,"AAAAAD/36yg=")</f>
        <v>#VALUE!</v>
      </c>
      <c r="AP103" t="e">
        <f>AND('Planilla_General_29-11-2012_10_'!G1539,"AAAAAD/36yk=")</f>
        <v>#VALUE!</v>
      </c>
      <c r="AQ103" t="e">
        <f>AND('Planilla_General_29-11-2012_10_'!H1539,"AAAAAD/36yo=")</f>
        <v>#VALUE!</v>
      </c>
      <c r="AR103" t="e">
        <f>AND('Planilla_General_29-11-2012_10_'!I1539,"AAAAAD/36ys=")</f>
        <v>#VALUE!</v>
      </c>
      <c r="AS103" t="e">
        <f>AND('Planilla_General_29-11-2012_10_'!J1539,"AAAAAD/36yw=")</f>
        <v>#VALUE!</v>
      </c>
      <c r="AT103" t="e">
        <f>AND('Planilla_General_29-11-2012_10_'!K1539,"AAAAAD/36y0=")</f>
        <v>#VALUE!</v>
      </c>
      <c r="AU103" t="e">
        <f>AND('Planilla_General_29-11-2012_10_'!L1539,"AAAAAD/36y4=")</f>
        <v>#VALUE!</v>
      </c>
      <c r="AV103" t="e">
        <f>AND('Planilla_General_29-11-2012_10_'!M1539,"AAAAAD/36y8=")</f>
        <v>#VALUE!</v>
      </c>
      <c r="AW103" t="e">
        <f>AND('Planilla_General_29-11-2012_10_'!N1539,"AAAAAD/36zA=")</f>
        <v>#VALUE!</v>
      </c>
      <c r="AX103" t="e">
        <f>AND('Planilla_General_29-11-2012_10_'!O1539,"AAAAAD/36zE=")</f>
        <v>#VALUE!</v>
      </c>
      <c r="AY103" t="e">
        <f>AND('Planilla_General_29-11-2012_10_'!P1539,"AAAAAD/36zI=")</f>
        <v>#VALUE!</v>
      </c>
      <c r="AZ103">
        <f>IF('Planilla_General_29-11-2012_10_'!1540:1540,"AAAAAD/36zM=",0)</f>
        <v>0</v>
      </c>
      <c r="BA103" t="e">
        <f>AND('Planilla_General_29-11-2012_10_'!A1540,"AAAAAD/36zQ=")</f>
        <v>#VALUE!</v>
      </c>
      <c r="BB103" t="e">
        <f>AND('Planilla_General_29-11-2012_10_'!B1540,"AAAAAD/36zU=")</f>
        <v>#VALUE!</v>
      </c>
      <c r="BC103" t="e">
        <f>AND('Planilla_General_29-11-2012_10_'!C1540,"AAAAAD/36zY=")</f>
        <v>#VALUE!</v>
      </c>
      <c r="BD103" t="e">
        <f>AND('Planilla_General_29-11-2012_10_'!D1540,"AAAAAD/36zc=")</f>
        <v>#VALUE!</v>
      </c>
      <c r="BE103" t="e">
        <f>AND('Planilla_General_29-11-2012_10_'!E1540,"AAAAAD/36zg=")</f>
        <v>#VALUE!</v>
      </c>
      <c r="BF103" t="e">
        <f>AND('Planilla_General_29-11-2012_10_'!F1540,"AAAAAD/36zk=")</f>
        <v>#VALUE!</v>
      </c>
      <c r="BG103" t="e">
        <f>AND('Planilla_General_29-11-2012_10_'!G1540,"AAAAAD/36zo=")</f>
        <v>#VALUE!</v>
      </c>
      <c r="BH103" t="e">
        <f>AND('Planilla_General_29-11-2012_10_'!H1540,"AAAAAD/36zs=")</f>
        <v>#VALUE!</v>
      </c>
      <c r="BI103" t="e">
        <f>AND('Planilla_General_29-11-2012_10_'!I1540,"AAAAAD/36zw=")</f>
        <v>#VALUE!</v>
      </c>
      <c r="BJ103" t="e">
        <f>AND('Planilla_General_29-11-2012_10_'!J1540,"AAAAAD/36z0=")</f>
        <v>#VALUE!</v>
      </c>
      <c r="BK103" t="e">
        <f>AND('Planilla_General_29-11-2012_10_'!K1540,"AAAAAD/36z4=")</f>
        <v>#VALUE!</v>
      </c>
      <c r="BL103" t="e">
        <f>AND('Planilla_General_29-11-2012_10_'!L1540,"AAAAAD/36z8=")</f>
        <v>#VALUE!</v>
      </c>
      <c r="BM103" t="e">
        <f>AND('Planilla_General_29-11-2012_10_'!M1540,"AAAAAD/360A=")</f>
        <v>#VALUE!</v>
      </c>
      <c r="BN103" t="e">
        <f>AND('Planilla_General_29-11-2012_10_'!N1540,"AAAAAD/360E=")</f>
        <v>#VALUE!</v>
      </c>
      <c r="BO103" t="e">
        <f>AND('Planilla_General_29-11-2012_10_'!O1540,"AAAAAD/360I=")</f>
        <v>#VALUE!</v>
      </c>
      <c r="BP103" t="e">
        <f>AND('Planilla_General_29-11-2012_10_'!P1540,"AAAAAD/360M=")</f>
        <v>#VALUE!</v>
      </c>
      <c r="BQ103">
        <f>IF('Planilla_General_29-11-2012_10_'!1541:1541,"AAAAAD/360Q=",0)</f>
        <v>0</v>
      </c>
      <c r="BR103" t="e">
        <f>AND('Planilla_General_29-11-2012_10_'!A1541,"AAAAAD/360U=")</f>
        <v>#VALUE!</v>
      </c>
      <c r="BS103" t="e">
        <f>AND('Planilla_General_29-11-2012_10_'!B1541,"AAAAAD/360Y=")</f>
        <v>#VALUE!</v>
      </c>
      <c r="BT103" t="e">
        <f>AND('Planilla_General_29-11-2012_10_'!C1541,"AAAAAD/360c=")</f>
        <v>#VALUE!</v>
      </c>
      <c r="BU103" t="e">
        <f>AND('Planilla_General_29-11-2012_10_'!D1541,"AAAAAD/360g=")</f>
        <v>#VALUE!</v>
      </c>
      <c r="BV103" t="e">
        <f>AND('Planilla_General_29-11-2012_10_'!E1541,"AAAAAD/360k=")</f>
        <v>#VALUE!</v>
      </c>
      <c r="BW103" t="e">
        <f>AND('Planilla_General_29-11-2012_10_'!F1541,"AAAAAD/360o=")</f>
        <v>#VALUE!</v>
      </c>
      <c r="BX103" t="e">
        <f>AND('Planilla_General_29-11-2012_10_'!G1541,"AAAAAD/360s=")</f>
        <v>#VALUE!</v>
      </c>
      <c r="BY103" t="e">
        <f>AND('Planilla_General_29-11-2012_10_'!H1541,"AAAAAD/360w=")</f>
        <v>#VALUE!</v>
      </c>
      <c r="BZ103" t="e">
        <f>AND('Planilla_General_29-11-2012_10_'!I1541,"AAAAAD/3600=")</f>
        <v>#VALUE!</v>
      </c>
      <c r="CA103" t="e">
        <f>AND('Planilla_General_29-11-2012_10_'!J1541,"AAAAAD/3604=")</f>
        <v>#VALUE!</v>
      </c>
      <c r="CB103" t="e">
        <f>AND('Planilla_General_29-11-2012_10_'!K1541,"AAAAAD/3608=")</f>
        <v>#VALUE!</v>
      </c>
      <c r="CC103" t="e">
        <f>AND('Planilla_General_29-11-2012_10_'!L1541,"AAAAAD/361A=")</f>
        <v>#VALUE!</v>
      </c>
      <c r="CD103" t="e">
        <f>AND('Planilla_General_29-11-2012_10_'!M1541,"AAAAAD/361E=")</f>
        <v>#VALUE!</v>
      </c>
      <c r="CE103" t="e">
        <f>AND('Planilla_General_29-11-2012_10_'!N1541,"AAAAAD/361I=")</f>
        <v>#VALUE!</v>
      </c>
      <c r="CF103" t="e">
        <f>AND('Planilla_General_29-11-2012_10_'!O1541,"AAAAAD/361M=")</f>
        <v>#VALUE!</v>
      </c>
      <c r="CG103" t="e">
        <f>AND('Planilla_General_29-11-2012_10_'!P1541,"AAAAAD/361Q=")</f>
        <v>#VALUE!</v>
      </c>
      <c r="CH103">
        <f>IF('Planilla_General_29-11-2012_10_'!1542:1542,"AAAAAD/361U=",0)</f>
        <v>0</v>
      </c>
      <c r="CI103" t="e">
        <f>AND('Planilla_General_29-11-2012_10_'!A1542,"AAAAAD/361Y=")</f>
        <v>#VALUE!</v>
      </c>
      <c r="CJ103" t="e">
        <f>AND('Planilla_General_29-11-2012_10_'!B1542,"AAAAAD/361c=")</f>
        <v>#VALUE!</v>
      </c>
      <c r="CK103" t="e">
        <f>AND('Planilla_General_29-11-2012_10_'!C1542,"AAAAAD/361g=")</f>
        <v>#VALUE!</v>
      </c>
      <c r="CL103" t="e">
        <f>AND('Planilla_General_29-11-2012_10_'!D1542,"AAAAAD/361k=")</f>
        <v>#VALUE!</v>
      </c>
      <c r="CM103" t="e">
        <f>AND('Planilla_General_29-11-2012_10_'!E1542,"AAAAAD/361o=")</f>
        <v>#VALUE!</v>
      </c>
      <c r="CN103" t="e">
        <f>AND('Planilla_General_29-11-2012_10_'!F1542,"AAAAAD/361s=")</f>
        <v>#VALUE!</v>
      </c>
      <c r="CO103" t="e">
        <f>AND('Planilla_General_29-11-2012_10_'!G1542,"AAAAAD/361w=")</f>
        <v>#VALUE!</v>
      </c>
      <c r="CP103" t="e">
        <f>AND('Planilla_General_29-11-2012_10_'!H1542,"AAAAAD/3610=")</f>
        <v>#VALUE!</v>
      </c>
      <c r="CQ103" t="e">
        <f>AND('Planilla_General_29-11-2012_10_'!I1542,"AAAAAD/3614=")</f>
        <v>#VALUE!</v>
      </c>
      <c r="CR103" t="e">
        <f>AND('Planilla_General_29-11-2012_10_'!J1542,"AAAAAD/3618=")</f>
        <v>#VALUE!</v>
      </c>
      <c r="CS103" t="e">
        <f>AND('Planilla_General_29-11-2012_10_'!K1542,"AAAAAD/362A=")</f>
        <v>#VALUE!</v>
      </c>
      <c r="CT103" t="e">
        <f>AND('Planilla_General_29-11-2012_10_'!L1542,"AAAAAD/362E=")</f>
        <v>#VALUE!</v>
      </c>
      <c r="CU103" t="e">
        <f>AND('Planilla_General_29-11-2012_10_'!M1542,"AAAAAD/362I=")</f>
        <v>#VALUE!</v>
      </c>
      <c r="CV103" t="e">
        <f>AND('Planilla_General_29-11-2012_10_'!N1542,"AAAAAD/362M=")</f>
        <v>#VALUE!</v>
      </c>
      <c r="CW103" t="e">
        <f>AND('Planilla_General_29-11-2012_10_'!O1542,"AAAAAD/362Q=")</f>
        <v>#VALUE!</v>
      </c>
      <c r="CX103" t="e">
        <f>AND('Planilla_General_29-11-2012_10_'!P1542,"AAAAAD/362U=")</f>
        <v>#VALUE!</v>
      </c>
      <c r="CY103">
        <f>IF('Planilla_General_29-11-2012_10_'!1543:1543,"AAAAAD/362Y=",0)</f>
        <v>0</v>
      </c>
      <c r="CZ103" t="e">
        <f>AND('Planilla_General_29-11-2012_10_'!A1543,"AAAAAD/362c=")</f>
        <v>#VALUE!</v>
      </c>
      <c r="DA103" t="e">
        <f>AND('Planilla_General_29-11-2012_10_'!B1543,"AAAAAD/362g=")</f>
        <v>#VALUE!</v>
      </c>
      <c r="DB103" t="e">
        <f>AND('Planilla_General_29-11-2012_10_'!C1543,"AAAAAD/362k=")</f>
        <v>#VALUE!</v>
      </c>
      <c r="DC103" t="e">
        <f>AND('Planilla_General_29-11-2012_10_'!D1543,"AAAAAD/362o=")</f>
        <v>#VALUE!</v>
      </c>
      <c r="DD103" t="e">
        <f>AND('Planilla_General_29-11-2012_10_'!E1543,"AAAAAD/362s=")</f>
        <v>#VALUE!</v>
      </c>
      <c r="DE103" t="e">
        <f>AND('Planilla_General_29-11-2012_10_'!F1543,"AAAAAD/362w=")</f>
        <v>#VALUE!</v>
      </c>
      <c r="DF103" t="e">
        <f>AND('Planilla_General_29-11-2012_10_'!G1543,"AAAAAD/3620=")</f>
        <v>#VALUE!</v>
      </c>
      <c r="DG103" t="e">
        <f>AND('Planilla_General_29-11-2012_10_'!H1543,"AAAAAD/3624=")</f>
        <v>#VALUE!</v>
      </c>
      <c r="DH103" t="e">
        <f>AND('Planilla_General_29-11-2012_10_'!I1543,"AAAAAD/3628=")</f>
        <v>#VALUE!</v>
      </c>
      <c r="DI103" t="e">
        <f>AND('Planilla_General_29-11-2012_10_'!J1543,"AAAAAD/363A=")</f>
        <v>#VALUE!</v>
      </c>
      <c r="DJ103" t="e">
        <f>AND('Planilla_General_29-11-2012_10_'!K1543,"AAAAAD/363E=")</f>
        <v>#VALUE!</v>
      </c>
      <c r="DK103" t="e">
        <f>AND('Planilla_General_29-11-2012_10_'!L1543,"AAAAAD/363I=")</f>
        <v>#VALUE!</v>
      </c>
      <c r="DL103" t="e">
        <f>AND('Planilla_General_29-11-2012_10_'!M1543,"AAAAAD/363M=")</f>
        <v>#VALUE!</v>
      </c>
      <c r="DM103" t="e">
        <f>AND('Planilla_General_29-11-2012_10_'!N1543,"AAAAAD/363Q=")</f>
        <v>#VALUE!</v>
      </c>
      <c r="DN103" t="e">
        <f>AND('Planilla_General_29-11-2012_10_'!O1543,"AAAAAD/363U=")</f>
        <v>#VALUE!</v>
      </c>
      <c r="DO103" t="e">
        <f>AND('Planilla_General_29-11-2012_10_'!P1543,"AAAAAD/363Y=")</f>
        <v>#VALUE!</v>
      </c>
      <c r="DP103">
        <f>IF('Planilla_General_29-11-2012_10_'!1544:1544,"AAAAAD/363c=",0)</f>
        <v>0</v>
      </c>
      <c r="DQ103" t="e">
        <f>AND('Planilla_General_29-11-2012_10_'!A1544,"AAAAAD/363g=")</f>
        <v>#VALUE!</v>
      </c>
      <c r="DR103" t="e">
        <f>AND('Planilla_General_29-11-2012_10_'!B1544,"AAAAAD/363k=")</f>
        <v>#VALUE!</v>
      </c>
      <c r="DS103" t="e">
        <f>AND('Planilla_General_29-11-2012_10_'!C1544,"AAAAAD/363o=")</f>
        <v>#VALUE!</v>
      </c>
      <c r="DT103" t="e">
        <f>AND('Planilla_General_29-11-2012_10_'!D1544,"AAAAAD/363s=")</f>
        <v>#VALUE!</v>
      </c>
      <c r="DU103" t="e">
        <f>AND('Planilla_General_29-11-2012_10_'!E1544,"AAAAAD/363w=")</f>
        <v>#VALUE!</v>
      </c>
      <c r="DV103" t="e">
        <f>AND('Planilla_General_29-11-2012_10_'!F1544,"AAAAAD/3630=")</f>
        <v>#VALUE!</v>
      </c>
      <c r="DW103" t="e">
        <f>AND('Planilla_General_29-11-2012_10_'!G1544,"AAAAAD/3634=")</f>
        <v>#VALUE!</v>
      </c>
      <c r="DX103" t="e">
        <f>AND('Planilla_General_29-11-2012_10_'!H1544,"AAAAAD/3638=")</f>
        <v>#VALUE!</v>
      </c>
      <c r="DY103" t="e">
        <f>AND('Planilla_General_29-11-2012_10_'!I1544,"AAAAAD/364A=")</f>
        <v>#VALUE!</v>
      </c>
      <c r="DZ103" t="e">
        <f>AND('Planilla_General_29-11-2012_10_'!J1544,"AAAAAD/364E=")</f>
        <v>#VALUE!</v>
      </c>
      <c r="EA103" t="e">
        <f>AND('Planilla_General_29-11-2012_10_'!K1544,"AAAAAD/364I=")</f>
        <v>#VALUE!</v>
      </c>
      <c r="EB103" t="e">
        <f>AND('Planilla_General_29-11-2012_10_'!L1544,"AAAAAD/364M=")</f>
        <v>#VALUE!</v>
      </c>
      <c r="EC103" t="e">
        <f>AND('Planilla_General_29-11-2012_10_'!M1544,"AAAAAD/364Q=")</f>
        <v>#VALUE!</v>
      </c>
      <c r="ED103" t="e">
        <f>AND('Planilla_General_29-11-2012_10_'!N1544,"AAAAAD/364U=")</f>
        <v>#VALUE!</v>
      </c>
      <c r="EE103" t="e">
        <f>AND('Planilla_General_29-11-2012_10_'!O1544,"AAAAAD/364Y=")</f>
        <v>#VALUE!</v>
      </c>
      <c r="EF103" t="e">
        <f>AND('Planilla_General_29-11-2012_10_'!P1544,"AAAAAD/364c=")</f>
        <v>#VALUE!</v>
      </c>
      <c r="EG103">
        <f>IF('Planilla_General_29-11-2012_10_'!1545:1545,"AAAAAD/364g=",0)</f>
        <v>0</v>
      </c>
      <c r="EH103" t="e">
        <f>AND('Planilla_General_29-11-2012_10_'!A1545,"AAAAAD/364k=")</f>
        <v>#VALUE!</v>
      </c>
      <c r="EI103" t="e">
        <f>AND('Planilla_General_29-11-2012_10_'!B1545,"AAAAAD/364o=")</f>
        <v>#VALUE!</v>
      </c>
      <c r="EJ103" t="e">
        <f>AND('Planilla_General_29-11-2012_10_'!C1545,"AAAAAD/364s=")</f>
        <v>#VALUE!</v>
      </c>
      <c r="EK103" t="e">
        <f>AND('Planilla_General_29-11-2012_10_'!D1545,"AAAAAD/364w=")</f>
        <v>#VALUE!</v>
      </c>
      <c r="EL103" t="e">
        <f>AND('Planilla_General_29-11-2012_10_'!E1545,"AAAAAD/3640=")</f>
        <v>#VALUE!</v>
      </c>
      <c r="EM103" t="e">
        <f>AND('Planilla_General_29-11-2012_10_'!F1545,"AAAAAD/3644=")</f>
        <v>#VALUE!</v>
      </c>
      <c r="EN103" t="e">
        <f>AND('Planilla_General_29-11-2012_10_'!G1545,"AAAAAD/3648=")</f>
        <v>#VALUE!</v>
      </c>
      <c r="EO103" t="e">
        <f>AND('Planilla_General_29-11-2012_10_'!H1545,"AAAAAD/365A=")</f>
        <v>#VALUE!</v>
      </c>
      <c r="EP103" t="e">
        <f>AND('Planilla_General_29-11-2012_10_'!I1545,"AAAAAD/365E=")</f>
        <v>#VALUE!</v>
      </c>
      <c r="EQ103" t="e">
        <f>AND('Planilla_General_29-11-2012_10_'!J1545,"AAAAAD/365I=")</f>
        <v>#VALUE!</v>
      </c>
      <c r="ER103" t="e">
        <f>AND('Planilla_General_29-11-2012_10_'!K1545,"AAAAAD/365M=")</f>
        <v>#VALUE!</v>
      </c>
      <c r="ES103" t="e">
        <f>AND('Planilla_General_29-11-2012_10_'!L1545,"AAAAAD/365Q=")</f>
        <v>#VALUE!</v>
      </c>
      <c r="ET103" t="e">
        <f>AND('Planilla_General_29-11-2012_10_'!M1545,"AAAAAD/365U=")</f>
        <v>#VALUE!</v>
      </c>
      <c r="EU103" t="e">
        <f>AND('Planilla_General_29-11-2012_10_'!N1545,"AAAAAD/365Y=")</f>
        <v>#VALUE!</v>
      </c>
      <c r="EV103" t="e">
        <f>AND('Planilla_General_29-11-2012_10_'!O1545,"AAAAAD/365c=")</f>
        <v>#VALUE!</v>
      </c>
      <c r="EW103" t="e">
        <f>AND('Planilla_General_29-11-2012_10_'!P1545,"AAAAAD/365g=")</f>
        <v>#VALUE!</v>
      </c>
      <c r="EX103">
        <f>IF('Planilla_General_29-11-2012_10_'!1546:1546,"AAAAAD/365k=",0)</f>
        <v>0</v>
      </c>
      <c r="EY103" t="e">
        <f>AND('Planilla_General_29-11-2012_10_'!A1546,"AAAAAD/365o=")</f>
        <v>#VALUE!</v>
      </c>
      <c r="EZ103" t="e">
        <f>AND('Planilla_General_29-11-2012_10_'!B1546,"AAAAAD/365s=")</f>
        <v>#VALUE!</v>
      </c>
      <c r="FA103" t="e">
        <f>AND('Planilla_General_29-11-2012_10_'!C1546,"AAAAAD/365w=")</f>
        <v>#VALUE!</v>
      </c>
      <c r="FB103" t="e">
        <f>AND('Planilla_General_29-11-2012_10_'!D1546,"AAAAAD/3650=")</f>
        <v>#VALUE!</v>
      </c>
      <c r="FC103" t="e">
        <f>AND('Planilla_General_29-11-2012_10_'!E1546,"AAAAAD/3654=")</f>
        <v>#VALUE!</v>
      </c>
      <c r="FD103" t="e">
        <f>AND('Planilla_General_29-11-2012_10_'!F1546,"AAAAAD/3658=")</f>
        <v>#VALUE!</v>
      </c>
      <c r="FE103" t="e">
        <f>AND('Planilla_General_29-11-2012_10_'!G1546,"AAAAAD/366A=")</f>
        <v>#VALUE!</v>
      </c>
      <c r="FF103" t="e">
        <f>AND('Planilla_General_29-11-2012_10_'!H1546,"AAAAAD/366E=")</f>
        <v>#VALUE!</v>
      </c>
      <c r="FG103" t="e">
        <f>AND('Planilla_General_29-11-2012_10_'!I1546,"AAAAAD/366I=")</f>
        <v>#VALUE!</v>
      </c>
      <c r="FH103" t="e">
        <f>AND('Planilla_General_29-11-2012_10_'!J1546,"AAAAAD/366M=")</f>
        <v>#VALUE!</v>
      </c>
      <c r="FI103" t="e">
        <f>AND('Planilla_General_29-11-2012_10_'!K1546,"AAAAAD/366Q=")</f>
        <v>#VALUE!</v>
      </c>
      <c r="FJ103" t="e">
        <f>AND('Planilla_General_29-11-2012_10_'!L1546,"AAAAAD/366U=")</f>
        <v>#VALUE!</v>
      </c>
      <c r="FK103" t="e">
        <f>AND('Planilla_General_29-11-2012_10_'!M1546,"AAAAAD/366Y=")</f>
        <v>#VALUE!</v>
      </c>
      <c r="FL103" t="e">
        <f>AND('Planilla_General_29-11-2012_10_'!N1546,"AAAAAD/366c=")</f>
        <v>#VALUE!</v>
      </c>
      <c r="FM103" t="e">
        <f>AND('Planilla_General_29-11-2012_10_'!O1546,"AAAAAD/366g=")</f>
        <v>#VALUE!</v>
      </c>
      <c r="FN103" t="e">
        <f>AND('Planilla_General_29-11-2012_10_'!P1546,"AAAAAD/366k=")</f>
        <v>#VALUE!</v>
      </c>
      <c r="FO103">
        <f>IF('Planilla_General_29-11-2012_10_'!1547:1547,"AAAAAD/366o=",0)</f>
        <v>0</v>
      </c>
      <c r="FP103" t="e">
        <f>AND('Planilla_General_29-11-2012_10_'!A1547,"AAAAAD/366s=")</f>
        <v>#VALUE!</v>
      </c>
      <c r="FQ103" t="e">
        <f>AND('Planilla_General_29-11-2012_10_'!B1547,"AAAAAD/366w=")</f>
        <v>#VALUE!</v>
      </c>
      <c r="FR103" t="e">
        <f>AND('Planilla_General_29-11-2012_10_'!C1547,"AAAAAD/3660=")</f>
        <v>#VALUE!</v>
      </c>
      <c r="FS103" t="e">
        <f>AND('Planilla_General_29-11-2012_10_'!D1547,"AAAAAD/3664=")</f>
        <v>#VALUE!</v>
      </c>
      <c r="FT103" t="e">
        <f>AND('Planilla_General_29-11-2012_10_'!E1547,"AAAAAD/3668=")</f>
        <v>#VALUE!</v>
      </c>
      <c r="FU103" t="e">
        <f>AND('Planilla_General_29-11-2012_10_'!F1547,"AAAAAD/367A=")</f>
        <v>#VALUE!</v>
      </c>
      <c r="FV103" t="e">
        <f>AND('Planilla_General_29-11-2012_10_'!G1547,"AAAAAD/367E=")</f>
        <v>#VALUE!</v>
      </c>
      <c r="FW103" t="e">
        <f>AND('Planilla_General_29-11-2012_10_'!H1547,"AAAAAD/367I=")</f>
        <v>#VALUE!</v>
      </c>
      <c r="FX103" t="e">
        <f>AND('Planilla_General_29-11-2012_10_'!I1547,"AAAAAD/367M=")</f>
        <v>#VALUE!</v>
      </c>
      <c r="FY103" t="e">
        <f>AND('Planilla_General_29-11-2012_10_'!J1547,"AAAAAD/367Q=")</f>
        <v>#VALUE!</v>
      </c>
      <c r="FZ103" t="e">
        <f>AND('Planilla_General_29-11-2012_10_'!K1547,"AAAAAD/367U=")</f>
        <v>#VALUE!</v>
      </c>
      <c r="GA103" t="e">
        <f>AND('Planilla_General_29-11-2012_10_'!L1547,"AAAAAD/367Y=")</f>
        <v>#VALUE!</v>
      </c>
      <c r="GB103" t="e">
        <f>AND('Planilla_General_29-11-2012_10_'!M1547,"AAAAAD/367c=")</f>
        <v>#VALUE!</v>
      </c>
      <c r="GC103" t="e">
        <f>AND('Planilla_General_29-11-2012_10_'!N1547,"AAAAAD/367g=")</f>
        <v>#VALUE!</v>
      </c>
      <c r="GD103" t="e">
        <f>AND('Planilla_General_29-11-2012_10_'!O1547,"AAAAAD/367k=")</f>
        <v>#VALUE!</v>
      </c>
      <c r="GE103" t="e">
        <f>AND('Planilla_General_29-11-2012_10_'!P1547,"AAAAAD/367o=")</f>
        <v>#VALUE!</v>
      </c>
      <c r="GF103">
        <f>IF('Planilla_General_29-11-2012_10_'!1548:1548,"AAAAAD/367s=",0)</f>
        <v>0</v>
      </c>
      <c r="GG103" t="e">
        <f>AND('Planilla_General_29-11-2012_10_'!A1548,"AAAAAD/367w=")</f>
        <v>#VALUE!</v>
      </c>
      <c r="GH103" t="e">
        <f>AND('Planilla_General_29-11-2012_10_'!B1548,"AAAAAD/3670=")</f>
        <v>#VALUE!</v>
      </c>
      <c r="GI103" t="e">
        <f>AND('Planilla_General_29-11-2012_10_'!C1548,"AAAAAD/3674=")</f>
        <v>#VALUE!</v>
      </c>
      <c r="GJ103" t="e">
        <f>AND('Planilla_General_29-11-2012_10_'!D1548,"AAAAAD/3678=")</f>
        <v>#VALUE!</v>
      </c>
      <c r="GK103" t="e">
        <f>AND('Planilla_General_29-11-2012_10_'!E1548,"AAAAAD/368A=")</f>
        <v>#VALUE!</v>
      </c>
      <c r="GL103" t="e">
        <f>AND('Planilla_General_29-11-2012_10_'!F1548,"AAAAAD/368E=")</f>
        <v>#VALUE!</v>
      </c>
      <c r="GM103" t="e">
        <f>AND('Planilla_General_29-11-2012_10_'!G1548,"AAAAAD/368I=")</f>
        <v>#VALUE!</v>
      </c>
      <c r="GN103" t="e">
        <f>AND('Planilla_General_29-11-2012_10_'!H1548,"AAAAAD/368M=")</f>
        <v>#VALUE!</v>
      </c>
      <c r="GO103" t="e">
        <f>AND('Planilla_General_29-11-2012_10_'!I1548,"AAAAAD/368Q=")</f>
        <v>#VALUE!</v>
      </c>
      <c r="GP103" t="e">
        <f>AND('Planilla_General_29-11-2012_10_'!J1548,"AAAAAD/368U=")</f>
        <v>#VALUE!</v>
      </c>
      <c r="GQ103" t="e">
        <f>AND('Planilla_General_29-11-2012_10_'!K1548,"AAAAAD/368Y=")</f>
        <v>#VALUE!</v>
      </c>
      <c r="GR103" t="e">
        <f>AND('Planilla_General_29-11-2012_10_'!L1548,"AAAAAD/368c=")</f>
        <v>#VALUE!</v>
      </c>
      <c r="GS103" t="e">
        <f>AND('Planilla_General_29-11-2012_10_'!M1548,"AAAAAD/368g=")</f>
        <v>#VALUE!</v>
      </c>
      <c r="GT103" t="e">
        <f>AND('Planilla_General_29-11-2012_10_'!N1548,"AAAAAD/368k=")</f>
        <v>#VALUE!</v>
      </c>
      <c r="GU103" t="e">
        <f>AND('Planilla_General_29-11-2012_10_'!O1548,"AAAAAD/368o=")</f>
        <v>#VALUE!</v>
      </c>
      <c r="GV103" t="e">
        <f>AND('Planilla_General_29-11-2012_10_'!P1548,"AAAAAD/368s=")</f>
        <v>#VALUE!</v>
      </c>
      <c r="GW103">
        <f>IF('Planilla_General_29-11-2012_10_'!1549:1549,"AAAAAD/368w=",0)</f>
        <v>0</v>
      </c>
      <c r="GX103" t="e">
        <f>AND('Planilla_General_29-11-2012_10_'!A1549,"AAAAAD/3680=")</f>
        <v>#VALUE!</v>
      </c>
      <c r="GY103" t="e">
        <f>AND('Planilla_General_29-11-2012_10_'!B1549,"AAAAAD/3684=")</f>
        <v>#VALUE!</v>
      </c>
      <c r="GZ103" t="e">
        <f>AND('Planilla_General_29-11-2012_10_'!C1549,"AAAAAD/3688=")</f>
        <v>#VALUE!</v>
      </c>
      <c r="HA103" t="e">
        <f>AND('Planilla_General_29-11-2012_10_'!D1549,"AAAAAD/369A=")</f>
        <v>#VALUE!</v>
      </c>
      <c r="HB103" t="e">
        <f>AND('Planilla_General_29-11-2012_10_'!E1549,"AAAAAD/369E=")</f>
        <v>#VALUE!</v>
      </c>
      <c r="HC103" t="e">
        <f>AND('Planilla_General_29-11-2012_10_'!F1549,"AAAAAD/369I=")</f>
        <v>#VALUE!</v>
      </c>
      <c r="HD103" t="e">
        <f>AND('Planilla_General_29-11-2012_10_'!G1549,"AAAAAD/369M=")</f>
        <v>#VALUE!</v>
      </c>
      <c r="HE103" t="e">
        <f>AND('Planilla_General_29-11-2012_10_'!H1549,"AAAAAD/369Q=")</f>
        <v>#VALUE!</v>
      </c>
      <c r="HF103" t="e">
        <f>AND('Planilla_General_29-11-2012_10_'!I1549,"AAAAAD/369U=")</f>
        <v>#VALUE!</v>
      </c>
      <c r="HG103" t="e">
        <f>AND('Planilla_General_29-11-2012_10_'!J1549,"AAAAAD/369Y=")</f>
        <v>#VALUE!</v>
      </c>
      <c r="HH103" t="e">
        <f>AND('Planilla_General_29-11-2012_10_'!K1549,"AAAAAD/369c=")</f>
        <v>#VALUE!</v>
      </c>
      <c r="HI103" t="e">
        <f>AND('Planilla_General_29-11-2012_10_'!L1549,"AAAAAD/369g=")</f>
        <v>#VALUE!</v>
      </c>
      <c r="HJ103" t="e">
        <f>AND('Planilla_General_29-11-2012_10_'!M1549,"AAAAAD/369k=")</f>
        <v>#VALUE!</v>
      </c>
      <c r="HK103" t="e">
        <f>AND('Planilla_General_29-11-2012_10_'!N1549,"AAAAAD/369o=")</f>
        <v>#VALUE!</v>
      </c>
      <c r="HL103" t="e">
        <f>AND('Planilla_General_29-11-2012_10_'!O1549,"AAAAAD/369s=")</f>
        <v>#VALUE!</v>
      </c>
      <c r="HM103" t="e">
        <f>AND('Planilla_General_29-11-2012_10_'!P1549,"AAAAAD/369w=")</f>
        <v>#VALUE!</v>
      </c>
      <c r="HN103">
        <f>IF('Planilla_General_29-11-2012_10_'!1550:1550,"AAAAAD/3690=",0)</f>
        <v>0</v>
      </c>
      <c r="HO103" t="e">
        <f>AND('Planilla_General_29-11-2012_10_'!A1550,"AAAAAD/3694=")</f>
        <v>#VALUE!</v>
      </c>
      <c r="HP103" t="e">
        <f>AND('Planilla_General_29-11-2012_10_'!B1550,"AAAAAD/3698=")</f>
        <v>#VALUE!</v>
      </c>
      <c r="HQ103" t="e">
        <f>AND('Planilla_General_29-11-2012_10_'!C1550,"AAAAAD/36+A=")</f>
        <v>#VALUE!</v>
      </c>
      <c r="HR103" t="e">
        <f>AND('Planilla_General_29-11-2012_10_'!D1550,"AAAAAD/36+E=")</f>
        <v>#VALUE!</v>
      </c>
      <c r="HS103" t="e">
        <f>AND('Planilla_General_29-11-2012_10_'!E1550,"AAAAAD/36+I=")</f>
        <v>#VALUE!</v>
      </c>
      <c r="HT103" t="e">
        <f>AND('Planilla_General_29-11-2012_10_'!F1550,"AAAAAD/36+M=")</f>
        <v>#VALUE!</v>
      </c>
      <c r="HU103" t="e">
        <f>AND('Planilla_General_29-11-2012_10_'!G1550,"AAAAAD/36+Q=")</f>
        <v>#VALUE!</v>
      </c>
      <c r="HV103" t="e">
        <f>AND('Planilla_General_29-11-2012_10_'!H1550,"AAAAAD/36+U=")</f>
        <v>#VALUE!</v>
      </c>
      <c r="HW103" t="e">
        <f>AND('Planilla_General_29-11-2012_10_'!I1550,"AAAAAD/36+Y=")</f>
        <v>#VALUE!</v>
      </c>
      <c r="HX103" t="e">
        <f>AND('Planilla_General_29-11-2012_10_'!J1550,"AAAAAD/36+c=")</f>
        <v>#VALUE!</v>
      </c>
      <c r="HY103" t="e">
        <f>AND('Planilla_General_29-11-2012_10_'!K1550,"AAAAAD/36+g=")</f>
        <v>#VALUE!</v>
      </c>
      <c r="HZ103" t="e">
        <f>AND('Planilla_General_29-11-2012_10_'!L1550,"AAAAAD/36+k=")</f>
        <v>#VALUE!</v>
      </c>
      <c r="IA103" t="e">
        <f>AND('Planilla_General_29-11-2012_10_'!M1550,"AAAAAD/36+o=")</f>
        <v>#VALUE!</v>
      </c>
      <c r="IB103" t="e">
        <f>AND('Planilla_General_29-11-2012_10_'!N1550,"AAAAAD/36+s=")</f>
        <v>#VALUE!</v>
      </c>
      <c r="IC103" t="e">
        <f>AND('Planilla_General_29-11-2012_10_'!O1550,"AAAAAD/36+w=")</f>
        <v>#VALUE!</v>
      </c>
      <c r="ID103" t="e">
        <f>AND('Planilla_General_29-11-2012_10_'!P1550,"AAAAAD/36+0=")</f>
        <v>#VALUE!</v>
      </c>
      <c r="IE103">
        <f>IF('Planilla_General_29-11-2012_10_'!1551:1551,"AAAAAD/36+4=",0)</f>
        <v>0</v>
      </c>
      <c r="IF103" t="e">
        <f>AND('Planilla_General_29-11-2012_10_'!A1551,"AAAAAD/36+8=")</f>
        <v>#VALUE!</v>
      </c>
      <c r="IG103" t="e">
        <f>AND('Planilla_General_29-11-2012_10_'!B1551,"AAAAAD/36/A=")</f>
        <v>#VALUE!</v>
      </c>
      <c r="IH103" t="e">
        <f>AND('Planilla_General_29-11-2012_10_'!C1551,"AAAAAD/36/E=")</f>
        <v>#VALUE!</v>
      </c>
      <c r="II103" t="e">
        <f>AND('Planilla_General_29-11-2012_10_'!D1551,"AAAAAD/36/I=")</f>
        <v>#VALUE!</v>
      </c>
      <c r="IJ103" t="e">
        <f>AND('Planilla_General_29-11-2012_10_'!E1551,"AAAAAD/36/M=")</f>
        <v>#VALUE!</v>
      </c>
      <c r="IK103" t="e">
        <f>AND('Planilla_General_29-11-2012_10_'!F1551,"AAAAAD/36/Q=")</f>
        <v>#VALUE!</v>
      </c>
      <c r="IL103" t="e">
        <f>AND('Planilla_General_29-11-2012_10_'!G1551,"AAAAAD/36/U=")</f>
        <v>#VALUE!</v>
      </c>
      <c r="IM103" t="e">
        <f>AND('Planilla_General_29-11-2012_10_'!H1551,"AAAAAD/36/Y=")</f>
        <v>#VALUE!</v>
      </c>
      <c r="IN103" t="e">
        <f>AND('Planilla_General_29-11-2012_10_'!I1551,"AAAAAD/36/c=")</f>
        <v>#VALUE!</v>
      </c>
      <c r="IO103" t="e">
        <f>AND('Planilla_General_29-11-2012_10_'!J1551,"AAAAAD/36/g=")</f>
        <v>#VALUE!</v>
      </c>
      <c r="IP103" t="e">
        <f>AND('Planilla_General_29-11-2012_10_'!K1551,"AAAAAD/36/k=")</f>
        <v>#VALUE!</v>
      </c>
      <c r="IQ103" t="e">
        <f>AND('Planilla_General_29-11-2012_10_'!L1551,"AAAAAD/36/o=")</f>
        <v>#VALUE!</v>
      </c>
      <c r="IR103" t="e">
        <f>AND('Planilla_General_29-11-2012_10_'!M1551,"AAAAAD/36/s=")</f>
        <v>#VALUE!</v>
      </c>
      <c r="IS103" t="e">
        <f>AND('Planilla_General_29-11-2012_10_'!N1551,"AAAAAD/36/w=")</f>
        <v>#VALUE!</v>
      </c>
      <c r="IT103" t="e">
        <f>AND('Planilla_General_29-11-2012_10_'!O1551,"AAAAAD/36/0=")</f>
        <v>#VALUE!</v>
      </c>
      <c r="IU103" t="e">
        <f>AND('Planilla_General_29-11-2012_10_'!P1551,"AAAAAD/36/4=")</f>
        <v>#VALUE!</v>
      </c>
      <c r="IV103">
        <f>IF('Planilla_General_29-11-2012_10_'!1552:1552,"AAAAAD/36/8=",0)</f>
        <v>0</v>
      </c>
    </row>
    <row r="104" spans="1:256" x14ac:dyDescent="0.25">
      <c r="A104" t="e">
        <f>AND('Planilla_General_29-11-2012_10_'!A1552,"AAAAAG/+rwA=")</f>
        <v>#VALUE!</v>
      </c>
      <c r="B104" t="e">
        <f>AND('Planilla_General_29-11-2012_10_'!B1552,"AAAAAG/+rwE=")</f>
        <v>#VALUE!</v>
      </c>
      <c r="C104" t="e">
        <f>AND('Planilla_General_29-11-2012_10_'!C1552,"AAAAAG/+rwI=")</f>
        <v>#VALUE!</v>
      </c>
      <c r="D104" t="e">
        <f>AND('Planilla_General_29-11-2012_10_'!D1552,"AAAAAG/+rwM=")</f>
        <v>#VALUE!</v>
      </c>
      <c r="E104" t="e">
        <f>AND('Planilla_General_29-11-2012_10_'!E1552,"AAAAAG/+rwQ=")</f>
        <v>#VALUE!</v>
      </c>
      <c r="F104" t="e">
        <f>AND('Planilla_General_29-11-2012_10_'!F1552,"AAAAAG/+rwU=")</f>
        <v>#VALUE!</v>
      </c>
      <c r="G104" t="e">
        <f>AND('Planilla_General_29-11-2012_10_'!G1552,"AAAAAG/+rwY=")</f>
        <v>#VALUE!</v>
      </c>
      <c r="H104" t="e">
        <f>AND('Planilla_General_29-11-2012_10_'!H1552,"AAAAAG/+rwc=")</f>
        <v>#VALUE!</v>
      </c>
      <c r="I104" t="e">
        <f>AND('Planilla_General_29-11-2012_10_'!I1552,"AAAAAG/+rwg=")</f>
        <v>#VALUE!</v>
      </c>
      <c r="J104" t="e">
        <f>AND('Planilla_General_29-11-2012_10_'!J1552,"AAAAAG/+rwk=")</f>
        <v>#VALUE!</v>
      </c>
      <c r="K104" t="e">
        <f>AND('Planilla_General_29-11-2012_10_'!K1552,"AAAAAG/+rwo=")</f>
        <v>#VALUE!</v>
      </c>
      <c r="L104" t="e">
        <f>AND('Planilla_General_29-11-2012_10_'!L1552,"AAAAAG/+rws=")</f>
        <v>#VALUE!</v>
      </c>
      <c r="M104" t="e">
        <f>AND('Planilla_General_29-11-2012_10_'!M1552,"AAAAAG/+rww=")</f>
        <v>#VALUE!</v>
      </c>
      <c r="N104" t="e">
        <f>AND('Planilla_General_29-11-2012_10_'!N1552,"AAAAAG/+rw0=")</f>
        <v>#VALUE!</v>
      </c>
      <c r="O104" t="e">
        <f>AND('Planilla_General_29-11-2012_10_'!O1552,"AAAAAG/+rw4=")</f>
        <v>#VALUE!</v>
      </c>
      <c r="P104" t="e">
        <f>AND('Planilla_General_29-11-2012_10_'!P1552,"AAAAAG/+rw8=")</f>
        <v>#VALUE!</v>
      </c>
      <c r="Q104">
        <f>IF('Planilla_General_29-11-2012_10_'!1553:1553,"AAAAAG/+rxA=",0)</f>
        <v>0</v>
      </c>
      <c r="R104" t="e">
        <f>AND('Planilla_General_29-11-2012_10_'!A1553,"AAAAAG/+rxE=")</f>
        <v>#VALUE!</v>
      </c>
      <c r="S104" t="e">
        <f>AND('Planilla_General_29-11-2012_10_'!B1553,"AAAAAG/+rxI=")</f>
        <v>#VALUE!</v>
      </c>
      <c r="T104" t="e">
        <f>AND('Planilla_General_29-11-2012_10_'!C1553,"AAAAAG/+rxM=")</f>
        <v>#VALUE!</v>
      </c>
      <c r="U104" t="e">
        <f>AND('Planilla_General_29-11-2012_10_'!D1553,"AAAAAG/+rxQ=")</f>
        <v>#VALUE!</v>
      </c>
      <c r="V104" t="e">
        <f>AND('Planilla_General_29-11-2012_10_'!E1553,"AAAAAG/+rxU=")</f>
        <v>#VALUE!</v>
      </c>
      <c r="W104" t="e">
        <f>AND('Planilla_General_29-11-2012_10_'!F1553,"AAAAAG/+rxY=")</f>
        <v>#VALUE!</v>
      </c>
      <c r="X104" t="e">
        <f>AND('Planilla_General_29-11-2012_10_'!G1553,"AAAAAG/+rxc=")</f>
        <v>#VALUE!</v>
      </c>
      <c r="Y104" t="e">
        <f>AND('Planilla_General_29-11-2012_10_'!H1553,"AAAAAG/+rxg=")</f>
        <v>#VALUE!</v>
      </c>
      <c r="Z104" t="e">
        <f>AND('Planilla_General_29-11-2012_10_'!I1553,"AAAAAG/+rxk=")</f>
        <v>#VALUE!</v>
      </c>
      <c r="AA104" t="e">
        <f>AND('Planilla_General_29-11-2012_10_'!J1553,"AAAAAG/+rxo=")</f>
        <v>#VALUE!</v>
      </c>
      <c r="AB104" t="e">
        <f>AND('Planilla_General_29-11-2012_10_'!K1553,"AAAAAG/+rxs=")</f>
        <v>#VALUE!</v>
      </c>
      <c r="AC104" t="e">
        <f>AND('Planilla_General_29-11-2012_10_'!L1553,"AAAAAG/+rxw=")</f>
        <v>#VALUE!</v>
      </c>
      <c r="AD104" t="e">
        <f>AND('Planilla_General_29-11-2012_10_'!M1553,"AAAAAG/+rx0=")</f>
        <v>#VALUE!</v>
      </c>
      <c r="AE104" t="e">
        <f>AND('Planilla_General_29-11-2012_10_'!N1553,"AAAAAG/+rx4=")</f>
        <v>#VALUE!</v>
      </c>
      <c r="AF104" t="e">
        <f>AND('Planilla_General_29-11-2012_10_'!O1553,"AAAAAG/+rx8=")</f>
        <v>#VALUE!</v>
      </c>
      <c r="AG104" t="e">
        <f>AND('Planilla_General_29-11-2012_10_'!P1553,"AAAAAG/+ryA=")</f>
        <v>#VALUE!</v>
      </c>
      <c r="AH104">
        <f>IF('Planilla_General_29-11-2012_10_'!1554:1554,"AAAAAG/+ryE=",0)</f>
        <v>0</v>
      </c>
      <c r="AI104" t="e">
        <f>AND('Planilla_General_29-11-2012_10_'!A1554,"AAAAAG/+ryI=")</f>
        <v>#VALUE!</v>
      </c>
      <c r="AJ104" t="e">
        <f>AND('Planilla_General_29-11-2012_10_'!B1554,"AAAAAG/+ryM=")</f>
        <v>#VALUE!</v>
      </c>
      <c r="AK104" t="e">
        <f>AND('Planilla_General_29-11-2012_10_'!C1554,"AAAAAG/+ryQ=")</f>
        <v>#VALUE!</v>
      </c>
      <c r="AL104" t="e">
        <f>AND('Planilla_General_29-11-2012_10_'!D1554,"AAAAAG/+ryU=")</f>
        <v>#VALUE!</v>
      </c>
      <c r="AM104" t="e">
        <f>AND('Planilla_General_29-11-2012_10_'!E1554,"AAAAAG/+ryY=")</f>
        <v>#VALUE!</v>
      </c>
      <c r="AN104" t="e">
        <f>AND('Planilla_General_29-11-2012_10_'!F1554,"AAAAAG/+ryc=")</f>
        <v>#VALUE!</v>
      </c>
      <c r="AO104" t="e">
        <f>AND('Planilla_General_29-11-2012_10_'!G1554,"AAAAAG/+ryg=")</f>
        <v>#VALUE!</v>
      </c>
      <c r="AP104" t="e">
        <f>AND('Planilla_General_29-11-2012_10_'!H1554,"AAAAAG/+ryk=")</f>
        <v>#VALUE!</v>
      </c>
      <c r="AQ104" t="e">
        <f>AND('Planilla_General_29-11-2012_10_'!I1554,"AAAAAG/+ryo=")</f>
        <v>#VALUE!</v>
      </c>
      <c r="AR104" t="e">
        <f>AND('Planilla_General_29-11-2012_10_'!J1554,"AAAAAG/+rys=")</f>
        <v>#VALUE!</v>
      </c>
      <c r="AS104" t="e">
        <f>AND('Planilla_General_29-11-2012_10_'!K1554,"AAAAAG/+ryw=")</f>
        <v>#VALUE!</v>
      </c>
      <c r="AT104" t="e">
        <f>AND('Planilla_General_29-11-2012_10_'!L1554,"AAAAAG/+ry0=")</f>
        <v>#VALUE!</v>
      </c>
      <c r="AU104" t="e">
        <f>AND('Planilla_General_29-11-2012_10_'!M1554,"AAAAAG/+ry4=")</f>
        <v>#VALUE!</v>
      </c>
      <c r="AV104" t="e">
        <f>AND('Planilla_General_29-11-2012_10_'!N1554,"AAAAAG/+ry8=")</f>
        <v>#VALUE!</v>
      </c>
      <c r="AW104" t="e">
        <f>AND('Planilla_General_29-11-2012_10_'!O1554,"AAAAAG/+rzA=")</f>
        <v>#VALUE!</v>
      </c>
      <c r="AX104" t="e">
        <f>AND('Planilla_General_29-11-2012_10_'!P1554,"AAAAAG/+rzE=")</f>
        <v>#VALUE!</v>
      </c>
      <c r="AY104">
        <f>IF('Planilla_General_29-11-2012_10_'!1555:1555,"AAAAAG/+rzI=",0)</f>
        <v>0</v>
      </c>
      <c r="AZ104" t="e">
        <f>AND('Planilla_General_29-11-2012_10_'!A1555,"AAAAAG/+rzM=")</f>
        <v>#VALUE!</v>
      </c>
      <c r="BA104" t="e">
        <f>AND('Planilla_General_29-11-2012_10_'!B1555,"AAAAAG/+rzQ=")</f>
        <v>#VALUE!</v>
      </c>
      <c r="BB104" t="e">
        <f>AND('Planilla_General_29-11-2012_10_'!C1555,"AAAAAG/+rzU=")</f>
        <v>#VALUE!</v>
      </c>
      <c r="BC104" t="e">
        <f>AND('Planilla_General_29-11-2012_10_'!D1555,"AAAAAG/+rzY=")</f>
        <v>#VALUE!</v>
      </c>
      <c r="BD104" t="e">
        <f>AND('Planilla_General_29-11-2012_10_'!E1555,"AAAAAG/+rzc=")</f>
        <v>#VALUE!</v>
      </c>
      <c r="BE104" t="e">
        <f>AND('Planilla_General_29-11-2012_10_'!F1555,"AAAAAG/+rzg=")</f>
        <v>#VALUE!</v>
      </c>
      <c r="BF104" t="e">
        <f>AND('Planilla_General_29-11-2012_10_'!G1555,"AAAAAG/+rzk=")</f>
        <v>#VALUE!</v>
      </c>
      <c r="BG104" t="e">
        <f>AND('Planilla_General_29-11-2012_10_'!H1555,"AAAAAG/+rzo=")</f>
        <v>#VALUE!</v>
      </c>
      <c r="BH104" t="e">
        <f>AND('Planilla_General_29-11-2012_10_'!I1555,"AAAAAG/+rzs=")</f>
        <v>#VALUE!</v>
      </c>
      <c r="BI104" t="e">
        <f>AND('Planilla_General_29-11-2012_10_'!J1555,"AAAAAG/+rzw=")</f>
        <v>#VALUE!</v>
      </c>
      <c r="BJ104" t="e">
        <f>AND('Planilla_General_29-11-2012_10_'!K1555,"AAAAAG/+rz0=")</f>
        <v>#VALUE!</v>
      </c>
      <c r="BK104" t="e">
        <f>AND('Planilla_General_29-11-2012_10_'!L1555,"AAAAAG/+rz4=")</f>
        <v>#VALUE!</v>
      </c>
      <c r="BL104" t="e">
        <f>AND('Planilla_General_29-11-2012_10_'!M1555,"AAAAAG/+rz8=")</f>
        <v>#VALUE!</v>
      </c>
      <c r="BM104" t="e">
        <f>AND('Planilla_General_29-11-2012_10_'!N1555,"AAAAAG/+r0A=")</f>
        <v>#VALUE!</v>
      </c>
      <c r="BN104" t="e">
        <f>AND('Planilla_General_29-11-2012_10_'!O1555,"AAAAAG/+r0E=")</f>
        <v>#VALUE!</v>
      </c>
      <c r="BO104" t="e">
        <f>AND('Planilla_General_29-11-2012_10_'!P1555,"AAAAAG/+r0I=")</f>
        <v>#VALUE!</v>
      </c>
      <c r="BP104">
        <f>IF('Planilla_General_29-11-2012_10_'!1556:1556,"AAAAAG/+r0M=",0)</f>
        <v>0</v>
      </c>
      <c r="BQ104" t="e">
        <f>AND('Planilla_General_29-11-2012_10_'!A1556,"AAAAAG/+r0Q=")</f>
        <v>#VALUE!</v>
      </c>
      <c r="BR104" t="e">
        <f>AND('Planilla_General_29-11-2012_10_'!B1556,"AAAAAG/+r0U=")</f>
        <v>#VALUE!</v>
      </c>
      <c r="BS104" t="e">
        <f>AND('Planilla_General_29-11-2012_10_'!C1556,"AAAAAG/+r0Y=")</f>
        <v>#VALUE!</v>
      </c>
      <c r="BT104" t="e">
        <f>AND('Planilla_General_29-11-2012_10_'!D1556,"AAAAAG/+r0c=")</f>
        <v>#VALUE!</v>
      </c>
      <c r="BU104" t="e">
        <f>AND('Planilla_General_29-11-2012_10_'!E1556,"AAAAAG/+r0g=")</f>
        <v>#VALUE!</v>
      </c>
      <c r="BV104" t="e">
        <f>AND('Planilla_General_29-11-2012_10_'!F1556,"AAAAAG/+r0k=")</f>
        <v>#VALUE!</v>
      </c>
      <c r="BW104" t="e">
        <f>AND('Planilla_General_29-11-2012_10_'!G1556,"AAAAAG/+r0o=")</f>
        <v>#VALUE!</v>
      </c>
      <c r="BX104" t="e">
        <f>AND('Planilla_General_29-11-2012_10_'!H1556,"AAAAAG/+r0s=")</f>
        <v>#VALUE!</v>
      </c>
      <c r="BY104" t="e">
        <f>AND('Planilla_General_29-11-2012_10_'!I1556,"AAAAAG/+r0w=")</f>
        <v>#VALUE!</v>
      </c>
      <c r="BZ104" t="e">
        <f>AND('Planilla_General_29-11-2012_10_'!J1556,"AAAAAG/+r00=")</f>
        <v>#VALUE!</v>
      </c>
      <c r="CA104" t="e">
        <f>AND('Planilla_General_29-11-2012_10_'!K1556,"AAAAAG/+r04=")</f>
        <v>#VALUE!</v>
      </c>
      <c r="CB104" t="e">
        <f>AND('Planilla_General_29-11-2012_10_'!L1556,"AAAAAG/+r08=")</f>
        <v>#VALUE!</v>
      </c>
      <c r="CC104" t="e">
        <f>AND('Planilla_General_29-11-2012_10_'!M1556,"AAAAAG/+r1A=")</f>
        <v>#VALUE!</v>
      </c>
      <c r="CD104" t="e">
        <f>AND('Planilla_General_29-11-2012_10_'!N1556,"AAAAAG/+r1E=")</f>
        <v>#VALUE!</v>
      </c>
      <c r="CE104" t="e">
        <f>AND('Planilla_General_29-11-2012_10_'!O1556,"AAAAAG/+r1I=")</f>
        <v>#VALUE!</v>
      </c>
      <c r="CF104" t="e">
        <f>AND('Planilla_General_29-11-2012_10_'!P1556,"AAAAAG/+r1M=")</f>
        <v>#VALUE!</v>
      </c>
      <c r="CG104">
        <f>IF('Planilla_General_29-11-2012_10_'!1557:1557,"AAAAAG/+r1Q=",0)</f>
        <v>0</v>
      </c>
      <c r="CH104" t="e">
        <f>AND('Planilla_General_29-11-2012_10_'!A1557,"AAAAAG/+r1U=")</f>
        <v>#VALUE!</v>
      </c>
      <c r="CI104" t="e">
        <f>AND('Planilla_General_29-11-2012_10_'!B1557,"AAAAAG/+r1Y=")</f>
        <v>#VALUE!</v>
      </c>
      <c r="CJ104" t="e">
        <f>AND('Planilla_General_29-11-2012_10_'!C1557,"AAAAAG/+r1c=")</f>
        <v>#VALUE!</v>
      </c>
      <c r="CK104" t="e">
        <f>AND('Planilla_General_29-11-2012_10_'!D1557,"AAAAAG/+r1g=")</f>
        <v>#VALUE!</v>
      </c>
      <c r="CL104" t="e">
        <f>AND('Planilla_General_29-11-2012_10_'!E1557,"AAAAAG/+r1k=")</f>
        <v>#VALUE!</v>
      </c>
      <c r="CM104" t="e">
        <f>AND('Planilla_General_29-11-2012_10_'!F1557,"AAAAAG/+r1o=")</f>
        <v>#VALUE!</v>
      </c>
      <c r="CN104" t="e">
        <f>AND('Planilla_General_29-11-2012_10_'!G1557,"AAAAAG/+r1s=")</f>
        <v>#VALUE!</v>
      </c>
      <c r="CO104" t="e">
        <f>AND('Planilla_General_29-11-2012_10_'!H1557,"AAAAAG/+r1w=")</f>
        <v>#VALUE!</v>
      </c>
      <c r="CP104" t="e">
        <f>AND('Planilla_General_29-11-2012_10_'!I1557,"AAAAAG/+r10=")</f>
        <v>#VALUE!</v>
      </c>
      <c r="CQ104" t="e">
        <f>AND('Planilla_General_29-11-2012_10_'!J1557,"AAAAAG/+r14=")</f>
        <v>#VALUE!</v>
      </c>
      <c r="CR104" t="e">
        <f>AND('Planilla_General_29-11-2012_10_'!K1557,"AAAAAG/+r18=")</f>
        <v>#VALUE!</v>
      </c>
      <c r="CS104" t="e">
        <f>AND('Planilla_General_29-11-2012_10_'!L1557,"AAAAAG/+r2A=")</f>
        <v>#VALUE!</v>
      </c>
      <c r="CT104" t="e">
        <f>AND('Planilla_General_29-11-2012_10_'!M1557,"AAAAAG/+r2E=")</f>
        <v>#VALUE!</v>
      </c>
      <c r="CU104" t="e">
        <f>AND('Planilla_General_29-11-2012_10_'!N1557,"AAAAAG/+r2I=")</f>
        <v>#VALUE!</v>
      </c>
      <c r="CV104" t="e">
        <f>AND('Planilla_General_29-11-2012_10_'!O1557,"AAAAAG/+r2M=")</f>
        <v>#VALUE!</v>
      </c>
      <c r="CW104" t="e">
        <f>AND('Planilla_General_29-11-2012_10_'!P1557,"AAAAAG/+r2Q=")</f>
        <v>#VALUE!</v>
      </c>
      <c r="CX104">
        <f>IF('Planilla_General_29-11-2012_10_'!1558:1558,"AAAAAG/+r2U=",0)</f>
        <v>0</v>
      </c>
      <c r="CY104" t="e">
        <f>AND('Planilla_General_29-11-2012_10_'!A1558,"AAAAAG/+r2Y=")</f>
        <v>#VALUE!</v>
      </c>
      <c r="CZ104" t="e">
        <f>AND('Planilla_General_29-11-2012_10_'!B1558,"AAAAAG/+r2c=")</f>
        <v>#VALUE!</v>
      </c>
      <c r="DA104" t="e">
        <f>AND('Planilla_General_29-11-2012_10_'!C1558,"AAAAAG/+r2g=")</f>
        <v>#VALUE!</v>
      </c>
      <c r="DB104" t="e">
        <f>AND('Planilla_General_29-11-2012_10_'!D1558,"AAAAAG/+r2k=")</f>
        <v>#VALUE!</v>
      </c>
      <c r="DC104" t="e">
        <f>AND('Planilla_General_29-11-2012_10_'!E1558,"AAAAAG/+r2o=")</f>
        <v>#VALUE!</v>
      </c>
      <c r="DD104" t="e">
        <f>AND('Planilla_General_29-11-2012_10_'!F1558,"AAAAAG/+r2s=")</f>
        <v>#VALUE!</v>
      </c>
      <c r="DE104" t="e">
        <f>AND('Planilla_General_29-11-2012_10_'!G1558,"AAAAAG/+r2w=")</f>
        <v>#VALUE!</v>
      </c>
      <c r="DF104" t="e">
        <f>AND('Planilla_General_29-11-2012_10_'!H1558,"AAAAAG/+r20=")</f>
        <v>#VALUE!</v>
      </c>
      <c r="DG104" t="e">
        <f>AND('Planilla_General_29-11-2012_10_'!I1558,"AAAAAG/+r24=")</f>
        <v>#VALUE!</v>
      </c>
      <c r="DH104" t="e">
        <f>AND('Planilla_General_29-11-2012_10_'!J1558,"AAAAAG/+r28=")</f>
        <v>#VALUE!</v>
      </c>
      <c r="DI104" t="e">
        <f>AND('Planilla_General_29-11-2012_10_'!K1558,"AAAAAG/+r3A=")</f>
        <v>#VALUE!</v>
      </c>
      <c r="DJ104" t="e">
        <f>AND('Planilla_General_29-11-2012_10_'!L1558,"AAAAAG/+r3E=")</f>
        <v>#VALUE!</v>
      </c>
      <c r="DK104" t="e">
        <f>AND('Planilla_General_29-11-2012_10_'!M1558,"AAAAAG/+r3I=")</f>
        <v>#VALUE!</v>
      </c>
      <c r="DL104" t="e">
        <f>AND('Planilla_General_29-11-2012_10_'!N1558,"AAAAAG/+r3M=")</f>
        <v>#VALUE!</v>
      </c>
      <c r="DM104" t="e">
        <f>AND('Planilla_General_29-11-2012_10_'!O1558,"AAAAAG/+r3Q=")</f>
        <v>#VALUE!</v>
      </c>
      <c r="DN104" t="e">
        <f>AND('Planilla_General_29-11-2012_10_'!P1558,"AAAAAG/+r3U=")</f>
        <v>#VALUE!</v>
      </c>
      <c r="DO104">
        <f>IF('Planilla_General_29-11-2012_10_'!1559:1559,"AAAAAG/+r3Y=",0)</f>
        <v>0</v>
      </c>
      <c r="DP104" t="e">
        <f>AND('Planilla_General_29-11-2012_10_'!A1559,"AAAAAG/+r3c=")</f>
        <v>#VALUE!</v>
      </c>
      <c r="DQ104" t="e">
        <f>AND('Planilla_General_29-11-2012_10_'!B1559,"AAAAAG/+r3g=")</f>
        <v>#VALUE!</v>
      </c>
      <c r="DR104" t="e">
        <f>AND('Planilla_General_29-11-2012_10_'!C1559,"AAAAAG/+r3k=")</f>
        <v>#VALUE!</v>
      </c>
      <c r="DS104" t="e">
        <f>AND('Planilla_General_29-11-2012_10_'!D1559,"AAAAAG/+r3o=")</f>
        <v>#VALUE!</v>
      </c>
      <c r="DT104" t="e">
        <f>AND('Planilla_General_29-11-2012_10_'!E1559,"AAAAAG/+r3s=")</f>
        <v>#VALUE!</v>
      </c>
      <c r="DU104" t="e">
        <f>AND('Planilla_General_29-11-2012_10_'!F1559,"AAAAAG/+r3w=")</f>
        <v>#VALUE!</v>
      </c>
      <c r="DV104" t="e">
        <f>AND('Planilla_General_29-11-2012_10_'!G1559,"AAAAAG/+r30=")</f>
        <v>#VALUE!</v>
      </c>
      <c r="DW104" t="e">
        <f>AND('Planilla_General_29-11-2012_10_'!H1559,"AAAAAG/+r34=")</f>
        <v>#VALUE!</v>
      </c>
      <c r="DX104" t="e">
        <f>AND('Planilla_General_29-11-2012_10_'!I1559,"AAAAAG/+r38=")</f>
        <v>#VALUE!</v>
      </c>
      <c r="DY104" t="e">
        <f>AND('Planilla_General_29-11-2012_10_'!J1559,"AAAAAG/+r4A=")</f>
        <v>#VALUE!</v>
      </c>
      <c r="DZ104" t="e">
        <f>AND('Planilla_General_29-11-2012_10_'!K1559,"AAAAAG/+r4E=")</f>
        <v>#VALUE!</v>
      </c>
      <c r="EA104" t="e">
        <f>AND('Planilla_General_29-11-2012_10_'!L1559,"AAAAAG/+r4I=")</f>
        <v>#VALUE!</v>
      </c>
      <c r="EB104" t="e">
        <f>AND('Planilla_General_29-11-2012_10_'!M1559,"AAAAAG/+r4M=")</f>
        <v>#VALUE!</v>
      </c>
      <c r="EC104" t="e">
        <f>AND('Planilla_General_29-11-2012_10_'!N1559,"AAAAAG/+r4Q=")</f>
        <v>#VALUE!</v>
      </c>
      <c r="ED104" t="e">
        <f>AND('Planilla_General_29-11-2012_10_'!O1559,"AAAAAG/+r4U=")</f>
        <v>#VALUE!</v>
      </c>
      <c r="EE104" t="e">
        <f>AND('Planilla_General_29-11-2012_10_'!P1559,"AAAAAG/+r4Y=")</f>
        <v>#VALUE!</v>
      </c>
      <c r="EF104">
        <f>IF('Planilla_General_29-11-2012_10_'!1560:1560,"AAAAAG/+r4c=",0)</f>
        <v>0</v>
      </c>
      <c r="EG104" t="e">
        <f>AND('Planilla_General_29-11-2012_10_'!A1560,"AAAAAG/+r4g=")</f>
        <v>#VALUE!</v>
      </c>
      <c r="EH104" t="e">
        <f>AND('Planilla_General_29-11-2012_10_'!B1560,"AAAAAG/+r4k=")</f>
        <v>#VALUE!</v>
      </c>
      <c r="EI104" t="e">
        <f>AND('Planilla_General_29-11-2012_10_'!C1560,"AAAAAG/+r4o=")</f>
        <v>#VALUE!</v>
      </c>
      <c r="EJ104" t="e">
        <f>AND('Planilla_General_29-11-2012_10_'!D1560,"AAAAAG/+r4s=")</f>
        <v>#VALUE!</v>
      </c>
      <c r="EK104" t="e">
        <f>AND('Planilla_General_29-11-2012_10_'!E1560,"AAAAAG/+r4w=")</f>
        <v>#VALUE!</v>
      </c>
      <c r="EL104" t="e">
        <f>AND('Planilla_General_29-11-2012_10_'!F1560,"AAAAAG/+r40=")</f>
        <v>#VALUE!</v>
      </c>
      <c r="EM104" t="e">
        <f>AND('Planilla_General_29-11-2012_10_'!G1560,"AAAAAG/+r44=")</f>
        <v>#VALUE!</v>
      </c>
      <c r="EN104" t="e">
        <f>AND('Planilla_General_29-11-2012_10_'!H1560,"AAAAAG/+r48=")</f>
        <v>#VALUE!</v>
      </c>
      <c r="EO104" t="e">
        <f>AND('Planilla_General_29-11-2012_10_'!I1560,"AAAAAG/+r5A=")</f>
        <v>#VALUE!</v>
      </c>
      <c r="EP104" t="e">
        <f>AND('Planilla_General_29-11-2012_10_'!J1560,"AAAAAG/+r5E=")</f>
        <v>#VALUE!</v>
      </c>
      <c r="EQ104" t="e">
        <f>AND('Planilla_General_29-11-2012_10_'!K1560,"AAAAAG/+r5I=")</f>
        <v>#VALUE!</v>
      </c>
      <c r="ER104" t="e">
        <f>AND('Planilla_General_29-11-2012_10_'!L1560,"AAAAAG/+r5M=")</f>
        <v>#VALUE!</v>
      </c>
      <c r="ES104" t="e">
        <f>AND('Planilla_General_29-11-2012_10_'!M1560,"AAAAAG/+r5Q=")</f>
        <v>#VALUE!</v>
      </c>
      <c r="ET104" t="e">
        <f>AND('Planilla_General_29-11-2012_10_'!N1560,"AAAAAG/+r5U=")</f>
        <v>#VALUE!</v>
      </c>
      <c r="EU104" t="e">
        <f>AND('Planilla_General_29-11-2012_10_'!O1560,"AAAAAG/+r5Y=")</f>
        <v>#VALUE!</v>
      </c>
      <c r="EV104" t="e">
        <f>AND('Planilla_General_29-11-2012_10_'!P1560,"AAAAAG/+r5c=")</f>
        <v>#VALUE!</v>
      </c>
      <c r="EW104">
        <f>IF('Planilla_General_29-11-2012_10_'!1561:1561,"AAAAAG/+r5g=",0)</f>
        <v>0</v>
      </c>
      <c r="EX104" t="e">
        <f>AND('Planilla_General_29-11-2012_10_'!A1561,"AAAAAG/+r5k=")</f>
        <v>#VALUE!</v>
      </c>
      <c r="EY104" t="e">
        <f>AND('Planilla_General_29-11-2012_10_'!B1561,"AAAAAG/+r5o=")</f>
        <v>#VALUE!</v>
      </c>
      <c r="EZ104" t="e">
        <f>AND('Planilla_General_29-11-2012_10_'!C1561,"AAAAAG/+r5s=")</f>
        <v>#VALUE!</v>
      </c>
      <c r="FA104" t="e">
        <f>AND('Planilla_General_29-11-2012_10_'!D1561,"AAAAAG/+r5w=")</f>
        <v>#VALUE!</v>
      </c>
      <c r="FB104" t="e">
        <f>AND('Planilla_General_29-11-2012_10_'!E1561,"AAAAAG/+r50=")</f>
        <v>#VALUE!</v>
      </c>
      <c r="FC104" t="e">
        <f>AND('Planilla_General_29-11-2012_10_'!F1561,"AAAAAG/+r54=")</f>
        <v>#VALUE!</v>
      </c>
      <c r="FD104" t="e">
        <f>AND('Planilla_General_29-11-2012_10_'!G1561,"AAAAAG/+r58=")</f>
        <v>#VALUE!</v>
      </c>
      <c r="FE104" t="e">
        <f>AND('Planilla_General_29-11-2012_10_'!H1561,"AAAAAG/+r6A=")</f>
        <v>#VALUE!</v>
      </c>
      <c r="FF104" t="e">
        <f>AND('Planilla_General_29-11-2012_10_'!I1561,"AAAAAG/+r6E=")</f>
        <v>#VALUE!</v>
      </c>
      <c r="FG104" t="e">
        <f>AND('Planilla_General_29-11-2012_10_'!J1561,"AAAAAG/+r6I=")</f>
        <v>#VALUE!</v>
      </c>
      <c r="FH104" t="e">
        <f>AND('Planilla_General_29-11-2012_10_'!K1561,"AAAAAG/+r6M=")</f>
        <v>#VALUE!</v>
      </c>
      <c r="FI104" t="e">
        <f>AND('Planilla_General_29-11-2012_10_'!L1561,"AAAAAG/+r6Q=")</f>
        <v>#VALUE!</v>
      </c>
      <c r="FJ104" t="e">
        <f>AND('Planilla_General_29-11-2012_10_'!M1561,"AAAAAG/+r6U=")</f>
        <v>#VALUE!</v>
      </c>
      <c r="FK104" t="e">
        <f>AND('Planilla_General_29-11-2012_10_'!N1561,"AAAAAG/+r6Y=")</f>
        <v>#VALUE!</v>
      </c>
      <c r="FL104" t="e">
        <f>AND('Planilla_General_29-11-2012_10_'!O1561,"AAAAAG/+r6c=")</f>
        <v>#VALUE!</v>
      </c>
      <c r="FM104" t="e">
        <f>AND('Planilla_General_29-11-2012_10_'!P1561,"AAAAAG/+r6g=")</f>
        <v>#VALUE!</v>
      </c>
      <c r="FN104">
        <f>IF('Planilla_General_29-11-2012_10_'!1562:1562,"AAAAAG/+r6k=",0)</f>
        <v>0</v>
      </c>
      <c r="FO104" t="e">
        <f>AND('Planilla_General_29-11-2012_10_'!A1562,"AAAAAG/+r6o=")</f>
        <v>#VALUE!</v>
      </c>
      <c r="FP104" t="e">
        <f>AND('Planilla_General_29-11-2012_10_'!B1562,"AAAAAG/+r6s=")</f>
        <v>#VALUE!</v>
      </c>
      <c r="FQ104" t="e">
        <f>AND('Planilla_General_29-11-2012_10_'!C1562,"AAAAAG/+r6w=")</f>
        <v>#VALUE!</v>
      </c>
      <c r="FR104" t="e">
        <f>AND('Planilla_General_29-11-2012_10_'!D1562,"AAAAAG/+r60=")</f>
        <v>#VALUE!</v>
      </c>
      <c r="FS104" t="e">
        <f>AND('Planilla_General_29-11-2012_10_'!E1562,"AAAAAG/+r64=")</f>
        <v>#VALUE!</v>
      </c>
      <c r="FT104" t="e">
        <f>AND('Planilla_General_29-11-2012_10_'!F1562,"AAAAAG/+r68=")</f>
        <v>#VALUE!</v>
      </c>
      <c r="FU104" t="e">
        <f>AND('Planilla_General_29-11-2012_10_'!G1562,"AAAAAG/+r7A=")</f>
        <v>#VALUE!</v>
      </c>
      <c r="FV104" t="e">
        <f>AND('Planilla_General_29-11-2012_10_'!H1562,"AAAAAG/+r7E=")</f>
        <v>#VALUE!</v>
      </c>
      <c r="FW104" t="e">
        <f>AND('Planilla_General_29-11-2012_10_'!I1562,"AAAAAG/+r7I=")</f>
        <v>#VALUE!</v>
      </c>
      <c r="FX104" t="e">
        <f>AND('Planilla_General_29-11-2012_10_'!J1562,"AAAAAG/+r7M=")</f>
        <v>#VALUE!</v>
      </c>
      <c r="FY104" t="e">
        <f>AND('Planilla_General_29-11-2012_10_'!K1562,"AAAAAG/+r7Q=")</f>
        <v>#VALUE!</v>
      </c>
      <c r="FZ104" t="e">
        <f>AND('Planilla_General_29-11-2012_10_'!L1562,"AAAAAG/+r7U=")</f>
        <v>#VALUE!</v>
      </c>
      <c r="GA104" t="e">
        <f>AND('Planilla_General_29-11-2012_10_'!M1562,"AAAAAG/+r7Y=")</f>
        <v>#VALUE!</v>
      </c>
      <c r="GB104" t="e">
        <f>AND('Planilla_General_29-11-2012_10_'!N1562,"AAAAAG/+r7c=")</f>
        <v>#VALUE!</v>
      </c>
      <c r="GC104" t="e">
        <f>AND('Planilla_General_29-11-2012_10_'!O1562,"AAAAAG/+r7g=")</f>
        <v>#VALUE!</v>
      </c>
      <c r="GD104" t="e">
        <f>AND('Planilla_General_29-11-2012_10_'!P1562,"AAAAAG/+r7k=")</f>
        <v>#VALUE!</v>
      </c>
      <c r="GE104">
        <f>IF('Planilla_General_29-11-2012_10_'!1563:1563,"AAAAAG/+r7o=",0)</f>
        <v>0</v>
      </c>
      <c r="GF104" t="e">
        <f>AND('Planilla_General_29-11-2012_10_'!A1563,"AAAAAG/+r7s=")</f>
        <v>#VALUE!</v>
      </c>
      <c r="GG104" t="e">
        <f>AND('Planilla_General_29-11-2012_10_'!B1563,"AAAAAG/+r7w=")</f>
        <v>#VALUE!</v>
      </c>
      <c r="GH104" t="e">
        <f>AND('Planilla_General_29-11-2012_10_'!C1563,"AAAAAG/+r70=")</f>
        <v>#VALUE!</v>
      </c>
      <c r="GI104" t="e">
        <f>AND('Planilla_General_29-11-2012_10_'!D1563,"AAAAAG/+r74=")</f>
        <v>#VALUE!</v>
      </c>
      <c r="GJ104" t="e">
        <f>AND('Planilla_General_29-11-2012_10_'!E1563,"AAAAAG/+r78=")</f>
        <v>#VALUE!</v>
      </c>
      <c r="GK104" t="e">
        <f>AND('Planilla_General_29-11-2012_10_'!F1563,"AAAAAG/+r8A=")</f>
        <v>#VALUE!</v>
      </c>
      <c r="GL104" t="e">
        <f>AND('Planilla_General_29-11-2012_10_'!G1563,"AAAAAG/+r8E=")</f>
        <v>#VALUE!</v>
      </c>
      <c r="GM104" t="e">
        <f>AND('Planilla_General_29-11-2012_10_'!H1563,"AAAAAG/+r8I=")</f>
        <v>#VALUE!</v>
      </c>
      <c r="GN104" t="e">
        <f>AND('Planilla_General_29-11-2012_10_'!I1563,"AAAAAG/+r8M=")</f>
        <v>#VALUE!</v>
      </c>
      <c r="GO104" t="e">
        <f>AND('Planilla_General_29-11-2012_10_'!J1563,"AAAAAG/+r8Q=")</f>
        <v>#VALUE!</v>
      </c>
      <c r="GP104" t="e">
        <f>AND('Planilla_General_29-11-2012_10_'!K1563,"AAAAAG/+r8U=")</f>
        <v>#VALUE!</v>
      </c>
      <c r="GQ104" t="e">
        <f>AND('Planilla_General_29-11-2012_10_'!L1563,"AAAAAG/+r8Y=")</f>
        <v>#VALUE!</v>
      </c>
      <c r="GR104" t="e">
        <f>AND('Planilla_General_29-11-2012_10_'!M1563,"AAAAAG/+r8c=")</f>
        <v>#VALUE!</v>
      </c>
      <c r="GS104" t="e">
        <f>AND('Planilla_General_29-11-2012_10_'!N1563,"AAAAAG/+r8g=")</f>
        <v>#VALUE!</v>
      </c>
      <c r="GT104" t="e">
        <f>AND('Planilla_General_29-11-2012_10_'!O1563,"AAAAAG/+r8k=")</f>
        <v>#VALUE!</v>
      </c>
      <c r="GU104" t="e">
        <f>AND('Planilla_General_29-11-2012_10_'!P1563,"AAAAAG/+r8o=")</f>
        <v>#VALUE!</v>
      </c>
      <c r="GV104">
        <f>IF('Planilla_General_29-11-2012_10_'!1564:1564,"AAAAAG/+r8s=",0)</f>
        <v>0</v>
      </c>
      <c r="GW104" t="e">
        <f>AND('Planilla_General_29-11-2012_10_'!A1564,"AAAAAG/+r8w=")</f>
        <v>#VALUE!</v>
      </c>
      <c r="GX104" t="e">
        <f>AND('Planilla_General_29-11-2012_10_'!B1564,"AAAAAG/+r80=")</f>
        <v>#VALUE!</v>
      </c>
      <c r="GY104" t="e">
        <f>AND('Planilla_General_29-11-2012_10_'!C1564,"AAAAAG/+r84=")</f>
        <v>#VALUE!</v>
      </c>
      <c r="GZ104" t="e">
        <f>AND('Planilla_General_29-11-2012_10_'!D1564,"AAAAAG/+r88=")</f>
        <v>#VALUE!</v>
      </c>
      <c r="HA104" t="e">
        <f>AND('Planilla_General_29-11-2012_10_'!E1564,"AAAAAG/+r9A=")</f>
        <v>#VALUE!</v>
      </c>
      <c r="HB104" t="e">
        <f>AND('Planilla_General_29-11-2012_10_'!F1564,"AAAAAG/+r9E=")</f>
        <v>#VALUE!</v>
      </c>
      <c r="HC104" t="e">
        <f>AND('Planilla_General_29-11-2012_10_'!G1564,"AAAAAG/+r9I=")</f>
        <v>#VALUE!</v>
      </c>
      <c r="HD104" t="e">
        <f>AND('Planilla_General_29-11-2012_10_'!H1564,"AAAAAG/+r9M=")</f>
        <v>#VALUE!</v>
      </c>
      <c r="HE104" t="e">
        <f>AND('Planilla_General_29-11-2012_10_'!I1564,"AAAAAG/+r9Q=")</f>
        <v>#VALUE!</v>
      </c>
      <c r="HF104" t="e">
        <f>AND('Planilla_General_29-11-2012_10_'!J1564,"AAAAAG/+r9U=")</f>
        <v>#VALUE!</v>
      </c>
      <c r="HG104" t="e">
        <f>AND('Planilla_General_29-11-2012_10_'!K1564,"AAAAAG/+r9Y=")</f>
        <v>#VALUE!</v>
      </c>
      <c r="HH104" t="e">
        <f>AND('Planilla_General_29-11-2012_10_'!L1564,"AAAAAG/+r9c=")</f>
        <v>#VALUE!</v>
      </c>
      <c r="HI104" t="e">
        <f>AND('Planilla_General_29-11-2012_10_'!M1564,"AAAAAG/+r9g=")</f>
        <v>#VALUE!</v>
      </c>
      <c r="HJ104" t="e">
        <f>AND('Planilla_General_29-11-2012_10_'!N1564,"AAAAAG/+r9k=")</f>
        <v>#VALUE!</v>
      </c>
      <c r="HK104" t="e">
        <f>AND('Planilla_General_29-11-2012_10_'!O1564,"AAAAAG/+r9o=")</f>
        <v>#VALUE!</v>
      </c>
      <c r="HL104" t="e">
        <f>AND('Planilla_General_29-11-2012_10_'!P1564,"AAAAAG/+r9s=")</f>
        <v>#VALUE!</v>
      </c>
      <c r="HM104">
        <f>IF('Planilla_General_29-11-2012_10_'!1565:1565,"AAAAAG/+r9w=",0)</f>
        <v>0</v>
      </c>
      <c r="HN104" t="e">
        <f>AND('Planilla_General_29-11-2012_10_'!A1565,"AAAAAG/+r90=")</f>
        <v>#VALUE!</v>
      </c>
      <c r="HO104" t="e">
        <f>AND('Planilla_General_29-11-2012_10_'!B1565,"AAAAAG/+r94=")</f>
        <v>#VALUE!</v>
      </c>
      <c r="HP104" t="e">
        <f>AND('Planilla_General_29-11-2012_10_'!C1565,"AAAAAG/+r98=")</f>
        <v>#VALUE!</v>
      </c>
      <c r="HQ104" t="e">
        <f>AND('Planilla_General_29-11-2012_10_'!D1565,"AAAAAG/+r+A=")</f>
        <v>#VALUE!</v>
      </c>
      <c r="HR104" t="e">
        <f>AND('Planilla_General_29-11-2012_10_'!E1565,"AAAAAG/+r+E=")</f>
        <v>#VALUE!</v>
      </c>
      <c r="HS104" t="e">
        <f>AND('Planilla_General_29-11-2012_10_'!F1565,"AAAAAG/+r+I=")</f>
        <v>#VALUE!</v>
      </c>
      <c r="HT104" t="e">
        <f>AND('Planilla_General_29-11-2012_10_'!G1565,"AAAAAG/+r+M=")</f>
        <v>#VALUE!</v>
      </c>
      <c r="HU104" t="e">
        <f>AND('Planilla_General_29-11-2012_10_'!H1565,"AAAAAG/+r+Q=")</f>
        <v>#VALUE!</v>
      </c>
      <c r="HV104" t="e">
        <f>AND('Planilla_General_29-11-2012_10_'!I1565,"AAAAAG/+r+U=")</f>
        <v>#VALUE!</v>
      </c>
      <c r="HW104" t="e">
        <f>AND('Planilla_General_29-11-2012_10_'!J1565,"AAAAAG/+r+Y=")</f>
        <v>#VALUE!</v>
      </c>
      <c r="HX104" t="e">
        <f>AND('Planilla_General_29-11-2012_10_'!K1565,"AAAAAG/+r+c=")</f>
        <v>#VALUE!</v>
      </c>
      <c r="HY104" t="e">
        <f>AND('Planilla_General_29-11-2012_10_'!L1565,"AAAAAG/+r+g=")</f>
        <v>#VALUE!</v>
      </c>
      <c r="HZ104" t="e">
        <f>AND('Planilla_General_29-11-2012_10_'!M1565,"AAAAAG/+r+k=")</f>
        <v>#VALUE!</v>
      </c>
      <c r="IA104" t="e">
        <f>AND('Planilla_General_29-11-2012_10_'!N1565,"AAAAAG/+r+o=")</f>
        <v>#VALUE!</v>
      </c>
      <c r="IB104" t="e">
        <f>AND('Planilla_General_29-11-2012_10_'!O1565,"AAAAAG/+r+s=")</f>
        <v>#VALUE!</v>
      </c>
      <c r="IC104" t="e">
        <f>AND('Planilla_General_29-11-2012_10_'!P1565,"AAAAAG/+r+w=")</f>
        <v>#VALUE!</v>
      </c>
      <c r="ID104">
        <f>IF('Planilla_General_29-11-2012_10_'!1566:1566,"AAAAAG/+r+0=",0)</f>
        <v>0</v>
      </c>
      <c r="IE104" t="e">
        <f>AND('Planilla_General_29-11-2012_10_'!A1566,"AAAAAG/+r+4=")</f>
        <v>#VALUE!</v>
      </c>
      <c r="IF104" t="e">
        <f>AND('Planilla_General_29-11-2012_10_'!B1566,"AAAAAG/+r+8=")</f>
        <v>#VALUE!</v>
      </c>
      <c r="IG104" t="e">
        <f>AND('Planilla_General_29-11-2012_10_'!C1566,"AAAAAG/+r/A=")</f>
        <v>#VALUE!</v>
      </c>
      <c r="IH104" t="e">
        <f>AND('Planilla_General_29-11-2012_10_'!D1566,"AAAAAG/+r/E=")</f>
        <v>#VALUE!</v>
      </c>
      <c r="II104" t="e">
        <f>AND('Planilla_General_29-11-2012_10_'!E1566,"AAAAAG/+r/I=")</f>
        <v>#VALUE!</v>
      </c>
      <c r="IJ104" t="e">
        <f>AND('Planilla_General_29-11-2012_10_'!F1566,"AAAAAG/+r/M=")</f>
        <v>#VALUE!</v>
      </c>
      <c r="IK104" t="e">
        <f>AND('Planilla_General_29-11-2012_10_'!G1566,"AAAAAG/+r/Q=")</f>
        <v>#VALUE!</v>
      </c>
      <c r="IL104" t="e">
        <f>AND('Planilla_General_29-11-2012_10_'!H1566,"AAAAAG/+r/U=")</f>
        <v>#VALUE!</v>
      </c>
      <c r="IM104" t="e">
        <f>AND('Planilla_General_29-11-2012_10_'!I1566,"AAAAAG/+r/Y=")</f>
        <v>#VALUE!</v>
      </c>
      <c r="IN104" t="e">
        <f>AND('Planilla_General_29-11-2012_10_'!J1566,"AAAAAG/+r/c=")</f>
        <v>#VALUE!</v>
      </c>
      <c r="IO104" t="e">
        <f>AND('Planilla_General_29-11-2012_10_'!K1566,"AAAAAG/+r/g=")</f>
        <v>#VALUE!</v>
      </c>
      <c r="IP104" t="e">
        <f>AND('Planilla_General_29-11-2012_10_'!L1566,"AAAAAG/+r/k=")</f>
        <v>#VALUE!</v>
      </c>
      <c r="IQ104" t="e">
        <f>AND('Planilla_General_29-11-2012_10_'!M1566,"AAAAAG/+r/o=")</f>
        <v>#VALUE!</v>
      </c>
      <c r="IR104" t="e">
        <f>AND('Planilla_General_29-11-2012_10_'!N1566,"AAAAAG/+r/s=")</f>
        <v>#VALUE!</v>
      </c>
      <c r="IS104" t="e">
        <f>AND('Planilla_General_29-11-2012_10_'!O1566,"AAAAAG/+r/w=")</f>
        <v>#VALUE!</v>
      </c>
      <c r="IT104" t="e">
        <f>AND('Planilla_General_29-11-2012_10_'!P1566,"AAAAAG/+r/0=")</f>
        <v>#VALUE!</v>
      </c>
      <c r="IU104">
        <f>IF('Planilla_General_29-11-2012_10_'!1567:1567,"AAAAAG/+r/4=",0)</f>
        <v>0</v>
      </c>
      <c r="IV104" t="e">
        <f>AND('Planilla_General_29-11-2012_10_'!A1567,"AAAAAG/+r/8=")</f>
        <v>#VALUE!</v>
      </c>
    </row>
    <row r="105" spans="1:256" x14ac:dyDescent="0.25">
      <c r="A105" t="e">
        <f>AND('Planilla_General_29-11-2012_10_'!B1567,"AAAAAH5t7AA=")</f>
        <v>#VALUE!</v>
      </c>
      <c r="B105" t="e">
        <f>AND('Planilla_General_29-11-2012_10_'!C1567,"AAAAAH5t7AE=")</f>
        <v>#VALUE!</v>
      </c>
      <c r="C105" t="e">
        <f>AND('Planilla_General_29-11-2012_10_'!D1567,"AAAAAH5t7AI=")</f>
        <v>#VALUE!</v>
      </c>
      <c r="D105" t="e">
        <f>AND('Planilla_General_29-11-2012_10_'!E1567,"AAAAAH5t7AM=")</f>
        <v>#VALUE!</v>
      </c>
      <c r="E105" t="e">
        <f>AND('Planilla_General_29-11-2012_10_'!F1567,"AAAAAH5t7AQ=")</f>
        <v>#VALUE!</v>
      </c>
      <c r="F105" t="e">
        <f>AND('Planilla_General_29-11-2012_10_'!G1567,"AAAAAH5t7AU=")</f>
        <v>#VALUE!</v>
      </c>
      <c r="G105" t="e">
        <f>AND('Planilla_General_29-11-2012_10_'!H1567,"AAAAAH5t7AY=")</f>
        <v>#VALUE!</v>
      </c>
      <c r="H105" t="e">
        <f>AND('Planilla_General_29-11-2012_10_'!I1567,"AAAAAH5t7Ac=")</f>
        <v>#VALUE!</v>
      </c>
      <c r="I105" t="e">
        <f>AND('Planilla_General_29-11-2012_10_'!J1567,"AAAAAH5t7Ag=")</f>
        <v>#VALUE!</v>
      </c>
      <c r="J105" t="e">
        <f>AND('Planilla_General_29-11-2012_10_'!K1567,"AAAAAH5t7Ak=")</f>
        <v>#VALUE!</v>
      </c>
      <c r="K105" t="e">
        <f>AND('Planilla_General_29-11-2012_10_'!L1567,"AAAAAH5t7Ao=")</f>
        <v>#VALUE!</v>
      </c>
      <c r="L105" t="e">
        <f>AND('Planilla_General_29-11-2012_10_'!M1567,"AAAAAH5t7As=")</f>
        <v>#VALUE!</v>
      </c>
      <c r="M105" t="e">
        <f>AND('Planilla_General_29-11-2012_10_'!N1567,"AAAAAH5t7Aw=")</f>
        <v>#VALUE!</v>
      </c>
      <c r="N105" t="e">
        <f>AND('Planilla_General_29-11-2012_10_'!O1567,"AAAAAH5t7A0=")</f>
        <v>#VALUE!</v>
      </c>
      <c r="O105" t="e">
        <f>AND('Planilla_General_29-11-2012_10_'!P1567,"AAAAAH5t7A4=")</f>
        <v>#VALUE!</v>
      </c>
      <c r="P105">
        <f>IF('Planilla_General_29-11-2012_10_'!1568:1568,"AAAAAH5t7A8=",0)</f>
        <v>0</v>
      </c>
      <c r="Q105" t="e">
        <f>AND('Planilla_General_29-11-2012_10_'!A1568,"AAAAAH5t7BA=")</f>
        <v>#VALUE!</v>
      </c>
      <c r="R105" t="e">
        <f>AND('Planilla_General_29-11-2012_10_'!B1568,"AAAAAH5t7BE=")</f>
        <v>#VALUE!</v>
      </c>
      <c r="S105" t="e">
        <f>AND('Planilla_General_29-11-2012_10_'!C1568,"AAAAAH5t7BI=")</f>
        <v>#VALUE!</v>
      </c>
      <c r="T105" t="e">
        <f>AND('Planilla_General_29-11-2012_10_'!D1568,"AAAAAH5t7BM=")</f>
        <v>#VALUE!</v>
      </c>
      <c r="U105" t="e">
        <f>AND('Planilla_General_29-11-2012_10_'!E1568,"AAAAAH5t7BQ=")</f>
        <v>#VALUE!</v>
      </c>
      <c r="V105" t="e">
        <f>AND('Planilla_General_29-11-2012_10_'!F1568,"AAAAAH5t7BU=")</f>
        <v>#VALUE!</v>
      </c>
      <c r="W105" t="e">
        <f>AND('Planilla_General_29-11-2012_10_'!G1568,"AAAAAH5t7BY=")</f>
        <v>#VALUE!</v>
      </c>
      <c r="X105" t="e">
        <f>AND('Planilla_General_29-11-2012_10_'!H1568,"AAAAAH5t7Bc=")</f>
        <v>#VALUE!</v>
      </c>
      <c r="Y105" t="e">
        <f>AND('Planilla_General_29-11-2012_10_'!I1568,"AAAAAH5t7Bg=")</f>
        <v>#VALUE!</v>
      </c>
      <c r="Z105" t="e">
        <f>AND('Planilla_General_29-11-2012_10_'!J1568,"AAAAAH5t7Bk=")</f>
        <v>#VALUE!</v>
      </c>
      <c r="AA105" t="e">
        <f>AND('Planilla_General_29-11-2012_10_'!K1568,"AAAAAH5t7Bo=")</f>
        <v>#VALUE!</v>
      </c>
      <c r="AB105" t="e">
        <f>AND('Planilla_General_29-11-2012_10_'!L1568,"AAAAAH5t7Bs=")</f>
        <v>#VALUE!</v>
      </c>
      <c r="AC105" t="e">
        <f>AND('Planilla_General_29-11-2012_10_'!M1568,"AAAAAH5t7Bw=")</f>
        <v>#VALUE!</v>
      </c>
      <c r="AD105" t="e">
        <f>AND('Planilla_General_29-11-2012_10_'!N1568,"AAAAAH5t7B0=")</f>
        <v>#VALUE!</v>
      </c>
      <c r="AE105" t="e">
        <f>AND('Planilla_General_29-11-2012_10_'!O1568,"AAAAAH5t7B4=")</f>
        <v>#VALUE!</v>
      </c>
      <c r="AF105" t="e">
        <f>AND('Planilla_General_29-11-2012_10_'!P1568,"AAAAAH5t7B8=")</f>
        <v>#VALUE!</v>
      </c>
      <c r="AG105">
        <f>IF('Planilla_General_29-11-2012_10_'!1569:1569,"AAAAAH5t7CA=",0)</f>
        <v>0</v>
      </c>
      <c r="AH105" t="e">
        <f>AND('Planilla_General_29-11-2012_10_'!A1569,"AAAAAH5t7CE=")</f>
        <v>#VALUE!</v>
      </c>
      <c r="AI105" t="e">
        <f>AND('Planilla_General_29-11-2012_10_'!B1569,"AAAAAH5t7CI=")</f>
        <v>#VALUE!</v>
      </c>
      <c r="AJ105" t="e">
        <f>AND('Planilla_General_29-11-2012_10_'!C1569,"AAAAAH5t7CM=")</f>
        <v>#VALUE!</v>
      </c>
      <c r="AK105" t="e">
        <f>AND('Planilla_General_29-11-2012_10_'!D1569,"AAAAAH5t7CQ=")</f>
        <v>#VALUE!</v>
      </c>
      <c r="AL105" t="e">
        <f>AND('Planilla_General_29-11-2012_10_'!E1569,"AAAAAH5t7CU=")</f>
        <v>#VALUE!</v>
      </c>
      <c r="AM105" t="e">
        <f>AND('Planilla_General_29-11-2012_10_'!F1569,"AAAAAH5t7CY=")</f>
        <v>#VALUE!</v>
      </c>
      <c r="AN105" t="e">
        <f>AND('Planilla_General_29-11-2012_10_'!G1569,"AAAAAH5t7Cc=")</f>
        <v>#VALUE!</v>
      </c>
      <c r="AO105" t="e">
        <f>AND('Planilla_General_29-11-2012_10_'!H1569,"AAAAAH5t7Cg=")</f>
        <v>#VALUE!</v>
      </c>
      <c r="AP105" t="e">
        <f>AND('Planilla_General_29-11-2012_10_'!I1569,"AAAAAH5t7Ck=")</f>
        <v>#VALUE!</v>
      </c>
      <c r="AQ105" t="e">
        <f>AND('Planilla_General_29-11-2012_10_'!J1569,"AAAAAH5t7Co=")</f>
        <v>#VALUE!</v>
      </c>
      <c r="AR105" t="e">
        <f>AND('Planilla_General_29-11-2012_10_'!K1569,"AAAAAH5t7Cs=")</f>
        <v>#VALUE!</v>
      </c>
      <c r="AS105" t="e">
        <f>AND('Planilla_General_29-11-2012_10_'!L1569,"AAAAAH5t7Cw=")</f>
        <v>#VALUE!</v>
      </c>
      <c r="AT105" t="e">
        <f>AND('Planilla_General_29-11-2012_10_'!M1569,"AAAAAH5t7C0=")</f>
        <v>#VALUE!</v>
      </c>
      <c r="AU105" t="e">
        <f>AND('Planilla_General_29-11-2012_10_'!N1569,"AAAAAH5t7C4=")</f>
        <v>#VALUE!</v>
      </c>
      <c r="AV105" t="e">
        <f>AND('Planilla_General_29-11-2012_10_'!O1569,"AAAAAH5t7C8=")</f>
        <v>#VALUE!</v>
      </c>
      <c r="AW105" t="e">
        <f>AND('Planilla_General_29-11-2012_10_'!P1569,"AAAAAH5t7DA=")</f>
        <v>#VALUE!</v>
      </c>
      <c r="AX105">
        <f>IF('Planilla_General_29-11-2012_10_'!1570:1570,"AAAAAH5t7DE=",0)</f>
        <v>0</v>
      </c>
      <c r="AY105" t="e">
        <f>AND('Planilla_General_29-11-2012_10_'!A1570,"AAAAAH5t7DI=")</f>
        <v>#VALUE!</v>
      </c>
      <c r="AZ105" t="e">
        <f>AND('Planilla_General_29-11-2012_10_'!B1570,"AAAAAH5t7DM=")</f>
        <v>#VALUE!</v>
      </c>
      <c r="BA105" t="e">
        <f>AND('Planilla_General_29-11-2012_10_'!C1570,"AAAAAH5t7DQ=")</f>
        <v>#VALUE!</v>
      </c>
      <c r="BB105" t="e">
        <f>AND('Planilla_General_29-11-2012_10_'!D1570,"AAAAAH5t7DU=")</f>
        <v>#VALUE!</v>
      </c>
      <c r="BC105" t="e">
        <f>AND('Planilla_General_29-11-2012_10_'!E1570,"AAAAAH5t7DY=")</f>
        <v>#VALUE!</v>
      </c>
      <c r="BD105" t="e">
        <f>AND('Planilla_General_29-11-2012_10_'!F1570,"AAAAAH5t7Dc=")</f>
        <v>#VALUE!</v>
      </c>
      <c r="BE105" t="e">
        <f>AND('Planilla_General_29-11-2012_10_'!G1570,"AAAAAH5t7Dg=")</f>
        <v>#VALUE!</v>
      </c>
      <c r="BF105" t="e">
        <f>AND('Planilla_General_29-11-2012_10_'!H1570,"AAAAAH5t7Dk=")</f>
        <v>#VALUE!</v>
      </c>
      <c r="BG105" t="e">
        <f>AND('Planilla_General_29-11-2012_10_'!I1570,"AAAAAH5t7Do=")</f>
        <v>#VALUE!</v>
      </c>
      <c r="BH105" t="e">
        <f>AND('Planilla_General_29-11-2012_10_'!J1570,"AAAAAH5t7Ds=")</f>
        <v>#VALUE!</v>
      </c>
      <c r="BI105" t="e">
        <f>AND('Planilla_General_29-11-2012_10_'!K1570,"AAAAAH5t7Dw=")</f>
        <v>#VALUE!</v>
      </c>
      <c r="BJ105" t="e">
        <f>AND('Planilla_General_29-11-2012_10_'!L1570,"AAAAAH5t7D0=")</f>
        <v>#VALUE!</v>
      </c>
      <c r="BK105" t="e">
        <f>AND('Planilla_General_29-11-2012_10_'!M1570,"AAAAAH5t7D4=")</f>
        <v>#VALUE!</v>
      </c>
      <c r="BL105" t="e">
        <f>AND('Planilla_General_29-11-2012_10_'!N1570,"AAAAAH5t7D8=")</f>
        <v>#VALUE!</v>
      </c>
      <c r="BM105" t="e">
        <f>AND('Planilla_General_29-11-2012_10_'!O1570,"AAAAAH5t7EA=")</f>
        <v>#VALUE!</v>
      </c>
      <c r="BN105" t="e">
        <f>AND('Planilla_General_29-11-2012_10_'!P1570,"AAAAAH5t7EE=")</f>
        <v>#VALUE!</v>
      </c>
      <c r="BO105">
        <f>IF('Planilla_General_29-11-2012_10_'!1571:1571,"AAAAAH5t7EI=",0)</f>
        <v>0</v>
      </c>
      <c r="BP105" t="e">
        <f>AND('Planilla_General_29-11-2012_10_'!A1571,"AAAAAH5t7EM=")</f>
        <v>#VALUE!</v>
      </c>
      <c r="BQ105" t="e">
        <f>AND('Planilla_General_29-11-2012_10_'!B1571,"AAAAAH5t7EQ=")</f>
        <v>#VALUE!</v>
      </c>
      <c r="BR105" t="e">
        <f>AND('Planilla_General_29-11-2012_10_'!C1571,"AAAAAH5t7EU=")</f>
        <v>#VALUE!</v>
      </c>
      <c r="BS105" t="e">
        <f>AND('Planilla_General_29-11-2012_10_'!D1571,"AAAAAH5t7EY=")</f>
        <v>#VALUE!</v>
      </c>
      <c r="BT105" t="e">
        <f>AND('Planilla_General_29-11-2012_10_'!E1571,"AAAAAH5t7Ec=")</f>
        <v>#VALUE!</v>
      </c>
      <c r="BU105" t="e">
        <f>AND('Planilla_General_29-11-2012_10_'!F1571,"AAAAAH5t7Eg=")</f>
        <v>#VALUE!</v>
      </c>
      <c r="BV105" t="e">
        <f>AND('Planilla_General_29-11-2012_10_'!G1571,"AAAAAH5t7Ek=")</f>
        <v>#VALUE!</v>
      </c>
      <c r="BW105" t="e">
        <f>AND('Planilla_General_29-11-2012_10_'!H1571,"AAAAAH5t7Eo=")</f>
        <v>#VALUE!</v>
      </c>
      <c r="BX105" t="e">
        <f>AND('Planilla_General_29-11-2012_10_'!I1571,"AAAAAH5t7Es=")</f>
        <v>#VALUE!</v>
      </c>
      <c r="BY105" t="e">
        <f>AND('Planilla_General_29-11-2012_10_'!J1571,"AAAAAH5t7Ew=")</f>
        <v>#VALUE!</v>
      </c>
      <c r="BZ105" t="e">
        <f>AND('Planilla_General_29-11-2012_10_'!K1571,"AAAAAH5t7E0=")</f>
        <v>#VALUE!</v>
      </c>
      <c r="CA105" t="e">
        <f>AND('Planilla_General_29-11-2012_10_'!L1571,"AAAAAH5t7E4=")</f>
        <v>#VALUE!</v>
      </c>
      <c r="CB105" t="e">
        <f>AND('Planilla_General_29-11-2012_10_'!M1571,"AAAAAH5t7E8=")</f>
        <v>#VALUE!</v>
      </c>
      <c r="CC105" t="e">
        <f>AND('Planilla_General_29-11-2012_10_'!N1571,"AAAAAH5t7FA=")</f>
        <v>#VALUE!</v>
      </c>
      <c r="CD105" t="e">
        <f>AND('Planilla_General_29-11-2012_10_'!O1571,"AAAAAH5t7FE=")</f>
        <v>#VALUE!</v>
      </c>
      <c r="CE105" t="e">
        <f>AND('Planilla_General_29-11-2012_10_'!P1571,"AAAAAH5t7FI=")</f>
        <v>#VALUE!</v>
      </c>
      <c r="CF105">
        <f>IF('Planilla_General_29-11-2012_10_'!1572:1572,"AAAAAH5t7FM=",0)</f>
        <v>0</v>
      </c>
      <c r="CG105" t="e">
        <f>AND('Planilla_General_29-11-2012_10_'!A1572,"AAAAAH5t7FQ=")</f>
        <v>#VALUE!</v>
      </c>
      <c r="CH105" t="e">
        <f>AND('Planilla_General_29-11-2012_10_'!B1572,"AAAAAH5t7FU=")</f>
        <v>#VALUE!</v>
      </c>
      <c r="CI105" t="e">
        <f>AND('Planilla_General_29-11-2012_10_'!C1572,"AAAAAH5t7FY=")</f>
        <v>#VALUE!</v>
      </c>
      <c r="CJ105" t="e">
        <f>AND('Planilla_General_29-11-2012_10_'!D1572,"AAAAAH5t7Fc=")</f>
        <v>#VALUE!</v>
      </c>
      <c r="CK105" t="e">
        <f>AND('Planilla_General_29-11-2012_10_'!E1572,"AAAAAH5t7Fg=")</f>
        <v>#VALUE!</v>
      </c>
      <c r="CL105" t="e">
        <f>AND('Planilla_General_29-11-2012_10_'!F1572,"AAAAAH5t7Fk=")</f>
        <v>#VALUE!</v>
      </c>
      <c r="CM105" t="e">
        <f>AND('Planilla_General_29-11-2012_10_'!G1572,"AAAAAH5t7Fo=")</f>
        <v>#VALUE!</v>
      </c>
      <c r="CN105" t="e">
        <f>AND('Planilla_General_29-11-2012_10_'!H1572,"AAAAAH5t7Fs=")</f>
        <v>#VALUE!</v>
      </c>
      <c r="CO105" t="e">
        <f>AND('Planilla_General_29-11-2012_10_'!I1572,"AAAAAH5t7Fw=")</f>
        <v>#VALUE!</v>
      </c>
      <c r="CP105" t="e">
        <f>AND('Planilla_General_29-11-2012_10_'!J1572,"AAAAAH5t7F0=")</f>
        <v>#VALUE!</v>
      </c>
      <c r="CQ105" t="e">
        <f>AND('Planilla_General_29-11-2012_10_'!K1572,"AAAAAH5t7F4=")</f>
        <v>#VALUE!</v>
      </c>
      <c r="CR105" t="e">
        <f>AND('Planilla_General_29-11-2012_10_'!L1572,"AAAAAH5t7F8=")</f>
        <v>#VALUE!</v>
      </c>
      <c r="CS105" t="e">
        <f>AND('Planilla_General_29-11-2012_10_'!M1572,"AAAAAH5t7GA=")</f>
        <v>#VALUE!</v>
      </c>
      <c r="CT105" t="e">
        <f>AND('Planilla_General_29-11-2012_10_'!N1572,"AAAAAH5t7GE=")</f>
        <v>#VALUE!</v>
      </c>
      <c r="CU105" t="e">
        <f>AND('Planilla_General_29-11-2012_10_'!O1572,"AAAAAH5t7GI=")</f>
        <v>#VALUE!</v>
      </c>
      <c r="CV105" t="e">
        <f>AND('Planilla_General_29-11-2012_10_'!P1572,"AAAAAH5t7GM=")</f>
        <v>#VALUE!</v>
      </c>
      <c r="CW105">
        <f>IF('Planilla_General_29-11-2012_10_'!1573:1573,"AAAAAH5t7GQ=",0)</f>
        <v>0</v>
      </c>
      <c r="CX105" t="e">
        <f>AND('Planilla_General_29-11-2012_10_'!A1573,"AAAAAH5t7GU=")</f>
        <v>#VALUE!</v>
      </c>
      <c r="CY105" t="e">
        <f>AND('Planilla_General_29-11-2012_10_'!B1573,"AAAAAH5t7GY=")</f>
        <v>#VALUE!</v>
      </c>
      <c r="CZ105" t="e">
        <f>AND('Planilla_General_29-11-2012_10_'!C1573,"AAAAAH5t7Gc=")</f>
        <v>#VALUE!</v>
      </c>
      <c r="DA105" t="e">
        <f>AND('Planilla_General_29-11-2012_10_'!D1573,"AAAAAH5t7Gg=")</f>
        <v>#VALUE!</v>
      </c>
      <c r="DB105" t="e">
        <f>AND('Planilla_General_29-11-2012_10_'!E1573,"AAAAAH5t7Gk=")</f>
        <v>#VALUE!</v>
      </c>
      <c r="DC105" t="e">
        <f>AND('Planilla_General_29-11-2012_10_'!F1573,"AAAAAH5t7Go=")</f>
        <v>#VALUE!</v>
      </c>
      <c r="DD105" t="e">
        <f>AND('Planilla_General_29-11-2012_10_'!G1573,"AAAAAH5t7Gs=")</f>
        <v>#VALUE!</v>
      </c>
      <c r="DE105" t="e">
        <f>AND('Planilla_General_29-11-2012_10_'!H1573,"AAAAAH5t7Gw=")</f>
        <v>#VALUE!</v>
      </c>
      <c r="DF105" t="e">
        <f>AND('Planilla_General_29-11-2012_10_'!I1573,"AAAAAH5t7G0=")</f>
        <v>#VALUE!</v>
      </c>
      <c r="DG105" t="e">
        <f>AND('Planilla_General_29-11-2012_10_'!J1573,"AAAAAH5t7G4=")</f>
        <v>#VALUE!</v>
      </c>
      <c r="DH105" t="e">
        <f>AND('Planilla_General_29-11-2012_10_'!K1573,"AAAAAH5t7G8=")</f>
        <v>#VALUE!</v>
      </c>
      <c r="DI105" t="e">
        <f>AND('Planilla_General_29-11-2012_10_'!L1573,"AAAAAH5t7HA=")</f>
        <v>#VALUE!</v>
      </c>
      <c r="DJ105" t="e">
        <f>AND('Planilla_General_29-11-2012_10_'!M1573,"AAAAAH5t7HE=")</f>
        <v>#VALUE!</v>
      </c>
      <c r="DK105" t="e">
        <f>AND('Planilla_General_29-11-2012_10_'!N1573,"AAAAAH5t7HI=")</f>
        <v>#VALUE!</v>
      </c>
      <c r="DL105" t="e">
        <f>AND('Planilla_General_29-11-2012_10_'!O1573,"AAAAAH5t7HM=")</f>
        <v>#VALUE!</v>
      </c>
      <c r="DM105" t="e">
        <f>AND('Planilla_General_29-11-2012_10_'!P1573,"AAAAAH5t7HQ=")</f>
        <v>#VALUE!</v>
      </c>
      <c r="DN105">
        <f>IF('Planilla_General_29-11-2012_10_'!1574:1574,"AAAAAH5t7HU=",0)</f>
        <v>0</v>
      </c>
      <c r="DO105" t="e">
        <f>AND('Planilla_General_29-11-2012_10_'!A1574,"AAAAAH5t7HY=")</f>
        <v>#VALUE!</v>
      </c>
      <c r="DP105" t="e">
        <f>AND('Planilla_General_29-11-2012_10_'!B1574,"AAAAAH5t7Hc=")</f>
        <v>#VALUE!</v>
      </c>
      <c r="DQ105" t="e">
        <f>AND('Planilla_General_29-11-2012_10_'!C1574,"AAAAAH5t7Hg=")</f>
        <v>#VALUE!</v>
      </c>
      <c r="DR105" t="e">
        <f>AND('Planilla_General_29-11-2012_10_'!D1574,"AAAAAH5t7Hk=")</f>
        <v>#VALUE!</v>
      </c>
      <c r="DS105" t="e">
        <f>AND('Planilla_General_29-11-2012_10_'!E1574,"AAAAAH5t7Ho=")</f>
        <v>#VALUE!</v>
      </c>
      <c r="DT105" t="e">
        <f>AND('Planilla_General_29-11-2012_10_'!F1574,"AAAAAH5t7Hs=")</f>
        <v>#VALUE!</v>
      </c>
      <c r="DU105" t="e">
        <f>AND('Planilla_General_29-11-2012_10_'!G1574,"AAAAAH5t7Hw=")</f>
        <v>#VALUE!</v>
      </c>
      <c r="DV105" t="e">
        <f>AND('Planilla_General_29-11-2012_10_'!H1574,"AAAAAH5t7H0=")</f>
        <v>#VALUE!</v>
      </c>
      <c r="DW105" t="e">
        <f>AND('Planilla_General_29-11-2012_10_'!I1574,"AAAAAH5t7H4=")</f>
        <v>#VALUE!</v>
      </c>
      <c r="DX105" t="e">
        <f>AND('Planilla_General_29-11-2012_10_'!J1574,"AAAAAH5t7H8=")</f>
        <v>#VALUE!</v>
      </c>
      <c r="DY105" t="e">
        <f>AND('Planilla_General_29-11-2012_10_'!K1574,"AAAAAH5t7IA=")</f>
        <v>#VALUE!</v>
      </c>
      <c r="DZ105" t="e">
        <f>AND('Planilla_General_29-11-2012_10_'!L1574,"AAAAAH5t7IE=")</f>
        <v>#VALUE!</v>
      </c>
      <c r="EA105" t="e">
        <f>AND('Planilla_General_29-11-2012_10_'!M1574,"AAAAAH5t7II=")</f>
        <v>#VALUE!</v>
      </c>
      <c r="EB105" t="e">
        <f>AND('Planilla_General_29-11-2012_10_'!N1574,"AAAAAH5t7IM=")</f>
        <v>#VALUE!</v>
      </c>
      <c r="EC105" t="e">
        <f>AND('Planilla_General_29-11-2012_10_'!O1574,"AAAAAH5t7IQ=")</f>
        <v>#VALUE!</v>
      </c>
      <c r="ED105" t="e">
        <f>AND('Planilla_General_29-11-2012_10_'!P1574,"AAAAAH5t7IU=")</f>
        <v>#VALUE!</v>
      </c>
      <c r="EE105">
        <f>IF('Planilla_General_29-11-2012_10_'!1575:1575,"AAAAAH5t7IY=",0)</f>
        <v>0</v>
      </c>
      <c r="EF105" t="e">
        <f>AND('Planilla_General_29-11-2012_10_'!A1575,"AAAAAH5t7Ic=")</f>
        <v>#VALUE!</v>
      </c>
      <c r="EG105" t="e">
        <f>AND('Planilla_General_29-11-2012_10_'!B1575,"AAAAAH5t7Ig=")</f>
        <v>#VALUE!</v>
      </c>
      <c r="EH105" t="e">
        <f>AND('Planilla_General_29-11-2012_10_'!C1575,"AAAAAH5t7Ik=")</f>
        <v>#VALUE!</v>
      </c>
      <c r="EI105" t="e">
        <f>AND('Planilla_General_29-11-2012_10_'!D1575,"AAAAAH5t7Io=")</f>
        <v>#VALUE!</v>
      </c>
      <c r="EJ105" t="e">
        <f>AND('Planilla_General_29-11-2012_10_'!E1575,"AAAAAH5t7Is=")</f>
        <v>#VALUE!</v>
      </c>
      <c r="EK105" t="e">
        <f>AND('Planilla_General_29-11-2012_10_'!F1575,"AAAAAH5t7Iw=")</f>
        <v>#VALUE!</v>
      </c>
      <c r="EL105" t="e">
        <f>AND('Planilla_General_29-11-2012_10_'!G1575,"AAAAAH5t7I0=")</f>
        <v>#VALUE!</v>
      </c>
      <c r="EM105" t="e">
        <f>AND('Planilla_General_29-11-2012_10_'!H1575,"AAAAAH5t7I4=")</f>
        <v>#VALUE!</v>
      </c>
      <c r="EN105" t="e">
        <f>AND('Planilla_General_29-11-2012_10_'!I1575,"AAAAAH5t7I8=")</f>
        <v>#VALUE!</v>
      </c>
      <c r="EO105" t="e">
        <f>AND('Planilla_General_29-11-2012_10_'!J1575,"AAAAAH5t7JA=")</f>
        <v>#VALUE!</v>
      </c>
      <c r="EP105" t="e">
        <f>AND('Planilla_General_29-11-2012_10_'!K1575,"AAAAAH5t7JE=")</f>
        <v>#VALUE!</v>
      </c>
      <c r="EQ105" t="e">
        <f>AND('Planilla_General_29-11-2012_10_'!L1575,"AAAAAH5t7JI=")</f>
        <v>#VALUE!</v>
      </c>
      <c r="ER105" t="e">
        <f>AND('Planilla_General_29-11-2012_10_'!M1575,"AAAAAH5t7JM=")</f>
        <v>#VALUE!</v>
      </c>
      <c r="ES105" t="e">
        <f>AND('Planilla_General_29-11-2012_10_'!N1575,"AAAAAH5t7JQ=")</f>
        <v>#VALUE!</v>
      </c>
      <c r="ET105" t="e">
        <f>AND('Planilla_General_29-11-2012_10_'!O1575,"AAAAAH5t7JU=")</f>
        <v>#VALUE!</v>
      </c>
      <c r="EU105" t="e">
        <f>AND('Planilla_General_29-11-2012_10_'!P1575,"AAAAAH5t7JY=")</f>
        <v>#VALUE!</v>
      </c>
      <c r="EV105">
        <f>IF('Planilla_General_29-11-2012_10_'!1576:1576,"AAAAAH5t7Jc=",0)</f>
        <v>0</v>
      </c>
      <c r="EW105" t="e">
        <f>AND('Planilla_General_29-11-2012_10_'!A1576,"AAAAAH5t7Jg=")</f>
        <v>#VALUE!</v>
      </c>
      <c r="EX105" t="e">
        <f>AND('Planilla_General_29-11-2012_10_'!B1576,"AAAAAH5t7Jk=")</f>
        <v>#VALUE!</v>
      </c>
      <c r="EY105" t="e">
        <f>AND('Planilla_General_29-11-2012_10_'!C1576,"AAAAAH5t7Jo=")</f>
        <v>#VALUE!</v>
      </c>
      <c r="EZ105" t="e">
        <f>AND('Planilla_General_29-11-2012_10_'!D1576,"AAAAAH5t7Js=")</f>
        <v>#VALUE!</v>
      </c>
      <c r="FA105" t="e">
        <f>AND('Planilla_General_29-11-2012_10_'!E1576,"AAAAAH5t7Jw=")</f>
        <v>#VALUE!</v>
      </c>
      <c r="FB105" t="e">
        <f>AND('Planilla_General_29-11-2012_10_'!F1576,"AAAAAH5t7J0=")</f>
        <v>#VALUE!</v>
      </c>
      <c r="FC105" t="e">
        <f>AND('Planilla_General_29-11-2012_10_'!G1576,"AAAAAH5t7J4=")</f>
        <v>#VALUE!</v>
      </c>
      <c r="FD105" t="e">
        <f>AND('Planilla_General_29-11-2012_10_'!H1576,"AAAAAH5t7J8=")</f>
        <v>#VALUE!</v>
      </c>
      <c r="FE105" t="e">
        <f>AND('Planilla_General_29-11-2012_10_'!I1576,"AAAAAH5t7KA=")</f>
        <v>#VALUE!</v>
      </c>
      <c r="FF105" t="e">
        <f>AND('Planilla_General_29-11-2012_10_'!J1576,"AAAAAH5t7KE=")</f>
        <v>#VALUE!</v>
      </c>
      <c r="FG105" t="e">
        <f>AND('Planilla_General_29-11-2012_10_'!K1576,"AAAAAH5t7KI=")</f>
        <v>#VALUE!</v>
      </c>
      <c r="FH105" t="e">
        <f>AND('Planilla_General_29-11-2012_10_'!L1576,"AAAAAH5t7KM=")</f>
        <v>#VALUE!</v>
      </c>
      <c r="FI105" t="e">
        <f>AND('Planilla_General_29-11-2012_10_'!M1576,"AAAAAH5t7KQ=")</f>
        <v>#VALUE!</v>
      </c>
      <c r="FJ105" t="e">
        <f>AND('Planilla_General_29-11-2012_10_'!N1576,"AAAAAH5t7KU=")</f>
        <v>#VALUE!</v>
      </c>
      <c r="FK105" t="e">
        <f>AND('Planilla_General_29-11-2012_10_'!O1576,"AAAAAH5t7KY=")</f>
        <v>#VALUE!</v>
      </c>
      <c r="FL105" t="e">
        <f>AND('Planilla_General_29-11-2012_10_'!P1576,"AAAAAH5t7Kc=")</f>
        <v>#VALUE!</v>
      </c>
      <c r="FM105">
        <f>IF('Planilla_General_29-11-2012_10_'!1577:1577,"AAAAAH5t7Kg=",0)</f>
        <v>0</v>
      </c>
      <c r="FN105" t="e">
        <f>AND('Planilla_General_29-11-2012_10_'!A1577,"AAAAAH5t7Kk=")</f>
        <v>#VALUE!</v>
      </c>
      <c r="FO105" t="e">
        <f>AND('Planilla_General_29-11-2012_10_'!B1577,"AAAAAH5t7Ko=")</f>
        <v>#VALUE!</v>
      </c>
      <c r="FP105" t="e">
        <f>AND('Planilla_General_29-11-2012_10_'!C1577,"AAAAAH5t7Ks=")</f>
        <v>#VALUE!</v>
      </c>
      <c r="FQ105" t="e">
        <f>AND('Planilla_General_29-11-2012_10_'!D1577,"AAAAAH5t7Kw=")</f>
        <v>#VALUE!</v>
      </c>
      <c r="FR105" t="e">
        <f>AND('Planilla_General_29-11-2012_10_'!E1577,"AAAAAH5t7K0=")</f>
        <v>#VALUE!</v>
      </c>
      <c r="FS105" t="e">
        <f>AND('Planilla_General_29-11-2012_10_'!F1577,"AAAAAH5t7K4=")</f>
        <v>#VALUE!</v>
      </c>
      <c r="FT105" t="e">
        <f>AND('Planilla_General_29-11-2012_10_'!G1577,"AAAAAH5t7K8=")</f>
        <v>#VALUE!</v>
      </c>
      <c r="FU105" t="e">
        <f>AND('Planilla_General_29-11-2012_10_'!H1577,"AAAAAH5t7LA=")</f>
        <v>#VALUE!</v>
      </c>
      <c r="FV105" t="e">
        <f>AND('Planilla_General_29-11-2012_10_'!I1577,"AAAAAH5t7LE=")</f>
        <v>#VALUE!</v>
      </c>
      <c r="FW105" t="e">
        <f>AND('Planilla_General_29-11-2012_10_'!J1577,"AAAAAH5t7LI=")</f>
        <v>#VALUE!</v>
      </c>
      <c r="FX105" t="e">
        <f>AND('Planilla_General_29-11-2012_10_'!K1577,"AAAAAH5t7LM=")</f>
        <v>#VALUE!</v>
      </c>
      <c r="FY105" t="e">
        <f>AND('Planilla_General_29-11-2012_10_'!L1577,"AAAAAH5t7LQ=")</f>
        <v>#VALUE!</v>
      </c>
      <c r="FZ105" t="e">
        <f>AND('Planilla_General_29-11-2012_10_'!M1577,"AAAAAH5t7LU=")</f>
        <v>#VALUE!</v>
      </c>
      <c r="GA105" t="e">
        <f>AND('Planilla_General_29-11-2012_10_'!N1577,"AAAAAH5t7LY=")</f>
        <v>#VALUE!</v>
      </c>
      <c r="GB105" t="e">
        <f>AND('Planilla_General_29-11-2012_10_'!O1577,"AAAAAH5t7Lc=")</f>
        <v>#VALUE!</v>
      </c>
      <c r="GC105" t="e">
        <f>AND('Planilla_General_29-11-2012_10_'!P1577,"AAAAAH5t7Lg=")</f>
        <v>#VALUE!</v>
      </c>
      <c r="GD105">
        <f>IF('Planilla_General_29-11-2012_10_'!1578:1578,"AAAAAH5t7Lk=",0)</f>
        <v>0</v>
      </c>
      <c r="GE105" t="e">
        <f>AND('Planilla_General_29-11-2012_10_'!A1578,"AAAAAH5t7Lo=")</f>
        <v>#VALUE!</v>
      </c>
      <c r="GF105" t="e">
        <f>AND('Planilla_General_29-11-2012_10_'!B1578,"AAAAAH5t7Ls=")</f>
        <v>#VALUE!</v>
      </c>
      <c r="GG105" t="e">
        <f>AND('Planilla_General_29-11-2012_10_'!C1578,"AAAAAH5t7Lw=")</f>
        <v>#VALUE!</v>
      </c>
      <c r="GH105" t="e">
        <f>AND('Planilla_General_29-11-2012_10_'!D1578,"AAAAAH5t7L0=")</f>
        <v>#VALUE!</v>
      </c>
      <c r="GI105" t="e">
        <f>AND('Planilla_General_29-11-2012_10_'!E1578,"AAAAAH5t7L4=")</f>
        <v>#VALUE!</v>
      </c>
      <c r="GJ105" t="e">
        <f>AND('Planilla_General_29-11-2012_10_'!F1578,"AAAAAH5t7L8=")</f>
        <v>#VALUE!</v>
      </c>
      <c r="GK105" t="e">
        <f>AND('Planilla_General_29-11-2012_10_'!G1578,"AAAAAH5t7MA=")</f>
        <v>#VALUE!</v>
      </c>
      <c r="GL105" t="e">
        <f>AND('Planilla_General_29-11-2012_10_'!H1578,"AAAAAH5t7ME=")</f>
        <v>#VALUE!</v>
      </c>
      <c r="GM105" t="e">
        <f>AND('Planilla_General_29-11-2012_10_'!I1578,"AAAAAH5t7MI=")</f>
        <v>#VALUE!</v>
      </c>
      <c r="GN105" t="e">
        <f>AND('Planilla_General_29-11-2012_10_'!J1578,"AAAAAH5t7MM=")</f>
        <v>#VALUE!</v>
      </c>
      <c r="GO105" t="e">
        <f>AND('Planilla_General_29-11-2012_10_'!K1578,"AAAAAH5t7MQ=")</f>
        <v>#VALUE!</v>
      </c>
      <c r="GP105" t="e">
        <f>AND('Planilla_General_29-11-2012_10_'!L1578,"AAAAAH5t7MU=")</f>
        <v>#VALUE!</v>
      </c>
      <c r="GQ105" t="e">
        <f>AND('Planilla_General_29-11-2012_10_'!M1578,"AAAAAH5t7MY=")</f>
        <v>#VALUE!</v>
      </c>
      <c r="GR105" t="e">
        <f>AND('Planilla_General_29-11-2012_10_'!N1578,"AAAAAH5t7Mc=")</f>
        <v>#VALUE!</v>
      </c>
      <c r="GS105" t="e">
        <f>AND('Planilla_General_29-11-2012_10_'!O1578,"AAAAAH5t7Mg=")</f>
        <v>#VALUE!</v>
      </c>
      <c r="GT105" t="e">
        <f>AND('Planilla_General_29-11-2012_10_'!P1578,"AAAAAH5t7Mk=")</f>
        <v>#VALUE!</v>
      </c>
      <c r="GU105">
        <f>IF('Planilla_General_29-11-2012_10_'!1579:1579,"AAAAAH5t7Mo=",0)</f>
        <v>0</v>
      </c>
      <c r="GV105" t="e">
        <f>AND('Planilla_General_29-11-2012_10_'!A1579,"AAAAAH5t7Ms=")</f>
        <v>#VALUE!</v>
      </c>
      <c r="GW105" t="e">
        <f>AND('Planilla_General_29-11-2012_10_'!B1579,"AAAAAH5t7Mw=")</f>
        <v>#VALUE!</v>
      </c>
      <c r="GX105" t="e">
        <f>AND('Planilla_General_29-11-2012_10_'!C1579,"AAAAAH5t7M0=")</f>
        <v>#VALUE!</v>
      </c>
      <c r="GY105" t="e">
        <f>AND('Planilla_General_29-11-2012_10_'!D1579,"AAAAAH5t7M4=")</f>
        <v>#VALUE!</v>
      </c>
      <c r="GZ105" t="e">
        <f>AND('Planilla_General_29-11-2012_10_'!E1579,"AAAAAH5t7M8=")</f>
        <v>#VALUE!</v>
      </c>
      <c r="HA105" t="e">
        <f>AND('Planilla_General_29-11-2012_10_'!F1579,"AAAAAH5t7NA=")</f>
        <v>#VALUE!</v>
      </c>
      <c r="HB105" t="e">
        <f>AND('Planilla_General_29-11-2012_10_'!G1579,"AAAAAH5t7NE=")</f>
        <v>#VALUE!</v>
      </c>
      <c r="HC105" t="e">
        <f>AND('Planilla_General_29-11-2012_10_'!H1579,"AAAAAH5t7NI=")</f>
        <v>#VALUE!</v>
      </c>
      <c r="HD105" t="e">
        <f>AND('Planilla_General_29-11-2012_10_'!I1579,"AAAAAH5t7NM=")</f>
        <v>#VALUE!</v>
      </c>
      <c r="HE105" t="e">
        <f>AND('Planilla_General_29-11-2012_10_'!J1579,"AAAAAH5t7NQ=")</f>
        <v>#VALUE!</v>
      </c>
      <c r="HF105" t="e">
        <f>AND('Planilla_General_29-11-2012_10_'!K1579,"AAAAAH5t7NU=")</f>
        <v>#VALUE!</v>
      </c>
      <c r="HG105" t="e">
        <f>AND('Planilla_General_29-11-2012_10_'!L1579,"AAAAAH5t7NY=")</f>
        <v>#VALUE!</v>
      </c>
      <c r="HH105" t="e">
        <f>AND('Planilla_General_29-11-2012_10_'!M1579,"AAAAAH5t7Nc=")</f>
        <v>#VALUE!</v>
      </c>
      <c r="HI105" t="e">
        <f>AND('Planilla_General_29-11-2012_10_'!N1579,"AAAAAH5t7Ng=")</f>
        <v>#VALUE!</v>
      </c>
      <c r="HJ105" t="e">
        <f>AND('Planilla_General_29-11-2012_10_'!O1579,"AAAAAH5t7Nk=")</f>
        <v>#VALUE!</v>
      </c>
      <c r="HK105" t="e">
        <f>AND('Planilla_General_29-11-2012_10_'!P1579,"AAAAAH5t7No=")</f>
        <v>#VALUE!</v>
      </c>
      <c r="HL105">
        <f>IF('Planilla_General_29-11-2012_10_'!1580:1580,"AAAAAH5t7Ns=",0)</f>
        <v>0</v>
      </c>
      <c r="HM105" t="e">
        <f>AND('Planilla_General_29-11-2012_10_'!A1580,"AAAAAH5t7Nw=")</f>
        <v>#VALUE!</v>
      </c>
      <c r="HN105" t="e">
        <f>AND('Planilla_General_29-11-2012_10_'!B1580,"AAAAAH5t7N0=")</f>
        <v>#VALUE!</v>
      </c>
      <c r="HO105" t="e">
        <f>AND('Planilla_General_29-11-2012_10_'!C1580,"AAAAAH5t7N4=")</f>
        <v>#VALUE!</v>
      </c>
      <c r="HP105" t="e">
        <f>AND('Planilla_General_29-11-2012_10_'!D1580,"AAAAAH5t7N8=")</f>
        <v>#VALUE!</v>
      </c>
      <c r="HQ105" t="e">
        <f>AND('Planilla_General_29-11-2012_10_'!E1580,"AAAAAH5t7OA=")</f>
        <v>#VALUE!</v>
      </c>
      <c r="HR105" t="e">
        <f>AND('Planilla_General_29-11-2012_10_'!F1580,"AAAAAH5t7OE=")</f>
        <v>#VALUE!</v>
      </c>
      <c r="HS105" t="e">
        <f>AND('Planilla_General_29-11-2012_10_'!G1580,"AAAAAH5t7OI=")</f>
        <v>#VALUE!</v>
      </c>
      <c r="HT105" t="e">
        <f>AND('Planilla_General_29-11-2012_10_'!H1580,"AAAAAH5t7OM=")</f>
        <v>#VALUE!</v>
      </c>
      <c r="HU105" t="e">
        <f>AND('Planilla_General_29-11-2012_10_'!I1580,"AAAAAH5t7OQ=")</f>
        <v>#VALUE!</v>
      </c>
      <c r="HV105" t="e">
        <f>AND('Planilla_General_29-11-2012_10_'!J1580,"AAAAAH5t7OU=")</f>
        <v>#VALUE!</v>
      </c>
      <c r="HW105" t="e">
        <f>AND('Planilla_General_29-11-2012_10_'!K1580,"AAAAAH5t7OY=")</f>
        <v>#VALUE!</v>
      </c>
      <c r="HX105" t="e">
        <f>AND('Planilla_General_29-11-2012_10_'!L1580,"AAAAAH5t7Oc=")</f>
        <v>#VALUE!</v>
      </c>
      <c r="HY105" t="e">
        <f>AND('Planilla_General_29-11-2012_10_'!M1580,"AAAAAH5t7Og=")</f>
        <v>#VALUE!</v>
      </c>
      <c r="HZ105" t="e">
        <f>AND('Planilla_General_29-11-2012_10_'!N1580,"AAAAAH5t7Ok=")</f>
        <v>#VALUE!</v>
      </c>
      <c r="IA105" t="e">
        <f>AND('Planilla_General_29-11-2012_10_'!O1580,"AAAAAH5t7Oo=")</f>
        <v>#VALUE!</v>
      </c>
      <c r="IB105" t="e">
        <f>AND('Planilla_General_29-11-2012_10_'!P1580,"AAAAAH5t7Os=")</f>
        <v>#VALUE!</v>
      </c>
      <c r="IC105">
        <f>IF('Planilla_General_29-11-2012_10_'!1581:1581,"AAAAAH5t7Ow=",0)</f>
        <v>0</v>
      </c>
      <c r="ID105" t="e">
        <f>AND('Planilla_General_29-11-2012_10_'!A1581,"AAAAAH5t7O0=")</f>
        <v>#VALUE!</v>
      </c>
      <c r="IE105" t="e">
        <f>AND('Planilla_General_29-11-2012_10_'!B1581,"AAAAAH5t7O4=")</f>
        <v>#VALUE!</v>
      </c>
      <c r="IF105" t="e">
        <f>AND('Planilla_General_29-11-2012_10_'!C1581,"AAAAAH5t7O8=")</f>
        <v>#VALUE!</v>
      </c>
      <c r="IG105" t="e">
        <f>AND('Planilla_General_29-11-2012_10_'!D1581,"AAAAAH5t7PA=")</f>
        <v>#VALUE!</v>
      </c>
      <c r="IH105" t="e">
        <f>AND('Planilla_General_29-11-2012_10_'!E1581,"AAAAAH5t7PE=")</f>
        <v>#VALUE!</v>
      </c>
      <c r="II105" t="e">
        <f>AND('Planilla_General_29-11-2012_10_'!F1581,"AAAAAH5t7PI=")</f>
        <v>#VALUE!</v>
      </c>
      <c r="IJ105" t="e">
        <f>AND('Planilla_General_29-11-2012_10_'!G1581,"AAAAAH5t7PM=")</f>
        <v>#VALUE!</v>
      </c>
      <c r="IK105" t="e">
        <f>AND('Planilla_General_29-11-2012_10_'!H1581,"AAAAAH5t7PQ=")</f>
        <v>#VALUE!</v>
      </c>
      <c r="IL105" t="e">
        <f>AND('Planilla_General_29-11-2012_10_'!I1581,"AAAAAH5t7PU=")</f>
        <v>#VALUE!</v>
      </c>
      <c r="IM105" t="e">
        <f>AND('Planilla_General_29-11-2012_10_'!J1581,"AAAAAH5t7PY=")</f>
        <v>#VALUE!</v>
      </c>
      <c r="IN105" t="e">
        <f>AND('Planilla_General_29-11-2012_10_'!K1581,"AAAAAH5t7Pc=")</f>
        <v>#VALUE!</v>
      </c>
      <c r="IO105" t="e">
        <f>AND('Planilla_General_29-11-2012_10_'!L1581,"AAAAAH5t7Pg=")</f>
        <v>#VALUE!</v>
      </c>
      <c r="IP105" t="e">
        <f>AND('Planilla_General_29-11-2012_10_'!M1581,"AAAAAH5t7Pk=")</f>
        <v>#VALUE!</v>
      </c>
      <c r="IQ105" t="e">
        <f>AND('Planilla_General_29-11-2012_10_'!N1581,"AAAAAH5t7Po=")</f>
        <v>#VALUE!</v>
      </c>
      <c r="IR105" t="e">
        <f>AND('Planilla_General_29-11-2012_10_'!O1581,"AAAAAH5t7Ps=")</f>
        <v>#VALUE!</v>
      </c>
      <c r="IS105" t="e">
        <f>AND('Planilla_General_29-11-2012_10_'!P1581,"AAAAAH5t7Pw=")</f>
        <v>#VALUE!</v>
      </c>
      <c r="IT105">
        <f>IF('Planilla_General_29-11-2012_10_'!1582:1582,"AAAAAH5t7P0=",0)</f>
        <v>0</v>
      </c>
      <c r="IU105" t="e">
        <f>AND('Planilla_General_29-11-2012_10_'!A1582,"AAAAAH5t7P4=")</f>
        <v>#VALUE!</v>
      </c>
      <c r="IV105" t="e">
        <f>AND('Planilla_General_29-11-2012_10_'!B1582,"AAAAAH5t7P8=")</f>
        <v>#VALUE!</v>
      </c>
    </row>
    <row r="106" spans="1:256" x14ac:dyDescent="0.25">
      <c r="A106" t="e">
        <f>AND('Planilla_General_29-11-2012_10_'!C1582,"AAAAAH796AA=")</f>
        <v>#VALUE!</v>
      </c>
      <c r="B106" t="e">
        <f>AND('Planilla_General_29-11-2012_10_'!D1582,"AAAAAH796AE=")</f>
        <v>#VALUE!</v>
      </c>
      <c r="C106" t="e">
        <f>AND('Planilla_General_29-11-2012_10_'!E1582,"AAAAAH796AI=")</f>
        <v>#VALUE!</v>
      </c>
      <c r="D106" t="e">
        <f>AND('Planilla_General_29-11-2012_10_'!F1582,"AAAAAH796AM=")</f>
        <v>#VALUE!</v>
      </c>
      <c r="E106" t="e">
        <f>AND('Planilla_General_29-11-2012_10_'!G1582,"AAAAAH796AQ=")</f>
        <v>#VALUE!</v>
      </c>
      <c r="F106" t="e">
        <f>AND('Planilla_General_29-11-2012_10_'!H1582,"AAAAAH796AU=")</f>
        <v>#VALUE!</v>
      </c>
      <c r="G106" t="e">
        <f>AND('Planilla_General_29-11-2012_10_'!I1582,"AAAAAH796AY=")</f>
        <v>#VALUE!</v>
      </c>
      <c r="H106" t="e">
        <f>AND('Planilla_General_29-11-2012_10_'!J1582,"AAAAAH796Ac=")</f>
        <v>#VALUE!</v>
      </c>
      <c r="I106" t="e">
        <f>AND('Planilla_General_29-11-2012_10_'!K1582,"AAAAAH796Ag=")</f>
        <v>#VALUE!</v>
      </c>
      <c r="J106" t="e">
        <f>AND('Planilla_General_29-11-2012_10_'!L1582,"AAAAAH796Ak=")</f>
        <v>#VALUE!</v>
      </c>
      <c r="K106" t="e">
        <f>AND('Planilla_General_29-11-2012_10_'!M1582,"AAAAAH796Ao=")</f>
        <v>#VALUE!</v>
      </c>
      <c r="L106" t="e">
        <f>AND('Planilla_General_29-11-2012_10_'!N1582,"AAAAAH796As=")</f>
        <v>#VALUE!</v>
      </c>
      <c r="M106" t="e">
        <f>AND('Planilla_General_29-11-2012_10_'!O1582,"AAAAAH796Aw=")</f>
        <v>#VALUE!</v>
      </c>
      <c r="N106" t="e">
        <f>AND('Planilla_General_29-11-2012_10_'!P1582,"AAAAAH796A0=")</f>
        <v>#VALUE!</v>
      </c>
      <c r="O106" t="str">
        <f>IF('Planilla_General_29-11-2012_10_'!1583:1583,"AAAAAH796A4=",0)</f>
        <v>AAAAAH796A4=</v>
      </c>
      <c r="P106" t="e">
        <f>AND('Planilla_General_29-11-2012_10_'!A1583,"AAAAAH796A8=")</f>
        <v>#VALUE!</v>
      </c>
      <c r="Q106" t="e">
        <f>AND('Planilla_General_29-11-2012_10_'!B1583,"AAAAAH796BA=")</f>
        <v>#VALUE!</v>
      </c>
      <c r="R106" t="e">
        <f>AND('Planilla_General_29-11-2012_10_'!C1583,"AAAAAH796BE=")</f>
        <v>#VALUE!</v>
      </c>
      <c r="S106" t="e">
        <f>AND('Planilla_General_29-11-2012_10_'!D1583,"AAAAAH796BI=")</f>
        <v>#VALUE!</v>
      </c>
      <c r="T106" t="e">
        <f>AND('Planilla_General_29-11-2012_10_'!E1583,"AAAAAH796BM=")</f>
        <v>#VALUE!</v>
      </c>
      <c r="U106" t="e">
        <f>AND('Planilla_General_29-11-2012_10_'!F1583,"AAAAAH796BQ=")</f>
        <v>#VALUE!</v>
      </c>
      <c r="V106" t="e">
        <f>AND('Planilla_General_29-11-2012_10_'!G1583,"AAAAAH796BU=")</f>
        <v>#VALUE!</v>
      </c>
      <c r="W106" t="e">
        <f>AND('Planilla_General_29-11-2012_10_'!H1583,"AAAAAH796BY=")</f>
        <v>#VALUE!</v>
      </c>
      <c r="X106" t="e">
        <f>AND('Planilla_General_29-11-2012_10_'!I1583,"AAAAAH796Bc=")</f>
        <v>#VALUE!</v>
      </c>
      <c r="Y106" t="e">
        <f>AND('Planilla_General_29-11-2012_10_'!J1583,"AAAAAH796Bg=")</f>
        <v>#VALUE!</v>
      </c>
      <c r="Z106" t="e">
        <f>AND('Planilla_General_29-11-2012_10_'!K1583,"AAAAAH796Bk=")</f>
        <v>#VALUE!</v>
      </c>
      <c r="AA106" t="e">
        <f>AND('Planilla_General_29-11-2012_10_'!L1583,"AAAAAH796Bo=")</f>
        <v>#VALUE!</v>
      </c>
      <c r="AB106" t="e">
        <f>AND('Planilla_General_29-11-2012_10_'!M1583,"AAAAAH796Bs=")</f>
        <v>#VALUE!</v>
      </c>
      <c r="AC106" t="e">
        <f>AND('Planilla_General_29-11-2012_10_'!N1583,"AAAAAH796Bw=")</f>
        <v>#VALUE!</v>
      </c>
      <c r="AD106" t="e">
        <f>AND('Planilla_General_29-11-2012_10_'!O1583,"AAAAAH796B0=")</f>
        <v>#VALUE!</v>
      </c>
      <c r="AE106" t="e">
        <f>AND('Planilla_General_29-11-2012_10_'!P1583,"AAAAAH796B4=")</f>
        <v>#VALUE!</v>
      </c>
      <c r="AF106">
        <f>IF('Planilla_General_29-11-2012_10_'!1584:1584,"AAAAAH796B8=",0)</f>
        <v>0</v>
      </c>
      <c r="AG106" t="e">
        <f>AND('Planilla_General_29-11-2012_10_'!A1584,"AAAAAH796CA=")</f>
        <v>#VALUE!</v>
      </c>
      <c r="AH106" t="e">
        <f>AND('Planilla_General_29-11-2012_10_'!B1584,"AAAAAH796CE=")</f>
        <v>#VALUE!</v>
      </c>
      <c r="AI106" t="e">
        <f>AND('Planilla_General_29-11-2012_10_'!C1584,"AAAAAH796CI=")</f>
        <v>#VALUE!</v>
      </c>
      <c r="AJ106" t="e">
        <f>AND('Planilla_General_29-11-2012_10_'!D1584,"AAAAAH796CM=")</f>
        <v>#VALUE!</v>
      </c>
      <c r="AK106" t="e">
        <f>AND('Planilla_General_29-11-2012_10_'!E1584,"AAAAAH796CQ=")</f>
        <v>#VALUE!</v>
      </c>
      <c r="AL106" t="e">
        <f>AND('Planilla_General_29-11-2012_10_'!F1584,"AAAAAH796CU=")</f>
        <v>#VALUE!</v>
      </c>
      <c r="AM106" t="e">
        <f>AND('Planilla_General_29-11-2012_10_'!G1584,"AAAAAH796CY=")</f>
        <v>#VALUE!</v>
      </c>
      <c r="AN106" t="e">
        <f>AND('Planilla_General_29-11-2012_10_'!H1584,"AAAAAH796Cc=")</f>
        <v>#VALUE!</v>
      </c>
      <c r="AO106" t="e">
        <f>AND('Planilla_General_29-11-2012_10_'!I1584,"AAAAAH796Cg=")</f>
        <v>#VALUE!</v>
      </c>
      <c r="AP106" t="e">
        <f>AND('Planilla_General_29-11-2012_10_'!J1584,"AAAAAH796Ck=")</f>
        <v>#VALUE!</v>
      </c>
      <c r="AQ106" t="e">
        <f>AND('Planilla_General_29-11-2012_10_'!K1584,"AAAAAH796Co=")</f>
        <v>#VALUE!</v>
      </c>
      <c r="AR106" t="e">
        <f>AND('Planilla_General_29-11-2012_10_'!L1584,"AAAAAH796Cs=")</f>
        <v>#VALUE!</v>
      </c>
      <c r="AS106" t="e">
        <f>AND('Planilla_General_29-11-2012_10_'!M1584,"AAAAAH796Cw=")</f>
        <v>#VALUE!</v>
      </c>
      <c r="AT106" t="e">
        <f>AND('Planilla_General_29-11-2012_10_'!N1584,"AAAAAH796C0=")</f>
        <v>#VALUE!</v>
      </c>
      <c r="AU106" t="e">
        <f>AND('Planilla_General_29-11-2012_10_'!O1584,"AAAAAH796C4=")</f>
        <v>#VALUE!</v>
      </c>
      <c r="AV106" t="e">
        <f>AND('Planilla_General_29-11-2012_10_'!P1584,"AAAAAH796C8=")</f>
        <v>#VALUE!</v>
      </c>
      <c r="AW106">
        <f>IF('Planilla_General_29-11-2012_10_'!1585:1585,"AAAAAH796DA=",0)</f>
        <v>0</v>
      </c>
      <c r="AX106" t="e">
        <f>AND('Planilla_General_29-11-2012_10_'!A1585,"AAAAAH796DE=")</f>
        <v>#VALUE!</v>
      </c>
      <c r="AY106" t="e">
        <f>AND('Planilla_General_29-11-2012_10_'!B1585,"AAAAAH796DI=")</f>
        <v>#VALUE!</v>
      </c>
      <c r="AZ106" t="e">
        <f>AND('Planilla_General_29-11-2012_10_'!C1585,"AAAAAH796DM=")</f>
        <v>#VALUE!</v>
      </c>
      <c r="BA106" t="e">
        <f>AND('Planilla_General_29-11-2012_10_'!D1585,"AAAAAH796DQ=")</f>
        <v>#VALUE!</v>
      </c>
      <c r="BB106" t="e">
        <f>AND('Planilla_General_29-11-2012_10_'!E1585,"AAAAAH796DU=")</f>
        <v>#VALUE!</v>
      </c>
      <c r="BC106" t="e">
        <f>AND('Planilla_General_29-11-2012_10_'!F1585,"AAAAAH796DY=")</f>
        <v>#VALUE!</v>
      </c>
      <c r="BD106" t="e">
        <f>AND('Planilla_General_29-11-2012_10_'!G1585,"AAAAAH796Dc=")</f>
        <v>#VALUE!</v>
      </c>
      <c r="BE106" t="e">
        <f>AND('Planilla_General_29-11-2012_10_'!H1585,"AAAAAH796Dg=")</f>
        <v>#VALUE!</v>
      </c>
      <c r="BF106" t="e">
        <f>AND('Planilla_General_29-11-2012_10_'!I1585,"AAAAAH796Dk=")</f>
        <v>#VALUE!</v>
      </c>
      <c r="BG106" t="e">
        <f>AND('Planilla_General_29-11-2012_10_'!J1585,"AAAAAH796Do=")</f>
        <v>#VALUE!</v>
      </c>
      <c r="BH106" t="e">
        <f>AND('Planilla_General_29-11-2012_10_'!K1585,"AAAAAH796Ds=")</f>
        <v>#VALUE!</v>
      </c>
      <c r="BI106" t="e">
        <f>AND('Planilla_General_29-11-2012_10_'!L1585,"AAAAAH796Dw=")</f>
        <v>#VALUE!</v>
      </c>
      <c r="BJ106" t="e">
        <f>AND('Planilla_General_29-11-2012_10_'!M1585,"AAAAAH796D0=")</f>
        <v>#VALUE!</v>
      </c>
      <c r="BK106" t="e">
        <f>AND('Planilla_General_29-11-2012_10_'!N1585,"AAAAAH796D4=")</f>
        <v>#VALUE!</v>
      </c>
      <c r="BL106" t="e">
        <f>AND('Planilla_General_29-11-2012_10_'!O1585,"AAAAAH796D8=")</f>
        <v>#VALUE!</v>
      </c>
      <c r="BM106" t="e">
        <f>AND('Planilla_General_29-11-2012_10_'!P1585,"AAAAAH796EA=")</f>
        <v>#VALUE!</v>
      </c>
      <c r="BN106">
        <f>IF('Planilla_General_29-11-2012_10_'!1586:1586,"AAAAAH796EE=",0)</f>
        <v>0</v>
      </c>
      <c r="BO106" t="e">
        <f>AND('Planilla_General_29-11-2012_10_'!A1586,"AAAAAH796EI=")</f>
        <v>#VALUE!</v>
      </c>
      <c r="BP106" t="e">
        <f>AND('Planilla_General_29-11-2012_10_'!B1586,"AAAAAH796EM=")</f>
        <v>#VALUE!</v>
      </c>
      <c r="BQ106" t="e">
        <f>AND('Planilla_General_29-11-2012_10_'!C1586,"AAAAAH796EQ=")</f>
        <v>#VALUE!</v>
      </c>
      <c r="BR106" t="e">
        <f>AND('Planilla_General_29-11-2012_10_'!D1586,"AAAAAH796EU=")</f>
        <v>#VALUE!</v>
      </c>
      <c r="BS106" t="e">
        <f>AND('Planilla_General_29-11-2012_10_'!E1586,"AAAAAH796EY=")</f>
        <v>#VALUE!</v>
      </c>
      <c r="BT106" t="e">
        <f>AND('Planilla_General_29-11-2012_10_'!F1586,"AAAAAH796Ec=")</f>
        <v>#VALUE!</v>
      </c>
      <c r="BU106" t="e">
        <f>AND('Planilla_General_29-11-2012_10_'!G1586,"AAAAAH796Eg=")</f>
        <v>#VALUE!</v>
      </c>
      <c r="BV106" t="e">
        <f>AND('Planilla_General_29-11-2012_10_'!H1586,"AAAAAH796Ek=")</f>
        <v>#VALUE!</v>
      </c>
      <c r="BW106" t="e">
        <f>AND('Planilla_General_29-11-2012_10_'!I1586,"AAAAAH796Eo=")</f>
        <v>#VALUE!</v>
      </c>
      <c r="BX106" t="e">
        <f>AND('Planilla_General_29-11-2012_10_'!J1586,"AAAAAH796Es=")</f>
        <v>#VALUE!</v>
      </c>
      <c r="BY106" t="e">
        <f>AND('Planilla_General_29-11-2012_10_'!K1586,"AAAAAH796Ew=")</f>
        <v>#VALUE!</v>
      </c>
      <c r="BZ106" t="e">
        <f>AND('Planilla_General_29-11-2012_10_'!L1586,"AAAAAH796E0=")</f>
        <v>#VALUE!</v>
      </c>
      <c r="CA106" t="e">
        <f>AND('Planilla_General_29-11-2012_10_'!M1586,"AAAAAH796E4=")</f>
        <v>#VALUE!</v>
      </c>
      <c r="CB106" t="e">
        <f>AND('Planilla_General_29-11-2012_10_'!N1586,"AAAAAH796E8=")</f>
        <v>#VALUE!</v>
      </c>
      <c r="CC106" t="e">
        <f>AND('Planilla_General_29-11-2012_10_'!O1586,"AAAAAH796FA=")</f>
        <v>#VALUE!</v>
      </c>
      <c r="CD106" t="e">
        <f>AND('Planilla_General_29-11-2012_10_'!P1586,"AAAAAH796FE=")</f>
        <v>#VALUE!</v>
      </c>
      <c r="CE106">
        <f>IF('Planilla_General_29-11-2012_10_'!1587:1587,"AAAAAH796FI=",0)</f>
        <v>0</v>
      </c>
      <c r="CF106" t="e">
        <f>AND('Planilla_General_29-11-2012_10_'!A1587,"AAAAAH796FM=")</f>
        <v>#VALUE!</v>
      </c>
      <c r="CG106" t="e">
        <f>AND('Planilla_General_29-11-2012_10_'!B1587,"AAAAAH796FQ=")</f>
        <v>#VALUE!</v>
      </c>
      <c r="CH106" t="e">
        <f>AND('Planilla_General_29-11-2012_10_'!C1587,"AAAAAH796FU=")</f>
        <v>#VALUE!</v>
      </c>
      <c r="CI106" t="e">
        <f>AND('Planilla_General_29-11-2012_10_'!D1587,"AAAAAH796FY=")</f>
        <v>#VALUE!</v>
      </c>
      <c r="CJ106" t="e">
        <f>AND('Planilla_General_29-11-2012_10_'!E1587,"AAAAAH796Fc=")</f>
        <v>#VALUE!</v>
      </c>
      <c r="CK106" t="e">
        <f>AND('Planilla_General_29-11-2012_10_'!F1587,"AAAAAH796Fg=")</f>
        <v>#VALUE!</v>
      </c>
      <c r="CL106" t="e">
        <f>AND('Planilla_General_29-11-2012_10_'!G1587,"AAAAAH796Fk=")</f>
        <v>#VALUE!</v>
      </c>
      <c r="CM106" t="e">
        <f>AND('Planilla_General_29-11-2012_10_'!H1587,"AAAAAH796Fo=")</f>
        <v>#VALUE!</v>
      </c>
      <c r="CN106" t="e">
        <f>AND('Planilla_General_29-11-2012_10_'!I1587,"AAAAAH796Fs=")</f>
        <v>#VALUE!</v>
      </c>
      <c r="CO106" t="e">
        <f>AND('Planilla_General_29-11-2012_10_'!J1587,"AAAAAH796Fw=")</f>
        <v>#VALUE!</v>
      </c>
      <c r="CP106" t="e">
        <f>AND('Planilla_General_29-11-2012_10_'!K1587,"AAAAAH796F0=")</f>
        <v>#VALUE!</v>
      </c>
      <c r="CQ106" t="e">
        <f>AND('Planilla_General_29-11-2012_10_'!L1587,"AAAAAH796F4=")</f>
        <v>#VALUE!</v>
      </c>
      <c r="CR106" t="e">
        <f>AND('Planilla_General_29-11-2012_10_'!M1587,"AAAAAH796F8=")</f>
        <v>#VALUE!</v>
      </c>
      <c r="CS106" t="e">
        <f>AND('Planilla_General_29-11-2012_10_'!N1587,"AAAAAH796GA=")</f>
        <v>#VALUE!</v>
      </c>
      <c r="CT106" t="e">
        <f>AND('Planilla_General_29-11-2012_10_'!O1587,"AAAAAH796GE=")</f>
        <v>#VALUE!</v>
      </c>
      <c r="CU106" t="e">
        <f>AND('Planilla_General_29-11-2012_10_'!P1587,"AAAAAH796GI=")</f>
        <v>#VALUE!</v>
      </c>
      <c r="CV106">
        <f>IF('Planilla_General_29-11-2012_10_'!1588:1588,"AAAAAH796GM=",0)</f>
        <v>0</v>
      </c>
      <c r="CW106" t="e">
        <f>AND('Planilla_General_29-11-2012_10_'!A1588,"AAAAAH796GQ=")</f>
        <v>#VALUE!</v>
      </c>
      <c r="CX106" t="e">
        <f>AND('Planilla_General_29-11-2012_10_'!B1588,"AAAAAH796GU=")</f>
        <v>#VALUE!</v>
      </c>
      <c r="CY106" t="e">
        <f>AND('Planilla_General_29-11-2012_10_'!C1588,"AAAAAH796GY=")</f>
        <v>#VALUE!</v>
      </c>
      <c r="CZ106" t="e">
        <f>AND('Planilla_General_29-11-2012_10_'!D1588,"AAAAAH796Gc=")</f>
        <v>#VALUE!</v>
      </c>
      <c r="DA106" t="e">
        <f>AND('Planilla_General_29-11-2012_10_'!E1588,"AAAAAH796Gg=")</f>
        <v>#VALUE!</v>
      </c>
      <c r="DB106" t="e">
        <f>AND('Planilla_General_29-11-2012_10_'!F1588,"AAAAAH796Gk=")</f>
        <v>#VALUE!</v>
      </c>
      <c r="DC106" t="e">
        <f>AND('Planilla_General_29-11-2012_10_'!G1588,"AAAAAH796Go=")</f>
        <v>#VALUE!</v>
      </c>
      <c r="DD106" t="e">
        <f>AND('Planilla_General_29-11-2012_10_'!H1588,"AAAAAH796Gs=")</f>
        <v>#VALUE!</v>
      </c>
      <c r="DE106" t="e">
        <f>AND('Planilla_General_29-11-2012_10_'!I1588,"AAAAAH796Gw=")</f>
        <v>#VALUE!</v>
      </c>
      <c r="DF106" t="e">
        <f>AND('Planilla_General_29-11-2012_10_'!J1588,"AAAAAH796G0=")</f>
        <v>#VALUE!</v>
      </c>
      <c r="DG106" t="e">
        <f>AND('Planilla_General_29-11-2012_10_'!K1588,"AAAAAH796G4=")</f>
        <v>#VALUE!</v>
      </c>
      <c r="DH106" t="e">
        <f>AND('Planilla_General_29-11-2012_10_'!L1588,"AAAAAH796G8=")</f>
        <v>#VALUE!</v>
      </c>
      <c r="DI106" t="e">
        <f>AND('Planilla_General_29-11-2012_10_'!M1588,"AAAAAH796HA=")</f>
        <v>#VALUE!</v>
      </c>
      <c r="DJ106" t="e">
        <f>AND('Planilla_General_29-11-2012_10_'!N1588,"AAAAAH796HE=")</f>
        <v>#VALUE!</v>
      </c>
      <c r="DK106" t="e">
        <f>AND('Planilla_General_29-11-2012_10_'!O1588,"AAAAAH796HI=")</f>
        <v>#VALUE!</v>
      </c>
      <c r="DL106" t="e">
        <f>AND('Planilla_General_29-11-2012_10_'!P1588,"AAAAAH796HM=")</f>
        <v>#VALUE!</v>
      </c>
      <c r="DM106">
        <f>IF('Planilla_General_29-11-2012_10_'!1589:1589,"AAAAAH796HQ=",0)</f>
        <v>0</v>
      </c>
      <c r="DN106" t="e">
        <f>AND('Planilla_General_29-11-2012_10_'!A1589,"AAAAAH796HU=")</f>
        <v>#VALUE!</v>
      </c>
      <c r="DO106" t="e">
        <f>AND('Planilla_General_29-11-2012_10_'!B1589,"AAAAAH796HY=")</f>
        <v>#VALUE!</v>
      </c>
      <c r="DP106" t="e">
        <f>AND('Planilla_General_29-11-2012_10_'!C1589,"AAAAAH796Hc=")</f>
        <v>#VALUE!</v>
      </c>
      <c r="DQ106" t="e">
        <f>AND('Planilla_General_29-11-2012_10_'!D1589,"AAAAAH796Hg=")</f>
        <v>#VALUE!</v>
      </c>
      <c r="DR106" t="e">
        <f>AND('Planilla_General_29-11-2012_10_'!E1589,"AAAAAH796Hk=")</f>
        <v>#VALUE!</v>
      </c>
      <c r="DS106" t="e">
        <f>AND('Planilla_General_29-11-2012_10_'!F1589,"AAAAAH796Ho=")</f>
        <v>#VALUE!</v>
      </c>
      <c r="DT106" t="e">
        <f>AND('Planilla_General_29-11-2012_10_'!G1589,"AAAAAH796Hs=")</f>
        <v>#VALUE!</v>
      </c>
      <c r="DU106" t="e">
        <f>AND('Planilla_General_29-11-2012_10_'!H1589,"AAAAAH796Hw=")</f>
        <v>#VALUE!</v>
      </c>
      <c r="DV106" t="e">
        <f>AND('Planilla_General_29-11-2012_10_'!I1589,"AAAAAH796H0=")</f>
        <v>#VALUE!</v>
      </c>
      <c r="DW106" t="e">
        <f>AND('Planilla_General_29-11-2012_10_'!J1589,"AAAAAH796H4=")</f>
        <v>#VALUE!</v>
      </c>
      <c r="DX106" t="e">
        <f>AND('Planilla_General_29-11-2012_10_'!K1589,"AAAAAH796H8=")</f>
        <v>#VALUE!</v>
      </c>
      <c r="DY106" t="e">
        <f>AND('Planilla_General_29-11-2012_10_'!L1589,"AAAAAH796IA=")</f>
        <v>#VALUE!</v>
      </c>
      <c r="DZ106" t="e">
        <f>AND('Planilla_General_29-11-2012_10_'!M1589,"AAAAAH796IE=")</f>
        <v>#VALUE!</v>
      </c>
      <c r="EA106" t="e">
        <f>AND('Planilla_General_29-11-2012_10_'!N1589,"AAAAAH796II=")</f>
        <v>#VALUE!</v>
      </c>
      <c r="EB106" t="e">
        <f>AND('Planilla_General_29-11-2012_10_'!O1589,"AAAAAH796IM=")</f>
        <v>#VALUE!</v>
      </c>
      <c r="EC106" t="e">
        <f>AND('Planilla_General_29-11-2012_10_'!P1589,"AAAAAH796IQ=")</f>
        <v>#VALUE!</v>
      </c>
      <c r="ED106">
        <f>IF('Planilla_General_29-11-2012_10_'!1590:1590,"AAAAAH796IU=",0)</f>
        <v>0</v>
      </c>
      <c r="EE106" t="e">
        <f>AND('Planilla_General_29-11-2012_10_'!A1590,"AAAAAH796IY=")</f>
        <v>#VALUE!</v>
      </c>
      <c r="EF106" t="e">
        <f>AND('Planilla_General_29-11-2012_10_'!B1590,"AAAAAH796Ic=")</f>
        <v>#VALUE!</v>
      </c>
      <c r="EG106" t="e">
        <f>AND('Planilla_General_29-11-2012_10_'!C1590,"AAAAAH796Ig=")</f>
        <v>#VALUE!</v>
      </c>
      <c r="EH106" t="e">
        <f>AND('Planilla_General_29-11-2012_10_'!D1590,"AAAAAH796Ik=")</f>
        <v>#VALUE!</v>
      </c>
      <c r="EI106" t="e">
        <f>AND('Planilla_General_29-11-2012_10_'!E1590,"AAAAAH796Io=")</f>
        <v>#VALUE!</v>
      </c>
      <c r="EJ106" t="e">
        <f>AND('Planilla_General_29-11-2012_10_'!F1590,"AAAAAH796Is=")</f>
        <v>#VALUE!</v>
      </c>
      <c r="EK106" t="e">
        <f>AND('Planilla_General_29-11-2012_10_'!G1590,"AAAAAH796Iw=")</f>
        <v>#VALUE!</v>
      </c>
      <c r="EL106" t="e">
        <f>AND('Planilla_General_29-11-2012_10_'!H1590,"AAAAAH796I0=")</f>
        <v>#VALUE!</v>
      </c>
      <c r="EM106" t="e">
        <f>AND('Planilla_General_29-11-2012_10_'!I1590,"AAAAAH796I4=")</f>
        <v>#VALUE!</v>
      </c>
      <c r="EN106" t="e">
        <f>AND('Planilla_General_29-11-2012_10_'!J1590,"AAAAAH796I8=")</f>
        <v>#VALUE!</v>
      </c>
      <c r="EO106" t="e">
        <f>AND('Planilla_General_29-11-2012_10_'!K1590,"AAAAAH796JA=")</f>
        <v>#VALUE!</v>
      </c>
      <c r="EP106" t="e">
        <f>AND('Planilla_General_29-11-2012_10_'!L1590,"AAAAAH796JE=")</f>
        <v>#VALUE!</v>
      </c>
      <c r="EQ106" t="e">
        <f>AND('Planilla_General_29-11-2012_10_'!M1590,"AAAAAH796JI=")</f>
        <v>#VALUE!</v>
      </c>
      <c r="ER106" t="e">
        <f>AND('Planilla_General_29-11-2012_10_'!N1590,"AAAAAH796JM=")</f>
        <v>#VALUE!</v>
      </c>
      <c r="ES106" t="e">
        <f>AND('Planilla_General_29-11-2012_10_'!O1590,"AAAAAH796JQ=")</f>
        <v>#VALUE!</v>
      </c>
      <c r="ET106" t="e">
        <f>AND('Planilla_General_29-11-2012_10_'!P1590,"AAAAAH796JU=")</f>
        <v>#VALUE!</v>
      </c>
      <c r="EU106">
        <f>IF('Planilla_General_29-11-2012_10_'!1591:1591,"AAAAAH796JY=",0)</f>
        <v>0</v>
      </c>
      <c r="EV106" t="e">
        <f>AND('Planilla_General_29-11-2012_10_'!A1591,"AAAAAH796Jc=")</f>
        <v>#VALUE!</v>
      </c>
      <c r="EW106" t="e">
        <f>AND('Planilla_General_29-11-2012_10_'!B1591,"AAAAAH796Jg=")</f>
        <v>#VALUE!</v>
      </c>
      <c r="EX106" t="e">
        <f>AND('Planilla_General_29-11-2012_10_'!C1591,"AAAAAH796Jk=")</f>
        <v>#VALUE!</v>
      </c>
      <c r="EY106" t="e">
        <f>AND('Planilla_General_29-11-2012_10_'!D1591,"AAAAAH796Jo=")</f>
        <v>#VALUE!</v>
      </c>
      <c r="EZ106" t="e">
        <f>AND('Planilla_General_29-11-2012_10_'!E1591,"AAAAAH796Js=")</f>
        <v>#VALUE!</v>
      </c>
      <c r="FA106" t="e">
        <f>AND('Planilla_General_29-11-2012_10_'!F1591,"AAAAAH796Jw=")</f>
        <v>#VALUE!</v>
      </c>
      <c r="FB106" t="e">
        <f>AND('Planilla_General_29-11-2012_10_'!G1591,"AAAAAH796J0=")</f>
        <v>#VALUE!</v>
      </c>
      <c r="FC106" t="e">
        <f>AND('Planilla_General_29-11-2012_10_'!H1591,"AAAAAH796J4=")</f>
        <v>#VALUE!</v>
      </c>
      <c r="FD106" t="e">
        <f>AND('Planilla_General_29-11-2012_10_'!I1591,"AAAAAH796J8=")</f>
        <v>#VALUE!</v>
      </c>
      <c r="FE106" t="e">
        <f>AND('Planilla_General_29-11-2012_10_'!J1591,"AAAAAH796KA=")</f>
        <v>#VALUE!</v>
      </c>
      <c r="FF106" t="e">
        <f>AND('Planilla_General_29-11-2012_10_'!K1591,"AAAAAH796KE=")</f>
        <v>#VALUE!</v>
      </c>
      <c r="FG106" t="e">
        <f>AND('Planilla_General_29-11-2012_10_'!L1591,"AAAAAH796KI=")</f>
        <v>#VALUE!</v>
      </c>
      <c r="FH106" t="e">
        <f>AND('Planilla_General_29-11-2012_10_'!M1591,"AAAAAH796KM=")</f>
        <v>#VALUE!</v>
      </c>
      <c r="FI106" t="e">
        <f>AND('Planilla_General_29-11-2012_10_'!N1591,"AAAAAH796KQ=")</f>
        <v>#VALUE!</v>
      </c>
      <c r="FJ106" t="e">
        <f>AND('Planilla_General_29-11-2012_10_'!O1591,"AAAAAH796KU=")</f>
        <v>#VALUE!</v>
      </c>
      <c r="FK106" t="e">
        <f>AND('Planilla_General_29-11-2012_10_'!P1591,"AAAAAH796KY=")</f>
        <v>#VALUE!</v>
      </c>
      <c r="FL106">
        <f>IF('Planilla_General_29-11-2012_10_'!1592:1592,"AAAAAH796Kc=",0)</f>
        <v>0</v>
      </c>
      <c r="FM106" t="e">
        <f>AND('Planilla_General_29-11-2012_10_'!A1592,"AAAAAH796Kg=")</f>
        <v>#VALUE!</v>
      </c>
      <c r="FN106" t="e">
        <f>AND('Planilla_General_29-11-2012_10_'!B1592,"AAAAAH796Kk=")</f>
        <v>#VALUE!</v>
      </c>
      <c r="FO106" t="e">
        <f>AND('Planilla_General_29-11-2012_10_'!C1592,"AAAAAH796Ko=")</f>
        <v>#VALUE!</v>
      </c>
      <c r="FP106" t="e">
        <f>AND('Planilla_General_29-11-2012_10_'!D1592,"AAAAAH796Ks=")</f>
        <v>#VALUE!</v>
      </c>
      <c r="FQ106" t="e">
        <f>AND('Planilla_General_29-11-2012_10_'!E1592,"AAAAAH796Kw=")</f>
        <v>#VALUE!</v>
      </c>
      <c r="FR106" t="e">
        <f>AND('Planilla_General_29-11-2012_10_'!F1592,"AAAAAH796K0=")</f>
        <v>#VALUE!</v>
      </c>
      <c r="FS106" t="e">
        <f>AND('Planilla_General_29-11-2012_10_'!G1592,"AAAAAH796K4=")</f>
        <v>#VALUE!</v>
      </c>
      <c r="FT106" t="e">
        <f>AND('Planilla_General_29-11-2012_10_'!H1592,"AAAAAH796K8=")</f>
        <v>#VALUE!</v>
      </c>
      <c r="FU106" t="e">
        <f>AND('Planilla_General_29-11-2012_10_'!I1592,"AAAAAH796LA=")</f>
        <v>#VALUE!</v>
      </c>
      <c r="FV106" t="e">
        <f>AND('Planilla_General_29-11-2012_10_'!J1592,"AAAAAH796LE=")</f>
        <v>#VALUE!</v>
      </c>
      <c r="FW106" t="e">
        <f>AND('Planilla_General_29-11-2012_10_'!K1592,"AAAAAH796LI=")</f>
        <v>#VALUE!</v>
      </c>
      <c r="FX106" t="e">
        <f>AND('Planilla_General_29-11-2012_10_'!L1592,"AAAAAH796LM=")</f>
        <v>#VALUE!</v>
      </c>
      <c r="FY106" t="e">
        <f>AND('Planilla_General_29-11-2012_10_'!M1592,"AAAAAH796LQ=")</f>
        <v>#VALUE!</v>
      </c>
      <c r="FZ106" t="e">
        <f>AND('Planilla_General_29-11-2012_10_'!N1592,"AAAAAH796LU=")</f>
        <v>#VALUE!</v>
      </c>
      <c r="GA106" t="e">
        <f>AND('Planilla_General_29-11-2012_10_'!O1592,"AAAAAH796LY=")</f>
        <v>#VALUE!</v>
      </c>
      <c r="GB106" t="e">
        <f>AND('Planilla_General_29-11-2012_10_'!P1592,"AAAAAH796Lc=")</f>
        <v>#VALUE!</v>
      </c>
      <c r="GC106">
        <f>IF('Planilla_General_29-11-2012_10_'!1593:1593,"AAAAAH796Lg=",0)</f>
        <v>0</v>
      </c>
      <c r="GD106" t="e">
        <f>AND('Planilla_General_29-11-2012_10_'!A1593,"AAAAAH796Lk=")</f>
        <v>#VALUE!</v>
      </c>
      <c r="GE106" t="e">
        <f>AND('Planilla_General_29-11-2012_10_'!B1593,"AAAAAH796Lo=")</f>
        <v>#VALUE!</v>
      </c>
      <c r="GF106" t="e">
        <f>AND('Planilla_General_29-11-2012_10_'!C1593,"AAAAAH796Ls=")</f>
        <v>#VALUE!</v>
      </c>
      <c r="GG106" t="e">
        <f>AND('Planilla_General_29-11-2012_10_'!D1593,"AAAAAH796Lw=")</f>
        <v>#VALUE!</v>
      </c>
      <c r="GH106" t="e">
        <f>AND('Planilla_General_29-11-2012_10_'!E1593,"AAAAAH796L0=")</f>
        <v>#VALUE!</v>
      </c>
      <c r="GI106" t="e">
        <f>AND('Planilla_General_29-11-2012_10_'!F1593,"AAAAAH796L4=")</f>
        <v>#VALUE!</v>
      </c>
      <c r="GJ106" t="e">
        <f>AND('Planilla_General_29-11-2012_10_'!G1593,"AAAAAH796L8=")</f>
        <v>#VALUE!</v>
      </c>
      <c r="GK106" t="e">
        <f>AND('Planilla_General_29-11-2012_10_'!H1593,"AAAAAH796MA=")</f>
        <v>#VALUE!</v>
      </c>
      <c r="GL106" t="e">
        <f>AND('Planilla_General_29-11-2012_10_'!I1593,"AAAAAH796ME=")</f>
        <v>#VALUE!</v>
      </c>
      <c r="GM106" t="e">
        <f>AND('Planilla_General_29-11-2012_10_'!J1593,"AAAAAH796MI=")</f>
        <v>#VALUE!</v>
      </c>
      <c r="GN106" t="e">
        <f>AND('Planilla_General_29-11-2012_10_'!K1593,"AAAAAH796MM=")</f>
        <v>#VALUE!</v>
      </c>
      <c r="GO106" t="e">
        <f>AND('Planilla_General_29-11-2012_10_'!L1593,"AAAAAH796MQ=")</f>
        <v>#VALUE!</v>
      </c>
      <c r="GP106" t="e">
        <f>AND('Planilla_General_29-11-2012_10_'!M1593,"AAAAAH796MU=")</f>
        <v>#VALUE!</v>
      </c>
      <c r="GQ106" t="e">
        <f>AND('Planilla_General_29-11-2012_10_'!N1593,"AAAAAH796MY=")</f>
        <v>#VALUE!</v>
      </c>
      <c r="GR106" t="e">
        <f>AND('Planilla_General_29-11-2012_10_'!O1593,"AAAAAH796Mc=")</f>
        <v>#VALUE!</v>
      </c>
      <c r="GS106" t="e">
        <f>AND('Planilla_General_29-11-2012_10_'!P1593,"AAAAAH796Mg=")</f>
        <v>#VALUE!</v>
      </c>
      <c r="GT106">
        <f>IF('Planilla_General_29-11-2012_10_'!1594:1594,"AAAAAH796Mk=",0)</f>
        <v>0</v>
      </c>
      <c r="GU106" t="e">
        <f>AND('Planilla_General_29-11-2012_10_'!A1594,"AAAAAH796Mo=")</f>
        <v>#VALUE!</v>
      </c>
      <c r="GV106" t="e">
        <f>AND('Planilla_General_29-11-2012_10_'!B1594,"AAAAAH796Ms=")</f>
        <v>#VALUE!</v>
      </c>
      <c r="GW106" t="e">
        <f>AND('Planilla_General_29-11-2012_10_'!C1594,"AAAAAH796Mw=")</f>
        <v>#VALUE!</v>
      </c>
      <c r="GX106" t="e">
        <f>AND('Planilla_General_29-11-2012_10_'!D1594,"AAAAAH796M0=")</f>
        <v>#VALUE!</v>
      </c>
      <c r="GY106" t="e">
        <f>AND('Planilla_General_29-11-2012_10_'!E1594,"AAAAAH796M4=")</f>
        <v>#VALUE!</v>
      </c>
      <c r="GZ106" t="e">
        <f>AND('Planilla_General_29-11-2012_10_'!F1594,"AAAAAH796M8=")</f>
        <v>#VALUE!</v>
      </c>
      <c r="HA106" t="e">
        <f>AND('Planilla_General_29-11-2012_10_'!G1594,"AAAAAH796NA=")</f>
        <v>#VALUE!</v>
      </c>
      <c r="HB106" t="e">
        <f>AND('Planilla_General_29-11-2012_10_'!H1594,"AAAAAH796NE=")</f>
        <v>#VALUE!</v>
      </c>
      <c r="HC106" t="e">
        <f>AND('Planilla_General_29-11-2012_10_'!I1594,"AAAAAH796NI=")</f>
        <v>#VALUE!</v>
      </c>
      <c r="HD106" t="e">
        <f>AND('Planilla_General_29-11-2012_10_'!J1594,"AAAAAH796NM=")</f>
        <v>#VALUE!</v>
      </c>
      <c r="HE106" t="e">
        <f>AND('Planilla_General_29-11-2012_10_'!K1594,"AAAAAH796NQ=")</f>
        <v>#VALUE!</v>
      </c>
      <c r="HF106" t="e">
        <f>AND('Planilla_General_29-11-2012_10_'!L1594,"AAAAAH796NU=")</f>
        <v>#VALUE!</v>
      </c>
      <c r="HG106" t="e">
        <f>AND('Planilla_General_29-11-2012_10_'!M1594,"AAAAAH796NY=")</f>
        <v>#VALUE!</v>
      </c>
      <c r="HH106" t="e">
        <f>AND('Planilla_General_29-11-2012_10_'!N1594,"AAAAAH796Nc=")</f>
        <v>#VALUE!</v>
      </c>
      <c r="HI106" t="e">
        <f>AND('Planilla_General_29-11-2012_10_'!O1594,"AAAAAH796Ng=")</f>
        <v>#VALUE!</v>
      </c>
      <c r="HJ106" t="e">
        <f>AND('Planilla_General_29-11-2012_10_'!P1594,"AAAAAH796Nk=")</f>
        <v>#VALUE!</v>
      </c>
      <c r="HK106">
        <f>IF('Planilla_General_29-11-2012_10_'!1595:1595,"AAAAAH796No=",0)</f>
        <v>0</v>
      </c>
      <c r="HL106" t="e">
        <f>AND('Planilla_General_29-11-2012_10_'!A1595,"AAAAAH796Ns=")</f>
        <v>#VALUE!</v>
      </c>
      <c r="HM106" t="e">
        <f>AND('Planilla_General_29-11-2012_10_'!B1595,"AAAAAH796Nw=")</f>
        <v>#VALUE!</v>
      </c>
      <c r="HN106" t="e">
        <f>AND('Planilla_General_29-11-2012_10_'!C1595,"AAAAAH796N0=")</f>
        <v>#VALUE!</v>
      </c>
      <c r="HO106" t="e">
        <f>AND('Planilla_General_29-11-2012_10_'!D1595,"AAAAAH796N4=")</f>
        <v>#VALUE!</v>
      </c>
      <c r="HP106" t="e">
        <f>AND('Planilla_General_29-11-2012_10_'!E1595,"AAAAAH796N8=")</f>
        <v>#VALUE!</v>
      </c>
      <c r="HQ106" t="e">
        <f>AND('Planilla_General_29-11-2012_10_'!F1595,"AAAAAH796OA=")</f>
        <v>#VALUE!</v>
      </c>
      <c r="HR106" t="e">
        <f>AND('Planilla_General_29-11-2012_10_'!G1595,"AAAAAH796OE=")</f>
        <v>#VALUE!</v>
      </c>
      <c r="HS106" t="e">
        <f>AND('Planilla_General_29-11-2012_10_'!H1595,"AAAAAH796OI=")</f>
        <v>#VALUE!</v>
      </c>
      <c r="HT106" t="e">
        <f>AND('Planilla_General_29-11-2012_10_'!I1595,"AAAAAH796OM=")</f>
        <v>#VALUE!</v>
      </c>
      <c r="HU106" t="e">
        <f>AND('Planilla_General_29-11-2012_10_'!J1595,"AAAAAH796OQ=")</f>
        <v>#VALUE!</v>
      </c>
      <c r="HV106" t="e">
        <f>AND('Planilla_General_29-11-2012_10_'!K1595,"AAAAAH796OU=")</f>
        <v>#VALUE!</v>
      </c>
      <c r="HW106" t="e">
        <f>AND('Planilla_General_29-11-2012_10_'!L1595,"AAAAAH796OY=")</f>
        <v>#VALUE!</v>
      </c>
      <c r="HX106" t="e">
        <f>AND('Planilla_General_29-11-2012_10_'!M1595,"AAAAAH796Oc=")</f>
        <v>#VALUE!</v>
      </c>
      <c r="HY106" t="e">
        <f>AND('Planilla_General_29-11-2012_10_'!N1595,"AAAAAH796Og=")</f>
        <v>#VALUE!</v>
      </c>
      <c r="HZ106" t="e">
        <f>AND('Planilla_General_29-11-2012_10_'!O1595,"AAAAAH796Ok=")</f>
        <v>#VALUE!</v>
      </c>
      <c r="IA106" t="e">
        <f>AND('Planilla_General_29-11-2012_10_'!P1595,"AAAAAH796Oo=")</f>
        <v>#VALUE!</v>
      </c>
      <c r="IB106">
        <f>IF('Planilla_General_29-11-2012_10_'!1596:1596,"AAAAAH796Os=",0)</f>
        <v>0</v>
      </c>
      <c r="IC106" t="e">
        <f>AND('Planilla_General_29-11-2012_10_'!A1596,"AAAAAH796Ow=")</f>
        <v>#VALUE!</v>
      </c>
      <c r="ID106" t="e">
        <f>AND('Planilla_General_29-11-2012_10_'!B1596,"AAAAAH796O0=")</f>
        <v>#VALUE!</v>
      </c>
      <c r="IE106" t="e">
        <f>AND('Planilla_General_29-11-2012_10_'!C1596,"AAAAAH796O4=")</f>
        <v>#VALUE!</v>
      </c>
      <c r="IF106" t="e">
        <f>AND('Planilla_General_29-11-2012_10_'!D1596,"AAAAAH796O8=")</f>
        <v>#VALUE!</v>
      </c>
      <c r="IG106" t="e">
        <f>AND('Planilla_General_29-11-2012_10_'!E1596,"AAAAAH796PA=")</f>
        <v>#VALUE!</v>
      </c>
      <c r="IH106" t="e">
        <f>AND('Planilla_General_29-11-2012_10_'!F1596,"AAAAAH796PE=")</f>
        <v>#VALUE!</v>
      </c>
      <c r="II106" t="e">
        <f>AND('Planilla_General_29-11-2012_10_'!G1596,"AAAAAH796PI=")</f>
        <v>#VALUE!</v>
      </c>
      <c r="IJ106" t="e">
        <f>AND('Planilla_General_29-11-2012_10_'!H1596,"AAAAAH796PM=")</f>
        <v>#VALUE!</v>
      </c>
      <c r="IK106" t="e">
        <f>AND('Planilla_General_29-11-2012_10_'!I1596,"AAAAAH796PQ=")</f>
        <v>#VALUE!</v>
      </c>
      <c r="IL106" t="e">
        <f>AND('Planilla_General_29-11-2012_10_'!J1596,"AAAAAH796PU=")</f>
        <v>#VALUE!</v>
      </c>
      <c r="IM106" t="e">
        <f>AND('Planilla_General_29-11-2012_10_'!K1596,"AAAAAH796PY=")</f>
        <v>#VALUE!</v>
      </c>
      <c r="IN106" t="e">
        <f>AND('Planilla_General_29-11-2012_10_'!L1596,"AAAAAH796Pc=")</f>
        <v>#VALUE!</v>
      </c>
      <c r="IO106" t="e">
        <f>AND('Planilla_General_29-11-2012_10_'!M1596,"AAAAAH796Pg=")</f>
        <v>#VALUE!</v>
      </c>
      <c r="IP106" t="e">
        <f>AND('Planilla_General_29-11-2012_10_'!N1596,"AAAAAH796Pk=")</f>
        <v>#VALUE!</v>
      </c>
      <c r="IQ106" t="e">
        <f>AND('Planilla_General_29-11-2012_10_'!O1596,"AAAAAH796Po=")</f>
        <v>#VALUE!</v>
      </c>
      <c r="IR106" t="e">
        <f>AND('Planilla_General_29-11-2012_10_'!P1596,"AAAAAH796Ps=")</f>
        <v>#VALUE!</v>
      </c>
      <c r="IS106">
        <f>IF('Planilla_General_29-11-2012_10_'!1597:1597,"AAAAAH796Pw=",0)</f>
        <v>0</v>
      </c>
      <c r="IT106" t="e">
        <f>AND('Planilla_General_29-11-2012_10_'!A1597,"AAAAAH796P0=")</f>
        <v>#VALUE!</v>
      </c>
      <c r="IU106" t="e">
        <f>AND('Planilla_General_29-11-2012_10_'!B1597,"AAAAAH796P4=")</f>
        <v>#VALUE!</v>
      </c>
      <c r="IV106" t="e">
        <f>AND('Planilla_General_29-11-2012_10_'!C1597,"AAAAAH796P8=")</f>
        <v>#VALUE!</v>
      </c>
    </row>
    <row r="107" spans="1:256" x14ac:dyDescent="0.25">
      <c r="A107" t="e">
        <f>AND('Planilla_General_29-11-2012_10_'!D1597,"AAAAAHvv3QA=")</f>
        <v>#VALUE!</v>
      </c>
      <c r="B107" t="e">
        <f>AND('Planilla_General_29-11-2012_10_'!E1597,"AAAAAHvv3QE=")</f>
        <v>#VALUE!</v>
      </c>
      <c r="C107" t="e">
        <f>AND('Planilla_General_29-11-2012_10_'!F1597,"AAAAAHvv3QI=")</f>
        <v>#VALUE!</v>
      </c>
      <c r="D107" t="e">
        <f>AND('Planilla_General_29-11-2012_10_'!G1597,"AAAAAHvv3QM=")</f>
        <v>#VALUE!</v>
      </c>
      <c r="E107" t="e">
        <f>AND('Planilla_General_29-11-2012_10_'!H1597,"AAAAAHvv3QQ=")</f>
        <v>#VALUE!</v>
      </c>
      <c r="F107" t="e">
        <f>AND('Planilla_General_29-11-2012_10_'!I1597,"AAAAAHvv3QU=")</f>
        <v>#VALUE!</v>
      </c>
      <c r="G107" t="e">
        <f>AND('Planilla_General_29-11-2012_10_'!J1597,"AAAAAHvv3QY=")</f>
        <v>#VALUE!</v>
      </c>
      <c r="H107" t="e">
        <f>AND('Planilla_General_29-11-2012_10_'!K1597,"AAAAAHvv3Qc=")</f>
        <v>#VALUE!</v>
      </c>
      <c r="I107" t="e">
        <f>AND('Planilla_General_29-11-2012_10_'!L1597,"AAAAAHvv3Qg=")</f>
        <v>#VALUE!</v>
      </c>
      <c r="J107" t="e">
        <f>AND('Planilla_General_29-11-2012_10_'!M1597,"AAAAAHvv3Qk=")</f>
        <v>#VALUE!</v>
      </c>
      <c r="K107" t="e">
        <f>AND('Planilla_General_29-11-2012_10_'!N1597,"AAAAAHvv3Qo=")</f>
        <v>#VALUE!</v>
      </c>
      <c r="L107" t="e">
        <f>AND('Planilla_General_29-11-2012_10_'!O1597,"AAAAAHvv3Qs=")</f>
        <v>#VALUE!</v>
      </c>
      <c r="M107" t="e">
        <f>AND('Planilla_General_29-11-2012_10_'!P1597,"AAAAAHvv3Qw=")</f>
        <v>#VALUE!</v>
      </c>
      <c r="N107" t="str">
        <f>IF('Planilla_General_29-11-2012_10_'!1598:1598,"AAAAAHvv3Q0=",0)</f>
        <v>AAAAAHvv3Q0=</v>
      </c>
      <c r="O107" t="e">
        <f>AND('Planilla_General_29-11-2012_10_'!A1598,"AAAAAHvv3Q4=")</f>
        <v>#VALUE!</v>
      </c>
      <c r="P107" t="e">
        <f>AND('Planilla_General_29-11-2012_10_'!B1598,"AAAAAHvv3Q8=")</f>
        <v>#VALUE!</v>
      </c>
      <c r="Q107" t="e">
        <f>AND('Planilla_General_29-11-2012_10_'!C1598,"AAAAAHvv3RA=")</f>
        <v>#VALUE!</v>
      </c>
      <c r="R107" t="e">
        <f>AND('Planilla_General_29-11-2012_10_'!D1598,"AAAAAHvv3RE=")</f>
        <v>#VALUE!</v>
      </c>
      <c r="S107" t="e">
        <f>AND('Planilla_General_29-11-2012_10_'!E1598,"AAAAAHvv3RI=")</f>
        <v>#VALUE!</v>
      </c>
      <c r="T107" t="e">
        <f>AND('Planilla_General_29-11-2012_10_'!F1598,"AAAAAHvv3RM=")</f>
        <v>#VALUE!</v>
      </c>
      <c r="U107" t="e">
        <f>AND('Planilla_General_29-11-2012_10_'!G1598,"AAAAAHvv3RQ=")</f>
        <v>#VALUE!</v>
      </c>
      <c r="V107" t="e">
        <f>AND('Planilla_General_29-11-2012_10_'!H1598,"AAAAAHvv3RU=")</f>
        <v>#VALUE!</v>
      </c>
      <c r="W107" t="e">
        <f>AND('Planilla_General_29-11-2012_10_'!I1598,"AAAAAHvv3RY=")</f>
        <v>#VALUE!</v>
      </c>
      <c r="X107" t="e">
        <f>AND('Planilla_General_29-11-2012_10_'!J1598,"AAAAAHvv3Rc=")</f>
        <v>#VALUE!</v>
      </c>
      <c r="Y107" t="e">
        <f>AND('Planilla_General_29-11-2012_10_'!K1598,"AAAAAHvv3Rg=")</f>
        <v>#VALUE!</v>
      </c>
      <c r="Z107" t="e">
        <f>AND('Planilla_General_29-11-2012_10_'!L1598,"AAAAAHvv3Rk=")</f>
        <v>#VALUE!</v>
      </c>
      <c r="AA107" t="e">
        <f>AND('Planilla_General_29-11-2012_10_'!M1598,"AAAAAHvv3Ro=")</f>
        <v>#VALUE!</v>
      </c>
      <c r="AB107" t="e">
        <f>AND('Planilla_General_29-11-2012_10_'!N1598,"AAAAAHvv3Rs=")</f>
        <v>#VALUE!</v>
      </c>
      <c r="AC107" t="e">
        <f>AND('Planilla_General_29-11-2012_10_'!O1598,"AAAAAHvv3Rw=")</f>
        <v>#VALUE!</v>
      </c>
      <c r="AD107" t="e">
        <f>AND('Planilla_General_29-11-2012_10_'!P1598,"AAAAAHvv3R0=")</f>
        <v>#VALUE!</v>
      </c>
      <c r="AE107">
        <f>IF('Planilla_General_29-11-2012_10_'!1599:1599,"AAAAAHvv3R4=",0)</f>
        <v>0</v>
      </c>
      <c r="AF107" t="e">
        <f>AND('Planilla_General_29-11-2012_10_'!A1599,"AAAAAHvv3R8=")</f>
        <v>#VALUE!</v>
      </c>
      <c r="AG107" t="e">
        <f>AND('Planilla_General_29-11-2012_10_'!B1599,"AAAAAHvv3SA=")</f>
        <v>#VALUE!</v>
      </c>
      <c r="AH107" t="e">
        <f>AND('Planilla_General_29-11-2012_10_'!C1599,"AAAAAHvv3SE=")</f>
        <v>#VALUE!</v>
      </c>
      <c r="AI107" t="e">
        <f>AND('Planilla_General_29-11-2012_10_'!D1599,"AAAAAHvv3SI=")</f>
        <v>#VALUE!</v>
      </c>
      <c r="AJ107" t="e">
        <f>AND('Planilla_General_29-11-2012_10_'!E1599,"AAAAAHvv3SM=")</f>
        <v>#VALUE!</v>
      </c>
      <c r="AK107" t="e">
        <f>AND('Planilla_General_29-11-2012_10_'!F1599,"AAAAAHvv3SQ=")</f>
        <v>#VALUE!</v>
      </c>
      <c r="AL107" t="e">
        <f>AND('Planilla_General_29-11-2012_10_'!G1599,"AAAAAHvv3SU=")</f>
        <v>#VALUE!</v>
      </c>
      <c r="AM107" t="e">
        <f>AND('Planilla_General_29-11-2012_10_'!H1599,"AAAAAHvv3SY=")</f>
        <v>#VALUE!</v>
      </c>
      <c r="AN107" t="e">
        <f>AND('Planilla_General_29-11-2012_10_'!I1599,"AAAAAHvv3Sc=")</f>
        <v>#VALUE!</v>
      </c>
      <c r="AO107" t="e">
        <f>AND('Planilla_General_29-11-2012_10_'!J1599,"AAAAAHvv3Sg=")</f>
        <v>#VALUE!</v>
      </c>
      <c r="AP107" t="e">
        <f>AND('Planilla_General_29-11-2012_10_'!K1599,"AAAAAHvv3Sk=")</f>
        <v>#VALUE!</v>
      </c>
      <c r="AQ107" t="e">
        <f>AND('Planilla_General_29-11-2012_10_'!L1599,"AAAAAHvv3So=")</f>
        <v>#VALUE!</v>
      </c>
      <c r="AR107" t="e">
        <f>AND('Planilla_General_29-11-2012_10_'!M1599,"AAAAAHvv3Ss=")</f>
        <v>#VALUE!</v>
      </c>
      <c r="AS107" t="e">
        <f>AND('Planilla_General_29-11-2012_10_'!N1599,"AAAAAHvv3Sw=")</f>
        <v>#VALUE!</v>
      </c>
      <c r="AT107" t="e">
        <f>AND('Planilla_General_29-11-2012_10_'!O1599,"AAAAAHvv3S0=")</f>
        <v>#VALUE!</v>
      </c>
      <c r="AU107" t="e">
        <f>AND('Planilla_General_29-11-2012_10_'!P1599,"AAAAAHvv3S4=")</f>
        <v>#VALUE!</v>
      </c>
      <c r="AV107">
        <f>IF('Planilla_General_29-11-2012_10_'!1600:1600,"AAAAAHvv3S8=",0)</f>
        <v>0</v>
      </c>
      <c r="AW107" t="e">
        <f>AND('Planilla_General_29-11-2012_10_'!A1600,"AAAAAHvv3TA=")</f>
        <v>#VALUE!</v>
      </c>
      <c r="AX107" t="e">
        <f>AND('Planilla_General_29-11-2012_10_'!B1600,"AAAAAHvv3TE=")</f>
        <v>#VALUE!</v>
      </c>
      <c r="AY107" t="e">
        <f>AND('Planilla_General_29-11-2012_10_'!C1600,"AAAAAHvv3TI=")</f>
        <v>#VALUE!</v>
      </c>
      <c r="AZ107" t="e">
        <f>AND('Planilla_General_29-11-2012_10_'!D1600,"AAAAAHvv3TM=")</f>
        <v>#VALUE!</v>
      </c>
      <c r="BA107" t="e">
        <f>AND('Planilla_General_29-11-2012_10_'!E1600,"AAAAAHvv3TQ=")</f>
        <v>#VALUE!</v>
      </c>
      <c r="BB107" t="e">
        <f>AND('Planilla_General_29-11-2012_10_'!F1600,"AAAAAHvv3TU=")</f>
        <v>#VALUE!</v>
      </c>
      <c r="BC107" t="e">
        <f>AND('Planilla_General_29-11-2012_10_'!G1600,"AAAAAHvv3TY=")</f>
        <v>#VALUE!</v>
      </c>
      <c r="BD107" t="e">
        <f>AND('Planilla_General_29-11-2012_10_'!H1600,"AAAAAHvv3Tc=")</f>
        <v>#VALUE!</v>
      </c>
      <c r="BE107" t="e">
        <f>AND('Planilla_General_29-11-2012_10_'!I1600,"AAAAAHvv3Tg=")</f>
        <v>#VALUE!</v>
      </c>
      <c r="BF107" t="e">
        <f>AND('Planilla_General_29-11-2012_10_'!J1600,"AAAAAHvv3Tk=")</f>
        <v>#VALUE!</v>
      </c>
      <c r="BG107" t="e">
        <f>AND('Planilla_General_29-11-2012_10_'!K1600,"AAAAAHvv3To=")</f>
        <v>#VALUE!</v>
      </c>
      <c r="BH107" t="e">
        <f>AND('Planilla_General_29-11-2012_10_'!L1600,"AAAAAHvv3Ts=")</f>
        <v>#VALUE!</v>
      </c>
      <c r="BI107" t="e">
        <f>AND('Planilla_General_29-11-2012_10_'!M1600,"AAAAAHvv3Tw=")</f>
        <v>#VALUE!</v>
      </c>
      <c r="BJ107" t="e">
        <f>AND('Planilla_General_29-11-2012_10_'!N1600,"AAAAAHvv3T0=")</f>
        <v>#VALUE!</v>
      </c>
      <c r="BK107" t="e">
        <f>AND('Planilla_General_29-11-2012_10_'!O1600,"AAAAAHvv3T4=")</f>
        <v>#VALUE!</v>
      </c>
      <c r="BL107" t="e">
        <f>AND('Planilla_General_29-11-2012_10_'!P1600,"AAAAAHvv3T8=")</f>
        <v>#VALUE!</v>
      </c>
      <c r="BM107">
        <f>IF('Planilla_General_29-11-2012_10_'!1601:1601,"AAAAAHvv3UA=",0)</f>
        <v>0</v>
      </c>
      <c r="BN107" t="e">
        <f>AND('Planilla_General_29-11-2012_10_'!A1601,"AAAAAHvv3UE=")</f>
        <v>#VALUE!</v>
      </c>
      <c r="BO107" t="e">
        <f>AND('Planilla_General_29-11-2012_10_'!B1601,"AAAAAHvv3UI=")</f>
        <v>#VALUE!</v>
      </c>
      <c r="BP107" t="e">
        <f>AND('Planilla_General_29-11-2012_10_'!C1601,"AAAAAHvv3UM=")</f>
        <v>#VALUE!</v>
      </c>
      <c r="BQ107" t="e">
        <f>AND('Planilla_General_29-11-2012_10_'!D1601,"AAAAAHvv3UQ=")</f>
        <v>#VALUE!</v>
      </c>
      <c r="BR107" t="e">
        <f>AND('Planilla_General_29-11-2012_10_'!E1601,"AAAAAHvv3UU=")</f>
        <v>#VALUE!</v>
      </c>
      <c r="BS107" t="e">
        <f>AND('Planilla_General_29-11-2012_10_'!F1601,"AAAAAHvv3UY=")</f>
        <v>#VALUE!</v>
      </c>
      <c r="BT107" t="e">
        <f>AND('Planilla_General_29-11-2012_10_'!G1601,"AAAAAHvv3Uc=")</f>
        <v>#VALUE!</v>
      </c>
      <c r="BU107" t="e">
        <f>AND('Planilla_General_29-11-2012_10_'!H1601,"AAAAAHvv3Ug=")</f>
        <v>#VALUE!</v>
      </c>
      <c r="BV107" t="e">
        <f>AND('Planilla_General_29-11-2012_10_'!I1601,"AAAAAHvv3Uk=")</f>
        <v>#VALUE!</v>
      </c>
      <c r="BW107" t="e">
        <f>AND('Planilla_General_29-11-2012_10_'!J1601,"AAAAAHvv3Uo=")</f>
        <v>#VALUE!</v>
      </c>
      <c r="BX107" t="e">
        <f>AND('Planilla_General_29-11-2012_10_'!K1601,"AAAAAHvv3Us=")</f>
        <v>#VALUE!</v>
      </c>
      <c r="BY107" t="e">
        <f>AND('Planilla_General_29-11-2012_10_'!L1601,"AAAAAHvv3Uw=")</f>
        <v>#VALUE!</v>
      </c>
      <c r="BZ107" t="e">
        <f>AND('Planilla_General_29-11-2012_10_'!M1601,"AAAAAHvv3U0=")</f>
        <v>#VALUE!</v>
      </c>
      <c r="CA107" t="e">
        <f>AND('Planilla_General_29-11-2012_10_'!N1601,"AAAAAHvv3U4=")</f>
        <v>#VALUE!</v>
      </c>
      <c r="CB107" t="e">
        <f>AND('Planilla_General_29-11-2012_10_'!O1601,"AAAAAHvv3U8=")</f>
        <v>#VALUE!</v>
      </c>
      <c r="CC107" t="e">
        <f>AND('Planilla_General_29-11-2012_10_'!P1601,"AAAAAHvv3VA=")</f>
        <v>#VALUE!</v>
      </c>
      <c r="CD107">
        <f>IF('Planilla_General_29-11-2012_10_'!1602:1602,"AAAAAHvv3VE=",0)</f>
        <v>0</v>
      </c>
      <c r="CE107" t="e">
        <f>AND('Planilla_General_29-11-2012_10_'!A1602,"AAAAAHvv3VI=")</f>
        <v>#VALUE!</v>
      </c>
      <c r="CF107" t="e">
        <f>AND('Planilla_General_29-11-2012_10_'!B1602,"AAAAAHvv3VM=")</f>
        <v>#VALUE!</v>
      </c>
      <c r="CG107" t="e">
        <f>AND('Planilla_General_29-11-2012_10_'!C1602,"AAAAAHvv3VQ=")</f>
        <v>#VALUE!</v>
      </c>
      <c r="CH107" t="e">
        <f>AND('Planilla_General_29-11-2012_10_'!D1602,"AAAAAHvv3VU=")</f>
        <v>#VALUE!</v>
      </c>
      <c r="CI107" t="e">
        <f>AND('Planilla_General_29-11-2012_10_'!E1602,"AAAAAHvv3VY=")</f>
        <v>#VALUE!</v>
      </c>
      <c r="CJ107" t="e">
        <f>AND('Planilla_General_29-11-2012_10_'!F1602,"AAAAAHvv3Vc=")</f>
        <v>#VALUE!</v>
      </c>
      <c r="CK107" t="e">
        <f>AND('Planilla_General_29-11-2012_10_'!G1602,"AAAAAHvv3Vg=")</f>
        <v>#VALUE!</v>
      </c>
      <c r="CL107" t="e">
        <f>AND('Planilla_General_29-11-2012_10_'!H1602,"AAAAAHvv3Vk=")</f>
        <v>#VALUE!</v>
      </c>
      <c r="CM107" t="e">
        <f>AND('Planilla_General_29-11-2012_10_'!I1602,"AAAAAHvv3Vo=")</f>
        <v>#VALUE!</v>
      </c>
      <c r="CN107" t="e">
        <f>AND('Planilla_General_29-11-2012_10_'!J1602,"AAAAAHvv3Vs=")</f>
        <v>#VALUE!</v>
      </c>
      <c r="CO107" t="e">
        <f>AND('Planilla_General_29-11-2012_10_'!K1602,"AAAAAHvv3Vw=")</f>
        <v>#VALUE!</v>
      </c>
      <c r="CP107" t="e">
        <f>AND('Planilla_General_29-11-2012_10_'!L1602,"AAAAAHvv3V0=")</f>
        <v>#VALUE!</v>
      </c>
      <c r="CQ107" t="e">
        <f>AND('Planilla_General_29-11-2012_10_'!M1602,"AAAAAHvv3V4=")</f>
        <v>#VALUE!</v>
      </c>
      <c r="CR107" t="e">
        <f>AND('Planilla_General_29-11-2012_10_'!N1602,"AAAAAHvv3V8=")</f>
        <v>#VALUE!</v>
      </c>
      <c r="CS107" t="e">
        <f>AND('Planilla_General_29-11-2012_10_'!O1602,"AAAAAHvv3WA=")</f>
        <v>#VALUE!</v>
      </c>
      <c r="CT107" t="e">
        <f>AND('Planilla_General_29-11-2012_10_'!P1602,"AAAAAHvv3WE=")</f>
        <v>#VALUE!</v>
      </c>
      <c r="CU107">
        <f>IF('Planilla_General_29-11-2012_10_'!1603:1603,"AAAAAHvv3WI=",0)</f>
        <v>0</v>
      </c>
      <c r="CV107" t="e">
        <f>AND('Planilla_General_29-11-2012_10_'!A1603,"AAAAAHvv3WM=")</f>
        <v>#VALUE!</v>
      </c>
      <c r="CW107" t="e">
        <f>AND('Planilla_General_29-11-2012_10_'!B1603,"AAAAAHvv3WQ=")</f>
        <v>#VALUE!</v>
      </c>
      <c r="CX107" t="e">
        <f>AND('Planilla_General_29-11-2012_10_'!C1603,"AAAAAHvv3WU=")</f>
        <v>#VALUE!</v>
      </c>
      <c r="CY107" t="e">
        <f>AND('Planilla_General_29-11-2012_10_'!D1603,"AAAAAHvv3WY=")</f>
        <v>#VALUE!</v>
      </c>
      <c r="CZ107" t="e">
        <f>AND('Planilla_General_29-11-2012_10_'!E1603,"AAAAAHvv3Wc=")</f>
        <v>#VALUE!</v>
      </c>
      <c r="DA107" t="e">
        <f>AND('Planilla_General_29-11-2012_10_'!F1603,"AAAAAHvv3Wg=")</f>
        <v>#VALUE!</v>
      </c>
      <c r="DB107" t="e">
        <f>AND('Planilla_General_29-11-2012_10_'!G1603,"AAAAAHvv3Wk=")</f>
        <v>#VALUE!</v>
      </c>
      <c r="DC107" t="e">
        <f>AND('Planilla_General_29-11-2012_10_'!H1603,"AAAAAHvv3Wo=")</f>
        <v>#VALUE!</v>
      </c>
      <c r="DD107" t="e">
        <f>AND('Planilla_General_29-11-2012_10_'!I1603,"AAAAAHvv3Ws=")</f>
        <v>#VALUE!</v>
      </c>
      <c r="DE107" t="e">
        <f>AND('Planilla_General_29-11-2012_10_'!J1603,"AAAAAHvv3Ww=")</f>
        <v>#VALUE!</v>
      </c>
      <c r="DF107" t="e">
        <f>AND('Planilla_General_29-11-2012_10_'!K1603,"AAAAAHvv3W0=")</f>
        <v>#VALUE!</v>
      </c>
      <c r="DG107" t="e">
        <f>AND('Planilla_General_29-11-2012_10_'!L1603,"AAAAAHvv3W4=")</f>
        <v>#VALUE!</v>
      </c>
      <c r="DH107" t="e">
        <f>AND('Planilla_General_29-11-2012_10_'!M1603,"AAAAAHvv3W8=")</f>
        <v>#VALUE!</v>
      </c>
      <c r="DI107" t="e">
        <f>AND('Planilla_General_29-11-2012_10_'!N1603,"AAAAAHvv3XA=")</f>
        <v>#VALUE!</v>
      </c>
      <c r="DJ107" t="e">
        <f>AND('Planilla_General_29-11-2012_10_'!O1603,"AAAAAHvv3XE=")</f>
        <v>#VALUE!</v>
      </c>
      <c r="DK107" t="e">
        <f>AND('Planilla_General_29-11-2012_10_'!P1603,"AAAAAHvv3XI=")</f>
        <v>#VALUE!</v>
      </c>
      <c r="DL107">
        <f>IF('Planilla_General_29-11-2012_10_'!1604:1604,"AAAAAHvv3XM=",0)</f>
        <v>0</v>
      </c>
      <c r="DM107" t="e">
        <f>AND('Planilla_General_29-11-2012_10_'!A1604,"AAAAAHvv3XQ=")</f>
        <v>#VALUE!</v>
      </c>
      <c r="DN107" t="e">
        <f>AND('Planilla_General_29-11-2012_10_'!B1604,"AAAAAHvv3XU=")</f>
        <v>#VALUE!</v>
      </c>
      <c r="DO107" t="e">
        <f>AND('Planilla_General_29-11-2012_10_'!C1604,"AAAAAHvv3XY=")</f>
        <v>#VALUE!</v>
      </c>
      <c r="DP107" t="e">
        <f>AND('Planilla_General_29-11-2012_10_'!D1604,"AAAAAHvv3Xc=")</f>
        <v>#VALUE!</v>
      </c>
      <c r="DQ107" t="e">
        <f>AND('Planilla_General_29-11-2012_10_'!E1604,"AAAAAHvv3Xg=")</f>
        <v>#VALUE!</v>
      </c>
      <c r="DR107" t="e">
        <f>AND('Planilla_General_29-11-2012_10_'!F1604,"AAAAAHvv3Xk=")</f>
        <v>#VALUE!</v>
      </c>
      <c r="DS107" t="e">
        <f>AND('Planilla_General_29-11-2012_10_'!G1604,"AAAAAHvv3Xo=")</f>
        <v>#VALUE!</v>
      </c>
      <c r="DT107" t="e">
        <f>AND('Planilla_General_29-11-2012_10_'!H1604,"AAAAAHvv3Xs=")</f>
        <v>#VALUE!</v>
      </c>
      <c r="DU107" t="e">
        <f>AND('Planilla_General_29-11-2012_10_'!I1604,"AAAAAHvv3Xw=")</f>
        <v>#VALUE!</v>
      </c>
      <c r="DV107" t="e">
        <f>AND('Planilla_General_29-11-2012_10_'!J1604,"AAAAAHvv3X0=")</f>
        <v>#VALUE!</v>
      </c>
      <c r="DW107" t="e">
        <f>AND('Planilla_General_29-11-2012_10_'!K1604,"AAAAAHvv3X4=")</f>
        <v>#VALUE!</v>
      </c>
      <c r="DX107" t="e">
        <f>AND('Planilla_General_29-11-2012_10_'!L1604,"AAAAAHvv3X8=")</f>
        <v>#VALUE!</v>
      </c>
      <c r="DY107" t="e">
        <f>AND('Planilla_General_29-11-2012_10_'!M1604,"AAAAAHvv3YA=")</f>
        <v>#VALUE!</v>
      </c>
      <c r="DZ107" t="e">
        <f>AND('Planilla_General_29-11-2012_10_'!N1604,"AAAAAHvv3YE=")</f>
        <v>#VALUE!</v>
      </c>
      <c r="EA107" t="e">
        <f>AND('Planilla_General_29-11-2012_10_'!O1604,"AAAAAHvv3YI=")</f>
        <v>#VALUE!</v>
      </c>
      <c r="EB107" t="e">
        <f>AND('Planilla_General_29-11-2012_10_'!P1604,"AAAAAHvv3YM=")</f>
        <v>#VALUE!</v>
      </c>
      <c r="EC107">
        <f>IF('Planilla_General_29-11-2012_10_'!1605:1605,"AAAAAHvv3YQ=",0)</f>
        <v>0</v>
      </c>
      <c r="ED107" t="e">
        <f>AND('Planilla_General_29-11-2012_10_'!A1605,"AAAAAHvv3YU=")</f>
        <v>#VALUE!</v>
      </c>
      <c r="EE107" t="e">
        <f>AND('Planilla_General_29-11-2012_10_'!B1605,"AAAAAHvv3YY=")</f>
        <v>#VALUE!</v>
      </c>
      <c r="EF107" t="e">
        <f>AND('Planilla_General_29-11-2012_10_'!C1605,"AAAAAHvv3Yc=")</f>
        <v>#VALUE!</v>
      </c>
      <c r="EG107" t="e">
        <f>AND('Planilla_General_29-11-2012_10_'!D1605,"AAAAAHvv3Yg=")</f>
        <v>#VALUE!</v>
      </c>
      <c r="EH107" t="e">
        <f>AND('Planilla_General_29-11-2012_10_'!E1605,"AAAAAHvv3Yk=")</f>
        <v>#VALUE!</v>
      </c>
      <c r="EI107" t="e">
        <f>AND('Planilla_General_29-11-2012_10_'!F1605,"AAAAAHvv3Yo=")</f>
        <v>#VALUE!</v>
      </c>
      <c r="EJ107" t="e">
        <f>AND('Planilla_General_29-11-2012_10_'!G1605,"AAAAAHvv3Ys=")</f>
        <v>#VALUE!</v>
      </c>
      <c r="EK107" t="e">
        <f>AND('Planilla_General_29-11-2012_10_'!H1605,"AAAAAHvv3Yw=")</f>
        <v>#VALUE!</v>
      </c>
      <c r="EL107" t="e">
        <f>AND('Planilla_General_29-11-2012_10_'!I1605,"AAAAAHvv3Y0=")</f>
        <v>#VALUE!</v>
      </c>
      <c r="EM107" t="e">
        <f>AND('Planilla_General_29-11-2012_10_'!J1605,"AAAAAHvv3Y4=")</f>
        <v>#VALUE!</v>
      </c>
      <c r="EN107" t="e">
        <f>AND('Planilla_General_29-11-2012_10_'!K1605,"AAAAAHvv3Y8=")</f>
        <v>#VALUE!</v>
      </c>
      <c r="EO107" t="e">
        <f>AND('Planilla_General_29-11-2012_10_'!L1605,"AAAAAHvv3ZA=")</f>
        <v>#VALUE!</v>
      </c>
      <c r="EP107" t="e">
        <f>AND('Planilla_General_29-11-2012_10_'!M1605,"AAAAAHvv3ZE=")</f>
        <v>#VALUE!</v>
      </c>
      <c r="EQ107" t="e">
        <f>AND('Planilla_General_29-11-2012_10_'!N1605,"AAAAAHvv3ZI=")</f>
        <v>#VALUE!</v>
      </c>
      <c r="ER107" t="e">
        <f>AND('Planilla_General_29-11-2012_10_'!O1605,"AAAAAHvv3ZM=")</f>
        <v>#VALUE!</v>
      </c>
      <c r="ES107" t="e">
        <f>AND('Planilla_General_29-11-2012_10_'!P1605,"AAAAAHvv3ZQ=")</f>
        <v>#VALUE!</v>
      </c>
      <c r="ET107">
        <f>IF('Planilla_General_29-11-2012_10_'!1606:1606,"AAAAAHvv3ZU=",0)</f>
        <v>0</v>
      </c>
      <c r="EU107" t="e">
        <f>AND('Planilla_General_29-11-2012_10_'!A1606,"AAAAAHvv3ZY=")</f>
        <v>#VALUE!</v>
      </c>
      <c r="EV107" t="e">
        <f>AND('Planilla_General_29-11-2012_10_'!B1606,"AAAAAHvv3Zc=")</f>
        <v>#VALUE!</v>
      </c>
      <c r="EW107" t="e">
        <f>AND('Planilla_General_29-11-2012_10_'!C1606,"AAAAAHvv3Zg=")</f>
        <v>#VALUE!</v>
      </c>
      <c r="EX107" t="e">
        <f>AND('Planilla_General_29-11-2012_10_'!D1606,"AAAAAHvv3Zk=")</f>
        <v>#VALUE!</v>
      </c>
      <c r="EY107" t="e">
        <f>AND('Planilla_General_29-11-2012_10_'!E1606,"AAAAAHvv3Zo=")</f>
        <v>#VALUE!</v>
      </c>
      <c r="EZ107" t="e">
        <f>AND('Planilla_General_29-11-2012_10_'!F1606,"AAAAAHvv3Zs=")</f>
        <v>#VALUE!</v>
      </c>
      <c r="FA107" t="e">
        <f>AND('Planilla_General_29-11-2012_10_'!G1606,"AAAAAHvv3Zw=")</f>
        <v>#VALUE!</v>
      </c>
      <c r="FB107" t="e">
        <f>AND('Planilla_General_29-11-2012_10_'!H1606,"AAAAAHvv3Z0=")</f>
        <v>#VALUE!</v>
      </c>
      <c r="FC107" t="e">
        <f>AND('Planilla_General_29-11-2012_10_'!I1606,"AAAAAHvv3Z4=")</f>
        <v>#VALUE!</v>
      </c>
      <c r="FD107" t="e">
        <f>AND('Planilla_General_29-11-2012_10_'!J1606,"AAAAAHvv3Z8=")</f>
        <v>#VALUE!</v>
      </c>
      <c r="FE107" t="e">
        <f>AND('Planilla_General_29-11-2012_10_'!K1606,"AAAAAHvv3aA=")</f>
        <v>#VALUE!</v>
      </c>
      <c r="FF107" t="e">
        <f>AND('Planilla_General_29-11-2012_10_'!L1606,"AAAAAHvv3aE=")</f>
        <v>#VALUE!</v>
      </c>
      <c r="FG107" t="e">
        <f>AND('Planilla_General_29-11-2012_10_'!M1606,"AAAAAHvv3aI=")</f>
        <v>#VALUE!</v>
      </c>
      <c r="FH107" t="e">
        <f>AND('Planilla_General_29-11-2012_10_'!N1606,"AAAAAHvv3aM=")</f>
        <v>#VALUE!</v>
      </c>
      <c r="FI107" t="e">
        <f>AND('Planilla_General_29-11-2012_10_'!O1606,"AAAAAHvv3aQ=")</f>
        <v>#VALUE!</v>
      </c>
      <c r="FJ107" t="e">
        <f>AND('Planilla_General_29-11-2012_10_'!P1606,"AAAAAHvv3aU=")</f>
        <v>#VALUE!</v>
      </c>
      <c r="FK107">
        <f>IF('Planilla_General_29-11-2012_10_'!1607:1607,"AAAAAHvv3aY=",0)</f>
        <v>0</v>
      </c>
      <c r="FL107" t="e">
        <f>AND('Planilla_General_29-11-2012_10_'!A1607,"AAAAAHvv3ac=")</f>
        <v>#VALUE!</v>
      </c>
      <c r="FM107" t="e">
        <f>AND('Planilla_General_29-11-2012_10_'!B1607,"AAAAAHvv3ag=")</f>
        <v>#VALUE!</v>
      </c>
      <c r="FN107" t="e">
        <f>AND('Planilla_General_29-11-2012_10_'!C1607,"AAAAAHvv3ak=")</f>
        <v>#VALUE!</v>
      </c>
      <c r="FO107" t="e">
        <f>AND('Planilla_General_29-11-2012_10_'!D1607,"AAAAAHvv3ao=")</f>
        <v>#VALUE!</v>
      </c>
      <c r="FP107" t="e">
        <f>AND('Planilla_General_29-11-2012_10_'!E1607,"AAAAAHvv3as=")</f>
        <v>#VALUE!</v>
      </c>
      <c r="FQ107" t="e">
        <f>AND('Planilla_General_29-11-2012_10_'!F1607,"AAAAAHvv3aw=")</f>
        <v>#VALUE!</v>
      </c>
      <c r="FR107" t="e">
        <f>AND('Planilla_General_29-11-2012_10_'!G1607,"AAAAAHvv3a0=")</f>
        <v>#VALUE!</v>
      </c>
      <c r="FS107" t="e">
        <f>AND('Planilla_General_29-11-2012_10_'!H1607,"AAAAAHvv3a4=")</f>
        <v>#VALUE!</v>
      </c>
      <c r="FT107" t="e">
        <f>AND('Planilla_General_29-11-2012_10_'!I1607,"AAAAAHvv3a8=")</f>
        <v>#VALUE!</v>
      </c>
      <c r="FU107" t="e">
        <f>AND('Planilla_General_29-11-2012_10_'!J1607,"AAAAAHvv3bA=")</f>
        <v>#VALUE!</v>
      </c>
      <c r="FV107" t="e">
        <f>AND('Planilla_General_29-11-2012_10_'!K1607,"AAAAAHvv3bE=")</f>
        <v>#VALUE!</v>
      </c>
      <c r="FW107" t="e">
        <f>AND('Planilla_General_29-11-2012_10_'!L1607,"AAAAAHvv3bI=")</f>
        <v>#VALUE!</v>
      </c>
      <c r="FX107" t="e">
        <f>AND('Planilla_General_29-11-2012_10_'!M1607,"AAAAAHvv3bM=")</f>
        <v>#VALUE!</v>
      </c>
      <c r="FY107" t="e">
        <f>AND('Planilla_General_29-11-2012_10_'!N1607,"AAAAAHvv3bQ=")</f>
        <v>#VALUE!</v>
      </c>
      <c r="FZ107" t="e">
        <f>AND('Planilla_General_29-11-2012_10_'!O1607,"AAAAAHvv3bU=")</f>
        <v>#VALUE!</v>
      </c>
      <c r="GA107" t="e">
        <f>AND('Planilla_General_29-11-2012_10_'!P1607,"AAAAAHvv3bY=")</f>
        <v>#VALUE!</v>
      </c>
      <c r="GB107">
        <f>IF('Planilla_General_29-11-2012_10_'!1608:1608,"AAAAAHvv3bc=",0)</f>
        <v>0</v>
      </c>
      <c r="GC107" t="e">
        <f>AND('Planilla_General_29-11-2012_10_'!A1608,"AAAAAHvv3bg=")</f>
        <v>#VALUE!</v>
      </c>
      <c r="GD107" t="e">
        <f>AND('Planilla_General_29-11-2012_10_'!B1608,"AAAAAHvv3bk=")</f>
        <v>#VALUE!</v>
      </c>
      <c r="GE107" t="e">
        <f>AND('Planilla_General_29-11-2012_10_'!C1608,"AAAAAHvv3bo=")</f>
        <v>#VALUE!</v>
      </c>
      <c r="GF107" t="e">
        <f>AND('Planilla_General_29-11-2012_10_'!D1608,"AAAAAHvv3bs=")</f>
        <v>#VALUE!</v>
      </c>
      <c r="GG107" t="e">
        <f>AND('Planilla_General_29-11-2012_10_'!E1608,"AAAAAHvv3bw=")</f>
        <v>#VALUE!</v>
      </c>
      <c r="GH107" t="e">
        <f>AND('Planilla_General_29-11-2012_10_'!F1608,"AAAAAHvv3b0=")</f>
        <v>#VALUE!</v>
      </c>
      <c r="GI107" t="e">
        <f>AND('Planilla_General_29-11-2012_10_'!G1608,"AAAAAHvv3b4=")</f>
        <v>#VALUE!</v>
      </c>
      <c r="GJ107" t="e">
        <f>AND('Planilla_General_29-11-2012_10_'!H1608,"AAAAAHvv3b8=")</f>
        <v>#VALUE!</v>
      </c>
      <c r="GK107" t="e">
        <f>AND('Planilla_General_29-11-2012_10_'!I1608,"AAAAAHvv3cA=")</f>
        <v>#VALUE!</v>
      </c>
      <c r="GL107" t="e">
        <f>AND('Planilla_General_29-11-2012_10_'!J1608,"AAAAAHvv3cE=")</f>
        <v>#VALUE!</v>
      </c>
      <c r="GM107" t="e">
        <f>AND('Planilla_General_29-11-2012_10_'!K1608,"AAAAAHvv3cI=")</f>
        <v>#VALUE!</v>
      </c>
      <c r="GN107" t="e">
        <f>AND('Planilla_General_29-11-2012_10_'!L1608,"AAAAAHvv3cM=")</f>
        <v>#VALUE!</v>
      </c>
      <c r="GO107" t="e">
        <f>AND('Planilla_General_29-11-2012_10_'!M1608,"AAAAAHvv3cQ=")</f>
        <v>#VALUE!</v>
      </c>
      <c r="GP107" t="e">
        <f>AND('Planilla_General_29-11-2012_10_'!N1608,"AAAAAHvv3cU=")</f>
        <v>#VALUE!</v>
      </c>
      <c r="GQ107" t="e">
        <f>AND('Planilla_General_29-11-2012_10_'!O1608,"AAAAAHvv3cY=")</f>
        <v>#VALUE!</v>
      </c>
      <c r="GR107" t="e">
        <f>AND('Planilla_General_29-11-2012_10_'!P1608,"AAAAAHvv3cc=")</f>
        <v>#VALUE!</v>
      </c>
      <c r="GS107">
        <f>IF('Planilla_General_29-11-2012_10_'!1609:1609,"AAAAAHvv3cg=",0)</f>
        <v>0</v>
      </c>
      <c r="GT107" t="e">
        <f>AND('Planilla_General_29-11-2012_10_'!A1609,"AAAAAHvv3ck=")</f>
        <v>#VALUE!</v>
      </c>
      <c r="GU107" t="e">
        <f>AND('Planilla_General_29-11-2012_10_'!B1609,"AAAAAHvv3co=")</f>
        <v>#VALUE!</v>
      </c>
      <c r="GV107" t="e">
        <f>AND('Planilla_General_29-11-2012_10_'!C1609,"AAAAAHvv3cs=")</f>
        <v>#VALUE!</v>
      </c>
      <c r="GW107" t="e">
        <f>AND('Planilla_General_29-11-2012_10_'!D1609,"AAAAAHvv3cw=")</f>
        <v>#VALUE!</v>
      </c>
      <c r="GX107" t="e">
        <f>AND('Planilla_General_29-11-2012_10_'!E1609,"AAAAAHvv3c0=")</f>
        <v>#VALUE!</v>
      </c>
      <c r="GY107" t="e">
        <f>AND('Planilla_General_29-11-2012_10_'!F1609,"AAAAAHvv3c4=")</f>
        <v>#VALUE!</v>
      </c>
      <c r="GZ107" t="e">
        <f>AND('Planilla_General_29-11-2012_10_'!G1609,"AAAAAHvv3c8=")</f>
        <v>#VALUE!</v>
      </c>
      <c r="HA107" t="e">
        <f>AND('Planilla_General_29-11-2012_10_'!H1609,"AAAAAHvv3dA=")</f>
        <v>#VALUE!</v>
      </c>
      <c r="HB107" t="e">
        <f>AND('Planilla_General_29-11-2012_10_'!I1609,"AAAAAHvv3dE=")</f>
        <v>#VALUE!</v>
      </c>
      <c r="HC107" t="e">
        <f>AND('Planilla_General_29-11-2012_10_'!J1609,"AAAAAHvv3dI=")</f>
        <v>#VALUE!</v>
      </c>
      <c r="HD107" t="e">
        <f>AND('Planilla_General_29-11-2012_10_'!K1609,"AAAAAHvv3dM=")</f>
        <v>#VALUE!</v>
      </c>
      <c r="HE107" t="e">
        <f>AND('Planilla_General_29-11-2012_10_'!L1609,"AAAAAHvv3dQ=")</f>
        <v>#VALUE!</v>
      </c>
      <c r="HF107" t="e">
        <f>AND('Planilla_General_29-11-2012_10_'!M1609,"AAAAAHvv3dU=")</f>
        <v>#VALUE!</v>
      </c>
      <c r="HG107" t="e">
        <f>AND('Planilla_General_29-11-2012_10_'!N1609,"AAAAAHvv3dY=")</f>
        <v>#VALUE!</v>
      </c>
      <c r="HH107" t="e">
        <f>AND('Planilla_General_29-11-2012_10_'!O1609,"AAAAAHvv3dc=")</f>
        <v>#VALUE!</v>
      </c>
      <c r="HI107" t="e">
        <f>AND('Planilla_General_29-11-2012_10_'!P1609,"AAAAAHvv3dg=")</f>
        <v>#VALUE!</v>
      </c>
      <c r="HJ107">
        <f>IF('Planilla_General_29-11-2012_10_'!1610:1610,"AAAAAHvv3dk=",0)</f>
        <v>0</v>
      </c>
      <c r="HK107" t="e">
        <f>AND('Planilla_General_29-11-2012_10_'!A1610,"AAAAAHvv3do=")</f>
        <v>#VALUE!</v>
      </c>
      <c r="HL107" t="e">
        <f>AND('Planilla_General_29-11-2012_10_'!B1610,"AAAAAHvv3ds=")</f>
        <v>#VALUE!</v>
      </c>
      <c r="HM107" t="e">
        <f>AND('Planilla_General_29-11-2012_10_'!C1610,"AAAAAHvv3dw=")</f>
        <v>#VALUE!</v>
      </c>
      <c r="HN107" t="e">
        <f>AND('Planilla_General_29-11-2012_10_'!D1610,"AAAAAHvv3d0=")</f>
        <v>#VALUE!</v>
      </c>
      <c r="HO107" t="e">
        <f>AND('Planilla_General_29-11-2012_10_'!E1610,"AAAAAHvv3d4=")</f>
        <v>#VALUE!</v>
      </c>
      <c r="HP107" t="e">
        <f>AND('Planilla_General_29-11-2012_10_'!F1610,"AAAAAHvv3d8=")</f>
        <v>#VALUE!</v>
      </c>
      <c r="HQ107" t="e">
        <f>AND('Planilla_General_29-11-2012_10_'!G1610,"AAAAAHvv3eA=")</f>
        <v>#VALUE!</v>
      </c>
      <c r="HR107" t="e">
        <f>AND('Planilla_General_29-11-2012_10_'!H1610,"AAAAAHvv3eE=")</f>
        <v>#VALUE!</v>
      </c>
      <c r="HS107" t="e">
        <f>AND('Planilla_General_29-11-2012_10_'!I1610,"AAAAAHvv3eI=")</f>
        <v>#VALUE!</v>
      </c>
      <c r="HT107" t="e">
        <f>AND('Planilla_General_29-11-2012_10_'!J1610,"AAAAAHvv3eM=")</f>
        <v>#VALUE!</v>
      </c>
      <c r="HU107" t="e">
        <f>AND('Planilla_General_29-11-2012_10_'!K1610,"AAAAAHvv3eQ=")</f>
        <v>#VALUE!</v>
      </c>
      <c r="HV107" t="e">
        <f>AND('Planilla_General_29-11-2012_10_'!L1610,"AAAAAHvv3eU=")</f>
        <v>#VALUE!</v>
      </c>
      <c r="HW107" t="e">
        <f>AND('Planilla_General_29-11-2012_10_'!M1610,"AAAAAHvv3eY=")</f>
        <v>#VALUE!</v>
      </c>
      <c r="HX107" t="e">
        <f>AND('Planilla_General_29-11-2012_10_'!N1610,"AAAAAHvv3ec=")</f>
        <v>#VALUE!</v>
      </c>
      <c r="HY107" t="e">
        <f>AND('Planilla_General_29-11-2012_10_'!O1610,"AAAAAHvv3eg=")</f>
        <v>#VALUE!</v>
      </c>
      <c r="HZ107" t="e">
        <f>AND('Planilla_General_29-11-2012_10_'!P1610,"AAAAAHvv3ek=")</f>
        <v>#VALUE!</v>
      </c>
      <c r="IA107">
        <f>IF('Planilla_General_29-11-2012_10_'!1611:1611,"AAAAAHvv3eo=",0)</f>
        <v>0</v>
      </c>
      <c r="IB107" t="e">
        <f>AND('Planilla_General_29-11-2012_10_'!A1611,"AAAAAHvv3es=")</f>
        <v>#VALUE!</v>
      </c>
      <c r="IC107" t="e">
        <f>AND('Planilla_General_29-11-2012_10_'!B1611,"AAAAAHvv3ew=")</f>
        <v>#VALUE!</v>
      </c>
      <c r="ID107" t="e">
        <f>AND('Planilla_General_29-11-2012_10_'!C1611,"AAAAAHvv3e0=")</f>
        <v>#VALUE!</v>
      </c>
      <c r="IE107" t="e">
        <f>AND('Planilla_General_29-11-2012_10_'!D1611,"AAAAAHvv3e4=")</f>
        <v>#VALUE!</v>
      </c>
      <c r="IF107" t="e">
        <f>AND('Planilla_General_29-11-2012_10_'!E1611,"AAAAAHvv3e8=")</f>
        <v>#VALUE!</v>
      </c>
      <c r="IG107" t="e">
        <f>AND('Planilla_General_29-11-2012_10_'!F1611,"AAAAAHvv3fA=")</f>
        <v>#VALUE!</v>
      </c>
      <c r="IH107" t="e">
        <f>AND('Planilla_General_29-11-2012_10_'!G1611,"AAAAAHvv3fE=")</f>
        <v>#VALUE!</v>
      </c>
      <c r="II107" t="e">
        <f>AND('Planilla_General_29-11-2012_10_'!H1611,"AAAAAHvv3fI=")</f>
        <v>#VALUE!</v>
      </c>
      <c r="IJ107" t="e">
        <f>AND('Planilla_General_29-11-2012_10_'!I1611,"AAAAAHvv3fM=")</f>
        <v>#VALUE!</v>
      </c>
      <c r="IK107" t="e">
        <f>AND('Planilla_General_29-11-2012_10_'!J1611,"AAAAAHvv3fQ=")</f>
        <v>#VALUE!</v>
      </c>
      <c r="IL107" t="e">
        <f>AND('Planilla_General_29-11-2012_10_'!K1611,"AAAAAHvv3fU=")</f>
        <v>#VALUE!</v>
      </c>
      <c r="IM107" t="e">
        <f>AND('Planilla_General_29-11-2012_10_'!L1611,"AAAAAHvv3fY=")</f>
        <v>#VALUE!</v>
      </c>
      <c r="IN107" t="e">
        <f>AND('Planilla_General_29-11-2012_10_'!M1611,"AAAAAHvv3fc=")</f>
        <v>#VALUE!</v>
      </c>
      <c r="IO107" t="e">
        <f>AND('Planilla_General_29-11-2012_10_'!N1611,"AAAAAHvv3fg=")</f>
        <v>#VALUE!</v>
      </c>
      <c r="IP107" t="e">
        <f>AND('Planilla_General_29-11-2012_10_'!O1611,"AAAAAHvv3fk=")</f>
        <v>#VALUE!</v>
      </c>
      <c r="IQ107" t="e">
        <f>AND('Planilla_General_29-11-2012_10_'!P1611,"AAAAAHvv3fo=")</f>
        <v>#VALUE!</v>
      </c>
      <c r="IR107">
        <f>IF('Planilla_General_29-11-2012_10_'!1612:1612,"AAAAAHvv3fs=",0)</f>
        <v>0</v>
      </c>
      <c r="IS107" t="e">
        <f>AND('Planilla_General_29-11-2012_10_'!A1612,"AAAAAHvv3fw=")</f>
        <v>#VALUE!</v>
      </c>
      <c r="IT107" t="e">
        <f>AND('Planilla_General_29-11-2012_10_'!B1612,"AAAAAHvv3f0=")</f>
        <v>#VALUE!</v>
      </c>
      <c r="IU107" t="e">
        <f>AND('Planilla_General_29-11-2012_10_'!C1612,"AAAAAHvv3f4=")</f>
        <v>#VALUE!</v>
      </c>
      <c r="IV107" t="e">
        <f>AND('Planilla_General_29-11-2012_10_'!D1612,"AAAAAHvv3f8=")</f>
        <v>#VALUE!</v>
      </c>
    </row>
    <row r="108" spans="1:256" x14ac:dyDescent="0.25">
      <c r="A108" t="e">
        <f>AND('Planilla_General_29-11-2012_10_'!E1612,"AAAAAD5LHwA=")</f>
        <v>#VALUE!</v>
      </c>
      <c r="B108" t="e">
        <f>AND('Planilla_General_29-11-2012_10_'!F1612,"AAAAAD5LHwE=")</f>
        <v>#VALUE!</v>
      </c>
      <c r="C108" t="e">
        <f>AND('Planilla_General_29-11-2012_10_'!G1612,"AAAAAD5LHwI=")</f>
        <v>#VALUE!</v>
      </c>
      <c r="D108" t="e">
        <f>AND('Planilla_General_29-11-2012_10_'!H1612,"AAAAAD5LHwM=")</f>
        <v>#VALUE!</v>
      </c>
      <c r="E108" t="e">
        <f>AND('Planilla_General_29-11-2012_10_'!I1612,"AAAAAD5LHwQ=")</f>
        <v>#VALUE!</v>
      </c>
      <c r="F108" t="e">
        <f>AND('Planilla_General_29-11-2012_10_'!J1612,"AAAAAD5LHwU=")</f>
        <v>#VALUE!</v>
      </c>
      <c r="G108" t="e">
        <f>AND('Planilla_General_29-11-2012_10_'!K1612,"AAAAAD5LHwY=")</f>
        <v>#VALUE!</v>
      </c>
      <c r="H108" t="e">
        <f>AND('Planilla_General_29-11-2012_10_'!L1612,"AAAAAD5LHwc=")</f>
        <v>#VALUE!</v>
      </c>
      <c r="I108" t="e">
        <f>AND('Planilla_General_29-11-2012_10_'!M1612,"AAAAAD5LHwg=")</f>
        <v>#VALUE!</v>
      </c>
      <c r="J108" t="e">
        <f>AND('Planilla_General_29-11-2012_10_'!N1612,"AAAAAD5LHwk=")</f>
        <v>#VALUE!</v>
      </c>
      <c r="K108" t="e">
        <f>AND('Planilla_General_29-11-2012_10_'!O1612,"AAAAAD5LHwo=")</f>
        <v>#VALUE!</v>
      </c>
      <c r="L108" t="e">
        <f>AND('Planilla_General_29-11-2012_10_'!P1612,"AAAAAD5LHws=")</f>
        <v>#VALUE!</v>
      </c>
      <c r="M108" t="str">
        <f>IF('Planilla_General_29-11-2012_10_'!1613:1613,"AAAAAD5LHww=",0)</f>
        <v>AAAAAD5LHww=</v>
      </c>
      <c r="N108" t="e">
        <f>AND('Planilla_General_29-11-2012_10_'!A1613,"AAAAAD5LHw0=")</f>
        <v>#VALUE!</v>
      </c>
      <c r="O108" t="e">
        <f>AND('Planilla_General_29-11-2012_10_'!B1613,"AAAAAD5LHw4=")</f>
        <v>#VALUE!</v>
      </c>
      <c r="P108" t="e">
        <f>AND('Planilla_General_29-11-2012_10_'!C1613,"AAAAAD5LHw8=")</f>
        <v>#VALUE!</v>
      </c>
      <c r="Q108" t="e">
        <f>AND('Planilla_General_29-11-2012_10_'!D1613,"AAAAAD5LHxA=")</f>
        <v>#VALUE!</v>
      </c>
      <c r="R108" t="e">
        <f>AND('Planilla_General_29-11-2012_10_'!E1613,"AAAAAD5LHxE=")</f>
        <v>#VALUE!</v>
      </c>
      <c r="S108" t="e">
        <f>AND('Planilla_General_29-11-2012_10_'!F1613,"AAAAAD5LHxI=")</f>
        <v>#VALUE!</v>
      </c>
      <c r="T108" t="e">
        <f>AND('Planilla_General_29-11-2012_10_'!G1613,"AAAAAD5LHxM=")</f>
        <v>#VALUE!</v>
      </c>
      <c r="U108" t="e">
        <f>AND('Planilla_General_29-11-2012_10_'!H1613,"AAAAAD5LHxQ=")</f>
        <v>#VALUE!</v>
      </c>
      <c r="V108" t="e">
        <f>AND('Planilla_General_29-11-2012_10_'!I1613,"AAAAAD5LHxU=")</f>
        <v>#VALUE!</v>
      </c>
      <c r="W108" t="e">
        <f>AND('Planilla_General_29-11-2012_10_'!J1613,"AAAAAD5LHxY=")</f>
        <v>#VALUE!</v>
      </c>
      <c r="X108" t="e">
        <f>AND('Planilla_General_29-11-2012_10_'!K1613,"AAAAAD5LHxc=")</f>
        <v>#VALUE!</v>
      </c>
      <c r="Y108" t="e">
        <f>AND('Planilla_General_29-11-2012_10_'!L1613,"AAAAAD5LHxg=")</f>
        <v>#VALUE!</v>
      </c>
      <c r="Z108" t="e">
        <f>AND('Planilla_General_29-11-2012_10_'!M1613,"AAAAAD5LHxk=")</f>
        <v>#VALUE!</v>
      </c>
      <c r="AA108" t="e">
        <f>AND('Planilla_General_29-11-2012_10_'!N1613,"AAAAAD5LHxo=")</f>
        <v>#VALUE!</v>
      </c>
      <c r="AB108" t="e">
        <f>AND('Planilla_General_29-11-2012_10_'!O1613,"AAAAAD5LHxs=")</f>
        <v>#VALUE!</v>
      </c>
      <c r="AC108" t="e">
        <f>AND('Planilla_General_29-11-2012_10_'!P1613,"AAAAAD5LHxw=")</f>
        <v>#VALUE!</v>
      </c>
      <c r="AD108">
        <f>IF('Planilla_General_29-11-2012_10_'!1614:1614,"AAAAAD5LHx0=",0)</f>
        <v>0</v>
      </c>
      <c r="AE108" t="e">
        <f>AND('Planilla_General_29-11-2012_10_'!A1614,"AAAAAD5LHx4=")</f>
        <v>#VALUE!</v>
      </c>
      <c r="AF108" t="e">
        <f>AND('Planilla_General_29-11-2012_10_'!B1614,"AAAAAD5LHx8=")</f>
        <v>#VALUE!</v>
      </c>
      <c r="AG108" t="e">
        <f>AND('Planilla_General_29-11-2012_10_'!C1614,"AAAAAD5LHyA=")</f>
        <v>#VALUE!</v>
      </c>
      <c r="AH108" t="e">
        <f>AND('Planilla_General_29-11-2012_10_'!D1614,"AAAAAD5LHyE=")</f>
        <v>#VALUE!</v>
      </c>
      <c r="AI108" t="e">
        <f>AND('Planilla_General_29-11-2012_10_'!E1614,"AAAAAD5LHyI=")</f>
        <v>#VALUE!</v>
      </c>
      <c r="AJ108" t="e">
        <f>AND('Planilla_General_29-11-2012_10_'!F1614,"AAAAAD5LHyM=")</f>
        <v>#VALUE!</v>
      </c>
      <c r="AK108" t="e">
        <f>AND('Planilla_General_29-11-2012_10_'!G1614,"AAAAAD5LHyQ=")</f>
        <v>#VALUE!</v>
      </c>
      <c r="AL108" t="e">
        <f>AND('Planilla_General_29-11-2012_10_'!H1614,"AAAAAD5LHyU=")</f>
        <v>#VALUE!</v>
      </c>
      <c r="AM108" t="e">
        <f>AND('Planilla_General_29-11-2012_10_'!I1614,"AAAAAD5LHyY=")</f>
        <v>#VALUE!</v>
      </c>
      <c r="AN108" t="e">
        <f>AND('Planilla_General_29-11-2012_10_'!J1614,"AAAAAD5LHyc=")</f>
        <v>#VALUE!</v>
      </c>
      <c r="AO108" t="e">
        <f>AND('Planilla_General_29-11-2012_10_'!K1614,"AAAAAD5LHyg=")</f>
        <v>#VALUE!</v>
      </c>
      <c r="AP108" t="e">
        <f>AND('Planilla_General_29-11-2012_10_'!L1614,"AAAAAD5LHyk=")</f>
        <v>#VALUE!</v>
      </c>
      <c r="AQ108" t="e">
        <f>AND('Planilla_General_29-11-2012_10_'!M1614,"AAAAAD5LHyo=")</f>
        <v>#VALUE!</v>
      </c>
      <c r="AR108" t="e">
        <f>AND('Planilla_General_29-11-2012_10_'!N1614,"AAAAAD5LHys=")</f>
        <v>#VALUE!</v>
      </c>
      <c r="AS108" t="e">
        <f>AND('Planilla_General_29-11-2012_10_'!O1614,"AAAAAD5LHyw=")</f>
        <v>#VALUE!</v>
      </c>
      <c r="AT108" t="e">
        <f>AND('Planilla_General_29-11-2012_10_'!P1614,"AAAAAD5LHy0=")</f>
        <v>#VALUE!</v>
      </c>
      <c r="AU108">
        <f>IF('Planilla_General_29-11-2012_10_'!1615:1615,"AAAAAD5LHy4=",0)</f>
        <v>0</v>
      </c>
      <c r="AV108" t="e">
        <f>AND('Planilla_General_29-11-2012_10_'!A1615,"AAAAAD5LHy8=")</f>
        <v>#VALUE!</v>
      </c>
      <c r="AW108" t="e">
        <f>AND('Planilla_General_29-11-2012_10_'!B1615,"AAAAAD5LHzA=")</f>
        <v>#VALUE!</v>
      </c>
      <c r="AX108" t="e">
        <f>AND('Planilla_General_29-11-2012_10_'!C1615,"AAAAAD5LHzE=")</f>
        <v>#VALUE!</v>
      </c>
      <c r="AY108" t="e">
        <f>AND('Planilla_General_29-11-2012_10_'!D1615,"AAAAAD5LHzI=")</f>
        <v>#VALUE!</v>
      </c>
      <c r="AZ108" t="e">
        <f>AND('Planilla_General_29-11-2012_10_'!E1615,"AAAAAD5LHzM=")</f>
        <v>#VALUE!</v>
      </c>
      <c r="BA108" t="e">
        <f>AND('Planilla_General_29-11-2012_10_'!F1615,"AAAAAD5LHzQ=")</f>
        <v>#VALUE!</v>
      </c>
      <c r="BB108" t="e">
        <f>AND('Planilla_General_29-11-2012_10_'!G1615,"AAAAAD5LHzU=")</f>
        <v>#VALUE!</v>
      </c>
      <c r="BC108" t="e">
        <f>AND('Planilla_General_29-11-2012_10_'!H1615,"AAAAAD5LHzY=")</f>
        <v>#VALUE!</v>
      </c>
      <c r="BD108" t="e">
        <f>AND('Planilla_General_29-11-2012_10_'!I1615,"AAAAAD5LHzc=")</f>
        <v>#VALUE!</v>
      </c>
      <c r="BE108" t="e">
        <f>AND('Planilla_General_29-11-2012_10_'!J1615,"AAAAAD5LHzg=")</f>
        <v>#VALUE!</v>
      </c>
      <c r="BF108" t="e">
        <f>AND('Planilla_General_29-11-2012_10_'!K1615,"AAAAAD5LHzk=")</f>
        <v>#VALUE!</v>
      </c>
      <c r="BG108" t="e">
        <f>AND('Planilla_General_29-11-2012_10_'!L1615,"AAAAAD5LHzo=")</f>
        <v>#VALUE!</v>
      </c>
      <c r="BH108" t="e">
        <f>AND('Planilla_General_29-11-2012_10_'!M1615,"AAAAAD5LHzs=")</f>
        <v>#VALUE!</v>
      </c>
      <c r="BI108" t="e">
        <f>AND('Planilla_General_29-11-2012_10_'!N1615,"AAAAAD5LHzw=")</f>
        <v>#VALUE!</v>
      </c>
      <c r="BJ108" t="e">
        <f>AND('Planilla_General_29-11-2012_10_'!O1615,"AAAAAD5LHz0=")</f>
        <v>#VALUE!</v>
      </c>
      <c r="BK108" t="e">
        <f>AND('Planilla_General_29-11-2012_10_'!P1615,"AAAAAD5LHz4=")</f>
        <v>#VALUE!</v>
      </c>
      <c r="BL108">
        <f>IF('Planilla_General_29-11-2012_10_'!1616:1616,"AAAAAD5LHz8=",0)</f>
        <v>0</v>
      </c>
      <c r="BM108" t="e">
        <f>AND('Planilla_General_29-11-2012_10_'!A1616,"AAAAAD5LH0A=")</f>
        <v>#VALUE!</v>
      </c>
      <c r="BN108" t="e">
        <f>AND('Planilla_General_29-11-2012_10_'!B1616,"AAAAAD5LH0E=")</f>
        <v>#VALUE!</v>
      </c>
      <c r="BO108" t="e">
        <f>AND('Planilla_General_29-11-2012_10_'!C1616,"AAAAAD5LH0I=")</f>
        <v>#VALUE!</v>
      </c>
      <c r="BP108" t="e">
        <f>AND('Planilla_General_29-11-2012_10_'!D1616,"AAAAAD5LH0M=")</f>
        <v>#VALUE!</v>
      </c>
      <c r="BQ108" t="e">
        <f>AND('Planilla_General_29-11-2012_10_'!E1616,"AAAAAD5LH0Q=")</f>
        <v>#VALUE!</v>
      </c>
      <c r="BR108" t="e">
        <f>AND('Planilla_General_29-11-2012_10_'!F1616,"AAAAAD5LH0U=")</f>
        <v>#VALUE!</v>
      </c>
      <c r="BS108" t="e">
        <f>AND('Planilla_General_29-11-2012_10_'!G1616,"AAAAAD5LH0Y=")</f>
        <v>#VALUE!</v>
      </c>
      <c r="BT108" t="e">
        <f>AND('Planilla_General_29-11-2012_10_'!H1616,"AAAAAD5LH0c=")</f>
        <v>#VALUE!</v>
      </c>
      <c r="BU108" t="e">
        <f>AND('Planilla_General_29-11-2012_10_'!I1616,"AAAAAD5LH0g=")</f>
        <v>#VALUE!</v>
      </c>
      <c r="BV108" t="e">
        <f>AND('Planilla_General_29-11-2012_10_'!J1616,"AAAAAD5LH0k=")</f>
        <v>#VALUE!</v>
      </c>
      <c r="BW108" t="e">
        <f>AND('Planilla_General_29-11-2012_10_'!K1616,"AAAAAD5LH0o=")</f>
        <v>#VALUE!</v>
      </c>
      <c r="BX108" t="e">
        <f>AND('Planilla_General_29-11-2012_10_'!L1616,"AAAAAD5LH0s=")</f>
        <v>#VALUE!</v>
      </c>
      <c r="BY108" t="e">
        <f>AND('Planilla_General_29-11-2012_10_'!M1616,"AAAAAD5LH0w=")</f>
        <v>#VALUE!</v>
      </c>
      <c r="BZ108" t="e">
        <f>AND('Planilla_General_29-11-2012_10_'!N1616,"AAAAAD5LH00=")</f>
        <v>#VALUE!</v>
      </c>
      <c r="CA108" t="e">
        <f>AND('Planilla_General_29-11-2012_10_'!O1616,"AAAAAD5LH04=")</f>
        <v>#VALUE!</v>
      </c>
      <c r="CB108" t="e">
        <f>AND('Planilla_General_29-11-2012_10_'!P1616,"AAAAAD5LH08=")</f>
        <v>#VALUE!</v>
      </c>
      <c r="CC108">
        <f>IF('Planilla_General_29-11-2012_10_'!1617:1617,"AAAAAD5LH1A=",0)</f>
        <v>0</v>
      </c>
      <c r="CD108" t="e">
        <f>AND('Planilla_General_29-11-2012_10_'!A1617,"AAAAAD5LH1E=")</f>
        <v>#VALUE!</v>
      </c>
      <c r="CE108" t="e">
        <f>AND('Planilla_General_29-11-2012_10_'!B1617,"AAAAAD5LH1I=")</f>
        <v>#VALUE!</v>
      </c>
      <c r="CF108" t="e">
        <f>AND('Planilla_General_29-11-2012_10_'!C1617,"AAAAAD5LH1M=")</f>
        <v>#VALUE!</v>
      </c>
      <c r="CG108" t="e">
        <f>AND('Planilla_General_29-11-2012_10_'!D1617,"AAAAAD5LH1Q=")</f>
        <v>#VALUE!</v>
      </c>
      <c r="CH108" t="e">
        <f>AND('Planilla_General_29-11-2012_10_'!E1617,"AAAAAD5LH1U=")</f>
        <v>#VALUE!</v>
      </c>
      <c r="CI108" t="e">
        <f>AND('Planilla_General_29-11-2012_10_'!F1617,"AAAAAD5LH1Y=")</f>
        <v>#VALUE!</v>
      </c>
      <c r="CJ108" t="e">
        <f>AND('Planilla_General_29-11-2012_10_'!G1617,"AAAAAD5LH1c=")</f>
        <v>#VALUE!</v>
      </c>
      <c r="CK108" t="e">
        <f>AND('Planilla_General_29-11-2012_10_'!H1617,"AAAAAD5LH1g=")</f>
        <v>#VALUE!</v>
      </c>
      <c r="CL108" t="e">
        <f>AND('Planilla_General_29-11-2012_10_'!I1617,"AAAAAD5LH1k=")</f>
        <v>#VALUE!</v>
      </c>
      <c r="CM108" t="e">
        <f>AND('Planilla_General_29-11-2012_10_'!J1617,"AAAAAD5LH1o=")</f>
        <v>#VALUE!</v>
      </c>
      <c r="CN108" t="e">
        <f>AND('Planilla_General_29-11-2012_10_'!K1617,"AAAAAD5LH1s=")</f>
        <v>#VALUE!</v>
      </c>
      <c r="CO108" t="e">
        <f>AND('Planilla_General_29-11-2012_10_'!L1617,"AAAAAD5LH1w=")</f>
        <v>#VALUE!</v>
      </c>
      <c r="CP108" t="e">
        <f>AND('Planilla_General_29-11-2012_10_'!M1617,"AAAAAD5LH10=")</f>
        <v>#VALUE!</v>
      </c>
      <c r="CQ108" t="e">
        <f>AND('Planilla_General_29-11-2012_10_'!N1617,"AAAAAD5LH14=")</f>
        <v>#VALUE!</v>
      </c>
      <c r="CR108" t="e">
        <f>AND('Planilla_General_29-11-2012_10_'!O1617,"AAAAAD5LH18=")</f>
        <v>#VALUE!</v>
      </c>
      <c r="CS108" t="e">
        <f>AND('Planilla_General_29-11-2012_10_'!P1617,"AAAAAD5LH2A=")</f>
        <v>#VALUE!</v>
      </c>
      <c r="CT108">
        <f>IF('Planilla_General_29-11-2012_10_'!1618:1618,"AAAAAD5LH2E=",0)</f>
        <v>0</v>
      </c>
      <c r="CU108" t="e">
        <f>AND('Planilla_General_29-11-2012_10_'!A1618,"AAAAAD5LH2I=")</f>
        <v>#VALUE!</v>
      </c>
      <c r="CV108" t="e">
        <f>AND('Planilla_General_29-11-2012_10_'!B1618,"AAAAAD5LH2M=")</f>
        <v>#VALUE!</v>
      </c>
      <c r="CW108" t="e">
        <f>AND('Planilla_General_29-11-2012_10_'!C1618,"AAAAAD5LH2Q=")</f>
        <v>#VALUE!</v>
      </c>
      <c r="CX108" t="e">
        <f>AND('Planilla_General_29-11-2012_10_'!D1618,"AAAAAD5LH2U=")</f>
        <v>#VALUE!</v>
      </c>
      <c r="CY108" t="e">
        <f>AND('Planilla_General_29-11-2012_10_'!E1618,"AAAAAD5LH2Y=")</f>
        <v>#VALUE!</v>
      </c>
      <c r="CZ108" t="e">
        <f>AND('Planilla_General_29-11-2012_10_'!F1618,"AAAAAD5LH2c=")</f>
        <v>#VALUE!</v>
      </c>
      <c r="DA108" t="e">
        <f>AND('Planilla_General_29-11-2012_10_'!G1618,"AAAAAD5LH2g=")</f>
        <v>#VALUE!</v>
      </c>
      <c r="DB108" t="e">
        <f>AND('Planilla_General_29-11-2012_10_'!H1618,"AAAAAD5LH2k=")</f>
        <v>#VALUE!</v>
      </c>
      <c r="DC108" t="e">
        <f>AND('Planilla_General_29-11-2012_10_'!I1618,"AAAAAD5LH2o=")</f>
        <v>#VALUE!</v>
      </c>
      <c r="DD108" t="e">
        <f>AND('Planilla_General_29-11-2012_10_'!J1618,"AAAAAD5LH2s=")</f>
        <v>#VALUE!</v>
      </c>
      <c r="DE108" t="e">
        <f>AND('Planilla_General_29-11-2012_10_'!K1618,"AAAAAD5LH2w=")</f>
        <v>#VALUE!</v>
      </c>
      <c r="DF108" t="e">
        <f>AND('Planilla_General_29-11-2012_10_'!L1618,"AAAAAD5LH20=")</f>
        <v>#VALUE!</v>
      </c>
      <c r="DG108" t="e">
        <f>AND('Planilla_General_29-11-2012_10_'!M1618,"AAAAAD5LH24=")</f>
        <v>#VALUE!</v>
      </c>
      <c r="DH108" t="e">
        <f>AND('Planilla_General_29-11-2012_10_'!N1618,"AAAAAD5LH28=")</f>
        <v>#VALUE!</v>
      </c>
      <c r="DI108" t="e">
        <f>AND('Planilla_General_29-11-2012_10_'!O1618,"AAAAAD5LH3A=")</f>
        <v>#VALUE!</v>
      </c>
      <c r="DJ108" t="e">
        <f>AND('Planilla_General_29-11-2012_10_'!P1618,"AAAAAD5LH3E=")</f>
        <v>#VALUE!</v>
      </c>
      <c r="DK108">
        <f>IF('Planilla_General_29-11-2012_10_'!1619:1619,"AAAAAD5LH3I=",0)</f>
        <v>0</v>
      </c>
      <c r="DL108" t="e">
        <f>AND('Planilla_General_29-11-2012_10_'!A1619,"AAAAAD5LH3M=")</f>
        <v>#VALUE!</v>
      </c>
      <c r="DM108" t="e">
        <f>AND('Planilla_General_29-11-2012_10_'!B1619,"AAAAAD5LH3Q=")</f>
        <v>#VALUE!</v>
      </c>
      <c r="DN108" t="e">
        <f>AND('Planilla_General_29-11-2012_10_'!C1619,"AAAAAD5LH3U=")</f>
        <v>#VALUE!</v>
      </c>
      <c r="DO108" t="e">
        <f>AND('Planilla_General_29-11-2012_10_'!D1619,"AAAAAD5LH3Y=")</f>
        <v>#VALUE!</v>
      </c>
      <c r="DP108" t="e">
        <f>AND('Planilla_General_29-11-2012_10_'!E1619,"AAAAAD5LH3c=")</f>
        <v>#VALUE!</v>
      </c>
      <c r="DQ108" t="e">
        <f>AND('Planilla_General_29-11-2012_10_'!F1619,"AAAAAD5LH3g=")</f>
        <v>#VALUE!</v>
      </c>
      <c r="DR108" t="e">
        <f>AND('Planilla_General_29-11-2012_10_'!G1619,"AAAAAD5LH3k=")</f>
        <v>#VALUE!</v>
      </c>
      <c r="DS108" t="e">
        <f>AND('Planilla_General_29-11-2012_10_'!H1619,"AAAAAD5LH3o=")</f>
        <v>#VALUE!</v>
      </c>
      <c r="DT108" t="e">
        <f>AND('Planilla_General_29-11-2012_10_'!I1619,"AAAAAD5LH3s=")</f>
        <v>#VALUE!</v>
      </c>
      <c r="DU108" t="e">
        <f>AND('Planilla_General_29-11-2012_10_'!J1619,"AAAAAD5LH3w=")</f>
        <v>#VALUE!</v>
      </c>
      <c r="DV108" t="e">
        <f>AND('Planilla_General_29-11-2012_10_'!K1619,"AAAAAD5LH30=")</f>
        <v>#VALUE!</v>
      </c>
      <c r="DW108" t="e">
        <f>AND('Planilla_General_29-11-2012_10_'!L1619,"AAAAAD5LH34=")</f>
        <v>#VALUE!</v>
      </c>
      <c r="DX108" t="e">
        <f>AND('Planilla_General_29-11-2012_10_'!M1619,"AAAAAD5LH38=")</f>
        <v>#VALUE!</v>
      </c>
      <c r="DY108" t="e">
        <f>AND('Planilla_General_29-11-2012_10_'!N1619,"AAAAAD5LH4A=")</f>
        <v>#VALUE!</v>
      </c>
      <c r="DZ108" t="e">
        <f>AND('Planilla_General_29-11-2012_10_'!O1619,"AAAAAD5LH4E=")</f>
        <v>#VALUE!</v>
      </c>
      <c r="EA108" t="e">
        <f>AND('Planilla_General_29-11-2012_10_'!P1619,"AAAAAD5LH4I=")</f>
        <v>#VALUE!</v>
      </c>
      <c r="EB108">
        <f>IF('Planilla_General_29-11-2012_10_'!1620:1620,"AAAAAD5LH4M=",0)</f>
        <v>0</v>
      </c>
      <c r="EC108" t="e">
        <f>AND('Planilla_General_29-11-2012_10_'!A1620,"AAAAAD5LH4Q=")</f>
        <v>#VALUE!</v>
      </c>
      <c r="ED108" t="e">
        <f>AND('Planilla_General_29-11-2012_10_'!B1620,"AAAAAD5LH4U=")</f>
        <v>#VALUE!</v>
      </c>
      <c r="EE108" t="e">
        <f>AND('Planilla_General_29-11-2012_10_'!C1620,"AAAAAD5LH4Y=")</f>
        <v>#VALUE!</v>
      </c>
      <c r="EF108" t="e">
        <f>AND('Planilla_General_29-11-2012_10_'!D1620,"AAAAAD5LH4c=")</f>
        <v>#VALUE!</v>
      </c>
      <c r="EG108" t="e">
        <f>AND('Planilla_General_29-11-2012_10_'!E1620,"AAAAAD5LH4g=")</f>
        <v>#VALUE!</v>
      </c>
      <c r="EH108" t="e">
        <f>AND('Planilla_General_29-11-2012_10_'!F1620,"AAAAAD5LH4k=")</f>
        <v>#VALUE!</v>
      </c>
      <c r="EI108" t="e">
        <f>AND('Planilla_General_29-11-2012_10_'!G1620,"AAAAAD5LH4o=")</f>
        <v>#VALUE!</v>
      </c>
      <c r="EJ108" t="e">
        <f>AND('Planilla_General_29-11-2012_10_'!H1620,"AAAAAD5LH4s=")</f>
        <v>#VALUE!</v>
      </c>
      <c r="EK108" t="e">
        <f>AND('Planilla_General_29-11-2012_10_'!I1620,"AAAAAD5LH4w=")</f>
        <v>#VALUE!</v>
      </c>
      <c r="EL108" t="e">
        <f>AND('Planilla_General_29-11-2012_10_'!J1620,"AAAAAD5LH40=")</f>
        <v>#VALUE!</v>
      </c>
      <c r="EM108" t="e">
        <f>AND('Planilla_General_29-11-2012_10_'!K1620,"AAAAAD5LH44=")</f>
        <v>#VALUE!</v>
      </c>
      <c r="EN108" t="e">
        <f>AND('Planilla_General_29-11-2012_10_'!L1620,"AAAAAD5LH48=")</f>
        <v>#VALUE!</v>
      </c>
      <c r="EO108" t="e">
        <f>AND('Planilla_General_29-11-2012_10_'!M1620,"AAAAAD5LH5A=")</f>
        <v>#VALUE!</v>
      </c>
      <c r="EP108" t="e">
        <f>AND('Planilla_General_29-11-2012_10_'!N1620,"AAAAAD5LH5E=")</f>
        <v>#VALUE!</v>
      </c>
      <c r="EQ108" t="e">
        <f>AND('Planilla_General_29-11-2012_10_'!O1620,"AAAAAD5LH5I=")</f>
        <v>#VALUE!</v>
      </c>
      <c r="ER108" t="e">
        <f>AND('Planilla_General_29-11-2012_10_'!P1620,"AAAAAD5LH5M=")</f>
        <v>#VALUE!</v>
      </c>
      <c r="ES108">
        <f>IF('Planilla_General_29-11-2012_10_'!1621:1621,"AAAAAD5LH5Q=",0)</f>
        <v>0</v>
      </c>
      <c r="ET108" t="e">
        <f>AND('Planilla_General_29-11-2012_10_'!A1621,"AAAAAD5LH5U=")</f>
        <v>#VALUE!</v>
      </c>
      <c r="EU108" t="e">
        <f>AND('Planilla_General_29-11-2012_10_'!B1621,"AAAAAD5LH5Y=")</f>
        <v>#VALUE!</v>
      </c>
      <c r="EV108" t="e">
        <f>AND('Planilla_General_29-11-2012_10_'!C1621,"AAAAAD5LH5c=")</f>
        <v>#VALUE!</v>
      </c>
      <c r="EW108" t="e">
        <f>AND('Planilla_General_29-11-2012_10_'!D1621,"AAAAAD5LH5g=")</f>
        <v>#VALUE!</v>
      </c>
      <c r="EX108" t="e">
        <f>AND('Planilla_General_29-11-2012_10_'!E1621,"AAAAAD5LH5k=")</f>
        <v>#VALUE!</v>
      </c>
      <c r="EY108" t="e">
        <f>AND('Planilla_General_29-11-2012_10_'!F1621,"AAAAAD5LH5o=")</f>
        <v>#VALUE!</v>
      </c>
      <c r="EZ108" t="e">
        <f>AND('Planilla_General_29-11-2012_10_'!G1621,"AAAAAD5LH5s=")</f>
        <v>#VALUE!</v>
      </c>
      <c r="FA108" t="e">
        <f>AND('Planilla_General_29-11-2012_10_'!H1621,"AAAAAD5LH5w=")</f>
        <v>#VALUE!</v>
      </c>
      <c r="FB108" t="e">
        <f>AND('Planilla_General_29-11-2012_10_'!I1621,"AAAAAD5LH50=")</f>
        <v>#VALUE!</v>
      </c>
      <c r="FC108" t="e">
        <f>AND('Planilla_General_29-11-2012_10_'!J1621,"AAAAAD5LH54=")</f>
        <v>#VALUE!</v>
      </c>
      <c r="FD108" t="e">
        <f>AND('Planilla_General_29-11-2012_10_'!K1621,"AAAAAD5LH58=")</f>
        <v>#VALUE!</v>
      </c>
      <c r="FE108" t="e">
        <f>AND('Planilla_General_29-11-2012_10_'!L1621,"AAAAAD5LH6A=")</f>
        <v>#VALUE!</v>
      </c>
      <c r="FF108" t="e">
        <f>AND('Planilla_General_29-11-2012_10_'!M1621,"AAAAAD5LH6E=")</f>
        <v>#VALUE!</v>
      </c>
      <c r="FG108" t="e">
        <f>AND('Planilla_General_29-11-2012_10_'!N1621,"AAAAAD5LH6I=")</f>
        <v>#VALUE!</v>
      </c>
      <c r="FH108" t="e">
        <f>AND('Planilla_General_29-11-2012_10_'!O1621,"AAAAAD5LH6M=")</f>
        <v>#VALUE!</v>
      </c>
      <c r="FI108" t="e">
        <f>AND('Planilla_General_29-11-2012_10_'!P1621,"AAAAAD5LH6Q=")</f>
        <v>#VALUE!</v>
      </c>
      <c r="FJ108">
        <f>IF('Planilla_General_29-11-2012_10_'!1622:1622,"AAAAAD5LH6U=",0)</f>
        <v>0</v>
      </c>
      <c r="FK108" t="e">
        <f>AND('Planilla_General_29-11-2012_10_'!A1622,"AAAAAD5LH6Y=")</f>
        <v>#VALUE!</v>
      </c>
      <c r="FL108" t="e">
        <f>AND('Planilla_General_29-11-2012_10_'!B1622,"AAAAAD5LH6c=")</f>
        <v>#VALUE!</v>
      </c>
      <c r="FM108" t="e">
        <f>AND('Planilla_General_29-11-2012_10_'!C1622,"AAAAAD5LH6g=")</f>
        <v>#VALUE!</v>
      </c>
      <c r="FN108" t="e">
        <f>AND('Planilla_General_29-11-2012_10_'!D1622,"AAAAAD5LH6k=")</f>
        <v>#VALUE!</v>
      </c>
      <c r="FO108" t="e">
        <f>AND('Planilla_General_29-11-2012_10_'!E1622,"AAAAAD5LH6o=")</f>
        <v>#VALUE!</v>
      </c>
      <c r="FP108" t="e">
        <f>AND('Planilla_General_29-11-2012_10_'!F1622,"AAAAAD5LH6s=")</f>
        <v>#VALUE!</v>
      </c>
      <c r="FQ108" t="e">
        <f>AND('Planilla_General_29-11-2012_10_'!G1622,"AAAAAD5LH6w=")</f>
        <v>#VALUE!</v>
      </c>
      <c r="FR108" t="e">
        <f>AND('Planilla_General_29-11-2012_10_'!H1622,"AAAAAD5LH60=")</f>
        <v>#VALUE!</v>
      </c>
      <c r="FS108" t="e">
        <f>AND('Planilla_General_29-11-2012_10_'!I1622,"AAAAAD5LH64=")</f>
        <v>#VALUE!</v>
      </c>
      <c r="FT108" t="e">
        <f>AND('Planilla_General_29-11-2012_10_'!J1622,"AAAAAD5LH68=")</f>
        <v>#VALUE!</v>
      </c>
      <c r="FU108" t="e">
        <f>AND('Planilla_General_29-11-2012_10_'!K1622,"AAAAAD5LH7A=")</f>
        <v>#VALUE!</v>
      </c>
      <c r="FV108" t="e">
        <f>AND('Planilla_General_29-11-2012_10_'!L1622,"AAAAAD5LH7E=")</f>
        <v>#VALUE!</v>
      </c>
      <c r="FW108" t="e">
        <f>AND('Planilla_General_29-11-2012_10_'!M1622,"AAAAAD5LH7I=")</f>
        <v>#VALUE!</v>
      </c>
      <c r="FX108" t="e">
        <f>AND('Planilla_General_29-11-2012_10_'!N1622,"AAAAAD5LH7M=")</f>
        <v>#VALUE!</v>
      </c>
      <c r="FY108" t="e">
        <f>AND('Planilla_General_29-11-2012_10_'!O1622,"AAAAAD5LH7Q=")</f>
        <v>#VALUE!</v>
      </c>
      <c r="FZ108" t="e">
        <f>AND('Planilla_General_29-11-2012_10_'!P1622,"AAAAAD5LH7U=")</f>
        <v>#VALUE!</v>
      </c>
      <c r="GA108">
        <f>IF('Planilla_General_29-11-2012_10_'!1623:1623,"AAAAAD5LH7Y=",0)</f>
        <v>0</v>
      </c>
      <c r="GB108" t="e">
        <f>AND('Planilla_General_29-11-2012_10_'!A1623,"AAAAAD5LH7c=")</f>
        <v>#VALUE!</v>
      </c>
      <c r="GC108" t="e">
        <f>AND('Planilla_General_29-11-2012_10_'!B1623,"AAAAAD5LH7g=")</f>
        <v>#VALUE!</v>
      </c>
      <c r="GD108" t="e">
        <f>AND('Planilla_General_29-11-2012_10_'!C1623,"AAAAAD5LH7k=")</f>
        <v>#VALUE!</v>
      </c>
      <c r="GE108" t="e">
        <f>AND('Planilla_General_29-11-2012_10_'!D1623,"AAAAAD5LH7o=")</f>
        <v>#VALUE!</v>
      </c>
      <c r="GF108" t="e">
        <f>AND('Planilla_General_29-11-2012_10_'!E1623,"AAAAAD5LH7s=")</f>
        <v>#VALUE!</v>
      </c>
      <c r="GG108" t="e">
        <f>AND('Planilla_General_29-11-2012_10_'!F1623,"AAAAAD5LH7w=")</f>
        <v>#VALUE!</v>
      </c>
      <c r="GH108" t="e">
        <f>AND('Planilla_General_29-11-2012_10_'!G1623,"AAAAAD5LH70=")</f>
        <v>#VALUE!</v>
      </c>
      <c r="GI108" t="e">
        <f>AND('Planilla_General_29-11-2012_10_'!H1623,"AAAAAD5LH74=")</f>
        <v>#VALUE!</v>
      </c>
      <c r="GJ108" t="e">
        <f>AND('Planilla_General_29-11-2012_10_'!I1623,"AAAAAD5LH78=")</f>
        <v>#VALUE!</v>
      </c>
      <c r="GK108" t="e">
        <f>AND('Planilla_General_29-11-2012_10_'!J1623,"AAAAAD5LH8A=")</f>
        <v>#VALUE!</v>
      </c>
      <c r="GL108" t="e">
        <f>AND('Planilla_General_29-11-2012_10_'!K1623,"AAAAAD5LH8E=")</f>
        <v>#VALUE!</v>
      </c>
      <c r="GM108" t="e">
        <f>AND('Planilla_General_29-11-2012_10_'!L1623,"AAAAAD5LH8I=")</f>
        <v>#VALUE!</v>
      </c>
      <c r="GN108" t="e">
        <f>AND('Planilla_General_29-11-2012_10_'!M1623,"AAAAAD5LH8M=")</f>
        <v>#VALUE!</v>
      </c>
      <c r="GO108" t="e">
        <f>AND('Planilla_General_29-11-2012_10_'!N1623,"AAAAAD5LH8Q=")</f>
        <v>#VALUE!</v>
      </c>
      <c r="GP108" t="e">
        <f>AND('Planilla_General_29-11-2012_10_'!O1623,"AAAAAD5LH8U=")</f>
        <v>#VALUE!</v>
      </c>
      <c r="GQ108" t="e">
        <f>AND('Planilla_General_29-11-2012_10_'!P1623,"AAAAAD5LH8Y=")</f>
        <v>#VALUE!</v>
      </c>
      <c r="GR108">
        <f>IF('Planilla_General_29-11-2012_10_'!1624:1624,"AAAAAD5LH8c=",0)</f>
        <v>0</v>
      </c>
      <c r="GS108" t="e">
        <f>AND('Planilla_General_29-11-2012_10_'!A1624,"AAAAAD5LH8g=")</f>
        <v>#VALUE!</v>
      </c>
      <c r="GT108" t="e">
        <f>AND('Planilla_General_29-11-2012_10_'!B1624,"AAAAAD5LH8k=")</f>
        <v>#VALUE!</v>
      </c>
      <c r="GU108" t="e">
        <f>AND('Planilla_General_29-11-2012_10_'!C1624,"AAAAAD5LH8o=")</f>
        <v>#VALUE!</v>
      </c>
      <c r="GV108" t="e">
        <f>AND('Planilla_General_29-11-2012_10_'!D1624,"AAAAAD5LH8s=")</f>
        <v>#VALUE!</v>
      </c>
      <c r="GW108" t="e">
        <f>AND('Planilla_General_29-11-2012_10_'!E1624,"AAAAAD5LH8w=")</f>
        <v>#VALUE!</v>
      </c>
      <c r="GX108" t="e">
        <f>AND('Planilla_General_29-11-2012_10_'!F1624,"AAAAAD5LH80=")</f>
        <v>#VALUE!</v>
      </c>
      <c r="GY108" t="e">
        <f>AND('Planilla_General_29-11-2012_10_'!G1624,"AAAAAD5LH84=")</f>
        <v>#VALUE!</v>
      </c>
      <c r="GZ108" t="e">
        <f>AND('Planilla_General_29-11-2012_10_'!H1624,"AAAAAD5LH88=")</f>
        <v>#VALUE!</v>
      </c>
      <c r="HA108" t="e">
        <f>AND('Planilla_General_29-11-2012_10_'!I1624,"AAAAAD5LH9A=")</f>
        <v>#VALUE!</v>
      </c>
      <c r="HB108" t="e">
        <f>AND('Planilla_General_29-11-2012_10_'!J1624,"AAAAAD5LH9E=")</f>
        <v>#VALUE!</v>
      </c>
      <c r="HC108" t="e">
        <f>AND('Planilla_General_29-11-2012_10_'!K1624,"AAAAAD5LH9I=")</f>
        <v>#VALUE!</v>
      </c>
      <c r="HD108" t="e">
        <f>AND('Planilla_General_29-11-2012_10_'!L1624,"AAAAAD5LH9M=")</f>
        <v>#VALUE!</v>
      </c>
      <c r="HE108" t="e">
        <f>AND('Planilla_General_29-11-2012_10_'!M1624,"AAAAAD5LH9Q=")</f>
        <v>#VALUE!</v>
      </c>
      <c r="HF108" t="e">
        <f>AND('Planilla_General_29-11-2012_10_'!N1624,"AAAAAD5LH9U=")</f>
        <v>#VALUE!</v>
      </c>
      <c r="HG108" t="e">
        <f>AND('Planilla_General_29-11-2012_10_'!O1624,"AAAAAD5LH9Y=")</f>
        <v>#VALUE!</v>
      </c>
      <c r="HH108" t="e">
        <f>AND('Planilla_General_29-11-2012_10_'!P1624,"AAAAAD5LH9c=")</f>
        <v>#VALUE!</v>
      </c>
      <c r="HI108">
        <f>IF('Planilla_General_29-11-2012_10_'!1625:1625,"AAAAAD5LH9g=",0)</f>
        <v>0</v>
      </c>
      <c r="HJ108" t="e">
        <f>AND('Planilla_General_29-11-2012_10_'!A1625,"AAAAAD5LH9k=")</f>
        <v>#VALUE!</v>
      </c>
      <c r="HK108" t="e">
        <f>AND('Planilla_General_29-11-2012_10_'!B1625,"AAAAAD5LH9o=")</f>
        <v>#VALUE!</v>
      </c>
      <c r="HL108" t="e">
        <f>AND('Planilla_General_29-11-2012_10_'!C1625,"AAAAAD5LH9s=")</f>
        <v>#VALUE!</v>
      </c>
      <c r="HM108" t="e">
        <f>AND('Planilla_General_29-11-2012_10_'!D1625,"AAAAAD5LH9w=")</f>
        <v>#VALUE!</v>
      </c>
      <c r="HN108" t="e">
        <f>AND('Planilla_General_29-11-2012_10_'!E1625,"AAAAAD5LH90=")</f>
        <v>#VALUE!</v>
      </c>
      <c r="HO108" t="e">
        <f>AND('Planilla_General_29-11-2012_10_'!F1625,"AAAAAD5LH94=")</f>
        <v>#VALUE!</v>
      </c>
      <c r="HP108" t="e">
        <f>AND('Planilla_General_29-11-2012_10_'!G1625,"AAAAAD5LH98=")</f>
        <v>#VALUE!</v>
      </c>
      <c r="HQ108" t="e">
        <f>AND('Planilla_General_29-11-2012_10_'!H1625,"AAAAAD5LH+A=")</f>
        <v>#VALUE!</v>
      </c>
      <c r="HR108" t="e">
        <f>AND('Planilla_General_29-11-2012_10_'!I1625,"AAAAAD5LH+E=")</f>
        <v>#VALUE!</v>
      </c>
      <c r="HS108" t="e">
        <f>AND('Planilla_General_29-11-2012_10_'!J1625,"AAAAAD5LH+I=")</f>
        <v>#VALUE!</v>
      </c>
      <c r="HT108" t="e">
        <f>AND('Planilla_General_29-11-2012_10_'!K1625,"AAAAAD5LH+M=")</f>
        <v>#VALUE!</v>
      </c>
      <c r="HU108" t="e">
        <f>AND('Planilla_General_29-11-2012_10_'!L1625,"AAAAAD5LH+Q=")</f>
        <v>#VALUE!</v>
      </c>
      <c r="HV108" t="e">
        <f>AND('Planilla_General_29-11-2012_10_'!M1625,"AAAAAD5LH+U=")</f>
        <v>#VALUE!</v>
      </c>
      <c r="HW108" t="e">
        <f>AND('Planilla_General_29-11-2012_10_'!N1625,"AAAAAD5LH+Y=")</f>
        <v>#VALUE!</v>
      </c>
      <c r="HX108" t="e">
        <f>AND('Planilla_General_29-11-2012_10_'!O1625,"AAAAAD5LH+c=")</f>
        <v>#VALUE!</v>
      </c>
      <c r="HY108" t="e">
        <f>AND('Planilla_General_29-11-2012_10_'!P1625,"AAAAAD5LH+g=")</f>
        <v>#VALUE!</v>
      </c>
      <c r="HZ108">
        <f>IF('Planilla_General_29-11-2012_10_'!1626:1626,"AAAAAD5LH+k=",0)</f>
        <v>0</v>
      </c>
      <c r="IA108" t="e">
        <f>AND('Planilla_General_29-11-2012_10_'!A1626,"AAAAAD5LH+o=")</f>
        <v>#VALUE!</v>
      </c>
      <c r="IB108" t="e">
        <f>AND('Planilla_General_29-11-2012_10_'!B1626,"AAAAAD5LH+s=")</f>
        <v>#VALUE!</v>
      </c>
      <c r="IC108" t="e">
        <f>AND('Planilla_General_29-11-2012_10_'!C1626,"AAAAAD5LH+w=")</f>
        <v>#VALUE!</v>
      </c>
      <c r="ID108" t="e">
        <f>AND('Planilla_General_29-11-2012_10_'!D1626,"AAAAAD5LH+0=")</f>
        <v>#VALUE!</v>
      </c>
      <c r="IE108" t="e">
        <f>AND('Planilla_General_29-11-2012_10_'!E1626,"AAAAAD5LH+4=")</f>
        <v>#VALUE!</v>
      </c>
      <c r="IF108" t="e">
        <f>AND('Planilla_General_29-11-2012_10_'!F1626,"AAAAAD5LH+8=")</f>
        <v>#VALUE!</v>
      </c>
      <c r="IG108" t="e">
        <f>AND('Planilla_General_29-11-2012_10_'!G1626,"AAAAAD5LH/A=")</f>
        <v>#VALUE!</v>
      </c>
      <c r="IH108" t="e">
        <f>AND('Planilla_General_29-11-2012_10_'!H1626,"AAAAAD5LH/E=")</f>
        <v>#VALUE!</v>
      </c>
      <c r="II108" t="e">
        <f>AND('Planilla_General_29-11-2012_10_'!I1626,"AAAAAD5LH/I=")</f>
        <v>#VALUE!</v>
      </c>
      <c r="IJ108" t="e">
        <f>AND('Planilla_General_29-11-2012_10_'!J1626,"AAAAAD5LH/M=")</f>
        <v>#VALUE!</v>
      </c>
      <c r="IK108" t="e">
        <f>AND('Planilla_General_29-11-2012_10_'!K1626,"AAAAAD5LH/Q=")</f>
        <v>#VALUE!</v>
      </c>
      <c r="IL108" t="e">
        <f>AND('Planilla_General_29-11-2012_10_'!L1626,"AAAAAD5LH/U=")</f>
        <v>#VALUE!</v>
      </c>
      <c r="IM108" t="e">
        <f>AND('Planilla_General_29-11-2012_10_'!M1626,"AAAAAD5LH/Y=")</f>
        <v>#VALUE!</v>
      </c>
      <c r="IN108" t="e">
        <f>AND('Planilla_General_29-11-2012_10_'!N1626,"AAAAAD5LH/c=")</f>
        <v>#VALUE!</v>
      </c>
      <c r="IO108" t="e">
        <f>AND('Planilla_General_29-11-2012_10_'!O1626,"AAAAAD5LH/g=")</f>
        <v>#VALUE!</v>
      </c>
      <c r="IP108" t="e">
        <f>AND('Planilla_General_29-11-2012_10_'!P1626,"AAAAAD5LH/k=")</f>
        <v>#VALUE!</v>
      </c>
      <c r="IQ108">
        <f>IF('Planilla_General_29-11-2012_10_'!1627:1627,"AAAAAD5LH/o=",0)</f>
        <v>0</v>
      </c>
      <c r="IR108" t="e">
        <f>AND('Planilla_General_29-11-2012_10_'!A1627,"AAAAAD5LH/s=")</f>
        <v>#VALUE!</v>
      </c>
      <c r="IS108" t="e">
        <f>AND('Planilla_General_29-11-2012_10_'!B1627,"AAAAAD5LH/w=")</f>
        <v>#VALUE!</v>
      </c>
      <c r="IT108" t="e">
        <f>AND('Planilla_General_29-11-2012_10_'!C1627,"AAAAAD5LH/0=")</f>
        <v>#VALUE!</v>
      </c>
      <c r="IU108" t="e">
        <f>AND('Planilla_General_29-11-2012_10_'!D1627,"AAAAAD5LH/4=")</f>
        <v>#VALUE!</v>
      </c>
      <c r="IV108" t="e">
        <f>AND('Planilla_General_29-11-2012_10_'!E1627,"AAAAAD5LH/8=")</f>
        <v>#VALUE!</v>
      </c>
    </row>
    <row r="109" spans="1:256" x14ac:dyDescent="0.25">
      <c r="A109" t="e">
        <f>AND('Planilla_General_29-11-2012_10_'!F1627,"AAAAAA+++QA=")</f>
        <v>#VALUE!</v>
      </c>
      <c r="B109" t="e">
        <f>AND('Planilla_General_29-11-2012_10_'!G1627,"AAAAAA+++QE=")</f>
        <v>#VALUE!</v>
      </c>
      <c r="C109" t="e">
        <f>AND('Planilla_General_29-11-2012_10_'!H1627,"AAAAAA+++QI=")</f>
        <v>#VALUE!</v>
      </c>
      <c r="D109" t="e">
        <f>AND('Planilla_General_29-11-2012_10_'!I1627,"AAAAAA+++QM=")</f>
        <v>#VALUE!</v>
      </c>
      <c r="E109" t="e">
        <f>AND('Planilla_General_29-11-2012_10_'!J1627,"AAAAAA+++QQ=")</f>
        <v>#VALUE!</v>
      </c>
      <c r="F109" t="e">
        <f>AND('Planilla_General_29-11-2012_10_'!K1627,"AAAAAA+++QU=")</f>
        <v>#VALUE!</v>
      </c>
      <c r="G109" t="e">
        <f>AND('Planilla_General_29-11-2012_10_'!L1627,"AAAAAA+++QY=")</f>
        <v>#VALUE!</v>
      </c>
      <c r="H109" t="e">
        <f>AND('Planilla_General_29-11-2012_10_'!M1627,"AAAAAA+++Qc=")</f>
        <v>#VALUE!</v>
      </c>
      <c r="I109" t="e">
        <f>AND('Planilla_General_29-11-2012_10_'!N1627,"AAAAAA+++Qg=")</f>
        <v>#VALUE!</v>
      </c>
      <c r="J109" t="e">
        <f>AND('Planilla_General_29-11-2012_10_'!O1627,"AAAAAA+++Qk=")</f>
        <v>#VALUE!</v>
      </c>
      <c r="K109" t="e">
        <f>AND('Planilla_General_29-11-2012_10_'!P1627,"AAAAAA+++Qo=")</f>
        <v>#VALUE!</v>
      </c>
      <c r="L109" t="str">
        <f>IF('Planilla_General_29-11-2012_10_'!1628:1628,"AAAAAA+++Qs=",0)</f>
        <v>AAAAAA+++Qs=</v>
      </c>
      <c r="M109" t="e">
        <f>AND('Planilla_General_29-11-2012_10_'!A1628,"AAAAAA+++Qw=")</f>
        <v>#VALUE!</v>
      </c>
      <c r="N109" t="e">
        <f>AND('Planilla_General_29-11-2012_10_'!B1628,"AAAAAA+++Q0=")</f>
        <v>#VALUE!</v>
      </c>
      <c r="O109" t="e">
        <f>AND('Planilla_General_29-11-2012_10_'!C1628,"AAAAAA+++Q4=")</f>
        <v>#VALUE!</v>
      </c>
      <c r="P109" t="e">
        <f>AND('Planilla_General_29-11-2012_10_'!D1628,"AAAAAA+++Q8=")</f>
        <v>#VALUE!</v>
      </c>
      <c r="Q109" t="e">
        <f>AND('Planilla_General_29-11-2012_10_'!E1628,"AAAAAA+++RA=")</f>
        <v>#VALUE!</v>
      </c>
      <c r="R109" t="e">
        <f>AND('Planilla_General_29-11-2012_10_'!F1628,"AAAAAA+++RE=")</f>
        <v>#VALUE!</v>
      </c>
      <c r="S109" t="e">
        <f>AND('Planilla_General_29-11-2012_10_'!G1628,"AAAAAA+++RI=")</f>
        <v>#VALUE!</v>
      </c>
      <c r="T109" t="e">
        <f>AND('Planilla_General_29-11-2012_10_'!H1628,"AAAAAA+++RM=")</f>
        <v>#VALUE!</v>
      </c>
      <c r="U109" t="e">
        <f>AND('Planilla_General_29-11-2012_10_'!I1628,"AAAAAA+++RQ=")</f>
        <v>#VALUE!</v>
      </c>
      <c r="V109" t="e">
        <f>AND('Planilla_General_29-11-2012_10_'!J1628,"AAAAAA+++RU=")</f>
        <v>#VALUE!</v>
      </c>
      <c r="W109" t="e">
        <f>AND('Planilla_General_29-11-2012_10_'!K1628,"AAAAAA+++RY=")</f>
        <v>#VALUE!</v>
      </c>
      <c r="X109" t="e">
        <f>AND('Planilla_General_29-11-2012_10_'!L1628,"AAAAAA+++Rc=")</f>
        <v>#VALUE!</v>
      </c>
      <c r="Y109" t="e">
        <f>AND('Planilla_General_29-11-2012_10_'!M1628,"AAAAAA+++Rg=")</f>
        <v>#VALUE!</v>
      </c>
      <c r="Z109" t="e">
        <f>AND('Planilla_General_29-11-2012_10_'!N1628,"AAAAAA+++Rk=")</f>
        <v>#VALUE!</v>
      </c>
      <c r="AA109" t="e">
        <f>AND('Planilla_General_29-11-2012_10_'!O1628,"AAAAAA+++Ro=")</f>
        <v>#VALUE!</v>
      </c>
      <c r="AB109" t="e">
        <f>AND('Planilla_General_29-11-2012_10_'!P1628,"AAAAAA+++Rs=")</f>
        <v>#VALUE!</v>
      </c>
      <c r="AC109">
        <f>IF('Planilla_General_29-11-2012_10_'!1629:1629,"AAAAAA+++Rw=",0)</f>
        <v>0</v>
      </c>
      <c r="AD109" t="e">
        <f>AND('Planilla_General_29-11-2012_10_'!A1629,"AAAAAA+++R0=")</f>
        <v>#VALUE!</v>
      </c>
      <c r="AE109" t="e">
        <f>AND('Planilla_General_29-11-2012_10_'!B1629,"AAAAAA+++R4=")</f>
        <v>#VALUE!</v>
      </c>
      <c r="AF109" t="e">
        <f>AND('Planilla_General_29-11-2012_10_'!C1629,"AAAAAA+++R8=")</f>
        <v>#VALUE!</v>
      </c>
      <c r="AG109" t="e">
        <f>AND('Planilla_General_29-11-2012_10_'!D1629,"AAAAAA+++SA=")</f>
        <v>#VALUE!</v>
      </c>
      <c r="AH109" t="e">
        <f>AND('Planilla_General_29-11-2012_10_'!E1629,"AAAAAA+++SE=")</f>
        <v>#VALUE!</v>
      </c>
      <c r="AI109" t="e">
        <f>AND('Planilla_General_29-11-2012_10_'!F1629,"AAAAAA+++SI=")</f>
        <v>#VALUE!</v>
      </c>
      <c r="AJ109" t="e">
        <f>AND('Planilla_General_29-11-2012_10_'!G1629,"AAAAAA+++SM=")</f>
        <v>#VALUE!</v>
      </c>
      <c r="AK109" t="e">
        <f>AND('Planilla_General_29-11-2012_10_'!H1629,"AAAAAA+++SQ=")</f>
        <v>#VALUE!</v>
      </c>
      <c r="AL109" t="e">
        <f>AND('Planilla_General_29-11-2012_10_'!I1629,"AAAAAA+++SU=")</f>
        <v>#VALUE!</v>
      </c>
      <c r="AM109" t="e">
        <f>AND('Planilla_General_29-11-2012_10_'!J1629,"AAAAAA+++SY=")</f>
        <v>#VALUE!</v>
      </c>
      <c r="AN109" t="e">
        <f>AND('Planilla_General_29-11-2012_10_'!K1629,"AAAAAA+++Sc=")</f>
        <v>#VALUE!</v>
      </c>
      <c r="AO109" t="e">
        <f>AND('Planilla_General_29-11-2012_10_'!L1629,"AAAAAA+++Sg=")</f>
        <v>#VALUE!</v>
      </c>
      <c r="AP109" t="e">
        <f>AND('Planilla_General_29-11-2012_10_'!M1629,"AAAAAA+++Sk=")</f>
        <v>#VALUE!</v>
      </c>
      <c r="AQ109" t="e">
        <f>AND('Planilla_General_29-11-2012_10_'!N1629,"AAAAAA+++So=")</f>
        <v>#VALUE!</v>
      </c>
      <c r="AR109" t="e">
        <f>AND('Planilla_General_29-11-2012_10_'!O1629,"AAAAAA+++Ss=")</f>
        <v>#VALUE!</v>
      </c>
      <c r="AS109" t="e">
        <f>AND('Planilla_General_29-11-2012_10_'!P1629,"AAAAAA+++Sw=")</f>
        <v>#VALUE!</v>
      </c>
      <c r="AT109">
        <f>IF('Planilla_General_29-11-2012_10_'!1630:1630,"AAAAAA+++S0=",0)</f>
        <v>0</v>
      </c>
      <c r="AU109" t="e">
        <f>AND('Planilla_General_29-11-2012_10_'!A1630,"AAAAAA+++S4=")</f>
        <v>#VALUE!</v>
      </c>
      <c r="AV109" t="e">
        <f>AND('Planilla_General_29-11-2012_10_'!B1630,"AAAAAA+++S8=")</f>
        <v>#VALUE!</v>
      </c>
      <c r="AW109" t="e">
        <f>AND('Planilla_General_29-11-2012_10_'!C1630,"AAAAAA+++TA=")</f>
        <v>#VALUE!</v>
      </c>
      <c r="AX109" t="e">
        <f>AND('Planilla_General_29-11-2012_10_'!D1630,"AAAAAA+++TE=")</f>
        <v>#VALUE!</v>
      </c>
      <c r="AY109" t="e">
        <f>AND('Planilla_General_29-11-2012_10_'!E1630,"AAAAAA+++TI=")</f>
        <v>#VALUE!</v>
      </c>
      <c r="AZ109" t="e">
        <f>AND('Planilla_General_29-11-2012_10_'!F1630,"AAAAAA+++TM=")</f>
        <v>#VALUE!</v>
      </c>
      <c r="BA109" t="e">
        <f>AND('Planilla_General_29-11-2012_10_'!G1630,"AAAAAA+++TQ=")</f>
        <v>#VALUE!</v>
      </c>
      <c r="BB109" t="e">
        <f>AND('Planilla_General_29-11-2012_10_'!H1630,"AAAAAA+++TU=")</f>
        <v>#VALUE!</v>
      </c>
      <c r="BC109" t="e">
        <f>AND('Planilla_General_29-11-2012_10_'!I1630,"AAAAAA+++TY=")</f>
        <v>#VALUE!</v>
      </c>
      <c r="BD109" t="e">
        <f>AND('Planilla_General_29-11-2012_10_'!J1630,"AAAAAA+++Tc=")</f>
        <v>#VALUE!</v>
      </c>
      <c r="BE109" t="e">
        <f>AND('Planilla_General_29-11-2012_10_'!K1630,"AAAAAA+++Tg=")</f>
        <v>#VALUE!</v>
      </c>
      <c r="BF109" t="e">
        <f>AND('Planilla_General_29-11-2012_10_'!L1630,"AAAAAA+++Tk=")</f>
        <v>#VALUE!</v>
      </c>
      <c r="BG109" t="e">
        <f>AND('Planilla_General_29-11-2012_10_'!M1630,"AAAAAA+++To=")</f>
        <v>#VALUE!</v>
      </c>
      <c r="BH109" t="e">
        <f>AND('Planilla_General_29-11-2012_10_'!N1630,"AAAAAA+++Ts=")</f>
        <v>#VALUE!</v>
      </c>
      <c r="BI109" t="e">
        <f>AND('Planilla_General_29-11-2012_10_'!O1630,"AAAAAA+++Tw=")</f>
        <v>#VALUE!</v>
      </c>
      <c r="BJ109" t="e">
        <f>AND('Planilla_General_29-11-2012_10_'!P1630,"AAAAAA+++T0=")</f>
        <v>#VALUE!</v>
      </c>
      <c r="BK109">
        <f>IF('Planilla_General_29-11-2012_10_'!1631:1631,"AAAAAA+++T4=",0)</f>
        <v>0</v>
      </c>
      <c r="BL109" t="e">
        <f>AND('Planilla_General_29-11-2012_10_'!A1631,"AAAAAA+++T8=")</f>
        <v>#VALUE!</v>
      </c>
      <c r="BM109" t="e">
        <f>AND('Planilla_General_29-11-2012_10_'!B1631,"AAAAAA+++UA=")</f>
        <v>#VALUE!</v>
      </c>
      <c r="BN109" t="e">
        <f>AND('Planilla_General_29-11-2012_10_'!C1631,"AAAAAA+++UE=")</f>
        <v>#VALUE!</v>
      </c>
      <c r="BO109" t="e">
        <f>AND('Planilla_General_29-11-2012_10_'!D1631,"AAAAAA+++UI=")</f>
        <v>#VALUE!</v>
      </c>
      <c r="BP109" t="e">
        <f>AND('Planilla_General_29-11-2012_10_'!E1631,"AAAAAA+++UM=")</f>
        <v>#VALUE!</v>
      </c>
      <c r="BQ109" t="e">
        <f>AND('Planilla_General_29-11-2012_10_'!F1631,"AAAAAA+++UQ=")</f>
        <v>#VALUE!</v>
      </c>
      <c r="BR109" t="e">
        <f>AND('Planilla_General_29-11-2012_10_'!G1631,"AAAAAA+++UU=")</f>
        <v>#VALUE!</v>
      </c>
      <c r="BS109" t="e">
        <f>AND('Planilla_General_29-11-2012_10_'!H1631,"AAAAAA+++UY=")</f>
        <v>#VALUE!</v>
      </c>
      <c r="BT109" t="e">
        <f>AND('Planilla_General_29-11-2012_10_'!I1631,"AAAAAA+++Uc=")</f>
        <v>#VALUE!</v>
      </c>
      <c r="BU109" t="e">
        <f>AND('Planilla_General_29-11-2012_10_'!J1631,"AAAAAA+++Ug=")</f>
        <v>#VALUE!</v>
      </c>
      <c r="BV109" t="e">
        <f>AND('Planilla_General_29-11-2012_10_'!K1631,"AAAAAA+++Uk=")</f>
        <v>#VALUE!</v>
      </c>
      <c r="BW109" t="e">
        <f>AND('Planilla_General_29-11-2012_10_'!L1631,"AAAAAA+++Uo=")</f>
        <v>#VALUE!</v>
      </c>
      <c r="BX109" t="e">
        <f>AND('Planilla_General_29-11-2012_10_'!M1631,"AAAAAA+++Us=")</f>
        <v>#VALUE!</v>
      </c>
      <c r="BY109" t="e">
        <f>AND('Planilla_General_29-11-2012_10_'!N1631,"AAAAAA+++Uw=")</f>
        <v>#VALUE!</v>
      </c>
      <c r="BZ109" t="e">
        <f>AND('Planilla_General_29-11-2012_10_'!O1631,"AAAAAA+++U0=")</f>
        <v>#VALUE!</v>
      </c>
      <c r="CA109" t="e">
        <f>AND('Planilla_General_29-11-2012_10_'!P1631,"AAAAAA+++U4=")</f>
        <v>#VALUE!</v>
      </c>
      <c r="CB109">
        <f>IF('Planilla_General_29-11-2012_10_'!1632:1632,"AAAAAA+++U8=",0)</f>
        <v>0</v>
      </c>
      <c r="CC109" t="e">
        <f>AND('Planilla_General_29-11-2012_10_'!A1632,"AAAAAA+++VA=")</f>
        <v>#VALUE!</v>
      </c>
      <c r="CD109" t="e">
        <f>AND('Planilla_General_29-11-2012_10_'!B1632,"AAAAAA+++VE=")</f>
        <v>#VALUE!</v>
      </c>
      <c r="CE109" t="e">
        <f>AND('Planilla_General_29-11-2012_10_'!C1632,"AAAAAA+++VI=")</f>
        <v>#VALUE!</v>
      </c>
      <c r="CF109" t="e">
        <f>AND('Planilla_General_29-11-2012_10_'!D1632,"AAAAAA+++VM=")</f>
        <v>#VALUE!</v>
      </c>
      <c r="CG109" t="e">
        <f>AND('Planilla_General_29-11-2012_10_'!E1632,"AAAAAA+++VQ=")</f>
        <v>#VALUE!</v>
      </c>
      <c r="CH109" t="e">
        <f>AND('Planilla_General_29-11-2012_10_'!F1632,"AAAAAA+++VU=")</f>
        <v>#VALUE!</v>
      </c>
      <c r="CI109" t="e">
        <f>AND('Planilla_General_29-11-2012_10_'!G1632,"AAAAAA+++VY=")</f>
        <v>#VALUE!</v>
      </c>
      <c r="CJ109" t="e">
        <f>AND('Planilla_General_29-11-2012_10_'!H1632,"AAAAAA+++Vc=")</f>
        <v>#VALUE!</v>
      </c>
      <c r="CK109" t="e">
        <f>AND('Planilla_General_29-11-2012_10_'!I1632,"AAAAAA+++Vg=")</f>
        <v>#VALUE!</v>
      </c>
      <c r="CL109" t="e">
        <f>AND('Planilla_General_29-11-2012_10_'!J1632,"AAAAAA+++Vk=")</f>
        <v>#VALUE!</v>
      </c>
      <c r="CM109" t="e">
        <f>AND('Planilla_General_29-11-2012_10_'!K1632,"AAAAAA+++Vo=")</f>
        <v>#VALUE!</v>
      </c>
      <c r="CN109" t="e">
        <f>AND('Planilla_General_29-11-2012_10_'!L1632,"AAAAAA+++Vs=")</f>
        <v>#VALUE!</v>
      </c>
      <c r="CO109" t="e">
        <f>AND('Planilla_General_29-11-2012_10_'!M1632,"AAAAAA+++Vw=")</f>
        <v>#VALUE!</v>
      </c>
      <c r="CP109" t="e">
        <f>AND('Planilla_General_29-11-2012_10_'!N1632,"AAAAAA+++V0=")</f>
        <v>#VALUE!</v>
      </c>
      <c r="CQ109" t="e">
        <f>AND('Planilla_General_29-11-2012_10_'!O1632,"AAAAAA+++V4=")</f>
        <v>#VALUE!</v>
      </c>
      <c r="CR109" t="e">
        <f>AND('Planilla_General_29-11-2012_10_'!P1632,"AAAAAA+++V8=")</f>
        <v>#VALUE!</v>
      </c>
      <c r="CS109">
        <f>IF('Planilla_General_29-11-2012_10_'!1633:1633,"AAAAAA+++WA=",0)</f>
        <v>0</v>
      </c>
      <c r="CT109" t="e">
        <f>AND('Planilla_General_29-11-2012_10_'!A1633,"AAAAAA+++WE=")</f>
        <v>#VALUE!</v>
      </c>
      <c r="CU109" t="e">
        <f>AND('Planilla_General_29-11-2012_10_'!B1633,"AAAAAA+++WI=")</f>
        <v>#VALUE!</v>
      </c>
      <c r="CV109" t="e">
        <f>AND('Planilla_General_29-11-2012_10_'!C1633,"AAAAAA+++WM=")</f>
        <v>#VALUE!</v>
      </c>
      <c r="CW109" t="e">
        <f>AND('Planilla_General_29-11-2012_10_'!D1633,"AAAAAA+++WQ=")</f>
        <v>#VALUE!</v>
      </c>
      <c r="CX109" t="e">
        <f>AND('Planilla_General_29-11-2012_10_'!E1633,"AAAAAA+++WU=")</f>
        <v>#VALUE!</v>
      </c>
      <c r="CY109" t="e">
        <f>AND('Planilla_General_29-11-2012_10_'!F1633,"AAAAAA+++WY=")</f>
        <v>#VALUE!</v>
      </c>
      <c r="CZ109" t="e">
        <f>AND('Planilla_General_29-11-2012_10_'!G1633,"AAAAAA+++Wc=")</f>
        <v>#VALUE!</v>
      </c>
      <c r="DA109" t="e">
        <f>AND('Planilla_General_29-11-2012_10_'!H1633,"AAAAAA+++Wg=")</f>
        <v>#VALUE!</v>
      </c>
      <c r="DB109" t="e">
        <f>AND('Planilla_General_29-11-2012_10_'!I1633,"AAAAAA+++Wk=")</f>
        <v>#VALUE!</v>
      </c>
      <c r="DC109" t="e">
        <f>AND('Planilla_General_29-11-2012_10_'!J1633,"AAAAAA+++Wo=")</f>
        <v>#VALUE!</v>
      </c>
      <c r="DD109" t="e">
        <f>AND('Planilla_General_29-11-2012_10_'!K1633,"AAAAAA+++Ws=")</f>
        <v>#VALUE!</v>
      </c>
      <c r="DE109" t="e">
        <f>AND('Planilla_General_29-11-2012_10_'!L1633,"AAAAAA+++Ww=")</f>
        <v>#VALUE!</v>
      </c>
      <c r="DF109" t="e">
        <f>AND('Planilla_General_29-11-2012_10_'!M1633,"AAAAAA+++W0=")</f>
        <v>#VALUE!</v>
      </c>
      <c r="DG109" t="e">
        <f>AND('Planilla_General_29-11-2012_10_'!N1633,"AAAAAA+++W4=")</f>
        <v>#VALUE!</v>
      </c>
      <c r="DH109" t="e">
        <f>AND('Planilla_General_29-11-2012_10_'!O1633,"AAAAAA+++W8=")</f>
        <v>#VALUE!</v>
      </c>
      <c r="DI109" t="e">
        <f>AND('Planilla_General_29-11-2012_10_'!P1633,"AAAAAA+++XA=")</f>
        <v>#VALUE!</v>
      </c>
      <c r="DJ109">
        <f>IF('Planilla_General_29-11-2012_10_'!1634:1634,"AAAAAA+++XE=",0)</f>
        <v>0</v>
      </c>
      <c r="DK109" t="e">
        <f>AND('Planilla_General_29-11-2012_10_'!A1634,"AAAAAA+++XI=")</f>
        <v>#VALUE!</v>
      </c>
      <c r="DL109" t="e">
        <f>AND('Planilla_General_29-11-2012_10_'!B1634,"AAAAAA+++XM=")</f>
        <v>#VALUE!</v>
      </c>
      <c r="DM109" t="e">
        <f>AND('Planilla_General_29-11-2012_10_'!C1634,"AAAAAA+++XQ=")</f>
        <v>#VALUE!</v>
      </c>
      <c r="DN109" t="e">
        <f>AND('Planilla_General_29-11-2012_10_'!D1634,"AAAAAA+++XU=")</f>
        <v>#VALUE!</v>
      </c>
      <c r="DO109" t="e">
        <f>AND('Planilla_General_29-11-2012_10_'!E1634,"AAAAAA+++XY=")</f>
        <v>#VALUE!</v>
      </c>
      <c r="DP109" t="e">
        <f>AND('Planilla_General_29-11-2012_10_'!F1634,"AAAAAA+++Xc=")</f>
        <v>#VALUE!</v>
      </c>
      <c r="DQ109" t="e">
        <f>AND('Planilla_General_29-11-2012_10_'!G1634,"AAAAAA+++Xg=")</f>
        <v>#VALUE!</v>
      </c>
      <c r="DR109" t="e">
        <f>AND('Planilla_General_29-11-2012_10_'!H1634,"AAAAAA+++Xk=")</f>
        <v>#VALUE!</v>
      </c>
      <c r="DS109" t="e">
        <f>AND('Planilla_General_29-11-2012_10_'!I1634,"AAAAAA+++Xo=")</f>
        <v>#VALUE!</v>
      </c>
      <c r="DT109" t="e">
        <f>AND('Planilla_General_29-11-2012_10_'!J1634,"AAAAAA+++Xs=")</f>
        <v>#VALUE!</v>
      </c>
      <c r="DU109" t="e">
        <f>AND('Planilla_General_29-11-2012_10_'!K1634,"AAAAAA+++Xw=")</f>
        <v>#VALUE!</v>
      </c>
      <c r="DV109" t="e">
        <f>AND('Planilla_General_29-11-2012_10_'!L1634,"AAAAAA+++X0=")</f>
        <v>#VALUE!</v>
      </c>
      <c r="DW109" t="e">
        <f>AND('Planilla_General_29-11-2012_10_'!M1634,"AAAAAA+++X4=")</f>
        <v>#VALUE!</v>
      </c>
      <c r="DX109" t="e">
        <f>AND('Planilla_General_29-11-2012_10_'!N1634,"AAAAAA+++X8=")</f>
        <v>#VALUE!</v>
      </c>
      <c r="DY109" t="e">
        <f>AND('Planilla_General_29-11-2012_10_'!O1634,"AAAAAA+++YA=")</f>
        <v>#VALUE!</v>
      </c>
      <c r="DZ109" t="e">
        <f>AND('Planilla_General_29-11-2012_10_'!P1634,"AAAAAA+++YE=")</f>
        <v>#VALUE!</v>
      </c>
      <c r="EA109">
        <f>IF('Planilla_General_29-11-2012_10_'!1635:1635,"AAAAAA+++YI=",0)</f>
        <v>0</v>
      </c>
      <c r="EB109" t="e">
        <f>AND('Planilla_General_29-11-2012_10_'!A1635,"AAAAAA+++YM=")</f>
        <v>#VALUE!</v>
      </c>
      <c r="EC109" t="e">
        <f>AND('Planilla_General_29-11-2012_10_'!B1635,"AAAAAA+++YQ=")</f>
        <v>#VALUE!</v>
      </c>
      <c r="ED109" t="e">
        <f>AND('Planilla_General_29-11-2012_10_'!C1635,"AAAAAA+++YU=")</f>
        <v>#VALUE!</v>
      </c>
      <c r="EE109" t="e">
        <f>AND('Planilla_General_29-11-2012_10_'!D1635,"AAAAAA+++YY=")</f>
        <v>#VALUE!</v>
      </c>
      <c r="EF109" t="e">
        <f>AND('Planilla_General_29-11-2012_10_'!E1635,"AAAAAA+++Yc=")</f>
        <v>#VALUE!</v>
      </c>
      <c r="EG109" t="e">
        <f>AND('Planilla_General_29-11-2012_10_'!F1635,"AAAAAA+++Yg=")</f>
        <v>#VALUE!</v>
      </c>
      <c r="EH109" t="e">
        <f>AND('Planilla_General_29-11-2012_10_'!G1635,"AAAAAA+++Yk=")</f>
        <v>#VALUE!</v>
      </c>
      <c r="EI109" t="e">
        <f>AND('Planilla_General_29-11-2012_10_'!H1635,"AAAAAA+++Yo=")</f>
        <v>#VALUE!</v>
      </c>
      <c r="EJ109" t="e">
        <f>AND('Planilla_General_29-11-2012_10_'!I1635,"AAAAAA+++Ys=")</f>
        <v>#VALUE!</v>
      </c>
      <c r="EK109" t="e">
        <f>AND('Planilla_General_29-11-2012_10_'!J1635,"AAAAAA+++Yw=")</f>
        <v>#VALUE!</v>
      </c>
      <c r="EL109" t="e">
        <f>AND('Planilla_General_29-11-2012_10_'!K1635,"AAAAAA+++Y0=")</f>
        <v>#VALUE!</v>
      </c>
      <c r="EM109" t="e">
        <f>AND('Planilla_General_29-11-2012_10_'!L1635,"AAAAAA+++Y4=")</f>
        <v>#VALUE!</v>
      </c>
      <c r="EN109" t="e">
        <f>AND('Planilla_General_29-11-2012_10_'!M1635,"AAAAAA+++Y8=")</f>
        <v>#VALUE!</v>
      </c>
      <c r="EO109" t="e">
        <f>AND('Planilla_General_29-11-2012_10_'!N1635,"AAAAAA+++ZA=")</f>
        <v>#VALUE!</v>
      </c>
      <c r="EP109" t="e">
        <f>AND('Planilla_General_29-11-2012_10_'!O1635,"AAAAAA+++ZE=")</f>
        <v>#VALUE!</v>
      </c>
      <c r="EQ109" t="e">
        <f>AND('Planilla_General_29-11-2012_10_'!P1635,"AAAAAA+++ZI=")</f>
        <v>#VALUE!</v>
      </c>
      <c r="ER109">
        <f>IF('Planilla_General_29-11-2012_10_'!1636:1636,"AAAAAA+++ZM=",0)</f>
        <v>0</v>
      </c>
      <c r="ES109" t="e">
        <f>AND('Planilla_General_29-11-2012_10_'!A1636,"AAAAAA+++ZQ=")</f>
        <v>#VALUE!</v>
      </c>
      <c r="ET109" t="e">
        <f>AND('Planilla_General_29-11-2012_10_'!B1636,"AAAAAA+++ZU=")</f>
        <v>#VALUE!</v>
      </c>
      <c r="EU109" t="e">
        <f>AND('Planilla_General_29-11-2012_10_'!C1636,"AAAAAA+++ZY=")</f>
        <v>#VALUE!</v>
      </c>
      <c r="EV109" t="e">
        <f>AND('Planilla_General_29-11-2012_10_'!D1636,"AAAAAA+++Zc=")</f>
        <v>#VALUE!</v>
      </c>
      <c r="EW109" t="e">
        <f>AND('Planilla_General_29-11-2012_10_'!E1636,"AAAAAA+++Zg=")</f>
        <v>#VALUE!</v>
      </c>
      <c r="EX109" t="e">
        <f>AND('Planilla_General_29-11-2012_10_'!F1636,"AAAAAA+++Zk=")</f>
        <v>#VALUE!</v>
      </c>
      <c r="EY109" t="e">
        <f>AND('Planilla_General_29-11-2012_10_'!G1636,"AAAAAA+++Zo=")</f>
        <v>#VALUE!</v>
      </c>
      <c r="EZ109" t="e">
        <f>AND('Planilla_General_29-11-2012_10_'!H1636,"AAAAAA+++Zs=")</f>
        <v>#VALUE!</v>
      </c>
      <c r="FA109" t="e">
        <f>AND('Planilla_General_29-11-2012_10_'!I1636,"AAAAAA+++Zw=")</f>
        <v>#VALUE!</v>
      </c>
      <c r="FB109" t="e">
        <f>AND('Planilla_General_29-11-2012_10_'!J1636,"AAAAAA+++Z0=")</f>
        <v>#VALUE!</v>
      </c>
      <c r="FC109" t="e">
        <f>AND('Planilla_General_29-11-2012_10_'!K1636,"AAAAAA+++Z4=")</f>
        <v>#VALUE!</v>
      </c>
      <c r="FD109" t="e">
        <f>AND('Planilla_General_29-11-2012_10_'!L1636,"AAAAAA+++Z8=")</f>
        <v>#VALUE!</v>
      </c>
      <c r="FE109" t="e">
        <f>AND('Planilla_General_29-11-2012_10_'!M1636,"AAAAAA+++aA=")</f>
        <v>#VALUE!</v>
      </c>
      <c r="FF109" t="e">
        <f>AND('Planilla_General_29-11-2012_10_'!N1636,"AAAAAA+++aE=")</f>
        <v>#VALUE!</v>
      </c>
      <c r="FG109" t="e">
        <f>AND('Planilla_General_29-11-2012_10_'!O1636,"AAAAAA+++aI=")</f>
        <v>#VALUE!</v>
      </c>
      <c r="FH109" t="e">
        <f>AND('Planilla_General_29-11-2012_10_'!P1636,"AAAAAA+++aM=")</f>
        <v>#VALUE!</v>
      </c>
      <c r="FI109">
        <f>IF('Planilla_General_29-11-2012_10_'!1637:1637,"AAAAAA+++aQ=",0)</f>
        <v>0</v>
      </c>
      <c r="FJ109" t="e">
        <f>AND('Planilla_General_29-11-2012_10_'!A1637,"AAAAAA+++aU=")</f>
        <v>#VALUE!</v>
      </c>
      <c r="FK109" t="e">
        <f>AND('Planilla_General_29-11-2012_10_'!B1637,"AAAAAA+++aY=")</f>
        <v>#VALUE!</v>
      </c>
      <c r="FL109" t="e">
        <f>AND('Planilla_General_29-11-2012_10_'!C1637,"AAAAAA+++ac=")</f>
        <v>#VALUE!</v>
      </c>
      <c r="FM109" t="e">
        <f>AND('Planilla_General_29-11-2012_10_'!D1637,"AAAAAA+++ag=")</f>
        <v>#VALUE!</v>
      </c>
      <c r="FN109" t="e">
        <f>AND('Planilla_General_29-11-2012_10_'!E1637,"AAAAAA+++ak=")</f>
        <v>#VALUE!</v>
      </c>
      <c r="FO109" t="e">
        <f>AND('Planilla_General_29-11-2012_10_'!F1637,"AAAAAA+++ao=")</f>
        <v>#VALUE!</v>
      </c>
      <c r="FP109" t="e">
        <f>AND('Planilla_General_29-11-2012_10_'!G1637,"AAAAAA+++as=")</f>
        <v>#VALUE!</v>
      </c>
      <c r="FQ109" t="e">
        <f>AND('Planilla_General_29-11-2012_10_'!H1637,"AAAAAA+++aw=")</f>
        <v>#VALUE!</v>
      </c>
      <c r="FR109" t="e">
        <f>AND('Planilla_General_29-11-2012_10_'!I1637,"AAAAAA+++a0=")</f>
        <v>#VALUE!</v>
      </c>
      <c r="FS109" t="e">
        <f>AND('Planilla_General_29-11-2012_10_'!J1637,"AAAAAA+++a4=")</f>
        <v>#VALUE!</v>
      </c>
      <c r="FT109" t="e">
        <f>AND('Planilla_General_29-11-2012_10_'!K1637,"AAAAAA+++a8=")</f>
        <v>#VALUE!</v>
      </c>
      <c r="FU109" t="e">
        <f>AND('Planilla_General_29-11-2012_10_'!L1637,"AAAAAA+++bA=")</f>
        <v>#VALUE!</v>
      </c>
      <c r="FV109" t="e">
        <f>AND('Planilla_General_29-11-2012_10_'!M1637,"AAAAAA+++bE=")</f>
        <v>#VALUE!</v>
      </c>
      <c r="FW109" t="e">
        <f>AND('Planilla_General_29-11-2012_10_'!N1637,"AAAAAA+++bI=")</f>
        <v>#VALUE!</v>
      </c>
      <c r="FX109" t="e">
        <f>AND('Planilla_General_29-11-2012_10_'!O1637,"AAAAAA+++bM=")</f>
        <v>#VALUE!</v>
      </c>
      <c r="FY109" t="e">
        <f>AND('Planilla_General_29-11-2012_10_'!P1637,"AAAAAA+++bQ=")</f>
        <v>#VALUE!</v>
      </c>
      <c r="FZ109">
        <f>IF('Planilla_General_29-11-2012_10_'!1638:1638,"AAAAAA+++bU=",0)</f>
        <v>0</v>
      </c>
      <c r="GA109" t="e">
        <f>AND('Planilla_General_29-11-2012_10_'!A1638,"AAAAAA+++bY=")</f>
        <v>#VALUE!</v>
      </c>
      <c r="GB109" t="e">
        <f>AND('Planilla_General_29-11-2012_10_'!B1638,"AAAAAA+++bc=")</f>
        <v>#VALUE!</v>
      </c>
      <c r="GC109" t="e">
        <f>AND('Planilla_General_29-11-2012_10_'!C1638,"AAAAAA+++bg=")</f>
        <v>#VALUE!</v>
      </c>
      <c r="GD109" t="e">
        <f>AND('Planilla_General_29-11-2012_10_'!D1638,"AAAAAA+++bk=")</f>
        <v>#VALUE!</v>
      </c>
      <c r="GE109" t="e">
        <f>AND('Planilla_General_29-11-2012_10_'!E1638,"AAAAAA+++bo=")</f>
        <v>#VALUE!</v>
      </c>
      <c r="GF109" t="e">
        <f>AND('Planilla_General_29-11-2012_10_'!F1638,"AAAAAA+++bs=")</f>
        <v>#VALUE!</v>
      </c>
      <c r="GG109" t="e">
        <f>AND('Planilla_General_29-11-2012_10_'!G1638,"AAAAAA+++bw=")</f>
        <v>#VALUE!</v>
      </c>
      <c r="GH109" t="e">
        <f>AND('Planilla_General_29-11-2012_10_'!H1638,"AAAAAA+++b0=")</f>
        <v>#VALUE!</v>
      </c>
      <c r="GI109" t="e">
        <f>AND('Planilla_General_29-11-2012_10_'!I1638,"AAAAAA+++b4=")</f>
        <v>#VALUE!</v>
      </c>
      <c r="GJ109" t="e">
        <f>AND('Planilla_General_29-11-2012_10_'!J1638,"AAAAAA+++b8=")</f>
        <v>#VALUE!</v>
      </c>
      <c r="GK109" t="e">
        <f>AND('Planilla_General_29-11-2012_10_'!K1638,"AAAAAA+++cA=")</f>
        <v>#VALUE!</v>
      </c>
      <c r="GL109" t="e">
        <f>AND('Planilla_General_29-11-2012_10_'!L1638,"AAAAAA+++cE=")</f>
        <v>#VALUE!</v>
      </c>
      <c r="GM109" t="e">
        <f>AND('Planilla_General_29-11-2012_10_'!M1638,"AAAAAA+++cI=")</f>
        <v>#VALUE!</v>
      </c>
      <c r="GN109" t="e">
        <f>AND('Planilla_General_29-11-2012_10_'!N1638,"AAAAAA+++cM=")</f>
        <v>#VALUE!</v>
      </c>
      <c r="GO109" t="e">
        <f>AND('Planilla_General_29-11-2012_10_'!O1638,"AAAAAA+++cQ=")</f>
        <v>#VALUE!</v>
      </c>
      <c r="GP109" t="e">
        <f>AND('Planilla_General_29-11-2012_10_'!P1638,"AAAAAA+++cU=")</f>
        <v>#VALUE!</v>
      </c>
      <c r="GQ109">
        <f>IF('Planilla_General_29-11-2012_10_'!1639:1639,"AAAAAA+++cY=",0)</f>
        <v>0</v>
      </c>
      <c r="GR109" t="e">
        <f>AND('Planilla_General_29-11-2012_10_'!A1639,"AAAAAA+++cc=")</f>
        <v>#VALUE!</v>
      </c>
      <c r="GS109" t="e">
        <f>AND('Planilla_General_29-11-2012_10_'!B1639,"AAAAAA+++cg=")</f>
        <v>#VALUE!</v>
      </c>
      <c r="GT109" t="e">
        <f>AND('Planilla_General_29-11-2012_10_'!C1639,"AAAAAA+++ck=")</f>
        <v>#VALUE!</v>
      </c>
      <c r="GU109" t="e">
        <f>AND('Planilla_General_29-11-2012_10_'!D1639,"AAAAAA+++co=")</f>
        <v>#VALUE!</v>
      </c>
      <c r="GV109" t="e">
        <f>AND('Planilla_General_29-11-2012_10_'!E1639,"AAAAAA+++cs=")</f>
        <v>#VALUE!</v>
      </c>
      <c r="GW109" t="e">
        <f>AND('Planilla_General_29-11-2012_10_'!F1639,"AAAAAA+++cw=")</f>
        <v>#VALUE!</v>
      </c>
      <c r="GX109" t="e">
        <f>AND('Planilla_General_29-11-2012_10_'!G1639,"AAAAAA+++c0=")</f>
        <v>#VALUE!</v>
      </c>
      <c r="GY109" t="e">
        <f>AND('Planilla_General_29-11-2012_10_'!H1639,"AAAAAA+++c4=")</f>
        <v>#VALUE!</v>
      </c>
      <c r="GZ109" t="e">
        <f>AND('Planilla_General_29-11-2012_10_'!I1639,"AAAAAA+++c8=")</f>
        <v>#VALUE!</v>
      </c>
      <c r="HA109" t="e">
        <f>AND('Planilla_General_29-11-2012_10_'!J1639,"AAAAAA+++dA=")</f>
        <v>#VALUE!</v>
      </c>
      <c r="HB109" t="e">
        <f>AND('Planilla_General_29-11-2012_10_'!K1639,"AAAAAA+++dE=")</f>
        <v>#VALUE!</v>
      </c>
      <c r="HC109" t="e">
        <f>AND('Planilla_General_29-11-2012_10_'!L1639,"AAAAAA+++dI=")</f>
        <v>#VALUE!</v>
      </c>
      <c r="HD109" t="e">
        <f>AND('Planilla_General_29-11-2012_10_'!M1639,"AAAAAA+++dM=")</f>
        <v>#VALUE!</v>
      </c>
      <c r="HE109" t="e">
        <f>AND('Planilla_General_29-11-2012_10_'!N1639,"AAAAAA+++dQ=")</f>
        <v>#VALUE!</v>
      </c>
      <c r="HF109" t="e">
        <f>AND('Planilla_General_29-11-2012_10_'!O1639,"AAAAAA+++dU=")</f>
        <v>#VALUE!</v>
      </c>
      <c r="HG109" t="e">
        <f>AND('Planilla_General_29-11-2012_10_'!P1639,"AAAAAA+++dY=")</f>
        <v>#VALUE!</v>
      </c>
      <c r="HH109">
        <f>IF('Planilla_General_29-11-2012_10_'!1640:1640,"AAAAAA+++dc=",0)</f>
        <v>0</v>
      </c>
      <c r="HI109" t="e">
        <f>AND('Planilla_General_29-11-2012_10_'!A1640,"AAAAAA+++dg=")</f>
        <v>#VALUE!</v>
      </c>
      <c r="HJ109" t="e">
        <f>AND('Planilla_General_29-11-2012_10_'!B1640,"AAAAAA+++dk=")</f>
        <v>#VALUE!</v>
      </c>
      <c r="HK109" t="e">
        <f>AND('Planilla_General_29-11-2012_10_'!C1640,"AAAAAA+++do=")</f>
        <v>#VALUE!</v>
      </c>
      <c r="HL109" t="e">
        <f>AND('Planilla_General_29-11-2012_10_'!D1640,"AAAAAA+++ds=")</f>
        <v>#VALUE!</v>
      </c>
      <c r="HM109" t="e">
        <f>AND('Planilla_General_29-11-2012_10_'!E1640,"AAAAAA+++dw=")</f>
        <v>#VALUE!</v>
      </c>
      <c r="HN109" t="e">
        <f>AND('Planilla_General_29-11-2012_10_'!F1640,"AAAAAA+++d0=")</f>
        <v>#VALUE!</v>
      </c>
      <c r="HO109" t="e">
        <f>AND('Planilla_General_29-11-2012_10_'!G1640,"AAAAAA+++d4=")</f>
        <v>#VALUE!</v>
      </c>
      <c r="HP109" t="e">
        <f>AND('Planilla_General_29-11-2012_10_'!H1640,"AAAAAA+++d8=")</f>
        <v>#VALUE!</v>
      </c>
      <c r="HQ109" t="e">
        <f>AND('Planilla_General_29-11-2012_10_'!I1640,"AAAAAA+++eA=")</f>
        <v>#VALUE!</v>
      </c>
      <c r="HR109" t="e">
        <f>AND('Planilla_General_29-11-2012_10_'!J1640,"AAAAAA+++eE=")</f>
        <v>#VALUE!</v>
      </c>
      <c r="HS109" t="e">
        <f>AND('Planilla_General_29-11-2012_10_'!K1640,"AAAAAA+++eI=")</f>
        <v>#VALUE!</v>
      </c>
      <c r="HT109" t="e">
        <f>AND('Planilla_General_29-11-2012_10_'!L1640,"AAAAAA+++eM=")</f>
        <v>#VALUE!</v>
      </c>
      <c r="HU109" t="e">
        <f>AND('Planilla_General_29-11-2012_10_'!M1640,"AAAAAA+++eQ=")</f>
        <v>#VALUE!</v>
      </c>
      <c r="HV109" t="e">
        <f>AND('Planilla_General_29-11-2012_10_'!N1640,"AAAAAA+++eU=")</f>
        <v>#VALUE!</v>
      </c>
      <c r="HW109" t="e">
        <f>AND('Planilla_General_29-11-2012_10_'!O1640,"AAAAAA+++eY=")</f>
        <v>#VALUE!</v>
      </c>
      <c r="HX109" t="e">
        <f>AND('Planilla_General_29-11-2012_10_'!P1640,"AAAAAA+++ec=")</f>
        <v>#VALUE!</v>
      </c>
      <c r="HY109">
        <f>IF('Planilla_General_29-11-2012_10_'!1641:1641,"AAAAAA+++eg=",0)</f>
        <v>0</v>
      </c>
      <c r="HZ109" t="e">
        <f>AND('Planilla_General_29-11-2012_10_'!A1641,"AAAAAA+++ek=")</f>
        <v>#VALUE!</v>
      </c>
      <c r="IA109" t="e">
        <f>AND('Planilla_General_29-11-2012_10_'!B1641,"AAAAAA+++eo=")</f>
        <v>#VALUE!</v>
      </c>
      <c r="IB109" t="e">
        <f>AND('Planilla_General_29-11-2012_10_'!C1641,"AAAAAA+++es=")</f>
        <v>#VALUE!</v>
      </c>
      <c r="IC109" t="e">
        <f>AND('Planilla_General_29-11-2012_10_'!D1641,"AAAAAA+++ew=")</f>
        <v>#VALUE!</v>
      </c>
      <c r="ID109" t="e">
        <f>AND('Planilla_General_29-11-2012_10_'!E1641,"AAAAAA+++e0=")</f>
        <v>#VALUE!</v>
      </c>
      <c r="IE109" t="e">
        <f>AND('Planilla_General_29-11-2012_10_'!F1641,"AAAAAA+++e4=")</f>
        <v>#VALUE!</v>
      </c>
      <c r="IF109" t="e">
        <f>AND('Planilla_General_29-11-2012_10_'!G1641,"AAAAAA+++e8=")</f>
        <v>#VALUE!</v>
      </c>
      <c r="IG109" t="e">
        <f>AND('Planilla_General_29-11-2012_10_'!H1641,"AAAAAA+++fA=")</f>
        <v>#VALUE!</v>
      </c>
      <c r="IH109" t="e">
        <f>AND('Planilla_General_29-11-2012_10_'!I1641,"AAAAAA+++fE=")</f>
        <v>#VALUE!</v>
      </c>
      <c r="II109" t="e">
        <f>AND('Planilla_General_29-11-2012_10_'!J1641,"AAAAAA+++fI=")</f>
        <v>#VALUE!</v>
      </c>
      <c r="IJ109" t="e">
        <f>AND('Planilla_General_29-11-2012_10_'!K1641,"AAAAAA+++fM=")</f>
        <v>#VALUE!</v>
      </c>
      <c r="IK109" t="e">
        <f>AND('Planilla_General_29-11-2012_10_'!L1641,"AAAAAA+++fQ=")</f>
        <v>#VALUE!</v>
      </c>
      <c r="IL109" t="e">
        <f>AND('Planilla_General_29-11-2012_10_'!M1641,"AAAAAA+++fU=")</f>
        <v>#VALUE!</v>
      </c>
      <c r="IM109" t="e">
        <f>AND('Planilla_General_29-11-2012_10_'!N1641,"AAAAAA+++fY=")</f>
        <v>#VALUE!</v>
      </c>
      <c r="IN109" t="e">
        <f>AND('Planilla_General_29-11-2012_10_'!O1641,"AAAAAA+++fc=")</f>
        <v>#VALUE!</v>
      </c>
      <c r="IO109" t="e">
        <f>AND('Planilla_General_29-11-2012_10_'!P1641,"AAAAAA+++fg=")</f>
        <v>#VALUE!</v>
      </c>
      <c r="IP109">
        <f>IF('Planilla_General_29-11-2012_10_'!1642:1642,"AAAAAA+++fk=",0)</f>
        <v>0</v>
      </c>
      <c r="IQ109" t="e">
        <f>AND('Planilla_General_29-11-2012_10_'!A1642,"AAAAAA+++fo=")</f>
        <v>#VALUE!</v>
      </c>
      <c r="IR109" t="e">
        <f>AND('Planilla_General_29-11-2012_10_'!B1642,"AAAAAA+++fs=")</f>
        <v>#VALUE!</v>
      </c>
      <c r="IS109" t="e">
        <f>AND('Planilla_General_29-11-2012_10_'!C1642,"AAAAAA+++fw=")</f>
        <v>#VALUE!</v>
      </c>
      <c r="IT109" t="e">
        <f>AND('Planilla_General_29-11-2012_10_'!D1642,"AAAAAA+++f0=")</f>
        <v>#VALUE!</v>
      </c>
      <c r="IU109" t="e">
        <f>AND('Planilla_General_29-11-2012_10_'!E1642,"AAAAAA+++f4=")</f>
        <v>#VALUE!</v>
      </c>
      <c r="IV109" t="e">
        <f>AND('Planilla_General_29-11-2012_10_'!F1642,"AAAAAA+++f8=")</f>
        <v>#VALUE!</v>
      </c>
    </row>
    <row r="110" spans="1:256" x14ac:dyDescent="0.25">
      <c r="A110" t="e">
        <f>AND('Planilla_General_29-11-2012_10_'!G1642,"AAAAAGz/6wA=")</f>
        <v>#VALUE!</v>
      </c>
      <c r="B110" t="e">
        <f>AND('Planilla_General_29-11-2012_10_'!H1642,"AAAAAGz/6wE=")</f>
        <v>#VALUE!</v>
      </c>
      <c r="C110" t="e">
        <f>AND('Planilla_General_29-11-2012_10_'!I1642,"AAAAAGz/6wI=")</f>
        <v>#VALUE!</v>
      </c>
      <c r="D110" t="e">
        <f>AND('Planilla_General_29-11-2012_10_'!J1642,"AAAAAGz/6wM=")</f>
        <v>#VALUE!</v>
      </c>
      <c r="E110" t="e">
        <f>AND('Planilla_General_29-11-2012_10_'!K1642,"AAAAAGz/6wQ=")</f>
        <v>#VALUE!</v>
      </c>
      <c r="F110" t="e">
        <f>AND('Planilla_General_29-11-2012_10_'!L1642,"AAAAAGz/6wU=")</f>
        <v>#VALUE!</v>
      </c>
      <c r="G110" t="e">
        <f>AND('Planilla_General_29-11-2012_10_'!M1642,"AAAAAGz/6wY=")</f>
        <v>#VALUE!</v>
      </c>
      <c r="H110" t="e">
        <f>AND('Planilla_General_29-11-2012_10_'!N1642,"AAAAAGz/6wc=")</f>
        <v>#VALUE!</v>
      </c>
      <c r="I110" t="e">
        <f>AND('Planilla_General_29-11-2012_10_'!O1642,"AAAAAGz/6wg=")</f>
        <v>#VALUE!</v>
      </c>
      <c r="J110" t="e">
        <f>AND('Planilla_General_29-11-2012_10_'!P1642,"AAAAAGz/6wk=")</f>
        <v>#VALUE!</v>
      </c>
      <c r="K110" t="str">
        <f>IF('Planilla_General_29-11-2012_10_'!1643:1643,"AAAAAGz/6wo=",0)</f>
        <v>AAAAAGz/6wo=</v>
      </c>
      <c r="L110" t="e">
        <f>AND('Planilla_General_29-11-2012_10_'!A1643,"AAAAAGz/6ws=")</f>
        <v>#VALUE!</v>
      </c>
      <c r="M110" t="e">
        <f>AND('Planilla_General_29-11-2012_10_'!B1643,"AAAAAGz/6ww=")</f>
        <v>#VALUE!</v>
      </c>
      <c r="N110" t="e">
        <f>AND('Planilla_General_29-11-2012_10_'!C1643,"AAAAAGz/6w0=")</f>
        <v>#VALUE!</v>
      </c>
      <c r="O110" t="e">
        <f>AND('Planilla_General_29-11-2012_10_'!D1643,"AAAAAGz/6w4=")</f>
        <v>#VALUE!</v>
      </c>
      <c r="P110" t="e">
        <f>AND('Planilla_General_29-11-2012_10_'!E1643,"AAAAAGz/6w8=")</f>
        <v>#VALUE!</v>
      </c>
      <c r="Q110" t="e">
        <f>AND('Planilla_General_29-11-2012_10_'!F1643,"AAAAAGz/6xA=")</f>
        <v>#VALUE!</v>
      </c>
      <c r="R110" t="e">
        <f>AND('Planilla_General_29-11-2012_10_'!G1643,"AAAAAGz/6xE=")</f>
        <v>#VALUE!</v>
      </c>
      <c r="S110" t="e">
        <f>AND('Planilla_General_29-11-2012_10_'!H1643,"AAAAAGz/6xI=")</f>
        <v>#VALUE!</v>
      </c>
      <c r="T110" t="e">
        <f>AND('Planilla_General_29-11-2012_10_'!I1643,"AAAAAGz/6xM=")</f>
        <v>#VALUE!</v>
      </c>
      <c r="U110" t="e">
        <f>AND('Planilla_General_29-11-2012_10_'!J1643,"AAAAAGz/6xQ=")</f>
        <v>#VALUE!</v>
      </c>
      <c r="V110" t="e">
        <f>AND('Planilla_General_29-11-2012_10_'!K1643,"AAAAAGz/6xU=")</f>
        <v>#VALUE!</v>
      </c>
      <c r="W110" t="e">
        <f>AND('Planilla_General_29-11-2012_10_'!L1643,"AAAAAGz/6xY=")</f>
        <v>#VALUE!</v>
      </c>
      <c r="X110" t="e">
        <f>AND('Planilla_General_29-11-2012_10_'!M1643,"AAAAAGz/6xc=")</f>
        <v>#VALUE!</v>
      </c>
      <c r="Y110" t="e">
        <f>AND('Planilla_General_29-11-2012_10_'!N1643,"AAAAAGz/6xg=")</f>
        <v>#VALUE!</v>
      </c>
      <c r="Z110" t="e">
        <f>AND('Planilla_General_29-11-2012_10_'!O1643,"AAAAAGz/6xk=")</f>
        <v>#VALUE!</v>
      </c>
      <c r="AA110" t="e">
        <f>AND('Planilla_General_29-11-2012_10_'!P1643,"AAAAAGz/6xo=")</f>
        <v>#VALUE!</v>
      </c>
      <c r="AB110">
        <f>IF('Planilla_General_29-11-2012_10_'!1644:1644,"AAAAAGz/6xs=",0)</f>
        <v>0</v>
      </c>
      <c r="AC110" t="e">
        <f>AND('Planilla_General_29-11-2012_10_'!A1644,"AAAAAGz/6xw=")</f>
        <v>#VALUE!</v>
      </c>
      <c r="AD110" t="e">
        <f>AND('Planilla_General_29-11-2012_10_'!B1644,"AAAAAGz/6x0=")</f>
        <v>#VALUE!</v>
      </c>
      <c r="AE110" t="e">
        <f>AND('Planilla_General_29-11-2012_10_'!C1644,"AAAAAGz/6x4=")</f>
        <v>#VALUE!</v>
      </c>
      <c r="AF110" t="e">
        <f>AND('Planilla_General_29-11-2012_10_'!D1644,"AAAAAGz/6x8=")</f>
        <v>#VALUE!</v>
      </c>
      <c r="AG110" t="e">
        <f>AND('Planilla_General_29-11-2012_10_'!E1644,"AAAAAGz/6yA=")</f>
        <v>#VALUE!</v>
      </c>
      <c r="AH110" t="e">
        <f>AND('Planilla_General_29-11-2012_10_'!F1644,"AAAAAGz/6yE=")</f>
        <v>#VALUE!</v>
      </c>
      <c r="AI110" t="e">
        <f>AND('Planilla_General_29-11-2012_10_'!G1644,"AAAAAGz/6yI=")</f>
        <v>#VALUE!</v>
      </c>
      <c r="AJ110" t="e">
        <f>AND('Planilla_General_29-11-2012_10_'!H1644,"AAAAAGz/6yM=")</f>
        <v>#VALUE!</v>
      </c>
      <c r="AK110" t="e">
        <f>AND('Planilla_General_29-11-2012_10_'!I1644,"AAAAAGz/6yQ=")</f>
        <v>#VALUE!</v>
      </c>
      <c r="AL110" t="e">
        <f>AND('Planilla_General_29-11-2012_10_'!J1644,"AAAAAGz/6yU=")</f>
        <v>#VALUE!</v>
      </c>
      <c r="AM110" t="e">
        <f>AND('Planilla_General_29-11-2012_10_'!K1644,"AAAAAGz/6yY=")</f>
        <v>#VALUE!</v>
      </c>
      <c r="AN110" t="e">
        <f>AND('Planilla_General_29-11-2012_10_'!L1644,"AAAAAGz/6yc=")</f>
        <v>#VALUE!</v>
      </c>
      <c r="AO110" t="e">
        <f>AND('Planilla_General_29-11-2012_10_'!M1644,"AAAAAGz/6yg=")</f>
        <v>#VALUE!</v>
      </c>
      <c r="AP110" t="e">
        <f>AND('Planilla_General_29-11-2012_10_'!N1644,"AAAAAGz/6yk=")</f>
        <v>#VALUE!</v>
      </c>
      <c r="AQ110" t="e">
        <f>AND('Planilla_General_29-11-2012_10_'!O1644,"AAAAAGz/6yo=")</f>
        <v>#VALUE!</v>
      </c>
      <c r="AR110" t="e">
        <f>AND('Planilla_General_29-11-2012_10_'!P1644,"AAAAAGz/6ys=")</f>
        <v>#VALUE!</v>
      </c>
      <c r="AS110">
        <f>IF('Planilla_General_29-11-2012_10_'!1645:1645,"AAAAAGz/6yw=",0)</f>
        <v>0</v>
      </c>
      <c r="AT110" t="e">
        <f>AND('Planilla_General_29-11-2012_10_'!A1645,"AAAAAGz/6y0=")</f>
        <v>#VALUE!</v>
      </c>
      <c r="AU110" t="e">
        <f>AND('Planilla_General_29-11-2012_10_'!B1645,"AAAAAGz/6y4=")</f>
        <v>#VALUE!</v>
      </c>
      <c r="AV110" t="e">
        <f>AND('Planilla_General_29-11-2012_10_'!C1645,"AAAAAGz/6y8=")</f>
        <v>#VALUE!</v>
      </c>
      <c r="AW110" t="e">
        <f>AND('Planilla_General_29-11-2012_10_'!D1645,"AAAAAGz/6zA=")</f>
        <v>#VALUE!</v>
      </c>
      <c r="AX110" t="e">
        <f>AND('Planilla_General_29-11-2012_10_'!E1645,"AAAAAGz/6zE=")</f>
        <v>#VALUE!</v>
      </c>
      <c r="AY110" t="e">
        <f>AND('Planilla_General_29-11-2012_10_'!F1645,"AAAAAGz/6zI=")</f>
        <v>#VALUE!</v>
      </c>
      <c r="AZ110" t="e">
        <f>AND('Planilla_General_29-11-2012_10_'!G1645,"AAAAAGz/6zM=")</f>
        <v>#VALUE!</v>
      </c>
      <c r="BA110" t="e">
        <f>AND('Planilla_General_29-11-2012_10_'!H1645,"AAAAAGz/6zQ=")</f>
        <v>#VALUE!</v>
      </c>
      <c r="BB110" t="e">
        <f>AND('Planilla_General_29-11-2012_10_'!I1645,"AAAAAGz/6zU=")</f>
        <v>#VALUE!</v>
      </c>
      <c r="BC110" t="e">
        <f>AND('Planilla_General_29-11-2012_10_'!J1645,"AAAAAGz/6zY=")</f>
        <v>#VALUE!</v>
      </c>
      <c r="BD110" t="e">
        <f>AND('Planilla_General_29-11-2012_10_'!K1645,"AAAAAGz/6zc=")</f>
        <v>#VALUE!</v>
      </c>
      <c r="BE110" t="e">
        <f>AND('Planilla_General_29-11-2012_10_'!L1645,"AAAAAGz/6zg=")</f>
        <v>#VALUE!</v>
      </c>
      <c r="BF110" t="e">
        <f>AND('Planilla_General_29-11-2012_10_'!M1645,"AAAAAGz/6zk=")</f>
        <v>#VALUE!</v>
      </c>
      <c r="BG110" t="e">
        <f>AND('Planilla_General_29-11-2012_10_'!N1645,"AAAAAGz/6zo=")</f>
        <v>#VALUE!</v>
      </c>
      <c r="BH110" t="e">
        <f>AND('Planilla_General_29-11-2012_10_'!O1645,"AAAAAGz/6zs=")</f>
        <v>#VALUE!</v>
      </c>
      <c r="BI110" t="e">
        <f>AND('Planilla_General_29-11-2012_10_'!P1645,"AAAAAGz/6zw=")</f>
        <v>#VALUE!</v>
      </c>
      <c r="BJ110">
        <f>IF('Planilla_General_29-11-2012_10_'!1646:1646,"AAAAAGz/6z0=",0)</f>
        <v>0</v>
      </c>
      <c r="BK110" t="e">
        <f>AND('Planilla_General_29-11-2012_10_'!A1646,"AAAAAGz/6z4=")</f>
        <v>#VALUE!</v>
      </c>
      <c r="BL110" t="e">
        <f>AND('Planilla_General_29-11-2012_10_'!B1646,"AAAAAGz/6z8=")</f>
        <v>#VALUE!</v>
      </c>
      <c r="BM110" t="e">
        <f>AND('Planilla_General_29-11-2012_10_'!C1646,"AAAAAGz/60A=")</f>
        <v>#VALUE!</v>
      </c>
      <c r="BN110" t="e">
        <f>AND('Planilla_General_29-11-2012_10_'!D1646,"AAAAAGz/60E=")</f>
        <v>#VALUE!</v>
      </c>
      <c r="BO110" t="e">
        <f>AND('Planilla_General_29-11-2012_10_'!E1646,"AAAAAGz/60I=")</f>
        <v>#VALUE!</v>
      </c>
      <c r="BP110" t="e">
        <f>AND('Planilla_General_29-11-2012_10_'!F1646,"AAAAAGz/60M=")</f>
        <v>#VALUE!</v>
      </c>
      <c r="BQ110" t="e">
        <f>AND('Planilla_General_29-11-2012_10_'!G1646,"AAAAAGz/60Q=")</f>
        <v>#VALUE!</v>
      </c>
      <c r="BR110" t="e">
        <f>AND('Planilla_General_29-11-2012_10_'!H1646,"AAAAAGz/60U=")</f>
        <v>#VALUE!</v>
      </c>
      <c r="BS110" t="e">
        <f>AND('Planilla_General_29-11-2012_10_'!I1646,"AAAAAGz/60Y=")</f>
        <v>#VALUE!</v>
      </c>
      <c r="BT110" t="e">
        <f>AND('Planilla_General_29-11-2012_10_'!J1646,"AAAAAGz/60c=")</f>
        <v>#VALUE!</v>
      </c>
      <c r="BU110" t="e">
        <f>AND('Planilla_General_29-11-2012_10_'!K1646,"AAAAAGz/60g=")</f>
        <v>#VALUE!</v>
      </c>
      <c r="BV110" t="e">
        <f>AND('Planilla_General_29-11-2012_10_'!L1646,"AAAAAGz/60k=")</f>
        <v>#VALUE!</v>
      </c>
      <c r="BW110" t="e">
        <f>AND('Planilla_General_29-11-2012_10_'!M1646,"AAAAAGz/60o=")</f>
        <v>#VALUE!</v>
      </c>
      <c r="BX110" t="e">
        <f>AND('Planilla_General_29-11-2012_10_'!N1646,"AAAAAGz/60s=")</f>
        <v>#VALUE!</v>
      </c>
      <c r="BY110" t="e">
        <f>AND('Planilla_General_29-11-2012_10_'!O1646,"AAAAAGz/60w=")</f>
        <v>#VALUE!</v>
      </c>
      <c r="BZ110" t="e">
        <f>AND('Planilla_General_29-11-2012_10_'!P1646,"AAAAAGz/600=")</f>
        <v>#VALUE!</v>
      </c>
      <c r="CA110">
        <f>IF('Planilla_General_29-11-2012_10_'!1647:1647,"AAAAAGz/604=",0)</f>
        <v>0</v>
      </c>
      <c r="CB110" t="e">
        <f>AND('Planilla_General_29-11-2012_10_'!A1647,"AAAAAGz/608=")</f>
        <v>#VALUE!</v>
      </c>
      <c r="CC110" t="e">
        <f>AND('Planilla_General_29-11-2012_10_'!B1647,"AAAAAGz/61A=")</f>
        <v>#VALUE!</v>
      </c>
      <c r="CD110" t="e">
        <f>AND('Planilla_General_29-11-2012_10_'!C1647,"AAAAAGz/61E=")</f>
        <v>#VALUE!</v>
      </c>
      <c r="CE110" t="e">
        <f>AND('Planilla_General_29-11-2012_10_'!D1647,"AAAAAGz/61I=")</f>
        <v>#VALUE!</v>
      </c>
      <c r="CF110" t="e">
        <f>AND('Planilla_General_29-11-2012_10_'!E1647,"AAAAAGz/61M=")</f>
        <v>#VALUE!</v>
      </c>
      <c r="CG110" t="e">
        <f>AND('Planilla_General_29-11-2012_10_'!F1647,"AAAAAGz/61Q=")</f>
        <v>#VALUE!</v>
      </c>
      <c r="CH110" t="e">
        <f>AND('Planilla_General_29-11-2012_10_'!G1647,"AAAAAGz/61U=")</f>
        <v>#VALUE!</v>
      </c>
      <c r="CI110" t="e">
        <f>AND('Planilla_General_29-11-2012_10_'!H1647,"AAAAAGz/61Y=")</f>
        <v>#VALUE!</v>
      </c>
      <c r="CJ110" t="e">
        <f>AND('Planilla_General_29-11-2012_10_'!I1647,"AAAAAGz/61c=")</f>
        <v>#VALUE!</v>
      </c>
      <c r="CK110" t="e">
        <f>AND('Planilla_General_29-11-2012_10_'!J1647,"AAAAAGz/61g=")</f>
        <v>#VALUE!</v>
      </c>
      <c r="CL110" t="e">
        <f>AND('Planilla_General_29-11-2012_10_'!K1647,"AAAAAGz/61k=")</f>
        <v>#VALUE!</v>
      </c>
      <c r="CM110" t="e">
        <f>AND('Planilla_General_29-11-2012_10_'!L1647,"AAAAAGz/61o=")</f>
        <v>#VALUE!</v>
      </c>
      <c r="CN110" t="e">
        <f>AND('Planilla_General_29-11-2012_10_'!M1647,"AAAAAGz/61s=")</f>
        <v>#VALUE!</v>
      </c>
      <c r="CO110" t="e">
        <f>AND('Planilla_General_29-11-2012_10_'!N1647,"AAAAAGz/61w=")</f>
        <v>#VALUE!</v>
      </c>
      <c r="CP110" t="e">
        <f>AND('Planilla_General_29-11-2012_10_'!O1647,"AAAAAGz/610=")</f>
        <v>#VALUE!</v>
      </c>
      <c r="CQ110" t="e">
        <f>AND('Planilla_General_29-11-2012_10_'!P1647,"AAAAAGz/614=")</f>
        <v>#VALUE!</v>
      </c>
      <c r="CR110">
        <f>IF('Planilla_General_29-11-2012_10_'!1648:1648,"AAAAAGz/618=",0)</f>
        <v>0</v>
      </c>
      <c r="CS110" t="e">
        <f>AND('Planilla_General_29-11-2012_10_'!A1648,"AAAAAGz/62A=")</f>
        <v>#VALUE!</v>
      </c>
      <c r="CT110" t="e">
        <f>AND('Planilla_General_29-11-2012_10_'!B1648,"AAAAAGz/62E=")</f>
        <v>#VALUE!</v>
      </c>
      <c r="CU110" t="e">
        <f>AND('Planilla_General_29-11-2012_10_'!C1648,"AAAAAGz/62I=")</f>
        <v>#VALUE!</v>
      </c>
      <c r="CV110" t="e">
        <f>AND('Planilla_General_29-11-2012_10_'!D1648,"AAAAAGz/62M=")</f>
        <v>#VALUE!</v>
      </c>
      <c r="CW110" t="e">
        <f>AND('Planilla_General_29-11-2012_10_'!E1648,"AAAAAGz/62Q=")</f>
        <v>#VALUE!</v>
      </c>
      <c r="CX110" t="e">
        <f>AND('Planilla_General_29-11-2012_10_'!F1648,"AAAAAGz/62U=")</f>
        <v>#VALUE!</v>
      </c>
      <c r="CY110" t="e">
        <f>AND('Planilla_General_29-11-2012_10_'!G1648,"AAAAAGz/62Y=")</f>
        <v>#VALUE!</v>
      </c>
      <c r="CZ110" t="e">
        <f>AND('Planilla_General_29-11-2012_10_'!H1648,"AAAAAGz/62c=")</f>
        <v>#VALUE!</v>
      </c>
      <c r="DA110" t="e">
        <f>AND('Planilla_General_29-11-2012_10_'!I1648,"AAAAAGz/62g=")</f>
        <v>#VALUE!</v>
      </c>
      <c r="DB110" t="e">
        <f>AND('Planilla_General_29-11-2012_10_'!J1648,"AAAAAGz/62k=")</f>
        <v>#VALUE!</v>
      </c>
      <c r="DC110" t="e">
        <f>AND('Planilla_General_29-11-2012_10_'!K1648,"AAAAAGz/62o=")</f>
        <v>#VALUE!</v>
      </c>
      <c r="DD110" t="e">
        <f>AND('Planilla_General_29-11-2012_10_'!L1648,"AAAAAGz/62s=")</f>
        <v>#VALUE!</v>
      </c>
      <c r="DE110" t="e">
        <f>AND('Planilla_General_29-11-2012_10_'!M1648,"AAAAAGz/62w=")</f>
        <v>#VALUE!</v>
      </c>
      <c r="DF110" t="e">
        <f>AND('Planilla_General_29-11-2012_10_'!N1648,"AAAAAGz/620=")</f>
        <v>#VALUE!</v>
      </c>
      <c r="DG110" t="e">
        <f>AND('Planilla_General_29-11-2012_10_'!O1648,"AAAAAGz/624=")</f>
        <v>#VALUE!</v>
      </c>
      <c r="DH110" t="e">
        <f>AND('Planilla_General_29-11-2012_10_'!P1648,"AAAAAGz/628=")</f>
        <v>#VALUE!</v>
      </c>
      <c r="DI110">
        <f>IF('Planilla_General_29-11-2012_10_'!1649:1649,"AAAAAGz/63A=",0)</f>
        <v>0</v>
      </c>
      <c r="DJ110" t="e">
        <f>AND('Planilla_General_29-11-2012_10_'!A1649,"AAAAAGz/63E=")</f>
        <v>#VALUE!</v>
      </c>
      <c r="DK110" t="e">
        <f>AND('Planilla_General_29-11-2012_10_'!B1649,"AAAAAGz/63I=")</f>
        <v>#VALUE!</v>
      </c>
      <c r="DL110" t="e">
        <f>AND('Planilla_General_29-11-2012_10_'!C1649,"AAAAAGz/63M=")</f>
        <v>#VALUE!</v>
      </c>
      <c r="DM110" t="e">
        <f>AND('Planilla_General_29-11-2012_10_'!D1649,"AAAAAGz/63Q=")</f>
        <v>#VALUE!</v>
      </c>
      <c r="DN110" t="e">
        <f>AND('Planilla_General_29-11-2012_10_'!E1649,"AAAAAGz/63U=")</f>
        <v>#VALUE!</v>
      </c>
      <c r="DO110" t="e">
        <f>AND('Planilla_General_29-11-2012_10_'!F1649,"AAAAAGz/63Y=")</f>
        <v>#VALUE!</v>
      </c>
      <c r="DP110" t="e">
        <f>AND('Planilla_General_29-11-2012_10_'!G1649,"AAAAAGz/63c=")</f>
        <v>#VALUE!</v>
      </c>
      <c r="DQ110" t="e">
        <f>AND('Planilla_General_29-11-2012_10_'!H1649,"AAAAAGz/63g=")</f>
        <v>#VALUE!</v>
      </c>
      <c r="DR110" t="e">
        <f>AND('Planilla_General_29-11-2012_10_'!I1649,"AAAAAGz/63k=")</f>
        <v>#VALUE!</v>
      </c>
      <c r="DS110" t="e">
        <f>AND('Planilla_General_29-11-2012_10_'!J1649,"AAAAAGz/63o=")</f>
        <v>#VALUE!</v>
      </c>
      <c r="DT110" t="e">
        <f>AND('Planilla_General_29-11-2012_10_'!K1649,"AAAAAGz/63s=")</f>
        <v>#VALUE!</v>
      </c>
      <c r="DU110" t="e">
        <f>AND('Planilla_General_29-11-2012_10_'!L1649,"AAAAAGz/63w=")</f>
        <v>#VALUE!</v>
      </c>
      <c r="DV110" t="e">
        <f>AND('Planilla_General_29-11-2012_10_'!M1649,"AAAAAGz/630=")</f>
        <v>#VALUE!</v>
      </c>
      <c r="DW110" t="e">
        <f>AND('Planilla_General_29-11-2012_10_'!N1649,"AAAAAGz/634=")</f>
        <v>#VALUE!</v>
      </c>
      <c r="DX110" t="e">
        <f>AND('Planilla_General_29-11-2012_10_'!O1649,"AAAAAGz/638=")</f>
        <v>#VALUE!</v>
      </c>
      <c r="DY110" t="e">
        <f>AND('Planilla_General_29-11-2012_10_'!P1649,"AAAAAGz/64A=")</f>
        <v>#VALUE!</v>
      </c>
      <c r="DZ110">
        <f>IF('Planilla_General_29-11-2012_10_'!1650:1650,"AAAAAGz/64E=",0)</f>
        <v>0</v>
      </c>
      <c r="EA110" t="e">
        <f>AND('Planilla_General_29-11-2012_10_'!A1650,"AAAAAGz/64I=")</f>
        <v>#VALUE!</v>
      </c>
      <c r="EB110" t="e">
        <f>AND('Planilla_General_29-11-2012_10_'!B1650,"AAAAAGz/64M=")</f>
        <v>#VALUE!</v>
      </c>
      <c r="EC110" t="e">
        <f>AND('Planilla_General_29-11-2012_10_'!C1650,"AAAAAGz/64Q=")</f>
        <v>#VALUE!</v>
      </c>
      <c r="ED110" t="e">
        <f>AND('Planilla_General_29-11-2012_10_'!D1650,"AAAAAGz/64U=")</f>
        <v>#VALUE!</v>
      </c>
      <c r="EE110" t="e">
        <f>AND('Planilla_General_29-11-2012_10_'!E1650,"AAAAAGz/64Y=")</f>
        <v>#VALUE!</v>
      </c>
      <c r="EF110" t="e">
        <f>AND('Planilla_General_29-11-2012_10_'!F1650,"AAAAAGz/64c=")</f>
        <v>#VALUE!</v>
      </c>
      <c r="EG110" t="e">
        <f>AND('Planilla_General_29-11-2012_10_'!G1650,"AAAAAGz/64g=")</f>
        <v>#VALUE!</v>
      </c>
      <c r="EH110" t="e">
        <f>AND('Planilla_General_29-11-2012_10_'!H1650,"AAAAAGz/64k=")</f>
        <v>#VALUE!</v>
      </c>
      <c r="EI110" t="e">
        <f>AND('Planilla_General_29-11-2012_10_'!I1650,"AAAAAGz/64o=")</f>
        <v>#VALUE!</v>
      </c>
      <c r="EJ110" t="e">
        <f>AND('Planilla_General_29-11-2012_10_'!J1650,"AAAAAGz/64s=")</f>
        <v>#VALUE!</v>
      </c>
      <c r="EK110" t="e">
        <f>AND('Planilla_General_29-11-2012_10_'!K1650,"AAAAAGz/64w=")</f>
        <v>#VALUE!</v>
      </c>
      <c r="EL110" t="e">
        <f>AND('Planilla_General_29-11-2012_10_'!L1650,"AAAAAGz/640=")</f>
        <v>#VALUE!</v>
      </c>
      <c r="EM110" t="e">
        <f>AND('Planilla_General_29-11-2012_10_'!M1650,"AAAAAGz/644=")</f>
        <v>#VALUE!</v>
      </c>
      <c r="EN110" t="e">
        <f>AND('Planilla_General_29-11-2012_10_'!N1650,"AAAAAGz/648=")</f>
        <v>#VALUE!</v>
      </c>
      <c r="EO110" t="e">
        <f>AND('Planilla_General_29-11-2012_10_'!O1650,"AAAAAGz/65A=")</f>
        <v>#VALUE!</v>
      </c>
      <c r="EP110" t="e">
        <f>AND('Planilla_General_29-11-2012_10_'!P1650,"AAAAAGz/65E=")</f>
        <v>#VALUE!</v>
      </c>
      <c r="EQ110">
        <f>IF('Planilla_General_29-11-2012_10_'!1651:1651,"AAAAAGz/65I=",0)</f>
        <v>0</v>
      </c>
      <c r="ER110" t="e">
        <f>AND('Planilla_General_29-11-2012_10_'!A1651,"AAAAAGz/65M=")</f>
        <v>#VALUE!</v>
      </c>
      <c r="ES110" t="e">
        <f>AND('Planilla_General_29-11-2012_10_'!B1651,"AAAAAGz/65Q=")</f>
        <v>#VALUE!</v>
      </c>
      <c r="ET110" t="e">
        <f>AND('Planilla_General_29-11-2012_10_'!C1651,"AAAAAGz/65U=")</f>
        <v>#VALUE!</v>
      </c>
      <c r="EU110" t="e">
        <f>AND('Planilla_General_29-11-2012_10_'!D1651,"AAAAAGz/65Y=")</f>
        <v>#VALUE!</v>
      </c>
      <c r="EV110" t="e">
        <f>AND('Planilla_General_29-11-2012_10_'!E1651,"AAAAAGz/65c=")</f>
        <v>#VALUE!</v>
      </c>
      <c r="EW110" t="e">
        <f>AND('Planilla_General_29-11-2012_10_'!F1651,"AAAAAGz/65g=")</f>
        <v>#VALUE!</v>
      </c>
      <c r="EX110" t="e">
        <f>AND('Planilla_General_29-11-2012_10_'!G1651,"AAAAAGz/65k=")</f>
        <v>#VALUE!</v>
      </c>
      <c r="EY110" t="e">
        <f>AND('Planilla_General_29-11-2012_10_'!H1651,"AAAAAGz/65o=")</f>
        <v>#VALUE!</v>
      </c>
      <c r="EZ110" t="e">
        <f>AND('Planilla_General_29-11-2012_10_'!I1651,"AAAAAGz/65s=")</f>
        <v>#VALUE!</v>
      </c>
      <c r="FA110" t="e">
        <f>AND('Planilla_General_29-11-2012_10_'!J1651,"AAAAAGz/65w=")</f>
        <v>#VALUE!</v>
      </c>
      <c r="FB110" t="e">
        <f>AND('Planilla_General_29-11-2012_10_'!K1651,"AAAAAGz/650=")</f>
        <v>#VALUE!</v>
      </c>
      <c r="FC110" t="e">
        <f>AND('Planilla_General_29-11-2012_10_'!L1651,"AAAAAGz/654=")</f>
        <v>#VALUE!</v>
      </c>
      <c r="FD110" t="e">
        <f>AND('Planilla_General_29-11-2012_10_'!M1651,"AAAAAGz/658=")</f>
        <v>#VALUE!</v>
      </c>
      <c r="FE110" t="e">
        <f>AND('Planilla_General_29-11-2012_10_'!N1651,"AAAAAGz/66A=")</f>
        <v>#VALUE!</v>
      </c>
      <c r="FF110" t="e">
        <f>AND('Planilla_General_29-11-2012_10_'!O1651,"AAAAAGz/66E=")</f>
        <v>#VALUE!</v>
      </c>
      <c r="FG110" t="e">
        <f>AND('Planilla_General_29-11-2012_10_'!P1651,"AAAAAGz/66I=")</f>
        <v>#VALUE!</v>
      </c>
      <c r="FH110">
        <f>IF('Planilla_General_29-11-2012_10_'!1652:1652,"AAAAAGz/66M=",0)</f>
        <v>0</v>
      </c>
      <c r="FI110" t="e">
        <f>AND('Planilla_General_29-11-2012_10_'!A1652,"AAAAAGz/66Q=")</f>
        <v>#VALUE!</v>
      </c>
      <c r="FJ110" t="e">
        <f>AND('Planilla_General_29-11-2012_10_'!B1652,"AAAAAGz/66U=")</f>
        <v>#VALUE!</v>
      </c>
      <c r="FK110" t="e">
        <f>AND('Planilla_General_29-11-2012_10_'!C1652,"AAAAAGz/66Y=")</f>
        <v>#VALUE!</v>
      </c>
      <c r="FL110" t="e">
        <f>AND('Planilla_General_29-11-2012_10_'!D1652,"AAAAAGz/66c=")</f>
        <v>#VALUE!</v>
      </c>
      <c r="FM110" t="e">
        <f>AND('Planilla_General_29-11-2012_10_'!E1652,"AAAAAGz/66g=")</f>
        <v>#VALUE!</v>
      </c>
      <c r="FN110" t="e">
        <f>AND('Planilla_General_29-11-2012_10_'!F1652,"AAAAAGz/66k=")</f>
        <v>#VALUE!</v>
      </c>
      <c r="FO110" t="e">
        <f>AND('Planilla_General_29-11-2012_10_'!G1652,"AAAAAGz/66o=")</f>
        <v>#VALUE!</v>
      </c>
      <c r="FP110" t="e">
        <f>AND('Planilla_General_29-11-2012_10_'!H1652,"AAAAAGz/66s=")</f>
        <v>#VALUE!</v>
      </c>
      <c r="FQ110" t="e">
        <f>AND('Planilla_General_29-11-2012_10_'!I1652,"AAAAAGz/66w=")</f>
        <v>#VALUE!</v>
      </c>
      <c r="FR110" t="e">
        <f>AND('Planilla_General_29-11-2012_10_'!J1652,"AAAAAGz/660=")</f>
        <v>#VALUE!</v>
      </c>
      <c r="FS110" t="e">
        <f>AND('Planilla_General_29-11-2012_10_'!K1652,"AAAAAGz/664=")</f>
        <v>#VALUE!</v>
      </c>
      <c r="FT110" t="e">
        <f>AND('Planilla_General_29-11-2012_10_'!L1652,"AAAAAGz/668=")</f>
        <v>#VALUE!</v>
      </c>
      <c r="FU110" t="e">
        <f>AND('Planilla_General_29-11-2012_10_'!M1652,"AAAAAGz/67A=")</f>
        <v>#VALUE!</v>
      </c>
      <c r="FV110" t="e">
        <f>AND('Planilla_General_29-11-2012_10_'!N1652,"AAAAAGz/67E=")</f>
        <v>#VALUE!</v>
      </c>
      <c r="FW110" t="e">
        <f>AND('Planilla_General_29-11-2012_10_'!O1652,"AAAAAGz/67I=")</f>
        <v>#VALUE!</v>
      </c>
      <c r="FX110" t="e">
        <f>AND('Planilla_General_29-11-2012_10_'!P1652,"AAAAAGz/67M=")</f>
        <v>#VALUE!</v>
      </c>
      <c r="FY110">
        <f>IF('Planilla_General_29-11-2012_10_'!1653:1653,"AAAAAGz/67Q=",0)</f>
        <v>0</v>
      </c>
      <c r="FZ110" t="e">
        <f>AND('Planilla_General_29-11-2012_10_'!A1653,"AAAAAGz/67U=")</f>
        <v>#VALUE!</v>
      </c>
      <c r="GA110" t="e">
        <f>AND('Planilla_General_29-11-2012_10_'!B1653,"AAAAAGz/67Y=")</f>
        <v>#VALUE!</v>
      </c>
      <c r="GB110" t="e">
        <f>AND('Planilla_General_29-11-2012_10_'!C1653,"AAAAAGz/67c=")</f>
        <v>#VALUE!</v>
      </c>
      <c r="GC110" t="e">
        <f>AND('Planilla_General_29-11-2012_10_'!D1653,"AAAAAGz/67g=")</f>
        <v>#VALUE!</v>
      </c>
      <c r="GD110" t="e">
        <f>AND('Planilla_General_29-11-2012_10_'!E1653,"AAAAAGz/67k=")</f>
        <v>#VALUE!</v>
      </c>
      <c r="GE110" t="e">
        <f>AND('Planilla_General_29-11-2012_10_'!F1653,"AAAAAGz/67o=")</f>
        <v>#VALUE!</v>
      </c>
      <c r="GF110" t="e">
        <f>AND('Planilla_General_29-11-2012_10_'!G1653,"AAAAAGz/67s=")</f>
        <v>#VALUE!</v>
      </c>
      <c r="GG110" t="e">
        <f>AND('Planilla_General_29-11-2012_10_'!H1653,"AAAAAGz/67w=")</f>
        <v>#VALUE!</v>
      </c>
      <c r="GH110" t="e">
        <f>AND('Planilla_General_29-11-2012_10_'!I1653,"AAAAAGz/670=")</f>
        <v>#VALUE!</v>
      </c>
      <c r="GI110" t="e">
        <f>AND('Planilla_General_29-11-2012_10_'!J1653,"AAAAAGz/674=")</f>
        <v>#VALUE!</v>
      </c>
      <c r="GJ110" t="e">
        <f>AND('Planilla_General_29-11-2012_10_'!K1653,"AAAAAGz/678=")</f>
        <v>#VALUE!</v>
      </c>
      <c r="GK110" t="e">
        <f>AND('Planilla_General_29-11-2012_10_'!L1653,"AAAAAGz/68A=")</f>
        <v>#VALUE!</v>
      </c>
      <c r="GL110" t="e">
        <f>AND('Planilla_General_29-11-2012_10_'!M1653,"AAAAAGz/68E=")</f>
        <v>#VALUE!</v>
      </c>
      <c r="GM110" t="e">
        <f>AND('Planilla_General_29-11-2012_10_'!N1653,"AAAAAGz/68I=")</f>
        <v>#VALUE!</v>
      </c>
      <c r="GN110" t="e">
        <f>AND('Planilla_General_29-11-2012_10_'!O1653,"AAAAAGz/68M=")</f>
        <v>#VALUE!</v>
      </c>
      <c r="GO110" t="e">
        <f>AND('Planilla_General_29-11-2012_10_'!P1653,"AAAAAGz/68Q=")</f>
        <v>#VALUE!</v>
      </c>
      <c r="GP110">
        <f>IF('Planilla_General_29-11-2012_10_'!1654:1654,"AAAAAGz/68U=",0)</f>
        <v>0</v>
      </c>
      <c r="GQ110" t="e">
        <f>AND('Planilla_General_29-11-2012_10_'!A1654,"AAAAAGz/68Y=")</f>
        <v>#VALUE!</v>
      </c>
      <c r="GR110" t="e">
        <f>AND('Planilla_General_29-11-2012_10_'!B1654,"AAAAAGz/68c=")</f>
        <v>#VALUE!</v>
      </c>
      <c r="GS110" t="e">
        <f>AND('Planilla_General_29-11-2012_10_'!C1654,"AAAAAGz/68g=")</f>
        <v>#VALUE!</v>
      </c>
      <c r="GT110" t="e">
        <f>AND('Planilla_General_29-11-2012_10_'!D1654,"AAAAAGz/68k=")</f>
        <v>#VALUE!</v>
      </c>
      <c r="GU110" t="e">
        <f>AND('Planilla_General_29-11-2012_10_'!E1654,"AAAAAGz/68o=")</f>
        <v>#VALUE!</v>
      </c>
      <c r="GV110" t="e">
        <f>AND('Planilla_General_29-11-2012_10_'!F1654,"AAAAAGz/68s=")</f>
        <v>#VALUE!</v>
      </c>
      <c r="GW110" t="e">
        <f>AND('Planilla_General_29-11-2012_10_'!G1654,"AAAAAGz/68w=")</f>
        <v>#VALUE!</v>
      </c>
      <c r="GX110" t="e">
        <f>AND('Planilla_General_29-11-2012_10_'!H1654,"AAAAAGz/680=")</f>
        <v>#VALUE!</v>
      </c>
      <c r="GY110" t="e">
        <f>AND('Planilla_General_29-11-2012_10_'!I1654,"AAAAAGz/684=")</f>
        <v>#VALUE!</v>
      </c>
      <c r="GZ110" t="e">
        <f>AND('Planilla_General_29-11-2012_10_'!J1654,"AAAAAGz/688=")</f>
        <v>#VALUE!</v>
      </c>
      <c r="HA110" t="e">
        <f>AND('Planilla_General_29-11-2012_10_'!K1654,"AAAAAGz/69A=")</f>
        <v>#VALUE!</v>
      </c>
      <c r="HB110" t="e">
        <f>AND('Planilla_General_29-11-2012_10_'!L1654,"AAAAAGz/69E=")</f>
        <v>#VALUE!</v>
      </c>
      <c r="HC110" t="e">
        <f>AND('Planilla_General_29-11-2012_10_'!M1654,"AAAAAGz/69I=")</f>
        <v>#VALUE!</v>
      </c>
      <c r="HD110" t="e">
        <f>AND('Planilla_General_29-11-2012_10_'!N1654,"AAAAAGz/69M=")</f>
        <v>#VALUE!</v>
      </c>
      <c r="HE110" t="e">
        <f>AND('Planilla_General_29-11-2012_10_'!O1654,"AAAAAGz/69Q=")</f>
        <v>#VALUE!</v>
      </c>
      <c r="HF110" t="e">
        <f>AND('Planilla_General_29-11-2012_10_'!P1654,"AAAAAGz/69U=")</f>
        <v>#VALUE!</v>
      </c>
      <c r="HG110">
        <f>IF('Planilla_General_29-11-2012_10_'!1655:1655,"AAAAAGz/69Y=",0)</f>
        <v>0</v>
      </c>
      <c r="HH110" t="e">
        <f>AND('Planilla_General_29-11-2012_10_'!A1655,"AAAAAGz/69c=")</f>
        <v>#VALUE!</v>
      </c>
      <c r="HI110" t="e">
        <f>AND('Planilla_General_29-11-2012_10_'!B1655,"AAAAAGz/69g=")</f>
        <v>#VALUE!</v>
      </c>
      <c r="HJ110" t="e">
        <f>AND('Planilla_General_29-11-2012_10_'!C1655,"AAAAAGz/69k=")</f>
        <v>#VALUE!</v>
      </c>
      <c r="HK110" t="e">
        <f>AND('Planilla_General_29-11-2012_10_'!D1655,"AAAAAGz/69o=")</f>
        <v>#VALUE!</v>
      </c>
      <c r="HL110" t="e">
        <f>AND('Planilla_General_29-11-2012_10_'!E1655,"AAAAAGz/69s=")</f>
        <v>#VALUE!</v>
      </c>
      <c r="HM110" t="e">
        <f>AND('Planilla_General_29-11-2012_10_'!F1655,"AAAAAGz/69w=")</f>
        <v>#VALUE!</v>
      </c>
      <c r="HN110" t="e">
        <f>AND('Planilla_General_29-11-2012_10_'!G1655,"AAAAAGz/690=")</f>
        <v>#VALUE!</v>
      </c>
      <c r="HO110" t="e">
        <f>AND('Planilla_General_29-11-2012_10_'!H1655,"AAAAAGz/694=")</f>
        <v>#VALUE!</v>
      </c>
      <c r="HP110" t="e">
        <f>AND('Planilla_General_29-11-2012_10_'!I1655,"AAAAAGz/698=")</f>
        <v>#VALUE!</v>
      </c>
      <c r="HQ110" t="e">
        <f>AND('Planilla_General_29-11-2012_10_'!J1655,"AAAAAGz/6+A=")</f>
        <v>#VALUE!</v>
      </c>
      <c r="HR110" t="e">
        <f>AND('Planilla_General_29-11-2012_10_'!K1655,"AAAAAGz/6+E=")</f>
        <v>#VALUE!</v>
      </c>
      <c r="HS110" t="e">
        <f>AND('Planilla_General_29-11-2012_10_'!L1655,"AAAAAGz/6+I=")</f>
        <v>#VALUE!</v>
      </c>
      <c r="HT110" t="e">
        <f>AND('Planilla_General_29-11-2012_10_'!M1655,"AAAAAGz/6+M=")</f>
        <v>#VALUE!</v>
      </c>
      <c r="HU110" t="e">
        <f>AND('Planilla_General_29-11-2012_10_'!N1655,"AAAAAGz/6+Q=")</f>
        <v>#VALUE!</v>
      </c>
      <c r="HV110" t="e">
        <f>AND('Planilla_General_29-11-2012_10_'!O1655,"AAAAAGz/6+U=")</f>
        <v>#VALUE!</v>
      </c>
      <c r="HW110" t="e">
        <f>AND('Planilla_General_29-11-2012_10_'!P1655,"AAAAAGz/6+Y=")</f>
        <v>#VALUE!</v>
      </c>
      <c r="HX110">
        <f>IF('Planilla_General_29-11-2012_10_'!1656:1656,"AAAAAGz/6+c=",0)</f>
        <v>0</v>
      </c>
      <c r="HY110" t="e">
        <f>AND('Planilla_General_29-11-2012_10_'!A1656,"AAAAAGz/6+g=")</f>
        <v>#VALUE!</v>
      </c>
      <c r="HZ110" t="e">
        <f>AND('Planilla_General_29-11-2012_10_'!B1656,"AAAAAGz/6+k=")</f>
        <v>#VALUE!</v>
      </c>
      <c r="IA110" t="e">
        <f>AND('Planilla_General_29-11-2012_10_'!C1656,"AAAAAGz/6+o=")</f>
        <v>#VALUE!</v>
      </c>
      <c r="IB110" t="e">
        <f>AND('Planilla_General_29-11-2012_10_'!D1656,"AAAAAGz/6+s=")</f>
        <v>#VALUE!</v>
      </c>
      <c r="IC110" t="e">
        <f>AND('Planilla_General_29-11-2012_10_'!E1656,"AAAAAGz/6+w=")</f>
        <v>#VALUE!</v>
      </c>
      <c r="ID110" t="e">
        <f>AND('Planilla_General_29-11-2012_10_'!F1656,"AAAAAGz/6+0=")</f>
        <v>#VALUE!</v>
      </c>
      <c r="IE110" t="e">
        <f>AND('Planilla_General_29-11-2012_10_'!G1656,"AAAAAGz/6+4=")</f>
        <v>#VALUE!</v>
      </c>
      <c r="IF110" t="e">
        <f>AND('Planilla_General_29-11-2012_10_'!H1656,"AAAAAGz/6+8=")</f>
        <v>#VALUE!</v>
      </c>
      <c r="IG110" t="e">
        <f>AND('Planilla_General_29-11-2012_10_'!I1656,"AAAAAGz/6/A=")</f>
        <v>#VALUE!</v>
      </c>
      <c r="IH110" t="e">
        <f>AND('Planilla_General_29-11-2012_10_'!J1656,"AAAAAGz/6/E=")</f>
        <v>#VALUE!</v>
      </c>
      <c r="II110" t="e">
        <f>AND('Planilla_General_29-11-2012_10_'!K1656,"AAAAAGz/6/I=")</f>
        <v>#VALUE!</v>
      </c>
      <c r="IJ110" t="e">
        <f>AND('Planilla_General_29-11-2012_10_'!L1656,"AAAAAGz/6/M=")</f>
        <v>#VALUE!</v>
      </c>
      <c r="IK110" t="e">
        <f>AND('Planilla_General_29-11-2012_10_'!M1656,"AAAAAGz/6/Q=")</f>
        <v>#VALUE!</v>
      </c>
      <c r="IL110" t="e">
        <f>AND('Planilla_General_29-11-2012_10_'!N1656,"AAAAAGz/6/U=")</f>
        <v>#VALUE!</v>
      </c>
      <c r="IM110" t="e">
        <f>AND('Planilla_General_29-11-2012_10_'!O1656,"AAAAAGz/6/Y=")</f>
        <v>#VALUE!</v>
      </c>
      <c r="IN110" t="e">
        <f>AND('Planilla_General_29-11-2012_10_'!P1656,"AAAAAGz/6/c=")</f>
        <v>#VALUE!</v>
      </c>
      <c r="IO110">
        <f>IF('Planilla_General_29-11-2012_10_'!1657:1657,"AAAAAGz/6/g=",0)</f>
        <v>0</v>
      </c>
      <c r="IP110" t="e">
        <f>AND('Planilla_General_29-11-2012_10_'!A1657,"AAAAAGz/6/k=")</f>
        <v>#VALUE!</v>
      </c>
      <c r="IQ110" t="e">
        <f>AND('Planilla_General_29-11-2012_10_'!B1657,"AAAAAGz/6/o=")</f>
        <v>#VALUE!</v>
      </c>
      <c r="IR110" t="e">
        <f>AND('Planilla_General_29-11-2012_10_'!C1657,"AAAAAGz/6/s=")</f>
        <v>#VALUE!</v>
      </c>
      <c r="IS110" t="e">
        <f>AND('Planilla_General_29-11-2012_10_'!D1657,"AAAAAGz/6/w=")</f>
        <v>#VALUE!</v>
      </c>
      <c r="IT110" t="e">
        <f>AND('Planilla_General_29-11-2012_10_'!E1657,"AAAAAGz/6/0=")</f>
        <v>#VALUE!</v>
      </c>
      <c r="IU110" t="e">
        <f>AND('Planilla_General_29-11-2012_10_'!F1657,"AAAAAGz/6/4=")</f>
        <v>#VALUE!</v>
      </c>
      <c r="IV110" t="e">
        <f>AND('Planilla_General_29-11-2012_10_'!G1657,"AAAAAGz/6/8=")</f>
        <v>#VALUE!</v>
      </c>
    </row>
    <row r="111" spans="1:256" x14ac:dyDescent="0.25">
      <c r="A111" t="e">
        <f>AND('Planilla_General_29-11-2012_10_'!H1657,"AAAAACdf5QA=")</f>
        <v>#VALUE!</v>
      </c>
      <c r="B111" t="e">
        <f>AND('Planilla_General_29-11-2012_10_'!I1657,"AAAAACdf5QE=")</f>
        <v>#VALUE!</v>
      </c>
      <c r="C111" t="e">
        <f>AND('Planilla_General_29-11-2012_10_'!J1657,"AAAAACdf5QI=")</f>
        <v>#VALUE!</v>
      </c>
      <c r="D111" t="e">
        <f>AND('Planilla_General_29-11-2012_10_'!K1657,"AAAAACdf5QM=")</f>
        <v>#VALUE!</v>
      </c>
      <c r="E111" t="e">
        <f>AND('Planilla_General_29-11-2012_10_'!L1657,"AAAAACdf5QQ=")</f>
        <v>#VALUE!</v>
      </c>
      <c r="F111" t="e">
        <f>AND('Planilla_General_29-11-2012_10_'!M1657,"AAAAACdf5QU=")</f>
        <v>#VALUE!</v>
      </c>
      <c r="G111" t="e">
        <f>AND('Planilla_General_29-11-2012_10_'!N1657,"AAAAACdf5QY=")</f>
        <v>#VALUE!</v>
      </c>
      <c r="H111" t="e">
        <f>AND('Planilla_General_29-11-2012_10_'!O1657,"AAAAACdf5Qc=")</f>
        <v>#VALUE!</v>
      </c>
      <c r="I111" t="e">
        <f>AND('Planilla_General_29-11-2012_10_'!P1657,"AAAAACdf5Qg=")</f>
        <v>#VALUE!</v>
      </c>
      <c r="J111" t="e">
        <f>IF('Planilla_General_29-11-2012_10_'!1658:1658,"AAAAACdf5Qk=",0)</f>
        <v>#VALUE!</v>
      </c>
      <c r="K111" t="e">
        <f>AND('Planilla_General_29-11-2012_10_'!A1658,"AAAAACdf5Qo=")</f>
        <v>#VALUE!</v>
      </c>
      <c r="L111" t="e">
        <f>AND('Planilla_General_29-11-2012_10_'!B1658,"AAAAACdf5Qs=")</f>
        <v>#VALUE!</v>
      </c>
      <c r="M111" t="e">
        <f>AND('Planilla_General_29-11-2012_10_'!C1658,"AAAAACdf5Qw=")</f>
        <v>#VALUE!</v>
      </c>
      <c r="N111" t="e">
        <f>AND('Planilla_General_29-11-2012_10_'!D1658,"AAAAACdf5Q0=")</f>
        <v>#VALUE!</v>
      </c>
      <c r="O111" t="e">
        <f>AND('Planilla_General_29-11-2012_10_'!E1658,"AAAAACdf5Q4=")</f>
        <v>#VALUE!</v>
      </c>
      <c r="P111" t="e">
        <f>AND('Planilla_General_29-11-2012_10_'!F1658,"AAAAACdf5Q8=")</f>
        <v>#VALUE!</v>
      </c>
      <c r="Q111" t="e">
        <f>AND('Planilla_General_29-11-2012_10_'!G1658,"AAAAACdf5RA=")</f>
        <v>#VALUE!</v>
      </c>
      <c r="R111" t="e">
        <f>AND('Planilla_General_29-11-2012_10_'!H1658,"AAAAACdf5RE=")</f>
        <v>#VALUE!</v>
      </c>
      <c r="S111" t="e">
        <f>AND('Planilla_General_29-11-2012_10_'!I1658,"AAAAACdf5RI=")</f>
        <v>#VALUE!</v>
      </c>
      <c r="T111" t="e">
        <f>AND('Planilla_General_29-11-2012_10_'!J1658,"AAAAACdf5RM=")</f>
        <v>#VALUE!</v>
      </c>
      <c r="U111" t="e">
        <f>AND('Planilla_General_29-11-2012_10_'!K1658,"AAAAACdf5RQ=")</f>
        <v>#VALUE!</v>
      </c>
      <c r="V111" t="e">
        <f>AND('Planilla_General_29-11-2012_10_'!L1658,"AAAAACdf5RU=")</f>
        <v>#VALUE!</v>
      </c>
      <c r="W111" t="e">
        <f>AND('Planilla_General_29-11-2012_10_'!M1658,"AAAAACdf5RY=")</f>
        <v>#VALUE!</v>
      </c>
      <c r="X111" t="e">
        <f>AND('Planilla_General_29-11-2012_10_'!N1658,"AAAAACdf5Rc=")</f>
        <v>#VALUE!</v>
      </c>
      <c r="Y111" t="e">
        <f>AND('Planilla_General_29-11-2012_10_'!O1658,"AAAAACdf5Rg=")</f>
        <v>#VALUE!</v>
      </c>
      <c r="Z111" t="e">
        <f>AND('Planilla_General_29-11-2012_10_'!P1658,"AAAAACdf5Rk=")</f>
        <v>#VALUE!</v>
      </c>
      <c r="AA111">
        <f>IF('Planilla_General_29-11-2012_10_'!1659:1659,"AAAAACdf5Ro=",0)</f>
        <v>0</v>
      </c>
      <c r="AB111" t="e">
        <f>AND('Planilla_General_29-11-2012_10_'!A1659,"AAAAACdf5Rs=")</f>
        <v>#VALUE!</v>
      </c>
      <c r="AC111" t="e">
        <f>AND('Planilla_General_29-11-2012_10_'!B1659,"AAAAACdf5Rw=")</f>
        <v>#VALUE!</v>
      </c>
      <c r="AD111" t="e">
        <f>AND('Planilla_General_29-11-2012_10_'!C1659,"AAAAACdf5R0=")</f>
        <v>#VALUE!</v>
      </c>
      <c r="AE111" t="e">
        <f>AND('Planilla_General_29-11-2012_10_'!D1659,"AAAAACdf5R4=")</f>
        <v>#VALUE!</v>
      </c>
      <c r="AF111" t="e">
        <f>AND('Planilla_General_29-11-2012_10_'!E1659,"AAAAACdf5R8=")</f>
        <v>#VALUE!</v>
      </c>
      <c r="AG111" t="e">
        <f>AND('Planilla_General_29-11-2012_10_'!F1659,"AAAAACdf5SA=")</f>
        <v>#VALUE!</v>
      </c>
      <c r="AH111" t="e">
        <f>AND('Planilla_General_29-11-2012_10_'!G1659,"AAAAACdf5SE=")</f>
        <v>#VALUE!</v>
      </c>
      <c r="AI111" t="e">
        <f>AND('Planilla_General_29-11-2012_10_'!H1659,"AAAAACdf5SI=")</f>
        <v>#VALUE!</v>
      </c>
      <c r="AJ111" t="e">
        <f>AND('Planilla_General_29-11-2012_10_'!I1659,"AAAAACdf5SM=")</f>
        <v>#VALUE!</v>
      </c>
      <c r="AK111" t="e">
        <f>AND('Planilla_General_29-11-2012_10_'!J1659,"AAAAACdf5SQ=")</f>
        <v>#VALUE!</v>
      </c>
      <c r="AL111" t="e">
        <f>AND('Planilla_General_29-11-2012_10_'!K1659,"AAAAACdf5SU=")</f>
        <v>#VALUE!</v>
      </c>
      <c r="AM111" t="e">
        <f>AND('Planilla_General_29-11-2012_10_'!L1659,"AAAAACdf5SY=")</f>
        <v>#VALUE!</v>
      </c>
      <c r="AN111" t="e">
        <f>AND('Planilla_General_29-11-2012_10_'!M1659,"AAAAACdf5Sc=")</f>
        <v>#VALUE!</v>
      </c>
      <c r="AO111" t="e">
        <f>AND('Planilla_General_29-11-2012_10_'!N1659,"AAAAACdf5Sg=")</f>
        <v>#VALUE!</v>
      </c>
      <c r="AP111" t="e">
        <f>AND('Planilla_General_29-11-2012_10_'!O1659,"AAAAACdf5Sk=")</f>
        <v>#VALUE!</v>
      </c>
      <c r="AQ111" t="e">
        <f>AND('Planilla_General_29-11-2012_10_'!P1659,"AAAAACdf5So=")</f>
        <v>#VALUE!</v>
      </c>
      <c r="AR111">
        <f>IF('Planilla_General_29-11-2012_10_'!1660:1660,"AAAAACdf5Ss=",0)</f>
        <v>0</v>
      </c>
      <c r="AS111" t="e">
        <f>AND('Planilla_General_29-11-2012_10_'!A1660,"AAAAACdf5Sw=")</f>
        <v>#VALUE!</v>
      </c>
      <c r="AT111" t="e">
        <f>AND('Planilla_General_29-11-2012_10_'!B1660,"AAAAACdf5S0=")</f>
        <v>#VALUE!</v>
      </c>
      <c r="AU111" t="e">
        <f>AND('Planilla_General_29-11-2012_10_'!C1660,"AAAAACdf5S4=")</f>
        <v>#VALUE!</v>
      </c>
      <c r="AV111" t="e">
        <f>AND('Planilla_General_29-11-2012_10_'!D1660,"AAAAACdf5S8=")</f>
        <v>#VALUE!</v>
      </c>
      <c r="AW111" t="e">
        <f>AND('Planilla_General_29-11-2012_10_'!E1660,"AAAAACdf5TA=")</f>
        <v>#VALUE!</v>
      </c>
      <c r="AX111" t="e">
        <f>AND('Planilla_General_29-11-2012_10_'!F1660,"AAAAACdf5TE=")</f>
        <v>#VALUE!</v>
      </c>
      <c r="AY111" t="e">
        <f>AND('Planilla_General_29-11-2012_10_'!G1660,"AAAAACdf5TI=")</f>
        <v>#VALUE!</v>
      </c>
      <c r="AZ111" t="e">
        <f>AND('Planilla_General_29-11-2012_10_'!H1660,"AAAAACdf5TM=")</f>
        <v>#VALUE!</v>
      </c>
      <c r="BA111" t="e">
        <f>AND('Planilla_General_29-11-2012_10_'!I1660,"AAAAACdf5TQ=")</f>
        <v>#VALUE!</v>
      </c>
      <c r="BB111" t="e">
        <f>AND('Planilla_General_29-11-2012_10_'!J1660,"AAAAACdf5TU=")</f>
        <v>#VALUE!</v>
      </c>
      <c r="BC111" t="e">
        <f>AND('Planilla_General_29-11-2012_10_'!K1660,"AAAAACdf5TY=")</f>
        <v>#VALUE!</v>
      </c>
      <c r="BD111" t="e">
        <f>AND('Planilla_General_29-11-2012_10_'!L1660,"AAAAACdf5Tc=")</f>
        <v>#VALUE!</v>
      </c>
      <c r="BE111" t="e">
        <f>AND('Planilla_General_29-11-2012_10_'!M1660,"AAAAACdf5Tg=")</f>
        <v>#VALUE!</v>
      </c>
      <c r="BF111" t="e">
        <f>AND('Planilla_General_29-11-2012_10_'!N1660,"AAAAACdf5Tk=")</f>
        <v>#VALUE!</v>
      </c>
      <c r="BG111" t="e">
        <f>AND('Planilla_General_29-11-2012_10_'!O1660,"AAAAACdf5To=")</f>
        <v>#VALUE!</v>
      </c>
      <c r="BH111" t="e">
        <f>AND('Planilla_General_29-11-2012_10_'!P1660,"AAAAACdf5Ts=")</f>
        <v>#VALUE!</v>
      </c>
      <c r="BI111">
        <f>IF('Planilla_General_29-11-2012_10_'!1661:1661,"AAAAACdf5Tw=",0)</f>
        <v>0</v>
      </c>
      <c r="BJ111" t="e">
        <f>AND('Planilla_General_29-11-2012_10_'!A1661,"AAAAACdf5T0=")</f>
        <v>#VALUE!</v>
      </c>
      <c r="BK111" t="e">
        <f>AND('Planilla_General_29-11-2012_10_'!B1661,"AAAAACdf5T4=")</f>
        <v>#VALUE!</v>
      </c>
      <c r="BL111" t="e">
        <f>AND('Planilla_General_29-11-2012_10_'!C1661,"AAAAACdf5T8=")</f>
        <v>#VALUE!</v>
      </c>
      <c r="BM111" t="e">
        <f>AND('Planilla_General_29-11-2012_10_'!D1661,"AAAAACdf5UA=")</f>
        <v>#VALUE!</v>
      </c>
      <c r="BN111" t="e">
        <f>AND('Planilla_General_29-11-2012_10_'!E1661,"AAAAACdf5UE=")</f>
        <v>#VALUE!</v>
      </c>
      <c r="BO111" t="e">
        <f>AND('Planilla_General_29-11-2012_10_'!F1661,"AAAAACdf5UI=")</f>
        <v>#VALUE!</v>
      </c>
      <c r="BP111" t="e">
        <f>AND('Planilla_General_29-11-2012_10_'!G1661,"AAAAACdf5UM=")</f>
        <v>#VALUE!</v>
      </c>
      <c r="BQ111" t="e">
        <f>AND('Planilla_General_29-11-2012_10_'!H1661,"AAAAACdf5UQ=")</f>
        <v>#VALUE!</v>
      </c>
      <c r="BR111" t="e">
        <f>AND('Planilla_General_29-11-2012_10_'!I1661,"AAAAACdf5UU=")</f>
        <v>#VALUE!</v>
      </c>
      <c r="BS111" t="e">
        <f>AND('Planilla_General_29-11-2012_10_'!J1661,"AAAAACdf5UY=")</f>
        <v>#VALUE!</v>
      </c>
      <c r="BT111" t="e">
        <f>AND('Planilla_General_29-11-2012_10_'!K1661,"AAAAACdf5Uc=")</f>
        <v>#VALUE!</v>
      </c>
      <c r="BU111" t="e">
        <f>AND('Planilla_General_29-11-2012_10_'!L1661,"AAAAACdf5Ug=")</f>
        <v>#VALUE!</v>
      </c>
      <c r="BV111" t="e">
        <f>AND('Planilla_General_29-11-2012_10_'!M1661,"AAAAACdf5Uk=")</f>
        <v>#VALUE!</v>
      </c>
      <c r="BW111" t="e">
        <f>AND('Planilla_General_29-11-2012_10_'!N1661,"AAAAACdf5Uo=")</f>
        <v>#VALUE!</v>
      </c>
      <c r="BX111" t="e">
        <f>AND('Planilla_General_29-11-2012_10_'!O1661,"AAAAACdf5Us=")</f>
        <v>#VALUE!</v>
      </c>
      <c r="BY111" t="e">
        <f>AND('Planilla_General_29-11-2012_10_'!P1661,"AAAAACdf5Uw=")</f>
        <v>#VALUE!</v>
      </c>
      <c r="BZ111">
        <f>IF('Planilla_General_29-11-2012_10_'!1662:1662,"AAAAACdf5U0=",0)</f>
        <v>0</v>
      </c>
      <c r="CA111" t="e">
        <f>AND('Planilla_General_29-11-2012_10_'!A1662,"AAAAACdf5U4=")</f>
        <v>#VALUE!</v>
      </c>
      <c r="CB111" t="e">
        <f>AND('Planilla_General_29-11-2012_10_'!B1662,"AAAAACdf5U8=")</f>
        <v>#VALUE!</v>
      </c>
      <c r="CC111" t="e">
        <f>AND('Planilla_General_29-11-2012_10_'!C1662,"AAAAACdf5VA=")</f>
        <v>#VALUE!</v>
      </c>
      <c r="CD111" t="e">
        <f>AND('Planilla_General_29-11-2012_10_'!D1662,"AAAAACdf5VE=")</f>
        <v>#VALUE!</v>
      </c>
      <c r="CE111" t="e">
        <f>AND('Planilla_General_29-11-2012_10_'!E1662,"AAAAACdf5VI=")</f>
        <v>#VALUE!</v>
      </c>
      <c r="CF111" t="e">
        <f>AND('Planilla_General_29-11-2012_10_'!F1662,"AAAAACdf5VM=")</f>
        <v>#VALUE!</v>
      </c>
      <c r="CG111" t="e">
        <f>AND('Planilla_General_29-11-2012_10_'!G1662,"AAAAACdf5VQ=")</f>
        <v>#VALUE!</v>
      </c>
      <c r="CH111" t="e">
        <f>AND('Planilla_General_29-11-2012_10_'!H1662,"AAAAACdf5VU=")</f>
        <v>#VALUE!</v>
      </c>
      <c r="CI111" t="e">
        <f>AND('Planilla_General_29-11-2012_10_'!I1662,"AAAAACdf5VY=")</f>
        <v>#VALUE!</v>
      </c>
      <c r="CJ111" t="e">
        <f>AND('Planilla_General_29-11-2012_10_'!J1662,"AAAAACdf5Vc=")</f>
        <v>#VALUE!</v>
      </c>
      <c r="CK111" t="e">
        <f>AND('Planilla_General_29-11-2012_10_'!K1662,"AAAAACdf5Vg=")</f>
        <v>#VALUE!</v>
      </c>
      <c r="CL111" t="e">
        <f>AND('Planilla_General_29-11-2012_10_'!L1662,"AAAAACdf5Vk=")</f>
        <v>#VALUE!</v>
      </c>
      <c r="CM111" t="e">
        <f>AND('Planilla_General_29-11-2012_10_'!M1662,"AAAAACdf5Vo=")</f>
        <v>#VALUE!</v>
      </c>
      <c r="CN111" t="e">
        <f>AND('Planilla_General_29-11-2012_10_'!N1662,"AAAAACdf5Vs=")</f>
        <v>#VALUE!</v>
      </c>
      <c r="CO111" t="e">
        <f>AND('Planilla_General_29-11-2012_10_'!O1662,"AAAAACdf5Vw=")</f>
        <v>#VALUE!</v>
      </c>
      <c r="CP111" t="e">
        <f>AND('Planilla_General_29-11-2012_10_'!P1662,"AAAAACdf5V0=")</f>
        <v>#VALUE!</v>
      </c>
      <c r="CQ111">
        <f>IF('Planilla_General_29-11-2012_10_'!1663:1663,"AAAAACdf5V4=",0)</f>
        <v>0</v>
      </c>
      <c r="CR111" t="e">
        <f>AND('Planilla_General_29-11-2012_10_'!A1663,"AAAAACdf5V8=")</f>
        <v>#VALUE!</v>
      </c>
      <c r="CS111" t="e">
        <f>AND('Planilla_General_29-11-2012_10_'!B1663,"AAAAACdf5WA=")</f>
        <v>#VALUE!</v>
      </c>
      <c r="CT111" t="e">
        <f>AND('Planilla_General_29-11-2012_10_'!C1663,"AAAAACdf5WE=")</f>
        <v>#VALUE!</v>
      </c>
      <c r="CU111" t="e">
        <f>AND('Planilla_General_29-11-2012_10_'!D1663,"AAAAACdf5WI=")</f>
        <v>#VALUE!</v>
      </c>
      <c r="CV111" t="e">
        <f>AND('Planilla_General_29-11-2012_10_'!E1663,"AAAAACdf5WM=")</f>
        <v>#VALUE!</v>
      </c>
      <c r="CW111" t="e">
        <f>AND('Planilla_General_29-11-2012_10_'!F1663,"AAAAACdf5WQ=")</f>
        <v>#VALUE!</v>
      </c>
      <c r="CX111" t="e">
        <f>AND('Planilla_General_29-11-2012_10_'!G1663,"AAAAACdf5WU=")</f>
        <v>#VALUE!</v>
      </c>
      <c r="CY111" t="e">
        <f>AND('Planilla_General_29-11-2012_10_'!H1663,"AAAAACdf5WY=")</f>
        <v>#VALUE!</v>
      </c>
      <c r="CZ111" t="e">
        <f>AND('Planilla_General_29-11-2012_10_'!I1663,"AAAAACdf5Wc=")</f>
        <v>#VALUE!</v>
      </c>
      <c r="DA111" t="e">
        <f>AND('Planilla_General_29-11-2012_10_'!J1663,"AAAAACdf5Wg=")</f>
        <v>#VALUE!</v>
      </c>
      <c r="DB111" t="e">
        <f>AND('Planilla_General_29-11-2012_10_'!K1663,"AAAAACdf5Wk=")</f>
        <v>#VALUE!</v>
      </c>
      <c r="DC111" t="e">
        <f>AND('Planilla_General_29-11-2012_10_'!L1663,"AAAAACdf5Wo=")</f>
        <v>#VALUE!</v>
      </c>
      <c r="DD111" t="e">
        <f>AND('Planilla_General_29-11-2012_10_'!M1663,"AAAAACdf5Ws=")</f>
        <v>#VALUE!</v>
      </c>
      <c r="DE111" t="e">
        <f>AND('Planilla_General_29-11-2012_10_'!N1663,"AAAAACdf5Ww=")</f>
        <v>#VALUE!</v>
      </c>
      <c r="DF111" t="e">
        <f>AND('Planilla_General_29-11-2012_10_'!O1663,"AAAAACdf5W0=")</f>
        <v>#VALUE!</v>
      </c>
      <c r="DG111" t="e">
        <f>AND('Planilla_General_29-11-2012_10_'!P1663,"AAAAACdf5W4=")</f>
        <v>#VALUE!</v>
      </c>
      <c r="DH111">
        <f>IF('Planilla_General_29-11-2012_10_'!1664:1664,"AAAAACdf5W8=",0)</f>
        <v>0</v>
      </c>
      <c r="DI111" t="e">
        <f>AND('Planilla_General_29-11-2012_10_'!A1664,"AAAAACdf5XA=")</f>
        <v>#VALUE!</v>
      </c>
      <c r="DJ111" t="e">
        <f>AND('Planilla_General_29-11-2012_10_'!B1664,"AAAAACdf5XE=")</f>
        <v>#VALUE!</v>
      </c>
      <c r="DK111" t="e">
        <f>AND('Planilla_General_29-11-2012_10_'!C1664,"AAAAACdf5XI=")</f>
        <v>#VALUE!</v>
      </c>
      <c r="DL111" t="e">
        <f>AND('Planilla_General_29-11-2012_10_'!D1664,"AAAAACdf5XM=")</f>
        <v>#VALUE!</v>
      </c>
      <c r="DM111" t="e">
        <f>AND('Planilla_General_29-11-2012_10_'!E1664,"AAAAACdf5XQ=")</f>
        <v>#VALUE!</v>
      </c>
      <c r="DN111" t="e">
        <f>AND('Planilla_General_29-11-2012_10_'!F1664,"AAAAACdf5XU=")</f>
        <v>#VALUE!</v>
      </c>
      <c r="DO111" t="e">
        <f>AND('Planilla_General_29-11-2012_10_'!G1664,"AAAAACdf5XY=")</f>
        <v>#VALUE!</v>
      </c>
      <c r="DP111" t="e">
        <f>AND('Planilla_General_29-11-2012_10_'!H1664,"AAAAACdf5Xc=")</f>
        <v>#VALUE!</v>
      </c>
      <c r="DQ111" t="e">
        <f>AND('Planilla_General_29-11-2012_10_'!I1664,"AAAAACdf5Xg=")</f>
        <v>#VALUE!</v>
      </c>
      <c r="DR111" t="e">
        <f>AND('Planilla_General_29-11-2012_10_'!J1664,"AAAAACdf5Xk=")</f>
        <v>#VALUE!</v>
      </c>
      <c r="DS111" t="e">
        <f>AND('Planilla_General_29-11-2012_10_'!K1664,"AAAAACdf5Xo=")</f>
        <v>#VALUE!</v>
      </c>
      <c r="DT111" t="e">
        <f>AND('Planilla_General_29-11-2012_10_'!L1664,"AAAAACdf5Xs=")</f>
        <v>#VALUE!</v>
      </c>
      <c r="DU111" t="e">
        <f>AND('Planilla_General_29-11-2012_10_'!M1664,"AAAAACdf5Xw=")</f>
        <v>#VALUE!</v>
      </c>
      <c r="DV111" t="e">
        <f>AND('Planilla_General_29-11-2012_10_'!N1664,"AAAAACdf5X0=")</f>
        <v>#VALUE!</v>
      </c>
      <c r="DW111" t="e">
        <f>AND('Planilla_General_29-11-2012_10_'!O1664,"AAAAACdf5X4=")</f>
        <v>#VALUE!</v>
      </c>
      <c r="DX111" t="e">
        <f>AND('Planilla_General_29-11-2012_10_'!P1664,"AAAAACdf5X8=")</f>
        <v>#VALUE!</v>
      </c>
      <c r="DY111">
        <f>IF('Planilla_General_29-11-2012_10_'!1665:1665,"AAAAACdf5YA=",0)</f>
        <v>0</v>
      </c>
      <c r="DZ111" t="e">
        <f>AND('Planilla_General_29-11-2012_10_'!A1665,"AAAAACdf5YE=")</f>
        <v>#VALUE!</v>
      </c>
      <c r="EA111" t="e">
        <f>AND('Planilla_General_29-11-2012_10_'!B1665,"AAAAACdf5YI=")</f>
        <v>#VALUE!</v>
      </c>
      <c r="EB111" t="e">
        <f>AND('Planilla_General_29-11-2012_10_'!C1665,"AAAAACdf5YM=")</f>
        <v>#VALUE!</v>
      </c>
      <c r="EC111" t="e">
        <f>AND('Planilla_General_29-11-2012_10_'!D1665,"AAAAACdf5YQ=")</f>
        <v>#VALUE!</v>
      </c>
      <c r="ED111" t="e">
        <f>AND('Planilla_General_29-11-2012_10_'!E1665,"AAAAACdf5YU=")</f>
        <v>#VALUE!</v>
      </c>
      <c r="EE111" t="e">
        <f>AND('Planilla_General_29-11-2012_10_'!F1665,"AAAAACdf5YY=")</f>
        <v>#VALUE!</v>
      </c>
      <c r="EF111" t="e">
        <f>AND('Planilla_General_29-11-2012_10_'!G1665,"AAAAACdf5Yc=")</f>
        <v>#VALUE!</v>
      </c>
      <c r="EG111" t="e">
        <f>AND('Planilla_General_29-11-2012_10_'!H1665,"AAAAACdf5Yg=")</f>
        <v>#VALUE!</v>
      </c>
      <c r="EH111" t="e">
        <f>AND('Planilla_General_29-11-2012_10_'!I1665,"AAAAACdf5Yk=")</f>
        <v>#VALUE!</v>
      </c>
      <c r="EI111" t="e">
        <f>AND('Planilla_General_29-11-2012_10_'!J1665,"AAAAACdf5Yo=")</f>
        <v>#VALUE!</v>
      </c>
      <c r="EJ111" t="e">
        <f>AND('Planilla_General_29-11-2012_10_'!K1665,"AAAAACdf5Ys=")</f>
        <v>#VALUE!</v>
      </c>
      <c r="EK111" t="e">
        <f>AND('Planilla_General_29-11-2012_10_'!L1665,"AAAAACdf5Yw=")</f>
        <v>#VALUE!</v>
      </c>
      <c r="EL111" t="e">
        <f>AND('Planilla_General_29-11-2012_10_'!M1665,"AAAAACdf5Y0=")</f>
        <v>#VALUE!</v>
      </c>
      <c r="EM111" t="e">
        <f>AND('Planilla_General_29-11-2012_10_'!N1665,"AAAAACdf5Y4=")</f>
        <v>#VALUE!</v>
      </c>
      <c r="EN111" t="e">
        <f>AND('Planilla_General_29-11-2012_10_'!O1665,"AAAAACdf5Y8=")</f>
        <v>#VALUE!</v>
      </c>
      <c r="EO111" t="e">
        <f>AND('Planilla_General_29-11-2012_10_'!P1665,"AAAAACdf5ZA=")</f>
        <v>#VALUE!</v>
      </c>
      <c r="EP111">
        <f>IF('Planilla_General_29-11-2012_10_'!1666:1666,"AAAAACdf5ZE=",0)</f>
        <v>0</v>
      </c>
      <c r="EQ111" t="e">
        <f>AND('Planilla_General_29-11-2012_10_'!A1666,"AAAAACdf5ZI=")</f>
        <v>#VALUE!</v>
      </c>
      <c r="ER111" t="e">
        <f>AND('Planilla_General_29-11-2012_10_'!B1666,"AAAAACdf5ZM=")</f>
        <v>#VALUE!</v>
      </c>
      <c r="ES111" t="e">
        <f>AND('Planilla_General_29-11-2012_10_'!C1666,"AAAAACdf5ZQ=")</f>
        <v>#VALUE!</v>
      </c>
      <c r="ET111" t="e">
        <f>AND('Planilla_General_29-11-2012_10_'!D1666,"AAAAACdf5ZU=")</f>
        <v>#VALUE!</v>
      </c>
      <c r="EU111" t="e">
        <f>AND('Planilla_General_29-11-2012_10_'!E1666,"AAAAACdf5ZY=")</f>
        <v>#VALUE!</v>
      </c>
      <c r="EV111" t="e">
        <f>AND('Planilla_General_29-11-2012_10_'!F1666,"AAAAACdf5Zc=")</f>
        <v>#VALUE!</v>
      </c>
      <c r="EW111" t="e">
        <f>AND('Planilla_General_29-11-2012_10_'!G1666,"AAAAACdf5Zg=")</f>
        <v>#VALUE!</v>
      </c>
      <c r="EX111" t="e">
        <f>AND('Planilla_General_29-11-2012_10_'!H1666,"AAAAACdf5Zk=")</f>
        <v>#VALUE!</v>
      </c>
      <c r="EY111" t="e">
        <f>AND('Planilla_General_29-11-2012_10_'!I1666,"AAAAACdf5Zo=")</f>
        <v>#VALUE!</v>
      </c>
      <c r="EZ111" t="e">
        <f>AND('Planilla_General_29-11-2012_10_'!J1666,"AAAAACdf5Zs=")</f>
        <v>#VALUE!</v>
      </c>
      <c r="FA111" t="e">
        <f>AND('Planilla_General_29-11-2012_10_'!K1666,"AAAAACdf5Zw=")</f>
        <v>#VALUE!</v>
      </c>
      <c r="FB111" t="e">
        <f>AND('Planilla_General_29-11-2012_10_'!L1666,"AAAAACdf5Z0=")</f>
        <v>#VALUE!</v>
      </c>
      <c r="FC111" t="e">
        <f>AND('Planilla_General_29-11-2012_10_'!M1666,"AAAAACdf5Z4=")</f>
        <v>#VALUE!</v>
      </c>
      <c r="FD111" t="e">
        <f>AND('Planilla_General_29-11-2012_10_'!N1666,"AAAAACdf5Z8=")</f>
        <v>#VALUE!</v>
      </c>
      <c r="FE111" t="e">
        <f>AND('Planilla_General_29-11-2012_10_'!O1666,"AAAAACdf5aA=")</f>
        <v>#VALUE!</v>
      </c>
      <c r="FF111" t="e">
        <f>AND('Planilla_General_29-11-2012_10_'!P1666,"AAAAACdf5aE=")</f>
        <v>#VALUE!</v>
      </c>
      <c r="FG111">
        <f>IF('Planilla_General_29-11-2012_10_'!1667:1667,"AAAAACdf5aI=",0)</f>
        <v>0</v>
      </c>
      <c r="FH111" t="e">
        <f>AND('Planilla_General_29-11-2012_10_'!A1667,"AAAAACdf5aM=")</f>
        <v>#VALUE!</v>
      </c>
      <c r="FI111" t="e">
        <f>AND('Planilla_General_29-11-2012_10_'!B1667,"AAAAACdf5aQ=")</f>
        <v>#VALUE!</v>
      </c>
      <c r="FJ111" t="e">
        <f>AND('Planilla_General_29-11-2012_10_'!C1667,"AAAAACdf5aU=")</f>
        <v>#VALUE!</v>
      </c>
      <c r="FK111" t="e">
        <f>AND('Planilla_General_29-11-2012_10_'!D1667,"AAAAACdf5aY=")</f>
        <v>#VALUE!</v>
      </c>
      <c r="FL111" t="e">
        <f>AND('Planilla_General_29-11-2012_10_'!E1667,"AAAAACdf5ac=")</f>
        <v>#VALUE!</v>
      </c>
      <c r="FM111" t="e">
        <f>AND('Planilla_General_29-11-2012_10_'!F1667,"AAAAACdf5ag=")</f>
        <v>#VALUE!</v>
      </c>
      <c r="FN111" t="e">
        <f>AND('Planilla_General_29-11-2012_10_'!G1667,"AAAAACdf5ak=")</f>
        <v>#VALUE!</v>
      </c>
      <c r="FO111" t="e">
        <f>AND('Planilla_General_29-11-2012_10_'!H1667,"AAAAACdf5ao=")</f>
        <v>#VALUE!</v>
      </c>
      <c r="FP111" t="e">
        <f>AND('Planilla_General_29-11-2012_10_'!I1667,"AAAAACdf5as=")</f>
        <v>#VALUE!</v>
      </c>
      <c r="FQ111" t="e">
        <f>AND('Planilla_General_29-11-2012_10_'!J1667,"AAAAACdf5aw=")</f>
        <v>#VALUE!</v>
      </c>
      <c r="FR111" t="e">
        <f>AND('Planilla_General_29-11-2012_10_'!K1667,"AAAAACdf5a0=")</f>
        <v>#VALUE!</v>
      </c>
      <c r="FS111" t="e">
        <f>AND('Planilla_General_29-11-2012_10_'!L1667,"AAAAACdf5a4=")</f>
        <v>#VALUE!</v>
      </c>
      <c r="FT111" t="e">
        <f>AND('Planilla_General_29-11-2012_10_'!M1667,"AAAAACdf5a8=")</f>
        <v>#VALUE!</v>
      </c>
      <c r="FU111" t="e">
        <f>AND('Planilla_General_29-11-2012_10_'!N1667,"AAAAACdf5bA=")</f>
        <v>#VALUE!</v>
      </c>
      <c r="FV111" t="e">
        <f>AND('Planilla_General_29-11-2012_10_'!O1667,"AAAAACdf5bE=")</f>
        <v>#VALUE!</v>
      </c>
      <c r="FW111" t="e">
        <f>AND('Planilla_General_29-11-2012_10_'!P1667,"AAAAACdf5bI=")</f>
        <v>#VALUE!</v>
      </c>
      <c r="FX111">
        <f>IF('Planilla_General_29-11-2012_10_'!1668:1668,"AAAAACdf5bM=",0)</f>
        <v>0</v>
      </c>
      <c r="FY111" t="e">
        <f>AND('Planilla_General_29-11-2012_10_'!A1668,"AAAAACdf5bQ=")</f>
        <v>#VALUE!</v>
      </c>
      <c r="FZ111" t="e">
        <f>AND('Planilla_General_29-11-2012_10_'!B1668,"AAAAACdf5bU=")</f>
        <v>#VALUE!</v>
      </c>
      <c r="GA111" t="e">
        <f>AND('Planilla_General_29-11-2012_10_'!C1668,"AAAAACdf5bY=")</f>
        <v>#VALUE!</v>
      </c>
      <c r="GB111" t="e">
        <f>AND('Planilla_General_29-11-2012_10_'!D1668,"AAAAACdf5bc=")</f>
        <v>#VALUE!</v>
      </c>
      <c r="GC111" t="e">
        <f>AND('Planilla_General_29-11-2012_10_'!E1668,"AAAAACdf5bg=")</f>
        <v>#VALUE!</v>
      </c>
      <c r="GD111" t="e">
        <f>AND('Planilla_General_29-11-2012_10_'!F1668,"AAAAACdf5bk=")</f>
        <v>#VALUE!</v>
      </c>
      <c r="GE111" t="e">
        <f>AND('Planilla_General_29-11-2012_10_'!G1668,"AAAAACdf5bo=")</f>
        <v>#VALUE!</v>
      </c>
      <c r="GF111" t="e">
        <f>AND('Planilla_General_29-11-2012_10_'!H1668,"AAAAACdf5bs=")</f>
        <v>#VALUE!</v>
      </c>
      <c r="GG111" t="e">
        <f>AND('Planilla_General_29-11-2012_10_'!I1668,"AAAAACdf5bw=")</f>
        <v>#VALUE!</v>
      </c>
      <c r="GH111" t="e">
        <f>AND('Planilla_General_29-11-2012_10_'!J1668,"AAAAACdf5b0=")</f>
        <v>#VALUE!</v>
      </c>
      <c r="GI111" t="e">
        <f>AND('Planilla_General_29-11-2012_10_'!K1668,"AAAAACdf5b4=")</f>
        <v>#VALUE!</v>
      </c>
      <c r="GJ111" t="e">
        <f>AND('Planilla_General_29-11-2012_10_'!L1668,"AAAAACdf5b8=")</f>
        <v>#VALUE!</v>
      </c>
      <c r="GK111" t="e">
        <f>AND('Planilla_General_29-11-2012_10_'!M1668,"AAAAACdf5cA=")</f>
        <v>#VALUE!</v>
      </c>
      <c r="GL111" t="e">
        <f>AND('Planilla_General_29-11-2012_10_'!N1668,"AAAAACdf5cE=")</f>
        <v>#VALUE!</v>
      </c>
      <c r="GM111" t="e">
        <f>AND('Planilla_General_29-11-2012_10_'!O1668,"AAAAACdf5cI=")</f>
        <v>#VALUE!</v>
      </c>
      <c r="GN111" t="e">
        <f>AND('Planilla_General_29-11-2012_10_'!P1668,"AAAAACdf5cM=")</f>
        <v>#VALUE!</v>
      </c>
      <c r="GO111">
        <f>IF('Planilla_General_29-11-2012_10_'!1669:1669,"AAAAACdf5cQ=",0)</f>
        <v>0</v>
      </c>
      <c r="GP111" t="e">
        <f>AND('Planilla_General_29-11-2012_10_'!A1669,"AAAAACdf5cU=")</f>
        <v>#VALUE!</v>
      </c>
      <c r="GQ111" t="e">
        <f>AND('Planilla_General_29-11-2012_10_'!B1669,"AAAAACdf5cY=")</f>
        <v>#VALUE!</v>
      </c>
      <c r="GR111" t="e">
        <f>AND('Planilla_General_29-11-2012_10_'!C1669,"AAAAACdf5cc=")</f>
        <v>#VALUE!</v>
      </c>
      <c r="GS111" t="e">
        <f>AND('Planilla_General_29-11-2012_10_'!D1669,"AAAAACdf5cg=")</f>
        <v>#VALUE!</v>
      </c>
      <c r="GT111" t="e">
        <f>AND('Planilla_General_29-11-2012_10_'!E1669,"AAAAACdf5ck=")</f>
        <v>#VALUE!</v>
      </c>
      <c r="GU111" t="e">
        <f>AND('Planilla_General_29-11-2012_10_'!F1669,"AAAAACdf5co=")</f>
        <v>#VALUE!</v>
      </c>
      <c r="GV111" t="e">
        <f>AND('Planilla_General_29-11-2012_10_'!G1669,"AAAAACdf5cs=")</f>
        <v>#VALUE!</v>
      </c>
      <c r="GW111" t="e">
        <f>AND('Planilla_General_29-11-2012_10_'!H1669,"AAAAACdf5cw=")</f>
        <v>#VALUE!</v>
      </c>
      <c r="GX111" t="e">
        <f>AND('Planilla_General_29-11-2012_10_'!I1669,"AAAAACdf5c0=")</f>
        <v>#VALUE!</v>
      </c>
      <c r="GY111" t="e">
        <f>AND('Planilla_General_29-11-2012_10_'!J1669,"AAAAACdf5c4=")</f>
        <v>#VALUE!</v>
      </c>
      <c r="GZ111" t="e">
        <f>AND('Planilla_General_29-11-2012_10_'!K1669,"AAAAACdf5c8=")</f>
        <v>#VALUE!</v>
      </c>
      <c r="HA111" t="e">
        <f>AND('Planilla_General_29-11-2012_10_'!L1669,"AAAAACdf5dA=")</f>
        <v>#VALUE!</v>
      </c>
      <c r="HB111" t="e">
        <f>AND('Planilla_General_29-11-2012_10_'!M1669,"AAAAACdf5dE=")</f>
        <v>#VALUE!</v>
      </c>
      <c r="HC111" t="e">
        <f>AND('Planilla_General_29-11-2012_10_'!N1669,"AAAAACdf5dI=")</f>
        <v>#VALUE!</v>
      </c>
      <c r="HD111" t="e">
        <f>AND('Planilla_General_29-11-2012_10_'!O1669,"AAAAACdf5dM=")</f>
        <v>#VALUE!</v>
      </c>
      <c r="HE111" t="e">
        <f>AND('Planilla_General_29-11-2012_10_'!P1669,"AAAAACdf5dQ=")</f>
        <v>#VALUE!</v>
      </c>
      <c r="HF111">
        <f>IF('Planilla_General_29-11-2012_10_'!1670:1670,"AAAAACdf5dU=",0)</f>
        <v>0</v>
      </c>
      <c r="HG111" t="e">
        <f>AND('Planilla_General_29-11-2012_10_'!A1670,"AAAAACdf5dY=")</f>
        <v>#VALUE!</v>
      </c>
      <c r="HH111" t="e">
        <f>AND('Planilla_General_29-11-2012_10_'!B1670,"AAAAACdf5dc=")</f>
        <v>#VALUE!</v>
      </c>
      <c r="HI111" t="e">
        <f>AND('Planilla_General_29-11-2012_10_'!C1670,"AAAAACdf5dg=")</f>
        <v>#VALUE!</v>
      </c>
      <c r="HJ111" t="e">
        <f>AND('Planilla_General_29-11-2012_10_'!D1670,"AAAAACdf5dk=")</f>
        <v>#VALUE!</v>
      </c>
      <c r="HK111" t="e">
        <f>AND('Planilla_General_29-11-2012_10_'!E1670,"AAAAACdf5do=")</f>
        <v>#VALUE!</v>
      </c>
      <c r="HL111" t="e">
        <f>AND('Planilla_General_29-11-2012_10_'!F1670,"AAAAACdf5ds=")</f>
        <v>#VALUE!</v>
      </c>
      <c r="HM111" t="e">
        <f>AND('Planilla_General_29-11-2012_10_'!G1670,"AAAAACdf5dw=")</f>
        <v>#VALUE!</v>
      </c>
      <c r="HN111" t="e">
        <f>AND('Planilla_General_29-11-2012_10_'!H1670,"AAAAACdf5d0=")</f>
        <v>#VALUE!</v>
      </c>
      <c r="HO111" t="e">
        <f>AND('Planilla_General_29-11-2012_10_'!I1670,"AAAAACdf5d4=")</f>
        <v>#VALUE!</v>
      </c>
      <c r="HP111" t="e">
        <f>AND('Planilla_General_29-11-2012_10_'!J1670,"AAAAACdf5d8=")</f>
        <v>#VALUE!</v>
      </c>
      <c r="HQ111" t="e">
        <f>AND('Planilla_General_29-11-2012_10_'!K1670,"AAAAACdf5eA=")</f>
        <v>#VALUE!</v>
      </c>
      <c r="HR111" t="e">
        <f>AND('Planilla_General_29-11-2012_10_'!L1670,"AAAAACdf5eE=")</f>
        <v>#VALUE!</v>
      </c>
      <c r="HS111" t="e">
        <f>AND('Planilla_General_29-11-2012_10_'!M1670,"AAAAACdf5eI=")</f>
        <v>#VALUE!</v>
      </c>
      <c r="HT111" t="e">
        <f>AND('Planilla_General_29-11-2012_10_'!N1670,"AAAAACdf5eM=")</f>
        <v>#VALUE!</v>
      </c>
      <c r="HU111" t="e">
        <f>AND('Planilla_General_29-11-2012_10_'!O1670,"AAAAACdf5eQ=")</f>
        <v>#VALUE!</v>
      </c>
      <c r="HV111" t="e">
        <f>AND('Planilla_General_29-11-2012_10_'!P1670,"AAAAACdf5eU=")</f>
        <v>#VALUE!</v>
      </c>
      <c r="HW111">
        <f>IF('Planilla_General_29-11-2012_10_'!1671:1671,"AAAAACdf5eY=",0)</f>
        <v>0</v>
      </c>
      <c r="HX111" t="e">
        <f>AND('Planilla_General_29-11-2012_10_'!A1671,"AAAAACdf5ec=")</f>
        <v>#VALUE!</v>
      </c>
      <c r="HY111" t="e">
        <f>AND('Planilla_General_29-11-2012_10_'!B1671,"AAAAACdf5eg=")</f>
        <v>#VALUE!</v>
      </c>
      <c r="HZ111" t="e">
        <f>AND('Planilla_General_29-11-2012_10_'!C1671,"AAAAACdf5ek=")</f>
        <v>#VALUE!</v>
      </c>
      <c r="IA111" t="e">
        <f>AND('Planilla_General_29-11-2012_10_'!D1671,"AAAAACdf5eo=")</f>
        <v>#VALUE!</v>
      </c>
      <c r="IB111" t="e">
        <f>AND('Planilla_General_29-11-2012_10_'!E1671,"AAAAACdf5es=")</f>
        <v>#VALUE!</v>
      </c>
      <c r="IC111" t="e">
        <f>AND('Planilla_General_29-11-2012_10_'!F1671,"AAAAACdf5ew=")</f>
        <v>#VALUE!</v>
      </c>
      <c r="ID111" t="e">
        <f>AND('Planilla_General_29-11-2012_10_'!G1671,"AAAAACdf5e0=")</f>
        <v>#VALUE!</v>
      </c>
      <c r="IE111" t="e">
        <f>AND('Planilla_General_29-11-2012_10_'!H1671,"AAAAACdf5e4=")</f>
        <v>#VALUE!</v>
      </c>
      <c r="IF111" t="e">
        <f>AND('Planilla_General_29-11-2012_10_'!I1671,"AAAAACdf5e8=")</f>
        <v>#VALUE!</v>
      </c>
      <c r="IG111" t="e">
        <f>AND('Planilla_General_29-11-2012_10_'!J1671,"AAAAACdf5fA=")</f>
        <v>#VALUE!</v>
      </c>
      <c r="IH111" t="e">
        <f>AND('Planilla_General_29-11-2012_10_'!K1671,"AAAAACdf5fE=")</f>
        <v>#VALUE!</v>
      </c>
      <c r="II111" t="e">
        <f>AND('Planilla_General_29-11-2012_10_'!L1671,"AAAAACdf5fI=")</f>
        <v>#VALUE!</v>
      </c>
      <c r="IJ111" t="e">
        <f>AND('Planilla_General_29-11-2012_10_'!M1671,"AAAAACdf5fM=")</f>
        <v>#VALUE!</v>
      </c>
      <c r="IK111" t="e">
        <f>AND('Planilla_General_29-11-2012_10_'!N1671,"AAAAACdf5fQ=")</f>
        <v>#VALUE!</v>
      </c>
      <c r="IL111" t="e">
        <f>AND('Planilla_General_29-11-2012_10_'!O1671,"AAAAACdf5fU=")</f>
        <v>#VALUE!</v>
      </c>
      <c r="IM111" t="e">
        <f>AND('Planilla_General_29-11-2012_10_'!P1671,"AAAAACdf5fY=")</f>
        <v>#VALUE!</v>
      </c>
      <c r="IN111">
        <f>IF('Planilla_General_29-11-2012_10_'!1672:1672,"AAAAACdf5fc=",0)</f>
        <v>0</v>
      </c>
      <c r="IO111" t="e">
        <f>AND('Planilla_General_29-11-2012_10_'!A1672,"AAAAACdf5fg=")</f>
        <v>#VALUE!</v>
      </c>
      <c r="IP111" t="e">
        <f>AND('Planilla_General_29-11-2012_10_'!B1672,"AAAAACdf5fk=")</f>
        <v>#VALUE!</v>
      </c>
      <c r="IQ111" t="e">
        <f>AND('Planilla_General_29-11-2012_10_'!C1672,"AAAAACdf5fo=")</f>
        <v>#VALUE!</v>
      </c>
      <c r="IR111" t="e">
        <f>AND('Planilla_General_29-11-2012_10_'!D1672,"AAAAACdf5fs=")</f>
        <v>#VALUE!</v>
      </c>
      <c r="IS111" t="e">
        <f>AND('Planilla_General_29-11-2012_10_'!E1672,"AAAAACdf5fw=")</f>
        <v>#VALUE!</v>
      </c>
      <c r="IT111" t="e">
        <f>AND('Planilla_General_29-11-2012_10_'!F1672,"AAAAACdf5f0=")</f>
        <v>#VALUE!</v>
      </c>
      <c r="IU111" t="e">
        <f>AND('Planilla_General_29-11-2012_10_'!G1672,"AAAAACdf5f4=")</f>
        <v>#VALUE!</v>
      </c>
      <c r="IV111" t="e">
        <f>AND('Planilla_General_29-11-2012_10_'!H1672,"AAAAACdf5f8=")</f>
        <v>#VALUE!</v>
      </c>
    </row>
    <row r="112" spans="1:256" x14ac:dyDescent="0.25">
      <c r="A112" t="e">
        <f>AND('Planilla_General_29-11-2012_10_'!I1672,"AAAAAH2/rQA=")</f>
        <v>#VALUE!</v>
      </c>
      <c r="B112" t="e">
        <f>AND('Planilla_General_29-11-2012_10_'!J1672,"AAAAAH2/rQE=")</f>
        <v>#VALUE!</v>
      </c>
      <c r="C112" t="e">
        <f>AND('Planilla_General_29-11-2012_10_'!K1672,"AAAAAH2/rQI=")</f>
        <v>#VALUE!</v>
      </c>
      <c r="D112" t="e">
        <f>AND('Planilla_General_29-11-2012_10_'!L1672,"AAAAAH2/rQM=")</f>
        <v>#VALUE!</v>
      </c>
      <c r="E112" t="e">
        <f>AND('Planilla_General_29-11-2012_10_'!M1672,"AAAAAH2/rQQ=")</f>
        <v>#VALUE!</v>
      </c>
      <c r="F112" t="e">
        <f>AND('Planilla_General_29-11-2012_10_'!N1672,"AAAAAH2/rQU=")</f>
        <v>#VALUE!</v>
      </c>
      <c r="G112" t="e">
        <f>AND('Planilla_General_29-11-2012_10_'!O1672,"AAAAAH2/rQY=")</f>
        <v>#VALUE!</v>
      </c>
      <c r="H112" t="e">
        <f>AND('Planilla_General_29-11-2012_10_'!P1672,"AAAAAH2/rQc=")</f>
        <v>#VALUE!</v>
      </c>
      <c r="I112" t="e">
        <f>IF('Planilla_General_29-11-2012_10_'!1673:1673,"AAAAAH2/rQg=",0)</f>
        <v>#VALUE!</v>
      </c>
      <c r="J112" t="e">
        <f>AND('Planilla_General_29-11-2012_10_'!A1673,"AAAAAH2/rQk=")</f>
        <v>#VALUE!</v>
      </c>
      <c r="K112" t="e">
        <f>AND('Planilla_General_29-11-2012_10_'!B1673,"AAAAAH2/rQo=")</f>
        <v>#VALUE!</v>
      </c>
      <c r="L112" t="e">
        <f>AND('Planilla_General_29-11-2012_10_'!C1673,"AAAAAH2/rQs=")</f>
        <v>#VALUE!</v>
      </c>
      <c r="M112" t="e">
        <f>AND('Planilla_General_29-11-2012_10_'!D1673,"AAAAAH2/rQw=")</f>
        <v>#VALUE!</v>
      </c>
      <c r="N112" t="e">
        <f>AND('Planilla_General_29-11-2012_10_'!E1673,"AAAAAH2/rQ0=")</f>
        <v>#VALUE!</v>
      </c>
      <c r="O112" t="e">
        <f>AND('Planilla_General_29-11-2012_10_'!F1673,"AAAAAH2/rQ4=")</f>
        <v>#VALUE!</v>
      </c>
      <c r="P112" t="e">
        <f>AND('Planilla_General_29-11-2012_10_'!G1673,"AAAAAH2/rQ8=")</f>
        <v>#VALUE!</v>
      </c>
      <c r="Q112" t="e">
        <f>AND('Planilla_General_29-11-2012_10_'!H1673,"AAAAAH2/rRA=")</f>
        <v>#VALUE!</v>
      </c>
      <c r="R112" t="e">
        <f>AND('Planilla_General_29-11-2012_10_'!I1673,"AAAAAH2/rRE=")</f>
        <v>#VALUE!</v>
      </c>
      <c r="S112" t="e">
        <f>AND('Planilla_General_29-11-2012_10_'!J1673,"AAAAAH2/rRI=")</f>
        <v>#VALUE!</v>
      </c>
      <c r="T112" t="e">
        <f>AND('Planilla_General_29-11-2012_10_'!K1673,"AAAAAH2/rRM=")</f>
        <v>#VALUE!</v>
      </c>
      <c r="U112" t="e">
        <f>AND('Planilla_General_29-11-2012_10_'!L1673,"AAAAAH2/rRQ=")</f>
        <v>#VALUE!</v>
      </c>
      <c r="V112" t="e">
        <f>AND('Planilla_General_29-11-2012_10_'!M1673,"AAAAAH2/rRU=")</f>
        <v>#VALUE!</v>
      </c>
      <c r="W112" t="e">
        <f>AND('Planilla_General_29-11-2012_10_'!N1673,"AAAAAH2/rRY=")</f>
        <v>#VALUE!</v>
      </c>
      <c r="X112" t="e">
        <f>AND('Planilla_General_29-11-2012_10_'!O1673,"AAAAAH2/rRc=")</f>
        <v>#VALUE!</v>
      </c>
      <c r="Y112" t="e">
        <f>AND('Planilla_General_29-11-2012_10_'!P1673,"AAAAAH2/rRg=")</f>
        <v>#VALUE!</v>
      </c>
      <c r="Z112">
        <f>IF('Planilla_General_29-11-2012_10_'!1674:1674,"AAAAAH2/rRk=",0)</f>
        <v>0</v>
      </c>
      <c r="AA112" t="e">
        <f>AND('Planilla_General_29-11-2012_10_'!A1674,"AAAAAH2/rRo=")</f>
        <v>#VALUE!</v>
      </c>
      <c r="AB112" t="e">
        <f>AND('Planilla_General_29-11-2012_10_'!B1674,"AAAAAH2/rRs=")</f>
        <v>#VALUE!</v>
      </c>
      <c r="AC112" t="e">
        <f>AND('Planilla_General_29-11-2012_10_'!C1674,"AAAAAH2/rRw=")</f>
        <v>#VALUE!</v>
      </c>
      <c r="AD112" t="e">
        <f>AND('Planilla_General_29-11-2012_10_'!D1674,"AAAAAH2/rR0=")</f>
        <v>#VALUE!</v>
      </c>
      <c r="AE112" t="e">
        <f>AND('Planilla_General_29-11-2012_10_'!E1674,"AAAAAH2/rR4=")</f>
        <v>#VALUE!</v>
      </c>
      <c r="AF112" t="e">
        <f>AND('Planilla_General_29-11-2012_10_'!F1674,"AAAAAH2/rR8=")</f>
        <v>#VALUE!</v>
      </c>
      <c r="AG112" t="e">
        <f>AND('Planilla_General_29-11-2012_10_'!G1674,"AAAAAH2/rSA=")</f>
        <v>#VALUE!</v>
      </c>
      <c r="AH112" t="e">
        <f>AND('Planilla_General_29-11-2012_10_'!H1674,"AAAAAH2/rSE=")</f>
        <v>#VALUE!</v>
      </c>
      <c r="AI112" t="e">
        <f>AND('Planilla_General_29-11-2012_10_'!I1674,"AAAAAH2/rSI=")</f>
        <v>#VALUE!</v>
      </c>
      <c r="AJ112" t="e">
        <f>AND('Planilla_General_29-11-2012_10_'!J1674,"AAAAAH2/rSM=")</f>
        <v>#VALUE!</v>
      </c>
      <c r="AK112" t="e">
        <f>AND('Planilla_General_29-11-2012_10_'!K1674,"AAAAAH2/rSQ=")</f>
        <v>#VALUE!</v>
      </c>
      <c r="AL112" t="e">
        <f>AND('Planilla_General_29-11-2012_10_'!L1674,"AAAAAH2/rSU=")</f>
        <v>#VALUE!</v>
      </c>
      <c r="AM112" t="e">
        <f>AND('Planilla_General_29-11-2012_10_'!M1674,"AAAAAH2/rSY=")</f>
        <v>#VALUE!</v>
      </c>
      <c r="AN112" t="e">
        <f>AND('Planilla_General_29-11-2012_10_'!N1674,"AAAAAH2/rSc=")</f>
        <v>#VALUE!</v>
      </c>
      <c r="AO112" t="e">
        <f>AND('Planilla_General_29-11-2012_10_'!O1674,"AAAAAH2/rSg=")</f>
        <v>#VALUE!</v>
      </c>
      <c r="AP112" t="e">
        <f>AND('Planilla_General_29-11-2012_10_'!P1674,"AAAAAH2/rSk=")</f>
        <v>#VALUE!</v>
      </c>
      <c r="AQ112">
        <f>IF('Planilla_General_29-11-2012_10_'!1675:1675,"AAAAAH2/rSo=",0)</f>
        <v>0</v>
      </c>
      <c r="AR112" t="e">
        <f>AND('Planilla_General_29-11-2012_10_'!A1675,"AAAAAH2/rSs=")</f>
        <v>#VALUE!</v>
      </c>
      <c r="AS112" t="e">
        <f>AND('Planilla_General_29-11-2012_10_'!B1675,"AAAAAH2/rSw=")</f>
        <v>#VALUE!</v>
      </c>
      <c r="AT112" t="e">
        <f>AND('Planilla_General_29-11-2012_10_'!C1675,"AAAAAH2/rS0=")</f>
        <v>#VALUE!</v>
      </c>
      <c r="AU112" t="e">
        <f>AND('Planilla_General_29-11-2012_10_'!D1675,"AAAAAH2/rS4=")</f>
        <v>#VALUE!</v>
      </c>
      <c r="AV112" t="e">
        <f>AND('Planilla_General_29-11-2012_10_'!E1675,"AAAAAH2/rS8=")</f>
        <v>#VALUE!</v>
      </c>
      <c r="AW112" t="e">
        <f>AND('Planilla_General_29-11-2012_10_'!F1675,"AAAAAH2/rTA=")</f>
        <v>#VALUE!</v>
      </c>
      <c r="AX112" t="e">
        <f>AND('Planilla_General_29-11-2012_10_'!G1675,"AAAAAH2/rTE=")</f>
        <v>#VALUE!</v>
      </c>
      <c r="AY112" t="e">
        <f>AND('Planilla_General_29-11-2012_10_'!H1675,"AAAAAH2/rTI=")</f>
        <v>#VALUE!</v>
      </c>
      <c r="AZ112" t="e">
        <f>AND('Planilla_General_29-11-2012_10_'!I1675,"AAAAAH2/rTM=")</f>
        <v>#VALUE!</v>
      </c>
      <c r="BA112" t="e">
        <f>AND('Planilla_General_29-11-2012_10_'!J1675,"AAAAAH2/rTQ=")</f>
        <v>#VALUE!</v>
      </c>
      <c r="BB112" t="e">
        <f>AND('Planilla_General_29-11-2012_10_'!K1675,"AAAAAH2/rTU=")</f>
        <v>#VALUE!</v>
      </c>
      <c r="BC112" t="e">
        <f>AND('Planilla_General_29-11-2012_10_'!L1675,"AAAAAH2/rTY=")</f>
        <v>#VALUE!</v>
      </c>
      <c r="BD112" t="e">
        <f>AND('Planilla_General_29-11-2012_10_'!M1675,"AAAAAH2/rTc=")</f>
        <v>#VALUE!</v>
      </c>
      <c r="BE112" t="e">
        <f>AND('Planilla_General_29-11-2012_10_'!N1675,"AAAAAH2/rTg=")</f>
        <v>#VALUE!</v>
      </c>
      <c r="BF112" t="e">
        <f>AND('Planilla_General_29-11-2012_10_'!O1675,"AAAAAH2/rTk=")</f>
        <v>#VALUE!</v>
      </c>
      <c r="BG112" t="e">
        <f>AND('Planilla_General_29-11-2012_10_'!P1675,"AAAAAH2/rTo=")</f>
        <v>#VALUE!</v>
      </c>
      <c r="BH112">
        <f>IF('Planilla_General_29-11-2012_10_'!1676:1676,"AAAAAH2/rTs=",0)</f>
        <v>0</v>
      </c>
      <c r="BI112" t="e">
        <f>AND('Planilla_General_29-11-2012_10_'!A1676,"AAAAAH2/rTw=")</f>
        <v>#VALUE!</v>
      </c>
      <c r="BJ112" t="e">
        <f>AND('Planilla_General_29-11-2012_10_'!B1676,"AAAAAH2/rT0=")</f>
        <v>#VALUE!</v>
      </c>
      <c r="BK112" t="e">
        <f>AND('Planilla_General_29-11-2012_10_'!C1676,"AAAAAH2/rT4=")</f>
        <v>#VALUE!</v>
      </c>
      <c r="BL112" t="e">
        <f>AND('Planilla_General_29-11-2012_10_'!D1676,"AAAAAH2/rT8=")</f>
        <v>#VALUE!</v>
      </c>
      <c r="BM112" t="e">
        <f>AND('Planilla_General_29-11-2012_10_'!E1676,"AAAAAH2/rUA=")</f>
        <v>#VALUE!</v>
      </c>
      <c r="BN112" t="e">
        <f>AND('Planilla_General_29-11-2012_10_'!F1676,"AAAAAH2/rUE=")</f>
        <v>#VALUE!</v>
      </c>
      <c r="BO112" t="e">
        <f>AND('Planilla_General_29-11-2012_10_'!G1676,"AAAAAH2/rUI=")</f>
        <v>#VALUE!</v>
      </c>
      <c r="BP112" t="e">
        <f>AND('Planilla_General_29-11-2012_10_'!H1676,"AAAAAH2/rUM=")</f>
        <v>#VALUE!</v>
      </c>
      <c r="BQ112" t="e">
        <f>AND('Planilla_General_29-11-2012_10_'!I1676,"AAAAAH2/rUQ=")</f>
        <v>#VALUE!</v>
      </c>
      <c r="BR112" t="e">
        <f>AND('Planilla_General_29-11-2012_10_'!J1676,"AAAAAH2/rUU=")</f>
        <v>#VALUE!</v>
      </c>
      <c r="BS112" t="e">
        <f>AND('Planilla_General_29-11-2012_10_'!K1676,"AAAAAH2/rUY=")</f>
        <v>#VALUE!</v>
      </c>
      <c r="BT112" t="e">
        <f>AND('Planilla_General_29-11-2012_10_'!L1676,"AAAAAH2/rUc=")</f>
        <v>#VALUE!</v>
      </c>
      <c r="BU112" t="e">
        <f>AND('Planilla_General_29-11-2012_10_'!M1676,"AAAAAH2/rUg=")</f>
        <v>#VALUE!</v>
      </c>
      <c r="BV112" t="e">
        <f>AND('Planilla_General_29-11-2012_10_'!N1676,"AAAAAH2/rUk=")</f>
        <v>#VALUE!</v>
      </c>
      <c r="BW112" t="e">
        <f>AND('Planilla_General_29-11-2012_10_'!O1676,"AAAAAH2/rUo=")</f>
        <v>#VALUE!</v>
      </c>
      <c r="BX112" t="e">
        <f>AND('Planilla_General_29-11-2012_10_'!P1676,"AAAAAH2/rUs=")</f>
        <v>#VALUE!</v>
      </c>
      <c r="BY112">
        <f>IF('Planilla_General_29-11-2012_10_'!1677:1677,"AAAAAH2/rUw=",0)</f>
        <v>0</v>
      </c>
      <c r="BZ112" t="e">
        <f>AND('Planilla_General_29-11-2012_10_'!A1677,"AAAAAH2/rU0=")</f>
        <v>#VALUE!</v>
      </c>
      <c r="CA112" t="e">
        <f>AND('Planilla_General_29-11-2012_10_'!B1677,"AAAAAH2/rU4=")</f>
        <v>#VALUE!</v>
      </c>
      <c r="CB112" t="e">
        <f>AND('Planilla_General_29-11-2012_10_'!C1677,"AAAAAH2/rU8=")</f>
        <v>#VALUE!</v>
      </c>
      <c r="CC112" t="e">
        <f>AND('Planilla_General_29-11-2012_10_'!D1677,"AAAAAH2/rVA=")</f>
        <v>#VALUE!</v>
      </c>
      <c r="CD112" t="e">
        <f>AND('Planilla_General_29-11-2012_10_'!E1677,"AAAAAH2/rVE=")</f>
        <v>#VALUE!</v>
      </c>
      <c r="CE112" t="e">
        <f>AND('Planilla_General_29-11-2012_10_'!F1677,"AAAAAH2/rVI=")</f>
        <v>#VALUE!</v>
      </c>
      <c r="CF112" t="e">
        <f>AND('Planilla_General_29-11-2012_10_'!G1677,"AAAAAH2/rVM=")</f>
        <v>#VALUE!</v>
      </c>
      <c r="CG112" t="e">
        <f>AND('Planilla_General_29-11-2012_10_'!H1677,"AAAAAH2/rVQ=")</f>
        <v>#VALUE!</v>
      </c>
      <c r="CH112" t="e">
        <f>AND('Planilla_General_29-11-2012_10_'!I1677,"AAAAAH2/rVU=")</f>
        <v>#VALUE!</v>
      </c>
      <c r="CI112" t="e">
        <f>AND('Planilla_General_29-11-2012_10_'!J1677,"AAAAAH2/rVY=")</f>
        <v>#VALUE!</v>
      </c>
      <c r="CJ112" t="e">
        <f>AND('Planilla_General_29-11-2012_10_'!K1677,"AAAAAH2/rVc=")</f>
        <v>#VALUE!</v>
      </c>
      <c r="CK112" t="e">
        <f>AND('Planilla_General_29-11-2012_10_'!L1677,"AAAAAH2/rVg=")</f>
        <v>#VALUE!</v>
      </c>
      <c r="CL112" t="e">
        <f>AND('Planilla_General_29-11-2012_10_'!M1677,"AAAAAH2/rVk=")</f>
        <v>#VALUE!</v>
      </c>
      <c r="CM112" t="e">
        <f>AND('Planilla_General_29-11-2012_10_'!N1677,"AAAAAH2/rVo=")</f>
        <v>#VALUE!</v>
      </c>
      <c r="CN112" t="e">
        <f>AND('Planilla_General_29-11-2012_10_'!O1677,"AAAAAH2/rVs=")</f>
        <v>#VALUE!</v>
      </c>
      <c r="CO112" t="e">
        <f>AND('Planilla_General_29-11-2012_10_'!P1677,"AAAAAH2/rVw=")</f>
        <v>#VALUE!</v>
      </c>
      <c r="CP112">
        <f>IF('Planilla_General_29-11-2012_10_'!1678:1678,"AAAAAH2/rV0=",0)</f>
        <v>0</v>
      </c>
      <c r="CQ112" t="e">
        <f>AND('Planilla_General_29-11-2012_10_'!A1678,"AAAAAH2/rV4=")</f>
        <v>#VALUE!</v>
      </c>
      <c r="CR112" t="e">
        <f>AND('Planilla_General_29-11-2012_10_'!B1678,"AAAAAH2/rV8=")</f>
        <v>#VALUE!</v>
      </c>
      <c r="CS112" t="e">
        <f>AND('Planilla_General_29-11-2012_10_'!C1678,"AAAAAH2/rWA=")</f>
        <v>#VALUE!</v>
      </c>
      <c r="CT112" t="e">
        <f>AND('Planilla_General_29-11-2012_10_'!D1678,"AAAAAH2/rWE=")</f>
        <v>#VALUE!</v>
      </c>
      <c r="CU112" t="e">
        <f>AND('Planilla_General_29-11-2012_10_'!E1678,"AAAAAH2/rWI=")</f>
        <v>#VALUE!</v>
      </c>
      <c r="CV112" t="e">
        <f>AND('Planilla_General_29-11-2012_10_'!F1678,"AAAAAH2/rWM=")</f>
        <v>#VALUE!</v>
      </c>
      <c r="CW112" t="e">
        <f>AND('Planilla_General_29-11-2012_10_'!G1678,"AAAAAH2/rWQ=")</f>
        <v>#VALUE!</v>
      </c>
      <c r="CX112" t="e">
        <f>AND('Planilla_General_29-11-2012_10_'!H1678,"AAAAAH2/rWU=")</f>
        <v>#VALUE!</v>
      </c>
      <c r="CY112" t="e">
        <f>AND('Planilla_General_29-11-2012_10_'!I1678,"AAAAAH2/rWY=")</f>
        <v>#VALUE!</v>
      </c>
      <c r="CZ112" t="e">
        <f>AND('Planilla_General_29-11-2012_10_'!J1678,"AAAAAH2/rWc=")</f>
        <v>#VALUE!</v>
      </c>
      <c r="DA112" t="e">
        <f>AND('Planilla_General_29-11-2012_10_'!K1678,"AAAAAH2/rWg=")</f>
        <v>#VALUE!</v>
      </c>
      <c r="DB112" t="e">
        <f>AND('Planilla_General_29-11-2012_10_'!L1678,"AAAAAH2/rWk=")</f>
        <v>#VALUE!</v>
      </c>
      <c r="DC112" t="e">
        <f>AND('Planilla_General_29-11-2012_10_'!M1678,"AAAAAH2/rWo=")</f>
        <v>#VALUE!</v>
      </c>
      <c r="DD112" t="e">
        <f>AND('Planilla_General_29-11-2012_10_'!N1678,"AAAAAH2/rWs=")</f>
        <v>#VALUE!</v>
      </c>
      <c r="DE112" t="e">
        <f>AND('Planilla_General_29-11-2012_10_'!O1678,"AAAAAH2/rWw=")</f>
        <v>#VALUE!</v>
      </c>
      <c r="DF112" t="e">
        <f>AND('Planilla_General_29-11-2012_10_'!P1678,"AAAAAH2/rW0=")</f>
        <v>#VALUE!</v>
      </c>
      <c r="DG112">
        <f>IF('Planilla_General_29-11-2012_10_'!1679:1679,"AAAAAH2/rW4=",0)</f>
        <v>0</v>
      </c>
      <c r="DH112" t="e">
        <f>AND('Planilla_General_29-11-2012_10_'!A1679,"AAAAAH2/rW8=")</f>
        <v>#VALUE!</v>
      </c>
      <c r="DI112" t="e">
        <f>AND('Planilla_General_29-11-2012_10_'!B1679,"AAAAAH2/rXA=")</f>
        <v>#VALUE!</v>
      </c>
      <c r="DJ112" t="e">
        <f>AND('Planilla_General_29-11-2012_10_'!C1679,"AAAAAH2/rXE=")</f>
        <v>#VALUE!</v>
      </c>
      <c r="DK112" t="e">
        <f>AND('Planilla_General_29-11-2012_10_'!D1679,"AAAAAH2/rXI=")</f>
        <v>#VALUE!</v>
      </c>
      <c r="DL112" t="e">
        <f>AND('Planilla_General_29-11-2012_10_'!E1679,"AAAAAH2/rXM=")</f>
        <v>#VALUE!</v>
      </c>
      <c r="DM112" t="e">
        <f>AND('Planilla_General_29-11-2012_10_'!F1679,"AAAAAH2/rXQ=")</f>
        <v>#VALUE!</v>
      </c>
      <c r="DN112" t="e">
        <f>AND('Planilla_General_29-11-2012_10_'!G1679,"AAAAAH2/rXU=")</f>
        <v>#VALUE!</v>
      </c>
      <c r="DO112" t="e">
        <f>AND('Planilla_General_29-11-2012_10_'!H1679,"AAAAAH2/rXY=")</f>
        <v>#VALUE!</v>
      </c>
      <c r="DP112" t="e">
        <f>AND('Planilla_General_29-11-2012_10_'!I1679,"AAAAAH2/rXc=")</f>
        <v>#VALUE!</v>
      </c>
      <c r="DQ112" t="e">
        <f>AND('Planilla_General_29-11-2012_10_'!J1679,"AAAAAH2/rXg=")</f>
        <v>#VALUE!</v>
      </c>
      <c r="DR112" t="e">
        <f>AND('Planilla_General_29-11-2012_10_'!K1679,"AAAAAH2/rXk=")</f>
        <v>#VALUE!</v>
      </c>
      <c r="DS112" t="e">
        <f>AND('Planilla_General_29-11-2012_10_'!L1679,"AAAAAH2/rXo=")</f>
        <v>#VALUE!</v>
      </c>
      <c r="DT112" t="e">
        <f>AND('Planilla_General_29-11-2012_10_'!M1679,"AAAAAH2/rXs=")</f>
        <v>#VALUE!</v>
      </c>
      <c r="DU112" t="e">
        <f>AND('Planilla_General_29-11-2012_10_'!N1679,"AAAAAH2/rXw=")</f>
        <v>#VALUE!</v>
      </c>
      <c r="DV112" t="e">
        <f>AND('Planilla_General_29-11-2012_10_'!O1679,"AAAAAH2/rX0=")</f>
        <v>#VALUE!</v>
      </c>
      <c r="DW112" t="e">
        <f>AND('Planilla_General_29-11-2012_10_'!P1679,"AAAAAH2/rX4=")</f>
        <v>#VALUE!</v>
      </c>
      <c r="DX112">
        <f>IF('Planilla_General_29-11-2012_10_'!1680:1680,"AAAAAH2/rX8=",0)</f>
        <v>0</v>
      </c>
      <c r="DY112" t="e">
        <f>AND('Planilla_General_29-11-2012_10_'!A1680,"AAAAAH2/rYA=")</f>
        <v>#VALUE!</v>
      </c>
      <c r="DZ112" t="e">
        <f>AND('Planilla_General_29-11-2012_10_'!B1680,"AAAAAH2/rYE=")</f>
        <v>#VALUE!</v>
      </c>
      <c r="EA112" t="e">
        <f>AND('Planilla_General_29-11-2012_10_'!C1680,"AAAAAH2/rYI=")</f>
        <v>#VALUE!</v>
      </c>
      <c r="EB112" t="e">
        <f>AND('Planilla_General_29-11-2012_10_'!D1680,"AAAAAH2/rYM=")</f>
        <v>#VALUE!</v>
      </c>
      <c r="EC112" t="e">
        <f>AND('Planilla_General_29-11-2012_10_'!E1680,"AAAAAH2/rYQ=")</f>
        <v>#VALUE!</v>
      </c>
      <c r="ED112" t="e">
        <f>AND('Planilla_General_29-11-2012_10_'!F1680,"AAAAAH2/rYU=")</f>
        <v>#VALUE!</v>
      </c>
      <c r="EE112" t="e">
        <f>AND('Planilla_General_29-11-2012_10_'!G1680,"AAAAAH2/rYY=")</f>
        <v>#VALUE!</v>
      </c>
      <c r="EF112" t="e">
        <f>AND('Planilla_General_29-11-2012_10_'!H1680,"AAAAAH2/rYc=")</f>
        <v>#VALUE!</v>
      </c>
      <c r="EG112" t="e">
        <f>AND('Planilla_General_29-11-2012_10_'!I1680,"AAAAAH2/rYg=")</f>
        <v>#VALUE!</v>
      </c>
      <c r="EH112" t="e">
        <f>AND('Planilla_General_29-11-2012_10_'!J1680,"AAAAAH2/rYk=")</f>
        <v>#VALUE!</v>
      </c>
      <c r="EI112" t="e">
        <f>AND('Planilla_General_29-11-2012_10_'!K1680,"AAAAAH2/rYo=")</f>
        <v>#VALUE!</v>
      </c>
      <c r="EJ112" t="e">
        <f>AND('Planilla_General_29-11-2012_10_'!L1680,"AAAAAH2/rYs=")</f>
        <v>#VALUE!</v>
      </c>
      <c r="EK112" t="e">
        <f>AND('Planilla_General_29-11-2012_10_'!M1680,"AAAAAH2/rYw=")</f>
        <v>#VALUE!</v>
      </c>
      <c r="EL112" t="e">
        <f>AND('Planilla_General_29-11-2012_10_'!N1680,"AAAAAH2/rY0=")</f>
        <v>#VALUE!</v>
      </c>
      <c r="EM112" t="e">
        <f>AND('Planilla_General_29-11-2012_10_'!O1680,"AAAAAH2/rY4=")</f>
        <v>#VALUE!</v>
      </c>
      <c r="EN112" t="e">
        <f>AND('Planilla_General_29-11-2012_10_'!P1680,"AAAAAH2/rY8=")</f>
        <v>#VALUE!</v>
      </c>
      <c r="EO112">
        <f>IF('Planilla_General_29-11-2012_10_'!1681:1681,"AAAAAH2/rZA=",0)</f>
        <v>0</v>
      </c>
      <c r="EP112" t="e">
        <f>AND('Planilla_General_29-11-2012_10_'!A1681,"AAAAAH2/rZE=")</f>
        <v>#VALUE!</v>
      </c>
      <c r="EQ112" t="e">
        <f>AND('Planilla_General_29-11-2012_10_'!B1681,"AAAAAH2/rZI=")</f>
        <v>#VALUE!</v>
      </c>
      <c r="ER112" t="e">
        <f>AND('Planilla_General_29-11-2012_10_'!C1681,"AAAAAH2/rZM=")</f>
        <v>#VALUE!</v>
      </c>
      <c r="ES112" t="e">
        <f>AND('Planilla_General_29-11-2012_10_'!D1681,"AAAAAH2/rZQ=")</f>
        <v>#VALUE!</v>
      </c>
      <c r="ET112" t="e">
        <f>AND('Planilla_General_29-11-2012_10_'!E1681,"AAAAAH2/rZU=")</f>
        <v>#VALUE!</v>
      </c>
      <c r="EU112" t="e">
        <f>AND('Planilla_General_29-11-2012_10_'!F1681,"AAAAAH2/rZY=")</f>
        <v>#VALUE!</v>
      </c>
      <c r="EV112" t="e">
        <f>AND('Planilla_General_29-11-2012_10_'!G1681,"AAAAAH2/rZc=")</f>
        <v>#VALUE!</v>
      </c>
      <c r="EW112" t="e">
        <f>AND('Planilla_General_29-11-2012_10_'!H1681,"AAAAAH2/rZg=")</f>
        <v>#VALUE!</v>
      </c>
      <c r="EX112" t="e">
        <f>AND('Planilla_General_29-11-2012_10_'!I1681,"AAAAAH2/rZk=")</f>
        <v>#VALUE!</v>
      </c>
      <c r="EY112" t="e">
        <f>AND('Planilla_General_29-11-2012_10_'!J1681,"AAAAAH2/rZo=")</f>
        <v>#VALUE!</v>
      </c>
      <c r="EZ112" t="e">
        <f>AND('Planilla_General_29-11-2012_10_'!K1681,"AAAAAH2/rZs=")</f>
        <v>#VALUE!</v>
      </c>
      <c r="FA112" t="e">
        <f>AND('Planilla_General_29-11-2012_10_'!L1681,"AAAAAH2/rZw=")</f>
        <v>#VALUE!</v>
      </c>
      <c r="FB112" t="e">
        <f>AND('Planilla_General_29-11-2012_10_'!M1681,"AAAAAH2/rZ0=")</f>
        <v>#VALUE!</v>
      </c>
      <c r="FC112" t="e">
        <f>AND('Planilla_General_29-11-2012_10_'!N1681,"AAAAAH2/rZ4=")</f>
        <v>#VALUE!</v>
      </c>
      <c r="FD112" t="e">
        <f>AND('Planilla_General_29-11-2012_10_'!O1681,"AAAAAH2/rZ8=")</f>
        <v>#VALUE!</v>
      </c>
      <c r="FE112" t="e">
        <f>AND('Planilla_General_29-11-2012_10_'!P1681,"AAAAAH2/raA=")</f>
        <v>#VALUE!</v>
      </c>
      <c r="FF112">
        <f>IF('Planilla_General_29-11-2012_10_'!1682:1682,"AAAAAH2/raE=",0)</f>
        <v>0</v>
      </c>
      <c r="FG112" t="e">
        <f>AND('Planilla_General_29-11-2012_10_'!A1682,"AAAAAH2/raI=")</f>
        <v>#VALUE!</v>
      </c>
      <c r="FH112" t="e">
        <f>AND('Planilla_General_29-11-2012_10_'!B1682,"AAAAAH2/raM=")</f>
        <v>#VALUE!</v>
      </c>
      <c r="FI112" t="e">
        <f>AND('Planilla_General_29-11-2012_10_'!C1682,"AAAAAH2/raQ=")</f>
        <v>#VALUE!</v>
      </c>
      <c r="FJ112" t="e">
        <f>AND('Planilla_General_29-11-2012_10_'!D1682,"AAAAAH2/raU=")</f>
        <v>#VALUE!</v>
      </c>
      <c r="FK112" t="e">
        <f>AND('Planilla_General_29-11-2012_10_'!E1682,"AAAAAH2/raY=")</f>
        <v>#VALUE!</v>
      </c>
      <c r="FL112" t="e">
        <f>AND('Planilla_General_29-11-2012_10_'!F1682,"AAAAAH2/rac=")</f>
        <v>#VALUE!</v>
      </c>
      <c r="FM112" t="e">
        <f>AND('Planilla_General_29-11-2012_10_'!G1682,"AAAAAH2/rag=")</f>
        <v>#VALUE!</v>
      </c>
      <c r="FN112" t="e">
        <f>AND('Planilla_General_29-11-2012_10_'!H1682,"AAAAAH2/rak=")</f>
        <v>#VALUE!</v>
      </c>
      <c r="FO112" t="e">
        <f>AND('Planilla_General_29-11-2012_10_'!I1682,"AAAAAH2/rao=")</f>
        <v>#VALUE!</v>
      </c>
      <c r="FP112" t="e">
        <f>AND('Planilla_General_29-11-2012_10_'!J1682,"AAAAAH2/ras=")</f>
        <v>#VALUE!</v>
      </c>
      <c r="FQ112" t="e">
        <f>AND('Planilla_General_29-11-2012_10_'!K1682,"AAAAAH2/raw=")</f>
        <v>#VALUE!</v>
      </c>
      <c r="FR112" t="e">
        <f>AND('Planilla_General_29-11-2012_10_'!L1682,"AAAAAH2/ra0=")</f>
        <v>#VALUE!</v>
      </c>
      <c r="FS112" t="e">
        <f>AND('Planilla_General_29-11-2012_10_'!M1682,"AAAAAH2/ra4=")</f>
        <v>#VALUE!</v>
      </c>
      <c r="FT112" t="e">
        <f>AND('Planilla_General_29-11-2012_10_'!N1682,"AAAAAH2/ra8=")</f>
        <v>#VALUE!</v>
      </c>
      <c r="FU112" t="e">
        <f>AND('Planilla_General_29-11-2012_10_'!O1682,"AAAAAH2/rbA=")</f>
        <v>#VALUE!</v>
      </c>
      <c r="FV112" t="e">
        <f>AND('Planilla_General_29-11-2012_10_'!P1682,"AAAAAH2/rbE=")</f>
        <v>#VALUE!</v>
      </c>
      <c r="FW112">
        <f>IF('Planilla_General_29-11-2012_10_'!1683:1683,"AAAAAH2/rbI=",0)</f>
        <v>0</v>
      </c>
      <c r="FX112" t="e">
        <f>AND('Planilla_General_29-11-2012_10_'!A1683,"AAAAAH2/rbM=")</f>
        <v>#VALUE!</v>
      </c>
      <c r="FY112" t="e">
        <f>AND('Planilla_General_29-11-2012_10_'!B1683,"AAAAAH2/rbQ=")</f>
        <v>#VALUE!</v>
      </c>
      <c r="FZ112" t="e">
        <f>AND('Planilla_General_29-11-2012_10_'!C1683,"AAAAAH2/rbU=")</f>
        <v>#VALUE!</v>
      </c>
      <c r="GA112" t="e">
        <f>AND('Planilla_General_29-11-2012_10_'!D1683,"AAAAAH2/rbY=")</f>
        <v>#VALUE!</v>
      </c>
      <c r="GB112" t="e">
        <f>AND('Planilla_General_29-11-2012_10_'!E1683,"AAAAAH2/rbc=")</f>
        <v>#VALUE!</v>
      </c>
      <c r="GC112" t="e">
        <f>AND('Planilla_General_29-11-2012_10_'!F1683,"AAAAAH2/rbg=")</f>
        <v>#VALUE!</v>
      </c>
      <c r="GD112" t="e">
        <f>AND('Planilla_General_29-11-2012_10_'!G1683,"AAAAAH2/rbk=")</f>
        <v>#VALUE!</v>
      </c>
      <c r="GE112" t="e">
        <f>AND('Planilla_General_29-11-2012_10_'!H1683,"AAAAAH2/rbo=")</f>
        <v>#VALUE!</v>
      </c>
      <c r="GF112" t="e">
        <f>AND('Planilla_General_29-11-2012_10_'!I1683,"AAAAAH2/rbs=")</f>
        <v>#VALUE!</v>
      </c>
      <c r="GG112" t="e">
        <f>AND('Planilla_General_29-11-2012_10_'!J1683,"AAAAAH2/rbw=")</f>
        <v>#VALUE!</v>
      </c>
      <c r="GH112" t="e">
        <f>AND('Planilla_General_29-11-2012_10_'!K1683,"AAAAAH2/rb0=")</f>
        <v>#VALUE!</v>
      </c>
      <c r="GI112" t="e">
        <f>AND('Planilla_General_29-11-2012_10_'!L1683,"AAAAAH2/rb4=")</f>
        <v>#VALUE!</v>
      </c>
      <c r="GJ112" t="e">
        <f>AND('Planilla_General_29-11-2012_10_'!M1683,"AAAAAH2/rb8=")</f>
        <v>#VALUE!</v>
      </c>
      <c r="GK112" t="e">
        <f>AND('Planilla_General_29-11-2012_10_'!N1683,"AAAAAH2/rcA=")</f>
        <v>#VALUE!</v>
      </c>
      <c r="GL112" t="e">
        <f>AND('Planilla_General_29-11-2012_10_'!O1683,"AAAAAH2/rcE=")</f>
        <v>#VALUE!</v>
      </c>
      <c r="GM112" t="e">
        <f>AND('Planilla_General_29-11-2012_10_'!P1683,"AAAAAH2/rcI=")</f>
        <v>#VALUE!</v>
      </c>
      <c r="GN112">
        <f>IF('Planilla_General_29-11-2012_10_'!1684:1684,"AAAAAH2/rcM=",0)</f>
        <v>0</v>
      </c>
      <c r="GO112" t="e">
        <f>AND('Planilla_General_29-11-2012_10_'!A1684,"AAAAAH2/rcQ=")</f>
        <v>#VALUE!</v>
      </c>
      <c r="GP112" t="e">
        <f>AND('Planilla_General_29-11-2012_10_'!B1684,"AAAAAH2/rcU=")</f>
        <v>#VALUE!</v>
      </c>
      <c r="GQ112" t="e">
        <f>AND('Planilla_General_29-11-2012_10_'!C1684,"AAAAAH2/rcY=")</f>
        <v>#VALUE!</v>
      </c>
      <c r="GR112" t="e">
        <f>AND('Planilla_General_29-11-2012_10_'!D1684,"AAAAAH2/rcc=")</f>
        <v>#VALUE!</v>
      </c>
      <c r="GS112" t="e">
        <f>AND('Planilla_General_29-11-2012_10_'!E1684,"AAAAAH2/rcg=")</f>
        <v>#VALUE!</v>
      </c>
      <c r="GT112" t="e">
        <f>AND('Planilla_General_29-11-2012_10_'!F1684,"AAAAAH2/rck=")</f>
        <v>#VALUE!</v>
      </c>
      <c r="GU112" t="e">
        <f>AND('Planilla_General_29-11-2012_10_'!G1684,"AAAAAH2/rco=")</f>
        <v>#VALUE!</v>
      </c>
      <c r="GV112" t="e">
        <f>AND('Planilla_General_29-11-2012_10_'!H1684,"AAAAAH2/rcs=")</f>
        <v>#VALUE!</v>
      </c>
      <c r="GW112" t="e">
        <f>AND('Planilla_General_29-11-2012_10_'!I1684,"AAAAAH2/rcw=")</f>
        <v>#VALUE!</v>
      </c>
      <c r="GX112" t="e">
        <f>AND('Planilla_General_29-11-2012_10_'!J1684,"AAAAAH2/rc0=")</f>
        <v>#VALUE!</v>
      </c>
      <c r="GY112" t="e">
        <f>AND('Planilla_General_29-11-2012_10_'!K1684,"AAAAAH2/rc4=")</f>
        <v>#VALUE!</v>
      </c>
      <c r="GZ112" t="e">
        <f>AND('Planilla_General_29-11-2012_10_'!L1684,"AAAAAH2/rc8=")</f>
        <v>#VALUE!</v>
      </c>
      <c r="HA112" t="e">
        <f>AND('Planilla_General_29-11-2012_10_'!M1684,"AAAAAH2/rdA=")</f>
        <v>#VALUE!</v>
      </c>
      <c r="HB112" t="e">
        <f>AND('Planilla_General_29-11-2012_10_'!N1684,"AAAAAH2/rdE=")</f>
        <v>#VALUE!</v>
      </c>
      <c r="HC112" t="e">
        <f>AND('Planilla_General_29-11-2012_10_'!O1684,"AAAAAH2/rdI=")</f>
        <v>#VALUE!</v>
      </c>
      <c r="HD112" t="e">
        <f>AND('Planilla_General_29-11-2012_10_'!P1684,"AAAAAH2/rdM=")</f>
        <v>#VALUE!</v>
      </c>
      <c r="HE112">
        <f>IF('Planilla_General_29-11-2012_10_'!1685:1685,"AAAAAH2/rdQ=",0)</f>
        <v>0</v>
      </c>
      <c r="HF112" t="e">
        <f>AND('Planilla_General_29-11-2012_10_'!A1685,"AAAAAH2/rdU=")</f>
        <v>#VALUE!</v>
      </c>
      <c r="HG112" t="e">
        <f>AND('Planilla_General_29-11-2012_10_'!B1685,"AAAAAH2/rdY=")</f>
        <v>#VALUE!</v>
      </c>
      <c r="HH112" t="e">
        <f>AND('Planilla_General_29-11-2012_10_'!C1685,"AAAAAH2/rdc=")</f>
        <v>#VALUE!</v>
      </c>
      <c r="HI112" t="e">
        <f>AND('Planilla_General_29-11-2012_10_'!D1685,"AAAAAH2/rdg=")</f>
        <v>#VALUE!</v>
      </c>
      <c r="HJ112" t="e">
        <f>AND('Planilla_General_29-11-2012_10_'!E1685,"AAAAAH2/rdk=")</f>
        <v>#VALUE!</v>
      </c>
      <c r="HK112" t="e">
        <f>AND('Planilla_General_29-11-2012_10_'!F1685,"AAAAAH2/rdo=")</f>
        <v>#VALUE!</v>
      </c>
      <c r="HL112" t="e">
        <f>AND('Planilla_General_29-11-2012_10_'!G1685,"AAAAAH2/rds=")</f>
        <v>#VALUE!</v>
      </c>
      <c r="HM112" t="e">
        <f>AND('Planilla_General_29-11-2012_10_'!H1685,"AAAAAH2/rdw=")</f>
        <v>#VALUE!</v>
      </c>
      <c r="HN112" t="e">
        <f>AND('Planilla_General_29-11-2012_10_'!I1685,"AAAAAH2/rd0=")</f>
        <v>#VALUE!</v>
      </c>
      <c r="HO112" t="e">
        <f>AND('Planilla_General_29-11-2012_10_'!J1685,"AAAAAH2/rd4=")</f>
        <v>#VALUE!</v>
      </c>
      <c r="HP112" t="e">
        <f>AND('Planilla_General_29-11-2012_10_'!K1685,"AAAAAH2/rd8=")</f>
        <v>#VALUE!</v>
      </c>
      <c r="HQ112" t="e">
        <f>AND('Planilla_General_29-11-2012_10_'!L1685,"AAAAAH2/reA=")</f>
        <v>#VALUE!</v>
      </c>
      <c r="HR112" t="e">
        <f>AND('Planilla_General_29-11-2012_10_'!M1685,"AAAAAH2/reE=")</f>
        <v>#VALUE!</v>
      </c>
      <c r="HS112" t="e">
        <f>AND('Planilla_General_29-11-2012_10_'!N1685,"AAAAAH2/reI=")</f>
        <v>#VALUE!</v>
      </c>
      <c r="HT112" t="e">
        <f>AND('Planilla_General_29-11-2012_10_'!O1685,"AAAAAH2/reM=")</f>
        <v>#VALUE!</v>
      </c>
      <c r="HU112" t="e">
        <f>AND('Planilla_General_29-11-2012_10_'!P1685,"AAAAAH2/reQ=")</f>
        <v>#VALUE!</v>
      </c>
      <c r="HV112">
        <f>IF('Planilla_General_29-11-2012_10_'!1686:1686,"AAAAAH2/reU=",0)</f>
        <v>0</v>
      </c>
      <c r="HW112" t="e">
        <f>AND('Planilla_General_29-11-2012_10_'!A1686,"AAAAAH2/reY=")</f>
        <v>#VALUE!</v>
      </c>
      <c r="HX112" t="e">
        <f>AND('Planilla_General_29-11-2012_10_'!B1686,"AAAAAH2/rec=")</f>
        <v>#VALUE!</v>
      </c>
      <c r="HY112" t="e">
        <f>AND('Planilla_General_29-11-2012_10_'!C1686,"AAAAAH2/reg=")</f>
        <v>#VALUE!</v>
      </c>
      <c r="HZ112" t="e">
        <f>AND('Planilla_General_29-11-2012_10_'!D1686,"AAAAAH2/rek=")</f>
        <v>#VALUE!</v>
      </c>
      <c r="IA112" t="e">
        <f>AND('Planilla_General_29-11-2012_10_'!E1686,"AAAAAH2/reo=")</f>
        <v>#VALUE!</v>
      </c>
      <c r="IB112" t="e">
        <f>AND('Planilla_General_29-11-2012_10_'!F1686,"AAAAAH2/res=")</f>
        <v>#VALUE!</v>
      </c>
      <c r="IC112" t="e">
        <f>AND('Planilla_General_29-11-2012_10_'!G1686,"AAAAAH2/rew=")</f>
        <v>#VALUE!</v>
      </c>
      <c r="ID112" t="e">
        <f>AND('Planilla_General_29-11-2012_10_'!H1686,"AAAAAH2/re0=")</f>
        <v>#VALUE!</v>
      </c>
      <c r="IE112" t="e">
        <f>AND('Planilla_General_29-11-2012_10_'!I1686,"AAAAAH2/re4=")</f>
        <v>#VALUE!</v>
      </c>
      <c r="IF112" t="e">
        <f>AND('Planilla_General_29-11-2012_10_'!J1686,"AAAAAH2/re8=")</f>
        <v>#VALUE!</v>
      </c>
      <c r="IG112" t="e">
        <f>AND('Planilla_General_29-11-2012_10_'!K1686,"AAAAAH2/rfA=")</f>
        <v>#VALUE!</v>
      </c>
      <c r="IH112" t="e">
        <f>AND('Planilla_General_29-11-2012_10_'!L1686,"AAAAAH2/rfE=")</f>
        <v>#VALUE!</v>
      </c>
      <c r="II112" t="e">
        <f>AND('Planilla_General_29-11-2012_10_'!M1686,"AAAAAH2/rfI=")</f>
        <v>#VALUE!</v>
      </c>
      <c r="IJ112" t="e">
        <f>AND('Planilla_General_29-11-2012_10_'!N1686,"AAAAAH2/rfM=")</f>
        <v>#VALUE!</v>
      </c>
      <c r="IK112" t="e">
        <f>AND('Planilla_General_29-11-2012_10_'!O1686,"AAAAAH2/rfQ=")</f>
        <v>#VALUE!</v>
      </c>
      <c r="IL112" t="e">
        <f>AND('Planilla_General_29-11-2012_10_'!P1686,"AAAAAH2/rfU=")</f>
        <v>#VALUE!</v>
      </c>
      <c r="IM112">
        <f>IF('Planilla_General_29-11-2012_10_'!1687:1687,"AAAAAH2/rfY=",0)</f>
        <v>0</v>
      </c>
      <c r="IN112" t="e">
        <f>AND('Planilla_General_29-11-2012_10_'!A1687,"AAAAAH2/rfc=")</f>
        <v>#VALUE!</v>
      </c>
      <c r="IO112" t="e">
        <f>AND('Planilla_General_29-11-2012_10_'!B1687,"AAAAAH2/rfg=")</f>
        <v>#VALUE!</v>
      </c>
      <c r="IP112" t="e">
        <f>AND('Planilla_General_29-11-2012_10_'!C1687,"AAAAAH2/rfk=")</f>
        <v>#VALUE!</v>
      </c>
      <c r="IQ112" t="e">
        <f>AND('Planilla_General_29-11-2012_10_'!D1687,"AAAAAH2/rfo=")</f>
        <v>#VALUE!</v>
      </c>
      <c r="IR112" t="e">
        <f>AND('Planilla_General_29-11-2012_10_'!E1687,"AAAAAH2/rfs=")</f>
        <v>#VALUE!</v>
      </c>
      <c r="IS112" t="e">
        <f>AND('Planilla_General_29-11-2012_10_'!F1687,"AAAAAH2/rfw=")</f>
        <v>#VALUE!</v>
      </c>
      <c r="IT112" t="e">
        <f>AND('Planilla_General_29-11-2012_10_'!G1687,"AAAAAH2/rf0=")</f>
        <v>#VALUE!</v>
      </c>
      <c r="IU112" t="e">
        <f>AND('Planilla_General_29-11-2012_10_'!H1687,"AAAAAH2/rf4=")</f>
        <v>#VALUE!</v>
      </c>
      <c r="IV112" t="e">
        <f>AND('Planilla_General_29-11-2012_10_'!I1687,"AAAAAH2/rf8=")</f>
        <v>#VALUE!</v>
      </c>
    </row>
    <row r="113" spans="1:256" x14ac:dyDescent="0.25">
      <c r="A113" t="e">
        <f>AND('Planilla_General_29-11-2012_10_'!J1687,"AAAAAD2+3gA=")</f>
        <v>#VALUE!</v>
      </c>
      <c r="B113" t="e">
        <f>AND('Planilla_General_29-11-2012_10_'!K1687,"AAAAAD2+3gE=")</f>
        <v>#VALUE!</v>
      </c>
      <c r="C113" t="e">
        <f>AND('Planilla_General_29-11-2012_10_'!L1687,"AAAAAD2+3gI=")</f>
        <v>#VALUE!</v>
      </c>
      <c r="D113" t="e">
        <f>AND('Planilla_General_29-11-2012_10_'!M1687,"AAAAAD2+3gM=")</f>
        <v>#VALUE!</v>
      </c>
      <c r="E113" t="e">
        <f>AND('Planilla_General_29-11-2012_10_'!N1687,"AAAAAD2+3gQ=")</f>
        <v>#VALUE!</v>
      </c>
      <c r="F113" t="e">
        <f>AND('Planilla_General_29-11-2012_10_'!O1687,"AAAAAD2+3gU=")</f>
        <v>#VALUE!</v>
      </c>
      <c r="G113" t="e">
        <f>AND('Planilla_General_29-11-2012_10_'!P1687,"AAAAAD2+3gY=")</f>
        <v>#VALUE!</v>
      </c>
      <c r="H113" t="e">
        <f>IF('Planilla_General_29-11-2012_10_'!1688:1688,"AAAAAD2+3gc=",0)</f>
        <v>#VALUE!</v>
      </c>
      <c r="I113" t="e">
        <f>AND('Planilla_General_29-11-2012_10_'!A1688,"AAAAAD2+3gg=")</f>
        <v>#VALUE!</v>
      </c>
      <c r="J113" t="e">
        <f>AND('Planilla_General_29-11-2012_10_'!B1688,"AAAAAD2+3gk=")</f>
        <v>#VALUE!</v>
      </c>
      <c r="K113" t="e">
        <f>AND('Planilla_General_29-11-2012_10_'!C1688,"AAAAAD2+3go=")</f>
        <v>#VALUE!</v>
      </c>
      <c r="L113" t="e">
        <f>AND('Planilla_General_29-11-2012_10_'!D1688,"AAAAAD2+3gs=")</f>
        <v>#VALUE!</v>
      </c>
      <c r="M113" t="e">
        <f>AND('Planilla_General_29-11-2012_10_'!E1688,"AAAAAD2+3gw=")</f>
        <v>#VALUE!</v>
      </c>
      <c r="N113" t="e">
        <f>AND('Planilla_General_29-11-2012_10_'!F1688,"AAAAAD2+3g0=")</f>
        <v>#VALUE!</v>
      </c>
      <c r="O113" t="e">
        <f>AND('Planilla_General_29-11-2012_10_'!G1688,"AAAAAD2+3g4=")</f>
        <v>#VALUE!</v>
      </c>
      <c r="P113" t="e">
        <f>AND('Planilla_General_29-11-2012_10_'!H1688,"AAAAAD2+3g8=")</f>
        <v>#VALUE!</v>
      </c>
      <c r="Q113" t="e">
        <f>AND('Planilla_General_29-11-2012_10_'!I1688,"AAAAAD2+3hA=")</f>
        <v>#VALUE!</v>
      </c>
      <c r="R113" t="e">
        <f>AND('Planilla_General_29-11-2012_10_'!J1688,"AAAAAD2+3hE=")</f>
        <v>#VALUE!</v>
      </c>
      <c r="S113" t="e">
        <f>AND('Planilla_General_29-11-2012_10_'!K1688,"AAAAAD2+3hI=")</f>
        <v>#VALUE!</v>
      </c>
      <c r="T113" t="e">
        <f>AND('Planilla_General_29-11-2012_10_'!L1688,"AAAAAD2+3hM=")</f>
        <v>#VALUE!</v>
      </c>
      <c r="U113" t="e">
        <f>AND('Planilla_General_29-11-2012_10_'!M1688,"AAAAAD2+3hQ=")</f>
        <v>#VALUE!</v>
      </c>
      <c r="V113" t="e">
        <f>AND('Planilla_General_29-11-2012_10_'!N1688,"AAAAAD2+3hU=")</f>
        <v>#VALUE!</v>
      </c>
      <c r="W113" t="e">
        <f>AND('Planilla_General_29-11-2012_10_'!O1688,"AAAAAD2+3hY=")</f>
        <v>#VALUE!</v>
      </c>
      <c r="X113" t="e">
        <f>AND('Planilla_General_29-11-2012_10_'!P1688,"AAAAAD2+3hc=")</f>
        <v>#VALUE!</v>
      </c>
      <c r="Y113">
        <f>IF('Planilla_General_29-11-2012_10_'!1689:1689,"AAAAAD2+3hg=",0)</f>
        <v>0</v>
      </c>
      <c r="Z113" t="e">
        <f>AND('Planilla_General_29-11-2012_10_'!A1689,"AAAAAD2+3hk=")</f>
        <v>#VALUE!</v>
      </c>
      <c r="AA113" t="e">
        <f>AND('Planilla_General_29-11-2012_10_'!B1689,"AAAAAD2+3ho=")</f>
        <v>#VALUE!</v>
      </c>
      <c r="AB113" t="e">
        <f>AND('Planilla_General_29-11-2012_10_'!C1689,"AAAAAD2+3hs=")</f>
        <v>#VALUE!</v>
      </c>
      <c r="AC113" t="e">
        <f>AND('Planilla_General_29-11-2012_10_'!D1689,"AAAAAD2+3hw=")</f>
        <v>#VALUE!</v>
      </c>
      <c r="AD113" t="e">
        <f>AND('Planilla_General_29-11-2012_10_'!E1689,"AAAAAD2+3h0=")</f>
        <v>#VALUE!</v>
      </c>
      <c r="AE113" t="e">
        <f>AND('Planilla_General_29-11-2012_10_'!F1689,"AAAAAD2+3h4=")</f>
        <v>#VALUE!</v>
      </c>
      <c r="AF113" t="e">
        <f>AND('Planilla_General_29-11-2012_10_'!G1689,"AAAAAD2+3h8=")</f>
        <v>#VALUE!</v>
      </c>
      <c r="AG113" t="e">
        <f>AND('Planilla_General_29-11-2012_10_'!H1689,"AAAAAD2+3iA=")</f>
        <v>#VALUE!</v>
      </c>
      <c r="AH113" t="e">
        <f>AND('Planilla_General_29-11-2012_10_'!I1689,"AAAAAD2+3iE=")</f>
        <v>#VALUE!</v>
      </c>
      <c r="AI113" t="e">
        <f>AND('Planilla_General_29-11-2012_10_'!J1689,"AAAAAD2+3iI=")</f>
        <v>#VALUE!</v>
      </c>
      <c r="AJ113" t="e">
        <f>AND('Planilla_General_29-11-2012_10_'!K1689,"AAAAAD2+3iM=")</f>
        <v>#VALUE!</v>
      </c>
      <c r="AK113" t="e">
        <f>AND('Planilla_General_29-11-2012_10_'!L1689,"AAAAAD2+3iQ=")</f>
        <v>#VALUE!</v>
      </c>
      <c r="AL113" t="e">
        <f>AND('Planilla_General_29-11-2012_10_'!M1689,"AAAAAD2+3iU=")</f>
        <v>#VALUE!</v>
      </c>
      <c r="AM113" t="e">
        <f>AND('Planilla_General_29-11-2012_10_'!N1689,"AAAAAD2+3iY=")</f>
        <v>#VALUE!</v>
      </c>
      <c r="AN113" t="e">
        <f>AND('Planilla_General_29-11-2012_10_'!O1689,"AAAAAD2+3ic=")</f>
        <v>#VALUE!</v>
      </c>
      <c r="AO113" t="e">
        <f>AND('Planilla_General_29-11-2012_10_'!P1689,"AAAAAD2+3ig=")</f>
        <v>#VALUE!</v>
      </c>
      <c r="AP113">
        <f>IF('Planilla_General_29-11-2012_10_'!1690:1690,"AAAAAD2+3ik=",0)</f>
        <v>0</v>
      </c>
      <c r="AQ113" t="e">
        <f>AND('Planilla_General_29-11-2012_10_'!A1690,"AAAAAD2+3io=")</f>
        <v>#VALUE!</v>
      </c>
      <c r="AR113" t="e">
        <f>AND('Planilla_General_29-11-2012_10_'!B1690,"AAAAAD2+3is=")</f>
        <v>#VALUE!</v>
      </c>
      <c r="AS113" t="e">
        <f>AND('Planilla_General_29-11-2012_10_'!C1690,"AAAAAD2+3iw=")</f>
        <v>#VALUE!</v>
      </c>
      <c r="AT113" t="e">
        <f>AND('Planilla_General_29-11-2012_10_'!D1690,"AAAAAD2+3i0=")</f>
        <v>#VALUE!</v>
      </c>
      <c r="AU113" t="e">
        <f>AND('Planilla_General_29-11-2012_10_'!E1690,"AAAAAD2+3i4=")</f>
        <v>#VALUE!</v>
      </c>
      <c r="AV113" t="e">
        <f>AND('Planilla_General_29-11-2012_10_'!F1690,"AAAAAD2+3i8=")</f>
        <v>#VALUE!</v>
      </c>
      <c r="AW113" t="e">
        <f>AND('Planilla_General_29-11-2012_10_'!G1690,"AAAAAD2+3jA=")</f>
        <v>#VALUE!</v>
      </c>
      <c r="AX113" t="e">
        <f>AND('Planilla_General_29-11-2012_10_'!H1690,"AAAAAD2+3jE=")</f>
        <v>#VALUE!</v>
      </c>
      <c r="AY113" t="e">
        <f>AND('Planilla_General_29-11-2012_10_'!I1690,"AAAAAD2+3jI=")</f>
        <v>#VALUE!</v>
      </c>
      <c r="AZ113" t="e">
        <f>AND('Planilla_General_29-11-2012_10_'!J1690,"AAAAAD2+3jM=")</f>
        <v>#VALUE!</v>
      </c>
      <c r="BA113" t="e">
        <f>AND('Planilla_General_29-11-2012_10_'!K1690,"AAAAAD2+3jQ=")</f>
        <v>#VALUE!</v>
      </c>
      <c r="BB113" t="e">
        <f>AND('Planilla_General_29-11-2012_10_'!L1690,"AAAAAD2+3jU=")</f>
        <v>#VALUE!</v>
      </c>
      <c r="BC113" t="e">
        <f>AND('Planilla_General_29-11-2012_10_'!M1690,"AAAAAD2+3jY=")</f>
        <v>#VALUE!</v>
      </c>
      <c r="BD113" t="e">
        <f>AND('Planilla_General_29-11-2012_10_'!N1690,"AAAAAD2+3jc=")</f>
        <v>#VALUE!</v>
      </c>
      <c r="BE113" t="e">
        <f>AND('Planilla_General_29-11-2012_10_'!O1690,"AAAAAD2+3jg=")</f>
        <v>#VALUE!</v>
      </c>
      <c r="BF113" t="e">
        <f>AND('Planilla_General_29-11-2012_10_'!P1690,"AAAAAD2+3jk=")</f>
        <v>#VALUE!</v>
      </c>
      <c r="BG113">
        <f>IF('Planilla_General_29-11-2012_10_'!1691:1691,"AAAAAD2+3jo=",0)</f>
        <v>0</v>
      </c>
      <c r="BH113" t="e">
        <f>AND('Planilla_General_29-11-2012_10_'!A1691,"AAAAAD2+3js=")</f>
        <v>#VALUE!</v>
      </c>
      <c r="BI113" t="e">
        <f>AND('Planilla_General_29-11-2012_10_'!B1691,"AAAAAD2+3jw=")</f>
        <v>#VALUE!</v>
      </c>
      <c r="BJ113" t="e">
        <f>AND('Planilla_General_29-11-2012_10_'!C1691,"AAAAAD2+3j0=")</f>
        <v>#VALUE!</v>
      </c>
      <c r="BK113" t="e">
        <f>AND('Planilla_General_29-11-2012_10_'!D1691,"AAAAAD2+3j4=")</f>
        <v>#VALUE!</v>
      </c>
      <c r="BL113" t="e">
        <f>AND('Planilla_General_29-11-2012_10_'!E1691,"AAAAAD2+3j8=")</f>
        <v>#VALUE!</v>
      </c>
      <c r="BM113" t="e">
        <f>AND('Planilla_General_29-11-2012_10_'!F1691,"AAAAAD2+3kA=")</f>
        <v>#VALUE!</v>
      </c>
      <c r="BN113" t="e">
        <f>AND('Planilla_General_29-11-2012_10_'!G1691,"AAAAAD2+3kE=")</f>
        <v>#VALUE!</v>
      </c>
      <c r="BO113" t="e">
        <f>AND('Planilla_General_29-11-2012_10_'!H1691,"AAAAAD2+3kI=")</f>
        <v>#VALUE!</v>
      </c>
      <c r="BP113" t="e">
        <f>AND('Planilla_General_29-11-2012_10_'!I1691,"AAAAAD2+3kM=")</f>
        <v>#VALUE!</v>
      </c>
      <c r="BQ113" t="e">
        <f>AND('Planilla_General_29-11-2012_10_'!J1691,"AAAAAD2+3kQ=")</f>
        <v>#VALUE!</v>
      </c>
      <c r="BR113" t="e">
        <f>AND('Planilla_General_29-11-2012_10_'!K1691,"AAAAAD2+3kU=")</f>
        <v>#VALUE!</v>
      </c>
      <c r="BS113" t="e">
        <f>AND('Planilla_General_29-11-2012_10_'!L1691,"AAAAAD2+3kY=")</f>
        <v>#VALUE!</v>
      </c>
      <c r="BT113" t="e">
        <f>AND('Planilla_General_29-11-2012_10_'!M1691,"AAAAAD2+3kc=")</f>
        <v>#VALUE!</v>
      </c>
      <c r="BU113" t="e">
        <f>AND('Planilla_General_29-11-2012_10_'!N1691,"AAAAAD2+3kg=")</f>
        <v>#VALUE!</v>
      </c>
      <c r="BV113" t="e">
        <f>AND('Planilla_General_29-11-2012_10_'!O1691,"AAAAAD2+3kk=")</f>
        <v>#VALUE!</v>
      </c>
      <c r="BW113" t="e">
        <f>AND('Planilla_General_29-11-2012_10_'!P1691,"AAAAAD2+3ko=")</f>
        <v>#VALUE!</v>
      </c>
      <c r="BX113">
        <f>IF('Planilla_General_29-11-2012_10_'!1692:1692,"AAAAAD2+3ks=",0)</f>
        <v>0</v>
      </c>
      <c r="BY113" t="e">
        <f>AND('Planilla_General_29-11-2012_10_'!A1692,"AAAAAD2+3kw=")</f>
        <v>#VALUE!</v>
      </c>
      <c r="BZ113" t="e">
        <f>AND('Planilla_General_29-11-2012_10_'!B1692,"AAAAAD2+3k0=")</f>
        <v>#VALUE!</v>
      </c>
      <c r="CA113" t="e">
        <f>AND('Planilla_General_29-11-2012_10_'!C1692,"AAAAAD2+3k4=")</f>
        <v>#VALUE!</v>
      </c>
      <c r="CB113" t="e">
        <f>AND('Planilla_General_29-11-2012_10_'!D1692,"AAAAAD2+3k8=")</f>
        <v>#VALUE!</v>
      </c>
      <c r="CC113" t="e">
        <f>AND('Planilla_General_29-11-2012_10_'!E1692,"AAAAAD2+3lA=")</f>
        <v>#VALUE!</v>
      </c>
      <c r="CD113" t="e">
        <f>AND('Planilla_General_29-11-2012_10_'!F1692,"AAAAAD2+3lE=")</f>
        <v>#VALUE!</v>
      </c>
      <c r="CE113" t="e">
        <f>AND('Planilla_General_29-11-2012_10_'!G1692,"AAAAAD2+3lI=")</f>
        <v>#VALUE!</v>
      </c>
      <c r="CF113" t="e">
        <f>AND('Planilla_General_29-11-2012_10_'!H1692,"AAAAAD2+3lM=")</f>
        <v>#VALUE!</v>
      </c>
      <c r="CG113" t="e">
        <f>AND('Planilla_General_29-11-2012_10_'!I1692,"AAAAAD2+3lQ=")</f>
        <v>#VALUE!</v>
      </c>
      <c r="CH113" t="e">
        <f>AND('Planilla_General_29-11-2012_10_'!J1692,"AAAAAD2+3lU=")</f>
        <v>#VALUE!</v>
      </c>
      <c r="CI113" t="e">
        <f>AND('Planilla_General_29-11-2012_10_'!K1692,"AAAAAD2+3lY=")</f>
        <v>#VALUE!</v>
      </c>
      <c r="CJ113" t="e">
        <f>AND('Planilla_General_29-11-2012_10_'!L1692,"AAAAAD2+3lc=")</f>
        <v>#VALUE!</v>
      </c>
      <c r="CK113" t="e">
        <f>AND('Planilla_General_29-11-2012_10_'!M1692,"AAAAAD2+3lg=")</f>
        <v>#VALUE!</v>
      </c>
      <c r="CL113" t="e">
        <f>AND('Planilla_General_29-11-2012_10_'!N1692,"AAAAAD2+3lk=")</f>
        <v>#VALUE!</v>
      </c>
      <c r="CM113" t="e">
        <f>AND('Planilla_General_29-11-2012_10_'!O1692,"AAAAAD2+3lo=")</f>
        <v>#VALUE!</v>
      </c>
      <c r="CN113" t="e">
        <f>AND('Planilla_General_29-11-2012_10_'!P1692,"AAAAAD2+3ls=")</f>
        <v>#VALUE!</v>
      </c>
      <c r="CO113">
        <f>IF('Planilla_General_29-11-2012_10_'!1693:1693,"AAAAAD2+3lw=",0)</f>
        <v>0</v>
      </c>
      <c r="CP113" t="e">
        <f>AND('Planilla_General_29-11-2012_10_'!A1693,"AAAAAD2+3l0=")</f>
        <v>#VALUE!</v>
      </c>
      <c r="CQ113" t="e">
        <f>AND('Planilla_General_29-11-2012_10_'!B1693,"AAAAAD2+3l4=")</f>
        <v>#VALUE!</v>
      </c>
      <c r="CR113" t="e">
        <f>AND('Planilla_General_29-11-2012_10_'!C1693,"AAAAAD2+3l8=")</f>
        <v>#VALUE!</v>
      </c>
      <c r="CS113" t="e">
        <f>AND('Planilla_General_29-11-2012_10_'!D1693,"AAAAAD2+3mA=")</f>
        <v>#VALUE!</v>
      </c>
      <c r="CT113" t="e">
        <f>AND('Planilla_General_29-11-2012_10_'!E1693,"AAAAAD2+3mE=")</f>
        <v>#VALUE!</v>
      </c>
      <c r="CU113" t="e">
        <f>AND('Planilla_General_29-11-2012_10_'!F1693,"AAAAAD2+3mI=")</f>
        <v>#VALUE!</v>
      </c>
      <c r="CV113" t="e">
        <f>AND('Planilla_General_29-11-2012_10_'!G1693,"AAAAAD2+3mM=")</f>
        <v>#VALUE!</v>
      </c>
      <c r="CW113" t="e">
        <f>AND('Planilla_General_29-11-2012_10_'!H1693,"AAAAAD2+3mQ=")</f>
        <v>#VALUE!</v>
      </c>
      <c r="CX113" t="e">
        <f>AND('Planilla_General_29-11-2012_10_'!I1693,"AAAAAD2+3mU=")</f>
        <v>#VALUE!</v>
      </c>
      <c r="CY113" t="e">
        <f>AND('Planilla_General_29-11-2012_10_'!J1693,"AAAAAD2+3mY=")</f>
        <v>#VALUE!</v>
      </c>
      <c r="CZ113" t="e">
        <f>AND('Planilla_General_29-11-2012_10_'!K1693,"AAAAAD2+3mc=")</f>
        <v>#VALUE!</v>
      </c>
      <c r="DA113" t="e">
        <f>AND('Planilla_General_29-11-2012_10_'!L1693,"AAAAAD2+3mg=")</f>
        <v>#VALUE!</v>
      </c>
      <c r="DB113" t="e">
        <f>AND('Planilla_General_29-11-2012_10_'!M1693,"AAAAAD2+3mk=")</f>
        <v>#VALUE!</v>
      </c>
      <c r="DC113" t="e">
        <f>AND('Planilla_General_29-11-2012_10_'!N1693,"AAAAAD2+3mo=")</f>
        <v>#VALUE!</v>
      </c>
      <c r="DD113" t="e">
        <f>AND('Planilla_General_29-11-2012_10_'!O1693,"AAAAAD2+3ms=")</f>
        <v>#VALUE!</v>
      </c>
      <c r="DE113" t="e">
        <f>AND('Planilla_General_29-11-2012_10_'!P1693,"AAAAAD2+3mw=")</f>
        <v>#VALUE!</v>
      </c>
      <c r="DF113">
        <f>IF('Planilla_General_29-11-2012_10_'!1694:1694,"AAAAAD2+3m0=",0)</f>
        <v>0</v>
      </c>
      <c r="DG113" t="e">
        <f>AND('Planilla_General_29-11-2012_10_'!A1694,"AAAAAD2+3m4=")</f>
        <v>#VALUE!</v>
      </c>
      <c r="DH113" t="e">
        <f>AND('Planilla_General_29-11-2012_10_'!B1694,"AAAAAD2+3m8=")</f>
        <v>#VALUE!</v>
      </c>
      <c r="DI113" t="e">
        <f>AND('Planilla_General_29-11-2012_10_'!C1694,"AAAAAD2+3nA=")</f>
        <v>#VALUE!</v>
      </c>
      <c r="DJ113" t="e">
        <f>AND('Planilla_General_29-11-2012_10_'!D1694,"AAAAAD2+3nE=")</f>
        <v>#VALUE!</v>
      </c>
      <c r="DK113" t="e">
        <f>AND('Planilla_General_29-11-2012_10_'!E1694,"AAAAAD2+3nI=")</f>
        <v>#VALUE!</v>
      </c>
      <c r="DL113" t="e">
        <f>AND('Planilla_General_29-11-2012_10_'!F1694,"AAAAAD2+3nM=")</f>
        <v>#VALUE!</v>
      </c>
      <c r="DM113" t="e">
        <f>AND('Planilla_General_29-11-2012_10_'!G1694,"AAAAAD2+3nQ=")</f>
        <v>#VALUE!</v>
      </c>
      <c r="DN113" t="e">
        <f>AND('Planilla_General_29-11-2012_10_'!H1694,"AAAAAD2+3nU=")</f>
        <v>#VALUE!</v>
      </c>
      <c r="DO113" t="e">
        <f>AND('Planilla_General_29-11-2012_10_'!I1694,"AAAAAD2+3nY=")</f>
        <v>#VALUE!</v>
      </c>
      <c r="DP113" t="e">
        <f>AND('Planilla_General_29-11-2012_10_'!J1694,"AAAAAD2+3nc=")</f>
        <v>#VALUE!</v>
      </c>
      <c r="DQ113" t="e">
        <f>AND('Planilla_General_29-11-2012_10_'!K1694,"AAAAAD2+3ng=")</f>
        <v>#VALUE!</v>
      </c>
      <c r="DR113" t="e">
        <f>AND('Planilla_General_29-11-2012_10_'!L1694,"AAAAAD2+3nk=")</f>
        <v>#VALUE!</v>
      </c>
      <c r="DS113" t="e">
        <f>AND('Planilla_General_29-11-2012_10_'!M1694,"AAAAAD2+3no=")</f>
        <v>#VALUE!</v>
      </c>
      <c r="DT113" t="e">
        <f>AND('Planilla_General_29-11-2012_10_'!N1694,"AAAAAD2+3ns=")</f>
        <v>#VALUE!</v>
      </c>
      <c r="DU113" t="e">
        <f>AND('Planilla_General_29-11-2012_10_'!O1694,"AAAAAD2+3nw=")</f>
        <v>#VALUE!</v>
      </c>
      <c r="DV113" t="e">
        <f>AND('Planilla_General_29-11-2012_10_'!P1694,"AAAAAD2+3n0=")</f>
        <v>#VALUE!</v>
      </c>
      <c r="DW113">
        <f>IF('Planilla_General_29-11-2012_10_'!1695:1695,"AAAAAD2+3n4=",0)</f>
        <v>0</v>
      </c>
      <c r="DX113" t="e">
        <f>AND('Planilla_General_29-11-2012_10_'!A1695,"AAAAAD2+3n8=")</f>
        <v>#VALUE!</v>
      </c>
      <c r="DY113" t="e">
        <f>AND('Planilla_General_29-11-2012_10_'!B1695,"AAAAAD2+3oA=")</f>
        <v>#VALUE!</v>
      </c>
      <c r="DZ113" t="e">
        <f>AND('Planilla_General_29-11-2012_10_'!C1695,"AAAAAD2+3oE=")</f>
        <v>#VALUE!</v>
      </c>
      <c r="EA113" t="e">
        <f>AND('Planilla_General_29-11-2012_10_'!D1695,"AAAAAD2+3oI=")</f>
        <v>#VALUE!</v>
      </c>
      <c r="EB113" t="e">
        <f>AND('Planilla_General_29-11-2012_10_'!E1695,"AAAAAD2+3oM=")</f>
        <v>#VALUE!</v>
      </c>
      <c r="EC113" t="e">
        <f>AND('Planilla_General_29-11-2012_10_'!F1695,"AAAAAD2+3oQ=")</f>
        <v>#VALUE!</v>
      </c>
      <c r="ED113" t="e">
        <f>AND('Planilla_General_29-11-2012_10_'!G1695,"AAAAAD2+3oU=")</f>
        <v>#VALUE!</v>
      </c>
      <c r="EE113" t="e">
        <f>AND('Planilla_General_29-11-2012_10_'!H1695,"AAAAAD2+3oY=")</f>
        <v>#VALUE!</v>
      </c>
      <c r="EF113" t="e">
        <f>AND('Planilla_General_29-11-2012_10_'!I1695,"AAAAAD2+3oc=")</f>
        <v>#VALUE!</v>
      </c>
      <c r="EG113" t="e">
        <f>AND('Planilla_General_29-11-2012_10_'!J1695,"AAAAAD2+3og=")</f>
        <v>#VALUE!</v>
      </c>
      <c r="EH113" t="e">
        <f>AND('Planilla_General_29-11-2012_10_'!K1695,"AAAAAD2+3ok=")</f>
        <v>#VALUE!</v>
      </c>
      <c r="EI113" t="e">
        <f>AND('Planilla_General_29-11-2012_10_'!L1695,"AAAAAD2+3oo=")</f>
        <v>#VALUE!</v>
      </c>
      <c r="EJ113" t="e">
        <f>AND('Planilla_General_29-11-2012_10_'!M1695,"AAAAAD2+3os=")</f>
        <v>#VALUE!</v>
      </c>
      <c r="EK113" t="e">
        <f>AND('Planilla_General_29-11-2012_10_'!N1695,"AAAAAD2+3ow=")</f>
        <v>#VALUE!</v>
      </c>
      <c r="EL113" t="e">
        <f>AND('Planilla_General_29-11-2012_10_'!O1695,"AAAAAD2+3o0=")</f>
        <v>#VALUE!</v>
      </c>
      <c r="EM113" t="e">
        <f>AND('Planilla_General_29-11-2012_10_'!P1695,"AAAAAD2+3o4=")</f>
        <v>#VALUE!</v>
      </c>
      <c r="EN113">
        <f>IF('Planilla_General_29-11-2012_10_'!1696:1696,"AAAAAD2+3o8=",0)</f>
        <v>0</v>
      </c>
      <c r="EO113" t="e">
        <f>AND('Planilla_General_29-11-2012_10_'!A1696,"AAAAAD2+3pA=")</f>
        <v>#VALUE!</v>
      </c>
      <c r="EP113" t="e">
        <f>AND('Planilla_General_29-11-2012_10_'!B1696,"AAAAAD2+3pE=")</f>
        <v>#VALUE!</v>
      </c>
      <c r="EQ113" t="e">
        <f>AND('Planilla_General_29-11-2012_10_'!C1696,"AAAAAD2+3pI=")</f>
        <v>#VALUE!</v>
      </c>
      <c r="ER113" t="e">
        <f>AND('Planilla_General_29-11-2012_10_'!D1696,"AAAAAD2+3pM=")</f>
        <v>#VALUE!</v>
      </c>
      <c r="ES113" t="e">
        <f>AND('Planilla_General_29-11-2012_10_'!E1696,"AAAAAD2+3pQ=")</f>
        <v>#VALUE!</v>
      </c>
      <c r="ET113" t="e">
        <f>AND('Planilla_General_29-11-2012_10_'!F1696,"AAAAAD2+3pU=")</f>
        <v>#VALUE!</v>
      </c>
      <c r="EU113" t="e">
        <f>AND('Planilla_General_29-11-2012_10_'!G1696,"AAAAAD2+3pY=")</f>
        <v>#VALUE!</v>
      </c>
      <c r="EV113" t="e">
        <f>AND('Planilla_General_29-11-2012_10_'!H1696,"AAAAAD2+3pc=")</f>
        <v>#VALUE!</v>
      </c>
      <c r="EW113" t="e">
        <f>AND('Planilla_General_29-11-2012_10_'!I1696,"AAAAAD2+3pg=")</f>
        <v>#VALUE!</v>
      </c>
      <c r="EX113" t="e">
        <f>AND('Planilla_General_29-11-2012_10_'!J1696,"AAAAAD2+3pk=")</f>
        <v>#VALUE!</v>
      </c>
      <c r="EY113" t="e">
        <f>AND('Planilla_General_29-11-2012_10_'!K1696,"AAAAAD2+3po=")</f>
        <v>#VALUE!</v>
      </c>
      <c r="EZ113" t="e">
        <f>AND('Planilla_General_29-11-2012_10_'!L1696,"AAAAAD2+3ps=")</f>
        <v>#VALUE!</v>
      </c>
      <c r="FA113" t="e">
        <f>AND('Planilla_General_29-11-2012_10_'!M1696,"AAAAAD2+3pw=")</f>
        <v>#VALUE!</v>
      </c>
      <c r="FB113" t="e">
        <f>AND('Planilla_General_29-11-2012_10_'!N1696,"AAAAAD2+3p0=")</f>
        <v>#VALUE!</v>
      </c>
      <c r="FC113" t="e">
        <f>AND('Planilla_General_29-11-2012_10_'!O1696,"AAAAAD2+3p4=")</f>
        <v>#VALUE!</v>
      </c>
      <c r="FD113" t="e">
        <f>AND('Planilla_General_29-11-2012_10_'!P1696,"AAAAAD2+3p8=")</f>
        <v>#VALUE!</v>
      </c>
      <c r="FE113">
        <f>IF('Planilla_General_29-11-2012_10_'!1697:1697,"AAAAAD2+3qA=",0)</f>
        <v>0</v>
      </c>
      <c r="FF113" t="e">
        <f>AND('Planilla_General_29-11-2012_10_'!A1697,"AAAAAD2+3qE=")</f>
        <v>#VALUE!</v>
      </c>
      <c r="FG113" t="e">
        <f>AND('Planilla_General_29-11-2012_10_'!B1697,"AAAAAD2+3qI=")</f>
        <v>#VALUE!</v>
      </c>
      <c r="FH113" t="e">
        <f>AND('Planilla_General_29-11-2012_10_'!C1697,"AAAAAD2+3qM=")</f>
        <v>#VALUE!</v>
      </c>
      <c r="FI113" t="e">
        <f>AND('Planilla_General_29-11-2012_10_'!D1697,"AAAAAD2+3qQ=")</f>
        <v>#VALUE!</v>
      </c>
      <c r="FJ113" t="e">
        <f>AND('Planilla_General_29-11-2012_10_'!E1697,"AAAAAD2+3qU=")</f>
        <v>#VALUE!</v>
      </c>
      <c r="FK113" t="e">
        <f>AND('Planilla_General_29-11-2012_10_'!F1697,"AAAAAD2+3qY=")</f>
        <v>#VALUE!</v>
      </c>
      <c r="FL113" t="e">
        <f>AND('Planilla_General_29-11-2012_10_'!G1697,"AAAAAD2+3qc=")</f>
        <v>#VALUE!</v>
      </c>
      <c r="FM113" t="e">
        <f>AND('Planilla_General_29-11-2012_10_'!H1697,"AAAAAD2+3qg=")</f>
        <v>#VALUE!</v>
      </c>
      <c r="FN113" t="e">
        <f>AND('Planilla_General_29-11-2012_10_'!I1697,"AAAAAD2+3qk=")</f>
        <v>#VALUE!</v>
      </c>
      <c r="FO113" t="e">
        <f>AND('Planilla_General_29-11-2012_10_'!J1697,"AAAAAD2+3qo=")</f>
        <v>#VALUE!</v>
      </c>
      <c r="FP113" t="e">
        <f>AND('Planilla_General_29-11-2012_10_'!K1697,"AAAAAD2+3qs=")</f>
        <v>#VALUE!</v>
      </c>
      <c r="FQ113" t="e">
        <f>AND('Planilla_General_29-11-2012_10_'!L1697,"AAAAAD2+3qw=")</f>
        <v>#VALUE!</v>
      </c>
      <c r="FR113" t="e">
        <f>AND('Planilla_General_29-11-2012_10_'!M1697,"AAAAAD2+3q0=")</f>
        <v>#VALUE!</v>
      </c>
      <c r="FS113" t="e">
        <f>AND('Planilla_General_29-11-2012_10_'!N1697,"AAAAAD2+3q4=")</f>
        <v>#VALUE!</v>
      </c>
      <c r="FT113" t="e">
        <f>AND('Planilla_General_29-11-2012_10_'!O1697,"AAAAAD2+3q8=")</f>
        <v>#VALUE!</v>
      </c>
      <c r="FU113" t="e">
        <f>AND('Planilla_General_29-11-2012_10_'!P1697,"AAAAAD2+3rA=")</f>
        <v>#VALUE!</v>
      </c>
      <c r="FV113">
        <f>IF('Planilla_General_29-11-2012_10_'!1698:1698,"AAAAAD2+3rE=",0)</f>
        <v>0</v>
      </c>
      <c r="FW113" t="e">
        <f>AND('Planilla_General_29-11-2012_10_'!A1698,"AAAAAD2+3rI=")</f>
        <v>#VALUE!</v>
      </c>
      <c r="FX113" t="e">
        <f>AND('Planilla_General_29-11-2012_10_'!B1698,"AAAAAD2+3rM=")</f>
        <v>#VALUE!</v>
      </c>
      <c r="FY113" t="e">
        <f>AND('Planilla_General_29-11-2012_10_'!C1698,"AAAAAD2+3rQ=")</f>
        <v>#VALUE!</v>
      </c>
      <c r="FZ113" t="e">
        <f>AND('Planilla_General_29-11-2012_10_'!D1698,"AAAAAD2+3rU=")</f>
        <v>#VALUE!</v>
      </c>
      <c r="GA113" t="e">
        <f>AND('Planilla_General_29-11-2012_10_'!E1698,"AAAAAD2+3rY=")</f>
        <v>#VALUE!</v>
      </c>
      <c r="GB113" t="e">
        <f>AND('Planilla_General_29-11-2012_10_'!F1698,"AAAAAD2+3rc=")</f>
        <v>#VALUE!</v>
      </c>
      <c r="GC113" t="e">
        <f>AND('Planilla_General_29-11-2012_10_'!G1698,"AAAAAD2+3rg=")</f>
        <v>#VALUE!</v>
      </c>
      <c r="GD113" t="e">
        <f>AND('Planilla_General_29-11-2012_10_'!H1698,"AAAAAD2+3rk=")</f>
        <v>#VALUE!</v>
      </c>
      <c r="GE113" t="e">
        <f>AND('Planilla_General_29-11-2012_10_'!I1698,"AAAAAD2+3ro=")</f>
        <v>#VALUE!</v>
      </c>
      <c r="GF113" t="e">
        <f>AND('Planilla_General_29-11-2012_10_'!J1698,"AAAAAD2+3rs=")</f>
        <v>#VALUE!</v>
      </c>
      <c r="GG113" t="e">
        <f>AND('Planilla_General_29-11-2012_10_'!K1698,"AAAAAD2+3rw=")</f>
        <v>#VALUE!</v>
      </c>
      <c r="GH113" t="e">
        <f>AND('Planilla_General_29-11-2012_10_'!L1698,"AAAAAD2+3r0=")</f>
        <v>#VALUE!</v>
      </c>
      <c r="GI113" t="e">
        <f>AND('Planilla_General_29-11-2012_10_'!M1698,"AAAAAD2+3r4=")</f>
        <v>#VALUE!</v>
      </c>
      <c r="GJ113" t="e">
        <f>AND('Planilla_General_29-11-2012_10_'!N1698,"AAAAAD2+3r8=")</f>
        <v>#VALUE!</v>
      </c>
      <c r="GK113" t="e">
        <f>AND('Planilla_General_29-11-2012_10_'!O1698,"AAAAAD2+3sA=")</f>
        <v>#VALUE!</v>
      </c>
      <c r="GL113" t="e">
        <f>AND('Planilla_General_29-11-2012_10_'!P1698,"AAAAAD2+3sE=")</f>
        <v>#VALUE!</v>
      </c>
      <c r="GM113">
        <f>IF('Planilla_General_29-11-2012_10_'!1699:1699,"AAAAAD2+3sI=",0)</f>
        <v>0</v>
      </c>
      <c r="GN113" t="e">
        <f>AND('Planilla_General_29-11-2012_10_'!A1699,"AAAAAD2+3sM=")</f>
        <v>#VALUE!</v>
      </c>
      <c r="GO113" t="e">
        <f>AND('Planilla_General_29-11-2012_10_'!B1699,"AAAAAD2+3sQ=")</f>
        <v>#VALUE!</v>
      </c>
      <c r="GP113" t="e">
        <f>AND('Planilla_General_29-11-2012_10_'!C1699,"AAAAAD2+3sU=")</f>
        <v>#VALUE!</v>
      </c>
      <c r="GQ113" t="e">
        <f>AND('Planilla_General_29-11-2012_10_'!D1699,"AAAAAD2+3sY=")</f>
        <v>#VALUE!</v>
      </c>
      <c r="GR113" t="e">
        <f>AND('Planilla_General_29-11-2012_10_'!E1699,"AAAAAD2+3sc=")</f>
        <v>#VALUE!</v>
      </c>
      <c r="GS113" t="e">
        <f>AND('Planilla_General_29-11-2012_10_'!F1699,"AAAAAD2+3sg=")</f>
        <v>#VALUE!</v>
      </c>
      <c r="GT113" t="e">
        <f>AND('Planilla_General_29-11-2012_10_'!G1699,"AAAAAD2+3sk=")</f>
        <v>#VALUE!</v>
      </c>
      <c r="GU113" t="e">
        <f>AND('Planilla_General_29-11-2012_10_'!H1699,"AAAAAD2+3so=")</f>
        <v>#VALUE!</v>
      </c>
      <c r="GV113" t="e">
        <f>AND('Planilla_General_29-11-2012_10_'!I1699,"AAAAAD2+3ss=")</f>
        <v>#VALUE!</v>
      </c>
      <c r="GW113" t="e">
        <f>AND('Planilla_General_29-11-2012_10_'!J1699,"AAAAAD2+3sw=")</f>
        <v>#VALUE!</v>
      </c>
      <c r="GX113" t="e">
        <f>AND('Planilla_General_29-11-2012_10_'!K1699,"AAAAAD2+3s0=")</f>
        <v>#VALUE!</v>
      </c>
      <c r="GY113" t="e">
        <f>AND('Planilla_General_29-11-2012_10_'!L1699,"AAAAAD2+3s4=")</f>
        <v>#VALUE!</v>
      </c>
      <c r="GZ113" t="e">
        <f>AND('Planilla_General_29-11-2012_10_'!M1699,"AAAAAD2+3s8=")</f>
        <v>#VALUE!</v>
      </c>
      <c r="HA113" t="e">
        <f>AND('Planilla_General_29-11-2012_10_'!N1699,"AAAAAD2+3tA=")</f>
        <v>#VALUE!</v>
      </c>
      <c r="HB113" t="e">
        <f>AND('Planilla_General_29-11-2012_10_'!O1699,"AAAAAD2+3tE=")</f>
        <v>#VALUE!</v>
      </c>
      <c r="HC113" t="e">
        <f>AND('Planilla_General_29-11-2012_10_'!P1699,"AAAAAD2+3tI=")</f>
        <v>#VALUE!</v>
      </c>
      <c r="HD113">
        <f>IF('Planilla_General_29-11-2012_10_'!1700:1700,"AAAAAD2+3tM=",0)</f>
        <v>0</v>
      </c>
      <c r="HE113" t="e">
        <f>AND('Planilla_General_29-11-2012_10_'!A1700,"AAAAAD2+3tQ=")</f>
        <v>#VALUE!</v>
      </c>
      <c r="HF113" t="e">
        <f>AND('Planilla_General_29-11-2012_10_'!B1700,"AAAAAD2+3tU=")</f>
        <v>#VALUE!</v>
      </c>
      <c r="HG113" t="e">
        <f>AND('Planilla_General_29-11-2012_10_'!C1700,"AAAAAD2+3tY=")</f>
        <v>#VALUE!</v>
      </c>
      <c r="HH113" t="e">
        <f>AND('Planilla_General_29-11-2012_10_'!D1700,"AAAAAD2+3tc=")</f>
        <v>#VALUE!</v>
      </c>
      <c r="HI113" t="e">
        <f>AND('Planilla_General_29-11-2012_10_'!E1700,"AAAAAD2+3tg=")</f>
        <v>#VALUE!</v>
      </c>
      <c r="HJ113" t="e">
        <f>AND('Planilla_General_29-11-2012_10_'!F1700,"AAAAAD2+3tk=")</f>
        <v>#VALUE!</v>
      </c>
      <c r="HK113" t="e">
        <f>AND('Planilla_General_29-11-2012_10_'!G1700,"AAAAAD2+3to=")</f>
        <v>#VALUE!</v>
      </c>
      <c r="HL113" t="e">
        <f>AND('Planilla_General_29-11-2012_10_'!H1700,"AAAAAD2+3ts=")</f>
        <v>#VALUE!</v>
      </c>
      <c r="HM113" t="e">
        <f>AND('Planilla_General_29-11-2012_10_'!I1700,"AAAAAD2+3tw=")</f>
        <v>#VALUE!</v>
      </c>
      <c r="HN113" t="e">
        <f>AND('Planilla_General_29-11-2012_10_'!J1700,"AAAAAD2+3t0=")</f>
        <v>#VALUE!</v>
      </c>
      <c r="HO113" t="e">
        <f>AND('Planilla_General_29-11-2012_10_'!K1700,"AAAAAD2+3t4=")</f>
        <v>#VALUE!</v>
      </c>
      <c r="HP113" t="e">
        <f>AND('Planilla_General_29-11-2012_10_'!L1700,"AAAAAD2+3t8=")</f>
        <v>#VALUE!</v>
      </c>
      <c r="HQ113" t="e">
        <f>AND('Planilla_General_29-11-2012_10_'!M1700,"AAAAAD2+3uA=")</f>
        <v>#VALUE!</v>
      </c>
      <c r="HR113" t="e">
        <f>AND('Planilla_General_29-11-2012_10_'!N1700,"AAAAAD2+3uE=")</f>
        <v>#VALUE!</v>
      </c>
      <c r="HS113" t="e">
        <f>AND('Planilla_General_29-11-2012_10_'!O1700,"AAAAAD2+3uI=")</f>
        <v>#VALUE!</v>
      </c>
      <c r="HT113" t="e">
        <f>AND('Planilla_General_29-11-2012_10_'!P1700,"AAAAAD2+3uM=")</f>
        <v>#VALUE!</v>
      </c>
      <c r="HU113">
        <f>IF('Planilla_General_29-11-2012_10_'!1701:1701,"AAAAAD2+3uQ=",0)</f>
        <v>0</v>
      </c>
      <c r="HV113" t="e">
        <f>AND('Planilla_General_29-11-2012_10_'!A1701,"AAAAAD2+3uU=")</f>
        <v>#VALUE!</v>
      </c>
      <c r="HW113" t="e">
        <f>AND('Planilla_General_29-11-2012_10_'!B1701,"AAAAAD2+3uY=")</f>
        <v>#VALUE!</v>
      </c>
      <c r="HX113" t="e">
        <f>AND('Planilla_General_29-11-2012_10_'!C1701,"AAAAAD2+3uc=")</f>
        <v>#VALUE!</v>
      </c>
      <c r="HY113" t="e">
        <f>AND('Planilla_General_29-11-2012_10_'!D1701,"AAAAAD2+3ug=")</f>
        <v>#VALUE!</v>
      </c>
      <c r="HZ113" t="e">
        <f>AND('Planilla_General_29-11-2012_10_'!E1701,"AAAAAD2+3uk=")</f>
        <v>#VALUE!</v>
      </c>
      <c r="IA113" t="e">
        <f>AND('Planilla_General_29-11-2012_10_'!F1701,"AAAAAD2+3uo=")</f>
        <v>#VALUE!</v>
      </c>
      <c r="IB113" t="e">
        <f>AND('Planilla_General_29-11-2012_10_'!G1701,"AAAAAD2+3us=")</f>
        <v>#VALUE!</v>
      </c>
      <c r="IC113" t="e">
        <f>AND('Planilla_General_29-11-2012_10_'!H1701,"AAAAAD2+3uw=")</f>
        <v>#VALUE!</v>
      </c>
      <c r="ID113" t="e">
        <f>AND('Planilla_General_29-11-2012_10_'!I1701,"AAAAAD2+3u0=")</f>
        <v>#VALUE!</v>
      </c>
      <c r="IE113" t="e">
        <f>AND('Planilla_General_29-11-2012_10_'!J1701,"AAAAAD2+3u4=")</f>
        <v>#VALUE!</v>
      </c>
      <c r="IF113" t="e">
        <f>AND('Planilla_General_29-11-2012_10_'!K1701,"AAAAAD2+3u8=")</f>
        <v>#VALUE!</v>
      </c>
      <c r="IG113" t="e">
        <f>AND('Planilla_General_29-11-2012_10_'!L1701,"AAAAAD2+3vA=")</f>
        <v>#VALUE!</v>
      </c>
      <c r="IH113" t="e">
        <f>AND('Planilla_General_29-11-2012_10_'!M1701,"AAAAAD2+3vE=")</f>
        <v>#VALUE!</v>
      </c>
      <c r="II113" t="e">
        <f>AND('Planilla_General_29-11-2012_10_'!N1701,"AAAAAD2+3vI=")</f>
        <v>#VALUE!</v>
      </c>
      <c r="IJ113" t="e">
        <f>AND('Planilla_General_29-11-2012_10_'!O1701,"AAAAAD2+3vM=")</f>
        <v>#VALUE!</v>
      </c>
      <c r="IK113" t="e">
        <f>AND('Planilla_General_29-11-2012_10_'!P1701,"AAAAAD2+3vQ=")</f>
        <v>#VALUE!</v>
      </c>
      <c r="IL113">
        <f>IF('Planilla_General_29-11-2012_10_'!1702:1702,"AAAAAD2+3vU=",0)</f>
        <v>0</v>
      </c>
      <c r="IM113" t="e">
        <f>AND('Planilla_General_29-11-2012_10_'!A1702,"AAAAAD2+3vY=")</f>
        <v>#VALUE!</v>
      </c>
      <c r="IN113" t="e">
        <f>AND('Planilla_General_29-11-2012_10_'!B1702,"AAAAAD2+3vc=")</f>
        <v>#VALUE!</v>
      </c>
      <c r="IO113" t="e">
        <f>AND('Planilla_General_29-11-2012_10_'!C1702,"AAAAAD2+3vg=")</f>
        <v>#VALUE!</v>
      </c>
      <c r="IP113" t="e">
        <f>AND('Planilla_General_29-11-2012_10_'!D1702,"AAAAAD2+3vk=")</f>
        <v>#VALUE!</v>
      </c>
      <c r="IQ113" t="e">
        <f>AND('Planilla_General_29-11-2012_10_'!E1702,"AAAAAD2+3vo=")</f>
        <v>#VALUE!</v>
      </c>
      <c r="IR113" t="e">
        <f>AND('Planilla_General_29-11-2012_10_'!F1702,"AAAAAD2+3vs=")</f>
        <v>#VALUE!</v>
      </c>
      <c r="IS113" t="e">
        <f>AND('Planilla_General_29-11-2012_10_'!G1702,"AAAAAD2+3vw=")</f>
        <v>#VALUE!</v>
      </c>
      <c r="IT113" t="e">
        <f>AND('Planilla_General_29-11-2012_10_'!H1702,"AAAAAD2+3v0=")</f>
        <v>#VALUE!</v>
      </c>
      <c r="IU113" t="e">
        <f>AND('Planilla_General_29-11-2012_10_'!I1702,"AAAAAD2+3v4=")</f>
        <v>#VALUE!</v>
      </c>
      <c r="IV113" t="e">
        <f>AND('Planilla_General_29-11-2012_10_'!J1702,"AAAAAD2+3v8=")</f>
        <v>#VALUE!</v>
      </c>
    </row>
    <row r="114" spans="1:256" x14ac:dyDescent="0.25">
      <c r="A114" t="e">
        <f>AND('Planilla_General_29-11-2012_10_'!K1702,"AAAAAH3eMwA=")</f>
        <v>#VALUE!</v>
      </c>
      <c r="B114" t="e">
        <f>AND('Planilla_General_29-11-2012_10_'!L1702,"AAAAAH3eMwE=")</f>
        <v>#VALUE!</v>
      </c>
      <c r="C114" t="e">
        <f>AND('Planilla_General_29-11-2012_10_'!M1702,"AAAAAH3eMwI=")</f>
        <v>#VALUE!</v>
      </c>
      <c r="D114" t="e">
        <f>AND('Planilla_General_29-11-2012_10_'!N1702,"AAAAAH3eMwM=")</f>
        <v>#VALUE!</v>
      </c>
      <c r="E114" t="e">
        <f>AND('Planilla_General_29-11-2012_10_'!O1702,"AAAAAH3eMwQ=")</f>
        <v>#VALUE!</v>
      </c>
      <c r="F114" t="e">
        <f>AND('Planilla_General_29-11-2012_10_'!P1702,"AAAAAH3eMwU=")</f>
        <v>#VALUE!</v>
      </c>
      <c r="G114" t="e">
        <f>IF('Planilla_General_29-11-2012_10_'!1703:1703,"AAAAAH3eMwY=",0)</f>
        <v>#VALUE!</v>
      </c>
      <c r="H114" t="e">
        <f>AND('Planilla_General_29-11-2012_10_'!A1703,"AAAAAH3eMwc=")</f>
        <v>#VALUE!</v>
      </c>
      <c r="I114" t="e">
        <f>AND('Planilla_General_29-11-2012_10_'!B1703,"AAAAAH3eMwg=")</f>
        <v>#VALUE!</v>
      </c>
      <c r="J114" t="e">
        <f>AND('Planilla_General_29-11-2012_10_'!C1703,"AAAAAH3eMwk=")</f>
        <v>#VALUE!</v>
      </c>
      <c r="K114" t="e">
        <f>AND('Planilla_General_29-11-2012_10_'!D1703,"AAAAAH3eMwo=")</f>
        <v>#VALUE!</v>
      </c>
      <c r="L114" t="e">
        <f>AND('Planilla_General_29-11-2012_10_'!E1703,"AAAAAH3eMws=")</f>
        <v>#VALUE!</v>
      </c>
      <c r="M114" t="e">
        <f>AND('Planilla_General_29-11-2012_10_'!F1703,"AAAAAH3eMww=")</f>
        <v>#VALUE!</v>
      </c>
      <c r="N114" t="e">
        <f>AND('Planilla_General_29-11-2012_10_'!G1703,"AAAAAH3eMw0=")</f>
        <v>#VALUE!</v>
      </c>
      <c r="O114" t="e">
        <f>AND('Planilla_General_29-11-2012_10_'!H1703,"AAAAAH3eMw4=")</f>
        <v>#VALUE!</v>
      </c>
      <c r="P114" t="e">
        <f>AND('Planilla_General_29-11-2012_10_'!I1703,"AAAAAH3eMw8=")</f>
        <v>#VALUE!</v>
      </c>
      <c r="Q114" t="e">
        <f>AND('Planilla_General_29-11-2012_10_'!J1703,"AAAAAH3eMxA=")</f>
        <v>#VALUE!</v>
      </c>
      <c r="R114" t="e">
        <f>AND('Planilla_General_29-11-2012_10_'!K1703,"AAAAAH3eMxE=")</f>
        <v>#VALUE!</v>
      </c>
      <c r="S114" t="e">
        <f>AND('Planilla_General_29-11-2012_10_'!L1703,"AAAAAH3eMxI=")</f>
        <v>#VALUE!</v>
      </c>
      <c r="T114" t="e">
        <f>AND('Planilla_General_29-11-2012_10_'!M1703,"AAAAAH3eMxM=")</f>
        <v>#VALUE!</v>
      </c>
      <c r="U114" t="e">
        <f>AND('Planilla_General_29-11-2012_10_'!N1703,"AAAAAH3eMxQ=")</f>
        <v>#VALUE!</v>
      </c>
      <c r="V114" t="e">
        <f>AND('Planilla_General_29-11-2012_10_'!O1703,"AAAAAH3eMxU=")</f>
        <v>#VALUE!</v>
      </c>
      <c r="W114" t="e">
        <f>AND('Planilla_General_29-11-2012_10_'!P1703,"AAAAAH3eMxY=")</f>
        <v>#VALUE!</v>
      </c>
      <c r="X114">
        <f>IF('Planilla_General_29-11-2012_10_'!1704:1704,"AAAAAH3eMxc=",0)</f>
        <v>0</v>
      </c>
      <c r="Y114" t="e">
        <f>AND('Planilla_General_29-11-2012_10_'!A1704,"AAAAAH3eMxg=")</f>
        <v>#VALUE!</v>
      </c>
      <c r="Z114" t="e">
        <f>AND('Planilla_General_29-11-2012_10_'!B1704,"AAAAAH3eMxk=")</f>
        <v>#VALUE!</v>
      </c>
      <c r="AA114" t="e">
        <f>AND('Planilla_General_29-11-2012_10_'!C1704,"AAAAAH3eMxo=")</f>
        <v>#VALUE!</v>
      </c>
      <c r="AB114" t="e">
        <f>AND('Planilla_General_29-11-2012_10_'!D1704,"AAAAAH3eMxs=")</f>
        <v>#VALUE!</v>
      </c>
      <c r="AC114" t="e">
        <f>AND('Planilla_General_29-11-2012_10_'!E1704,"AAAAAH3eMxw=")</f>
        <v>#VALUE!</v>
      </c>
      <c r="AD114" t="e">
        <f>AND('Planilla_General_29-11-2012_10_'!F1704,"AAAAAH3eMx0=")</f>
        <v>#VALUE!</v>
      </c>
      <c r="AE114" t="e">
        <f>AND('Planilla_General_29-11-2012_10_'!G1704,"AAAAAH3eMx4=")</f>
        <v>#VALUE!</v>
      </c>
      <c r="AF114" t="e">
        <f>AND('Planilla_General_29-11-2012_10_'!H1704,"AAAAAH3eMx8=")</f>
        <v>#VALUE!</v>
      </c>
      <c r="AG114" t="e">
        <f>AND('Planilla_General_29-11-2012_10_'!I1704,"AAAAAH3eMyA=")</f>
        <v>#VALUE!</v>
      </c>
      <c r="AH114" t="e">
        <f>AND('Planilla_General_29-11-2012_10_'!J1704,"AAAAAH3eMyE=")</f>
        <v>#VALUE!</v>
      </c>
      <c r="AI114" t="e">
        <f>AND('Planilla_General_29-11-2012_10_'!K1704,"AAAAAH3eMyI=")</f>
        <v>#VALUE!</v>
      </c>
      <c r="AJ114" t="e">
        <f>AND('Planilla_General_29-11-2012_10_'!L1704,"AAAAAH3eMyM=")</f>
        <v>#VALUE!</v>
      </c>
      <c r="AK114" t="e">
        <f>AND('Planilla_General_29-11-2012_10_'!M1704,"AAAAAH3eMyQ=")</f>
        <v>#VALUE!</v>
      </c>
      <c r="AL114" t="e">
        <f>AND('Planilla_General_29-11-2012_10_'!N1704,"AAAAAH3eMyU=")</f>
        <v>#VALUE!</v>
      </c>
      <c r="AM114" t="e">
        <f>AND('Planilla_General_29-11-2012_10_'!O1704,"AAAAAH3eMyY=")</f>
        <v>#VALUE!</v>
      </c>
      <c r="AN114" t="e">
        <f>AND('Planilla_General_29-11-2012_10_'!P1704,"AAAAAH3eMyc=")</f>
        <v>#VALUE!</v>
      </c>
      <c r="AO114">
        <f>IF('Planilla_General_29-11-2012_10_'!1705:1705,"AAAAAH3eMyg=",0)</f>
        <v>0</v>
      </c>
      <c r="AP114" t="e">
        <f>AND('Planilla_General_29-11-2012_10_'!A1705,"AAAAAH3eMyk=")</f>
        <v>#VALUE!</v>
      </c>
      <c r="AQ114" t="e">
        <f>AND('Planilla_General_29-11-2012_10_'!B1705,"AAAAAH3eMyo=")</f>
        <v>#VALUE!</v>
      </c>
      <c r="AR114" t="e">
        <f>AND('Planilla_General_29-11-2012_10_'!C1705,"AAAAAH3eMys=")</f>
        <v>#VALUE!</v>
      </c>
      <c r="AS114" t="e">
        <f>AND('Planilla_General_29-11-2012_10_'!D1705,"AAAAAH3eMyw=")</f>
        <v>#VALUE!</v>
      </c>
      <c r="AT114" t="e">
        <f>AND('Planilla_General_29-11-2012_10_'!E1705,"AAAAAH3eMy0=")</f>
        <v>#VALUE!</v>
      </c>
      <c r="AU114" t="e">
        <f>AND('Planilla_General_29-11-2012_10_'!F1705,"AAAAAH3eMy4=")</f>
        <v>#VALUE!</v>
      </c>
      <c r="AV114" t="e">
        <f>AND('Planilla_General_29-11-2012_10_'!G1705,"AAAAAH3eMy8=")</f>
        <v>#VALUE!</v>
      </c>
      <c r="AW114" t="e">
        <f>AND('Planilla_General_29-11-2012_10_'!H1705,"AAAAAH3eMzA=")</f>
        <v>#VALUE!</v>
      </c>
      <c r="AX114" t="e">
        <f>AND('Planilla_General_29-11-2012_10_'!I1705,"AAAAAH3eMzE=")</f>
        <v>#VALUE!</v>
      </c>
      <c r="AY114" t="e">
        <f>AND('Planilla_General_29-11-2012_10_'!J1705,"AAAAAH3eMzI=")</f>
        <v>#VALUE!</v>
      </c>
      <c r="AZ114" t="e">
        <f>AND('Planilla_General_29-11-2012_10_'!K1705,"AAAAAH3eMzM=")</f>
        <v>#VALUE!</v>
      </c>
      <c r="BA114" t="e">
        <f>AND('Planilla_General_29-11-2012_10_'!L1705,"AAAAAH3eMzQ=")</f>
        <v>#VALUE!</v>
      </c>
      <c r="BB114" t="e">
        <f>AND('Planilla_General_29-11-2012_10_'!M1705,"AAAAAH3eMzU=")</f>
        <v>#VALUE!</v>
      </c>
      <c r="BC114" t="e">
        <f>AND('Planilla_General_29-11-2012_10_'!N1705,"AAAAAH3eMzY=")</f>
        <v>#VALUE!</v>
      </c>
      <c r="BD114" t="e">
        <f>AND('Planilla_General_29-11-2012_10_'!O1705,"AAAAAH3eMzc=")</f>
        <v>#VALUE!</v>
      </c>
      <c r="BE114" t="e">
        <f>AND('Planilla_General_29-11-2012_10_'!P1705,"AAAAAH3eMzg=")</f>
        <v>#VALUE!</v>
      </c>
      <c r="BF114">
        <f>IF('Planilla_General_29-11-2012_10_'!1706:1706,"AAAAAH3eMzk=",0)</f>
        <v>0</v>
      </c>
      <c r="BG114" t="e">
        <f>AND('Planilla_General_29-11-2012_10_'!A1706,"AAAAAH3eMzo=")</f>
        <v>#VALUE!</v>
      </c>
      <c r="BH114" t="e">
        <f>AND('Planilla_General_29-11-2012_10_'!B1706,"AAAAAH3eMzs=")</f>
        <v>#VALUE!</v>
      </c>
      <c r="BI114" t="e">
        <f>AND('Planilla_General_29-11-2012_10_'!C1706,"AAAAAH3eMzw=")</f>
        <v>#VALUE!</v>
      </c>
      <c r="BJ114" t="e">
        <f>AND('Planilla_General_29-11-2012_10_'!D1706,"AAAAAH3eMz0=")</f>
        <v>#VALUE!</v>
      </c>
      <c r="BK114" t="e">
        <f>AND('Planilla_General_29-11-2012_10_'!E1706,"AAAAAH3eMz4=")</f>
        <v>#VALUE!</v>
      </c>
      <c r="BL114" t="e">
        <f>AND('Planilla_General_29-11-2012_10_'!F1706,"AAAAAH3eMz8=")</f>
        <v>#VALUE!</v>
      </c>
      <c r="BM114" t="e">
        <f>AND('Planilla_General_29-11-2012_10_'!G1706,"AAAAAH3eM0A=")</f>
        <v>#VALUE!</v>
      </c>
      <c r="BN114" t="e">
        <f>AND('Planilla_General_29-11-2012_10_'!H1706,"AAAAAH3eM0E=")</f>
        <v>#VALUE!</v>
      </c>
      <c r="BO114" t="e">
        <f>AND('Planilla_General_29-11-2012_10_'!I1706,"AAAAAH3eM0I=")</f>
        <v>#VALUE!</v>
      </c>
      <c r="BP114" t="e">
        <f>AND('Planilla_General_29-11-2012_10_'!J1706,"AAAAAH3eM0M=")</f>
        <v>#VALUE!</v>
      </c>
      <c r="BQ114" t="e">
        <f>AND('Planilla_General_29-11-2012_10_'!K1706,"AAAAAH3eM0Q=")</f>
        <v>#VALUE!</v>
      </c>
      <c r="BR114" t="e">
        <f>AND('Planilla_General_29-11-2012_10_'!L1706,"AAAAAH3eM0U=")</f>
        <v>#VALUE!</v>
      </c>
      <c r="BS114" t="e">
        <f>AND('Planilla_General_29-11-2012_10_'!M1706,"AAAAAH3eM0Y=")</f>
        <v>#VALUE!</v>
      </c>
      <c r="BT114" t="e">
        <f>AND('Planilla_General_29-11-2012_10_'!N1706,"AAAAAH3eM0c=")</f>
        <v>#VALUE!</v>
      </c>
      <c r="BU114" t="e">
        <f>AND('Planilla_General_29-11-2012_10_'!O1706,"AAAAAH3eM0g=")</f>
        <v>#VALUE!</v>
      </c>
      <c r="BV114" t="e">
        <f>AND('Planilla_General_29-11-2012_10_'!P1706,"AAAAAH3eM0k=")</f>
        <v>#VALUE!</v>
      </c>
      <c r="BW114">
        <f>IF('Planilla_General_29-11-2012_10_'!1707:1707,"AAAAAH3eM0o=",0)</f>
        <v>0</v>
      </c>
      <c r="BX114" t="e">
        <f>AND('Planilla_General_29-11-2012_10_'!A1707,"AAAAAH3eM0s=")</f>
        <v>#VALUE!</v>
      </c>
      <c r="BY114" t="e">
        <f>AND('Planilla_General_29-11-2012_10_'!B1707,"AAAAAH3eM0w=")</f>
        <v>#VALUE!</v>
      </c>
      <c r="BZ114" t="e">
        <f>AND('Planilla_General_29-11-2012_10_'!C1707,"AAAAAH3eM00=")</f>
        <v>#VALUE!</v>
      </c>
      <c r="CA114" t="e">
        <f>AND('Planilla_General_29-11-2012_10_'!D1707,"AAAAAH3eM04=")</f>
        <v>#VALUE!</v>
      </c>
      <c r="CB114" t="e">
        <f>AND('Planilla_General_29-11-2012_10_'!E1707,"AAAAAH3eM08=")</f>
        <v>#VALUE!</v>
      </c>
      <c r="CC114" t="e">
        <f>AND('Planilla_General_29-11-2012_10_'!F1707,"AAAAAH3eM1A=")</f>
        <v>#VALUE!</v>
      </c>
      <c r="CD114" t="e">
        <f>AND('Planilla_General_29-11-2012_10_'!G1707,"AAAAAH3eM1E=")</f>
        <v>#VALUE!</v>
      </c>
      <c r="CE114" t="e">
        <f>AND('Planilla_General_29-11-2012_10_'!H1707,"AAAAAH3eM1I=")</f>
        <v>#VALUE!</v>
      </c>
      <c r="CF114" t="e">
        <f>AND('Planilla_General_29-11-2012_10_'!I1707,"AAAAAH3eM1M=")</f>
        <v>#VALUE!</v>
      </c>
      <c r="CG114" t="e">
        <f>AND('Planilla_General_29-11-2012_10_'!J1707,"AAAAAH3eM1Q=")</f>
        <v>#VALUE!</v>
      </c>
      <c r="CH114" t="e">
        <f>AND('Planilla_General_29-11-2012_10_'!K1707,"AAAAAH3eM1U=")</f>
        <v>#VALUE!</v>
      </c>
      <c r="CI114" t="e">
        <f>AND('Planilla_General_29-11-2012_10_'!L1707,"AAAAAH3eM1Y=")</f>
        <v>#VALUE!</v>
      </c>
      <c r="CJ114" t="e">
        <f>AND('Planilla_General_29-11-2012_10_'!M1707,"AAAAAH3eM1c=")</f>
        <v>#VALUE!</v>
      </c>
      <c r="CK114" t="e">
        <f>AND('Planilla_General_29-11-2012_10_'!N1707,"AAAAAH3eM1g=")</f>
        <v>#VALUE!</v>
      </c>
      <c r="CL114" t="e">
        <f>AND('Planilla_General_29-11-2012_10_'!O1707,"AAAAAH3eM1k=")</f>
        <v>#VALUE!</v>
      </c>
      <c r="CM114" t="e">
        <f>AND('Planilla_General_29-11-2012_10_'!P1707,"AAAAAH3eM1o=")</f>
        <v>#VALUE!</v>
      </c>
      <c r="CN114">
        <f>IF('Planilla_General_29-11-2012_10_'!1708:1708,"AAAAAH3eM1s=",0)</f>
        <v>0</v>
      </c>
      <c r="CO114" t="e">
        <f>AND('Planilla_General_29-11-2012_10_'!A1708,"AAAAAH3eM1w=")</f>
        <v>#VALUE!</v>
      </c>
      <c r="CP114" t="e">
        <f>AND('Planilla_General_29-11-2012_10_'!B1708,"AAAAAH3eM10=")</f>
        <v>#VALUE!</v>
      </c>
      <c r="CQ114" t="e">
        <f>AND('Planilla_General_29-11-2012_10_'!C1708,"AAAAAH3eM14=")</f>
        <v>#VALUE!</v>
      </c>
      <c r="CR114" t="e">
        <f>AND('Planilla_General_29-11-2012_10_'!D1708,"AAAAAH3eM18=")</f>
        <v>#VALUE!</v>
      </c>
      <c r="CS114" t="e">
        <f>AND('Planilla_General_29-11-2012_10_'!E1708,"AAAAAH3eM2A=")</f>
        <v>#VALUE!</v>
      </c>
      <c r="CT114" t="e">
        <f>AND('Planilla_General_29-11-2012_10_'!F1708,"AAAAAH3eM2E=")</f>
        <v>#VALUE!</v>
      </c>
      <c r="CU114" t="e">
        <f>AND('Planilla_General_29-11-2012_10_'!G1708,"AAAAAH3eM2I=")</f>
        <v>#VALUE!</v>
      </c>
      <c r="CV114" t="e">
        <f>AND('Planilla_General_29-11-2012_10_'!H1708,"AAAAAH3eM2M=")</f>
        <v>#VALUE!</v>
      </c>
      <c r="CW114" t="e">
        <f>AND('Planilla_General_29-11-2012_10_'!I1708,"AAAAAH3eM2Q=")</f>
        <v>#VALUE!</v>
      </c>
      <c r="CX114" t="e">
        <f>AND('Planilla_General_29-11-2012_10_'!J1708,"AAAAAH3eM2U=")</f>
        <v>#VALUE!</v>
      </c>
      <c r="CY114" t="e">
        <f>AND('Planilla_General_29-11-2012_10_'!K1708,"AAAAAH3eM2Y=")</f>
        <v>#VALUE!</v>
      </c>
      <c r="CZ114" t="e">
        <f>AND('Planilla_General_29-11-2012_10_'!L1708,"AAAAAH3eM2c=")</f>
        <v>#VALUE!</v>
      </c>
      <c r="DA114" t="e">
        <f>AND('Planilla_General_29-11-2012_10_'!M1708,"AAAAAH3eM2g=")</f>
        <v>#VALUE!</v>
      </c>
      <c r="DB114" t="e">
        <f>AND('Planilla_General_29-11-2012_10_'!N1708,"AAAAAH3eM2k=")</f>
        <v>#VALUE!</v>
      </c>
      <c r="DC114" t="e">
        <f>AND('Planilla_General_29-11-2012_10_'!O1708,"AAAAAH3eM2o=")</f>
        <v>#VALUE!</v>
      </c>
      <c r="DD114" t="e">
        <f>AND('Planilla_General_29-11-2012_10_'!P1708,"AAAAAH3eM2s=")</f>
        <v>#VALUE!</v>
      </c>
      <c r="DE114">
        <f>IF('Planilla_General_29-11-2012_10_'!1709:1709,"AAAAAH3eM2w=",0)</f>
        <v>0</v>
      </c>
      <c r="DF114" t="e">
        <f>AND('Planilla_General_29-11-2012_10_'!A1709,"AAAAAH3eM20=")</f>
        <v>#VALUE!</v>
      </c>
      <c r="DG114" t="e">
        <f>AND('Planilla_General_29-11-2012_10_'!B1709,"AAAAAH3eM24=")</f>
        <v>#VALUE!</v>
      </c>
      <c r="DH114" t="e">
        <f>AND('Planilla_General_29-11-2012_10_'!C1709,"AAAAAH3eM28=")</f>
        <v>#VALUE!</v>
      </c>
      <c r="DI114" t="e">
        <f>AND('Planilla_General_29-11-2012_10_'!D1709,"AAAAAH3eM3A=")</f>
        <v>#VALUE!</v>
      </c>
      <c r="DJ114" t="e">
        <f>AND('Planilla_General_29-11-2012_10_'!E1709,"AAAAAH3eM3E=")</f>
        <v>#VALUE!</v>
      </c>
      <c r="DK114" t="e">
        <f>AND('Planilla_General_29-11-2012_10_'!F1709,"AAAAAH3eM3I=")</f>
        <v>#VALUE!</v>
      </c>
      <c r="DL114" t="e">
        <f>AND('Planilla_General_29-11-2012_10_'!G1709,"AAAAAH3eM3M=")</f>
        <v>#VALUE!</v>
      </c>
      <c r="DM114" t="e">
        <f>AND('Planilla_General_29-11-2012_10_'!H1709,"AAAAAH3eM3Q=")</f>
        <v>#VALUE!</v>
      </c>
      <c r="DN114" t="e">
        <f>AND('Planilla_General_29-11-2012_10_'!I1709,"AAAAAH3eM3U=")</f>
        <v>#VALUE!</v>
      </c>
      <c r="DO114" t="e">
        <f>AND('Planilla_General_29-11-2012_10_'!J1709,"AAAAAH3eM3Y=")</f>
        <v>#VALUE!</v>
      </c>
      <c r="DP114" t="e">
        <f>AND('Planilla_General_29-11-2012_10_'!K1709,"AAAAAH3eM3c=")</f>
        <v>#VALUE!</v>
      </c>
      <c r="DQ114" t="e">
        <f>AND('Planilla_General_29-11-2012_10_'!L1709,"AAAAAH3eM3g=")</f>
        <v>#VALUE!</v>
      </c>
      <c r="DR114" t="e">
        <f>AND('Planilla_General_29-11-2012_10_'!M1709,"AAAAAH3eM3k=")</f>
        <v>#VALUE!</v>
      </c>
      <c r="DS114" t="e">
        <f>AND('Planilla_General_29-11-2012_10_'!N1709,"AAAAAH3eM3o=")</f>
        <v>#VALUE!</v>
      </c>
      <c r="DT114" t="e">
        <f>AND('Planilla_General_29-11-2012_10_'!O1709,"AAAAAH3eM3s=")</f>
        <v>#VALUE!</v>
      </c>
      <c r="DU114" t="e">
        <f>AND('Planilla_General_29-11-2012_10_'!P1709,"AAAAAH3eM3w=")</f>
        <v>#VALUE!</v>
      </c>
      <c r="DV114">
        <f>IF('Planilla_General_29-11-2012_10_'!1710:1710,"AAAAAH3eM30=",0)</f>
        <v>0</v>
      </c>
      <c r="DW114" t="e">
        <f>AND('Planilla_General_29-11-2012_10_'!A1710,"AAAAAH3eM34=")</f>
        <v>#VALUE!</v>
      </c>
      <c r="DX114" t="e">
        <f>AND('Planilla_General_29-11-2012_10_'!B1710,"AAAAAH3eM38=")</f>
        <v>#VALUE!</v>
      </c>
      <c r="DY114" t="e">
        <f>AND('Planilla_General_29-11-2012_10_'!C1710,"AAAAAH3eM4A=")</f>
        <v>#VALUE!</v>
      </c>
      <c r="DZ114" t="e">
        <f>AND('Planilla_General_29-11-2012_10_'!D1710,"AAAAAH3eM4E=")</f>
        <v>#VALUE!</v>
      </c>
      <c r="EA114" t="e">
        <f>AND('Planilla_General_29-11-2012_10_'!E1710,"AAAAAH3eM4I=")</f>
        <v>#VALUE!</v>
      </c>
      <c r="EB114" t="e">
        <f>AND('Planilla_General_29-11-2012_10_'!F1710,"AAAAAH3eM4M=")</f>
        <v>#VALUE!</v>
      </c>
      <c r="EC114" t="e">
        <f>AND('Planilla_General_29-11-2012_10_'!G1710,"AAAAAH3eM4Q=")</f>
        <v>#VALUE!</v>
      </c>
      <c r="ED114" t="e">
        <f>AND('Planilla_General_29-11-2012_10_'!H1710,"AAAAAH3eM4U=")</f>
        <v>#VALUE!</v>
      </c>
      <c r="EE114" t="e">
        <f>AND('Planilla_General_29-11-2012_10_'!I1710,"AAAAAH3eM4Y=")</f>
        <v>#VALUE!</v>
      </c>
      <c r="EF114" t="e">
        <f>AND('Planilla_General_29-11-2012_10_'!J1710,"AAAAAH3eM4c=")</f>
        <v>#VALUE!</v>
      </c>
      <c r="EG114" t="e">
        <f>AND('Planilla_General_29-11-2012_10_'!K1710,"AAAAAH3eM4g=")</f>
        <v>#VALUE!</v>
      </c>
      <c r="EH114" t="e">
        <f>AND('Planilla_General_29-11-2012_10_'!L1710,"AAAAAH3eM4k=")</f>
        <v>#VALUE!</v>
      </c>
      <c r="EI114" t="e">
        <f>AND('Planilla_General_29-11-2012_10_'!M1710,"AAAAAH3eM4o=")</f>
        <v>#VALUE!</v>
      </c>
      <c r="EJ114" t="e">
        <f>AND('Planilla_General_29-11-2012_10_'!N1710,"AAAAAH3eM4s=")</f>
        <v>#VALUE!</v>
      </c>
      <c r="EK114" t="e">
        <f>AND('Planilla_General_29-11-2012_10_'!O1710,"AAAAAH3eM4w=")</f>
        <v>#VALUE!</v>
      </c>
      <c r="EL114" t="e">
        <f>AND('Planilla_General_29-11-2012_10_'!P1710,"AAAAAH3eM40=")</f>
        <v>#VALUE!</v>
      </c>
      <c r="EM114">
        <f>IF('Planilla_General_29-11-2012_10_'!1711:1711,"AAAAAH3eM44=",0)</f>
        <v>0</v>
      </c>
      <c r="EN114" t="e">
        <f>AND('Planilla_General_29-11-2012_10_'!A1711,"AAAAAH3eM48=")</f>
        <v>#VALUE!</v>
      </c>
      <c r="EO114" t="e">
        <f>AND('Planilla_General_29-11-2012_10_'!B1711,"AAAAAH3eM5A=")</f>
        <v>#VALUE!</v>
      </c>
      <c r="EP114" t="e">
        <f>AND('Planilla_General_29-11-2012_10_'!C1711,"AAAAAH3eM5E=")</f>
        <v>#VALUE!</v>
      </c>
      <c r="EQ114" t="e">
        <f>AND('Planilla_General_29-11-2012_10_'!D1711,"AAAAAH3eM5I=")</f>
        <v>#VALUE!</v>
      </c>
      <c r="ER114" t="e">
        <f>AND('Planilla_General_29-11-2012_10_'!E1711,"AAAAAH3eM5M=")</f>
        <v>#VALUE!</v>
      </c>
      <c r="ES114" t="e">
        <f>AND('Planilla_General_29-11-2012_10_'!F1711,"AAAAAH3eM5Q=")</f>
        <v>#VALUE!</v>
      </c>
      <c r="ET114" t="e">
        <f>AND('Planilla_General_29-11-2012_10_'!G1711,"AAAAAH3eM5U=")</f>
        <v>#VALUE!</v>
      </c>
      <c r="EU114" t="e">
        <f>AND('Planilla_General_29-11-2012_10_'!H1711,"AAAAAH3eM5Y=")</f>
        <v>#VALUE!</v>
      </c>
      <c r="EV114" t="e">
        <f>AND('Planilla_General_29-11-2012_10_'!I1711,"AAAAAH3eM5c=")</f>
        <v>#VALUE!</v>
      </c>
      <c r="EW114" t="e">
        <f>AND('Planilla_General_29-11-2012_10_'!J1711,"AAAAAH3eM5g=")</f>
        <v>#VALUE!</v>
      </c>
      <c r="EX114" t="e">
        <f>AND('Planilla_General_29-11-2012_10_'!K1711,"AAAAAH3eM5k=")</f>
        <v>#VALUE!</v>
      </c>
      <c r="EY114" t="e">
        <f>AND('Planilla_General_29-11-2012_10_'!L1711,"AAAAAH3eM5o=")</f>
        <v>#VALUE!</v>
      </c>
      <c r="EZ114" t="e">
        <f>AND('Planilla_General_29-11-2012_10_'!M1711,"AAAAAH3eM5s=")</f>
        <v>#VALUE!</v>
      </c>
      <c r="FA114" t="e">
        <f>AND('Planilla_General_29-11-2012_10_'!N1711,"AAAAAH3eM5w=")</f>
        <v>#VALUE!</v>
      </c>
      <c r="FB114" t="e">
        <f>AND('Planilla_General_29-11-2012_10_'!O1711,"AAAAAH3eM50=")</f>
        <v>#VALUE!</v>
      </c>
      <c r="FC114" t="e">
        <f>AND('Planilla_General_29-11-2012_10_'!P1711,"AAAAAH3eM54=")</f>
        <v>#VALUE!</v>
      </c>
      <c r="FD114">
        <f>IF('Planilla_General_29-11-2012_10_'!1712:1712,"AAAAAH3eM58=",0)</f>
        <v>0</v>
      </c>
      <c r="FE114" t="e">
        <f>AND('Planilla_General_29-11-2012_10_'!A1712,"AAAAAH3eM6A=")</f>
        <v>#VALUE!</v>
      </c>
      <c r="FF114" t="e">
        <f>AND('Planilla_General_29-11-2012_10_'!B1712,"AAAAAH3eM6E=")</f>
        <v>#VALUE!</v>
      </c>
      <c r="FG114" t="e">
        <f>AND('Planilla_General_29-11-2012_10_'!C1712,"AAAAAH3eM6I=")</f>
        <v>#VALUE!</v>
      </c>
      <c r="FH114" t="e">
        <f>AND('Planilla_General_29-11-2012_10_'!D1712,"AAAAAH3eM6M=")</f>
        <v>#VALUE!</v>
      </c>
      <c r="FI114" t="e">
        <f>AND('Planilla_General_29-11-2012_10_'!E1712,"AAAAAH3eM6Q=")</f>
        <v>#VALUE!</v>
      </c>
      <c r="FJ114" t="e">
        <f>AND('Planilla_General_29-11-2012_10_'!F1712,"AAAAAH3eM6U=")</f>
        <v>#VALUE!</v>
      </c>
      <c r="FK114" t="e">
        <f>AND('Planilla_General_29-11-2012_10_'!G1712,"AAAAAH3eM6Y=")</f>
        <v>#VALUE!</v>
      </c>
      <c r="FL114" t="e">
        <f>AND('Planilla_General_29-11-2012_10_'!H1712,"AAAAAH3eM6c=")</f>
        <v>#VALUE!</v>
      </c>
      <c r="FM114" t="e">
        <f>AND('Planilla_General_29-11-2012_10_'!I1712,"AAAAAH3eM6g=")</f>
        <v>#VALUE!</v>
      </c>
      <c r="FN114" t="e">
        <f>AND('Planilla_General_29-11-2012_10_'!J1712,"AAAAAH3eM6k=")</f>
        <v>#VALUE!</v>
      </c>
      <c r="FO114" t="e">
        <f>AND('Planilla_General_29-11-2012_10_'!K1712,"AAAAAH3eM6o=")</f>
        <v>#VALUE!</v>
      </c>
      <c r="FP114" t="e">
        <f>AND('Planilla_General_29-11-2012_10_'!L1712,"AAAAAH3eM6s=")</f>
        <v>#VALUE!</v>
      </c>
      <c r="FQ114" t="e">
        <f>AND('Planilla_General_29-11-2012_10_'!M1712,"AAAAAH3eM6w=")</f>
        <v>#VALUE!</v>
      </c>
      <c r="FR114" t="e">
        <f>AND('Planilla_General_29-11-2012_10_'!N1712,"AAAAAH3eM60=")</f>
        <v>#VALUE!</v>
      </c>
      <c r="FS114" t="e">
        <f>AND('Planilla_General_29-11-2012_10_'!O1712,"AAAAAH3eM64=")</f>
        <v>#VALUE!</v>
      </c>
      <c r="FT114" t="e">
        <f>AND('Planilla_General_29-11-2012_10_'!P1712,"AAAAAH3eM68=")</f>
        <v>#VALUE!</v>
      </c>
      <c r="FU114">
        <f>IF('Planilla_General_29-11-2012_10_'!1713:1713,"AAAAAH3eM7A=",0)</f>
        <v>0</v>
      </c>
      <c r="FV114" t="e">
        <f>AND('Planilla_General_29-11-2012_10_'!A1713,"AAAAAH3eM7E=")</f>
        <v>#VALUE!</v>
      </c>
      <c r="FW114" t="e">
        <f>AND('Planilla_General_29-11-2012_10_'!B1713,"AAAAAH3eM7I=")</f>
        <v>#VALUE!</v>
      </c>
      <c r="FX114" t="e">
        <f>AND('Planilla_General_29-11-2012_10_'!C1713,"AAAAAH3eM7M=")</f>
        <v>#VALUE!</v>
      </c>
      <c r="FY114" t="e">
        <f>AND('Planilla_General_29-11-2012_10_'!D1713,"AAAAAH3eM7Q=")</f>
        <v>#VALUE!</v>
      </c>
      <c r="FZ114" t="e">
        <f>AND('Planilla_General_29-11-2012_10_'!E1713,"AAAAAH3eM7U=")</f>
        <v>#VALUE!</v>
      </c>
      <c r="GA114" t="e">
        <f>AND('Planilla_General_29-11-2012_10_'!F1713,"AAAAAH3eM7Y=")</f>
        <v>#VALUE!</v>
      </c>
      <c r="GB114" t="e">
        <f>AND('Planilla_General_29-11-2012_10_'!G1713,"AAAAAH3eM7c=")</f>
        <v>#VALUE!</v>
      </c>
      <c r="GC114" t="e">
        <f>AND('Planilla_General_29-11-2012_10_'!H1713,"AAAAAH3eM7g=")</f>
        <v>#VALUE!</v>
      </c>
      <c r="GD114" t="e">
        <f>AND('Planilla_General_29-11-2012_10_'!I1713,"AAAAAH3eM7k=")</f>
        <v>#VALUE!</v>
      </c>
      <c r="GE114" t="e">
        <f>AND('Planilla_General_29-11-2012_10_'!J1713,"AAAAAH3eM7o=")</f>
        <v>#VALUE!</v>
      </c>
      <c r="GF114" t="e">
        <f>AND('Planilla_General_29-11-2012_10_'!K1713,"AAAAAH3eM7s=")</f>
        <v>#VALUE!</v>
      </c>
      <c r="GG114" t="e">
        <f>AND('Planilla_General_29-11-2012_10_'!L1713,"AAAAAH3eM7w=")</f>
        <v>#VALUE!</v>
      </c>
      <c r="GH114" t="e">
        <f>AND('Planilla_General_29-11-2012_10_'!M1713,"AAAAAH3eM70=")</f>
        <v>#VALUE!</v>
      </c>
      <c r="GI114" t="e">
        <f>AND('Planilla_General_29-11-2012_10_'!N1713,"AAAAAH3eM74=")</f>
        <v>#VALUE!</v>
      </c>
      <c r="GJ114" t="e">
        <f>AND('Planilla_General_29-11-2012_10_'!O1713,"AAAAAH3eM78=")</f>
        <v>#VALUE!</v>
      </c>
      <c r="GK114" t="e">
        <f>AND('Planilla_General_29-11-2012_10_'!P1713,"AAAAAH3eM8A=")</f>
        <v>#VALUE!</v>
      </c>
      <c r="GL114">
        <f>IF('Planilla_General_29-11-2012_10_'!1714:1714,"AAAAAH3eM8E=",0)</f>
        <v>0</v>
      </c>
      <c r="GM114" t="e">
        <f>AND('Planilla_General_29-11-2012_10_'!A1714,"AAAAAH3eM8I=")</f>
        <v>#VALUE!</v>
      </c>
      <c r="GN114" t="e">
        <f>AND('Planilla_General_29-11-2012_10_'!B1714,"AAAAAH3eM8M=")</f>
        <v>#VALUE!</v>
      </c>
      <c r="GO114" t="e">
        <f>AND('Planilla_General_29-11-2012_10_'!C1714,"AAAAAH3eM8Q=")</f>
        <v>#VALUE!</v>
      </c>
      <c r="GP114" t="e">
        <f>AND('Planilla_General_29-11-2012_10_'!D1714,"AAAAAH3eM8U=")</f>
        <v>#VALUE!</v>
      </c>
      <c r="GQ114" t="e">
        <f>AND('Planilla_General_29-11-2012_10_'!E1714,"AAAAAH3eM8Y=")</f>
        <v>#VALUE!</v>
      </c>
      <c r="GR114" t="e">
        <f>AND('Planilla_General_29-11-2012_10_'!F1714,"AAAAAH3eM8c=")</f>
        <v>#VALUE!</v>
      </c>
      <c r="GS114" t="e">
        <f>AND('Planilla_General_29-11-2012_10_'!G1714,"AAAAAH3eM8g=")</f>
        <v>#VALUE!</v>
      </c>
      <c r="GT114" t="e">
        <f>AND('Planilla_General_29-11-2012_10_'!H1714,"AAAAAH3eM8k=")</f>
        <v>#VALUE!</v>
      </c>
      <c r="GU114" t="e">
        <f>AND('Planilla_General_29-11-2012_10_'!I1714,"AAAAAH3eM8o=")</f>
        <v>#VALUE!</v>
      </c>
      <c r="GV114" t="e">
        <f>AND('Planilla_General_29-11-2012_10_'!J1714,"AAAAAH3eM8s=")</f>
        <v>#VALUE!</v>
      </c>
      <c r="GW114" t="e">
        <f>AND('Planilla_General_29-11-2012_10_'!K1714,"AAAAAH3eM8w=")</f>
        <v>#VALUE!</v>
      </c>
      <c r="GX114" t="e">
        <f>AND('Planilla_General_29-11-2012_10_'!L1714,"AAAAAH3eM80=")</f>
        <v>#VALUE!</v>
      </c>
      <c r="GY114" t="e">
        <f>AND('Planilla_General_29-11-2012_10_'!M1714,"AAAAAH3eM84=")</f>
        <v>#VALUE!</v>
      </c>
      <c r="GZ114" t="e">
        <f>AND('Planilla_General_29-11-2012_10_'!N1714,"AAAAAH3eM88=")</f>
        <v>#VALUE!</v>
      </c>
      <c r="HA114" t="e">
        <f>AND('Planilla_General_29-11-2012_10_'!O1714,"AAAAAH3eM9A=")</f>
        <v>#VALUE!</v>
      </c>
      <c r="HB114" t="e">
        <f>AND('Planilla_General_29-11-2012_10_'!P1714,"AAAAAH3eM9E=")</f>
        <v>#VALUE!</v>
      </c>
      <c r="HC114">
        <f>IF('Planilla_General_29-11-2012_10_'!1715:1715,"AAAAAH3eM9I=",0)</f>
        <v>0</v>
      </c>
      <c r="HD114" t="e">
        <f>AND('Planilla_General_29-11-2012_10_'!A1715,"AAAAAH3eM9M=")</f>
        <v>#VALUE!</v>
      </c>
      <c r="HE114" t="e">
        <f>AND('Planilla_General_29-11-2012_10_'!B1715,"AAAAAH3eM9Q=")</f>
        <v>#VALUE!</v>
      </c>
      <c r="HF114" t="e">
        <f>AND('Planilla_General_29-11-2012_10_'!C1715,"AAAAAH3eM9U=")</f>
        <v>#VALUE!</v>
      </c>
      <c r="HG114" t="e">
        <f>AND('Planilla_General_29-11-2012_10_'!D1715,"AAAAAH3eM9Y=")</f>
        <v>#VALUE!</v>
      </c>
      <c r="HH114" t="e">
        <f>AND('Planilla_General_29-11-2012_10_'!E1715,"AAAAAH3eM9c=")</f>
        <v>#VALUE!</v>
      </c>
      <c r="HI114" t="e">
        <f>AND('Planilla_General_29-11-2012_10_'!F1715,"AAAAAH3eM9g=")</f>
        <v>#VALUE!</v>
      </c>
      <c r="HJ114" t="e">
        <f>AND('Planilla_General_29-11-2012_10_'!G1715,"AAAAAH3eM9k=")</f>
        <v>#VALUE!</v>
      </c>
      <c r="HK114" t="e">
        <f>AND('Planilla_General_29-11-2012_10_'!H1715,"AAAAAH3eM9o=")</f>
        <v>#VALUE!</v>
      </c>
      <c r="HL114" t="e">
        <f>AND('Planilla_General_29-11-2012_10_'!I1715,"AAAAAH3eM9s=")</f>
        <v>#VALUE!</v>
      </c>
      <c r="HM114" t="e">
        <f>AND('Planilla_General_29-11-2012_10_'!J1715,"AAAAAH3eM9w=")</f>
        <v>#VALUE!</v>
      </c>
      <c r="HN114" t="e">
        <f>AND('Planilla_General_29-11-2012_10_'!K1715,"AAAAAH3eM90=")</f>
        <v>#VALUE!</v>
      </c>
      <c r="HO114" t="e">
        <f>AND('Planilla_General_29-11-2012_10_'!L1715,"AAAAAH3eM94=")</f>
        <v>#VALUE!</v>
      </c>
      <c r="HP114" t="e">
        <f>AND('Planilla_General_29-11-2012_10_'!M1715,"AAAAAH3eM98=")</f>
        <v>#VALUE!</v>
      </c>
      <c r="HQ114" t="e">
        <f>AND('Planilla_General_29-11-2012_10_'!N1715,"AAAAAH3eM+A=")</f>
        <v>#VALUE!</v>
      </c>
      <c r="HR114" t="e">
        <f>AND('Planilla_General_29-11-2012_10_'!O1715,"AAAAAH3eM+E=")</f>
        <v>#VALUE!</v>
      </c>
      <c r="HS114" t="e">
        <f>AND('Planilla_General_29-11-2012_10_'!P1715,"AAAAAH3eM+I=")</f>
        <v>#VALUE!</v>
      </c>
      <c r="HT114">
        <f>IF('Planilla_General_29-11-2012_10_'!1716:1716,"AAAAAH3eM+M=",0)</f>
        <v>0</v>
      </c>
      <c r="HU114" t="e">
        <f>AND('Planilla_General_29-11-2012_10_'!A1716,"AAAAAH3eM+Q=")</f>
        <v>#VALUE!</v>
      </c>
      <c r="HV114" t="e">
        <f>AND('Planilla_General_29-11-2012_10_'!B1716,"AAAAAH3eM+U=")</f>
        <v>#VALUE!</v>
      </c>
      <c r="HW114" t="e">
        <f>AND('Planilla_General_29-11-2012_10_'!C1716,"AAAAAH3eM+Y=")</f>
        <v>#VALUE!</v>
      </c>
      <c r="HX114" t="e">
        <f>AND('Planilla_General_29-11-2012_10_'!D1716,"AAAAAH3eM+c=")</f>
        <v>#VALUE!</v>
      </c>
      <c r="HY114" t="e">
        <f>AND('Planilla_General_29-11-2012_10_'!E1716,"AAAAAH3eM+g=")</f>
        <v>#VALUE!</v>
      </c>
      <c r="HZ114" t="e">
        <f>AND('Planilla_General_29-11-2012_10_'!F1716,"AAAAAH3eM+k=")</f>
        <v>#VALUE!</v>
      </c>
      <c r="IA114" t="e">
        <f>AND('Planilla_General_29-11-2012_10_'!G1716,"AAAAAH3eM+o=")</f>
        <v>#VALUE!</v>
      </c>
      <c r="IB114" t="e">
        <f>AND('Planilla_General_29-11-2012_10_'!H1716,"AAAAAH3eM+s=")</f>
        <v>#VALUE!</v>
      </c>
      <c r="IC114" t="e">
        <f>AND('Planilla_General_29-11-2012_10_'!I1716,"AAAAAH3eM+w=")</f>
        <v>#VALUE!</v>
      </c>
      <c r="ID114" t="e">
        <f>AND('Planilla_General_29-11-2012_10_'!J1716,"AAAAAH3eM+0=")</f>
        <v>#VALUE!</v>
      </c>
      <c r="IE114" t="e">
        <f>AND('Planilla_General_29-11-2012_10_'!K1716,"AAAAAH3eM+4=")</f>
        <v>#VALUE!</v>
      </c>
      <c r="IF114" t="e">
        <f>AND('Planilla_General_29-11-2012_10_'!L1716,"AAAAAH3eM+8=")</f>
        <v>#VALUE!</v>
      </c>
      <c r="IG114" t="e">
        <f>AND('Planilla_General_29-11-2012_10_'!M1716,"AAAAAH3eM/A=")</f>
        <v>#VALUE!</v>
      </c>
      <c r="IH114" t="e">
        <f>AND('Planilla_General_29-11-2012_10_'!N1716,"AAAAAH3eM/E=")</f>
        <v>#VALUE!</v>
      </c>
      <c r="II114" t="e">
        <f>AND('Planilla_General_29-11-2012_10_'!O1716,"AAAAAH3eM/I=")</f>
        <v>#VALUE!</v>
      </c>
      <c r="IJ114" t="e">
        <f>AND('Planilla_General_29-11-2012_10_'!P1716,"AAAAAH3eM/M=")</f>
        <v>#VALUE!</v>
      </c>
      <c r="IK114">
        <f>IF('Planilla_General_29-11-2012_10_'!1717:1717,"AAAAAH3eM/Q=",0)</f>
        <v>0</v>
      </c>
      <c r="IL114" t="e">
        <f>AND('Planilla_General_29-11-2012_10_'!A1717,"AAAAAH3eM/U=")</f>
        <v>#VALUE!</v>
      </c>
      <c r="IM114" t="e">
        <f>AND('Planilla_General_29-11-2012_10_'!B1717,"AAAAAH3eM/Y=")</f>
        <v>#VALUE!</v>
      </c>
      <c r="IN114" t="e">
        <f>AND('Planilla_General_29-11-2012_10_'!C1717,"AAAAAH3eM/c=")</f>
        <v>#VALUE!</v>
      </c>
      <c r="IO114" t="e">
        <f>AND('Planilla_General_29-11-2012_10_'!D1717,"AAAAAH3eM/g=")</f>
        <v>#VALUE!</v>
      </c>
      <c r="IP114" t="e">
        <f>AND('Planilla_General_29-11-2012_10_'!E1717,"AAAAAH3eM/k=")</f>
        <v>#VALUE!</v>
      </c>
      <c r="IQ114" t="e">
        <f>AND('Planilla_General_29-11-2012_10_'!F1717,"AAAAAH3eM/o=")</f>
        <v>#VALUE!</v>
      </c>
      <c r="IR114" t="e">
        <f>AND('Planilla_General_29-11-2012_10_'!G1717,"AAAAAH3eM/s=")</f>
        <v>#VALUE!</v>
      </c>
      <c r="IS114" t="e">
        <f>AND('Planilla_General_29-11-2012_10_'!H1717,"AAAAAH3eM/w=")</f>
        <v>#VALUE!</v>
      </c>
      <c r="IT114" t="e">
        <f>AND('Planilla_General_29-11-2012_10_'!I1717,"AAAAAH3eM/0=")</f>
        <v>#VALUE!</v>
      </c>
      <c r="IU114" t="e">
        <f>AND('Planilla_General_29-11-2012_10_'!J1717,"AAAAAH3eM/4=")</f>
        <v>#VALUE!</v>
      </c>
      <c r="IV114" t="e">
        <f>AND('Planilla_General_29-11-2012_10_'!K1717,"AAAAAH3eM/8=")</f>
        <v>#VALUE!</v>
      </c>
    </row>
    <row r="115" spans="1:256" x14ac:dyDescent="0.25">
      <c r="A115" t="e">
        <f>AND('Planilla_General_29-11-2012_10_'!L1717,"AAAAAHt/rwA=")</f>
        <v>#VALUE!</v>
      </c>
      <c r="B115" t="e">
        <f>AND('Planilla_General_29-11-2012_10_'!M1717,"AAAAAHt/rwE=")</f>
        <v>#VALUE!</v>
      </c>
      <c r="C115" t="e">
        <f>AND('Planilla_General_29-11-2012_10_'!N1717,"AAAAAHt/rwI=")</f>
        <v>#VALUE!</v>
      </c>
      <c r="D115" t="e">
        <f>AND('Planilla_General_29-11-2012_10_'!O1717,"AAAAAHt/rwM=")</f>
        <v>#VALUE!</v>
      </c>
      <c r="E115" t="e">
        <f>AND('Planilla_General_29-11-2012_10_'!P1717,"AAAAAHt/rwQ=")</f>
        <v>#VALUE!</v>
      </c>
      <c r="F115" t="e">
        <f>IF('Planilla_General_29-11-2012_10_'!1718:1718,"AAAAAHt/rwU=",0)</f>
        <v>#VALUE!</v>
      </c>
      <c r="G115" t="e">
        <f>AND('Planilla_General_29-11-2012_10_'!A1718,"AAAAAHt/rwY=")</f>
        <v>#VALUE!</v>
      </c>
      <c r="H115" t="e">
        <f>AND('Planilla_General_29-11-2012_10_'!B1718,"AAAAAHt/rwc=")</f>
        <v>#VALUE!</v>
      </c>
      <c r="I115" t="e">
        <f>AND('Planilla_General_29-11-2012_10_'!C1718,"AAAAAHt/rwg=")</f>
        <v>#VALUE!</v>
      </c>
      <c r="J115" t="e">
        <f>AND('Planilla_General_29-11-2012_10_'!D1718,"AAAAAHt/rwk=")</f>
        <v>#VALUE!</v>
      </c>
      <c r="K115" t="e">
        <f>AND('Planilla_General_29-11-2012_10_'!E1718,"AAAAAHt/rwo=")</f>
        <v>#VALUE!</v>
      </c>
      <c r="L115" t="e">
        <f>AND('Planilla_General_29-11-2012_10_'!F1718,"AAAAAHt/rws=")</f>
        <v>#VALUE!</v>
      </c>
      <c r="M115" t="e">
        <f>AND('Planilla_General_29-11-2012_10_'!G1718,"AAAAAHt/rww=")</f>
        <v>#VALUE!</v>
      </c>
      <c r="N115" t="e">
        <f>AND('Planilla_General_29-11-2012_10_'!H1718,"AAAAAHt/rw0=")</f>
        <v>#VALUE!</v>
      </c>
      <c r="O115" t="e">
        <f>AND('Planilla_General_29-11-2012_10_'!I1718,"AAAAAHt/rw4=")</f>
        <v>#VALUE!</v>
      </c>
      <c r="P115" t="e">
        <f>AND('Planilla_General_29-11-2012_10_'!J1718,"AAAAAHt/rw8=")</f>
        <v>#VALUE!</v>
      </c>
      <c r="Q115" t="e">
        <f>AND('Planilla_General_29-11-2012_10_'!K1718,"AAAAAHt/rxA=")</f>
        <v>#VALUE!</v>
      </c>
      <c r="R115" t="e">
        <f>AND('Planilla_General_29-11-2012_10_'!L1718,"AAAAAHt/rxE=")</f>
        <v>#VALUE!</v>
      </c>
      <c r="S115" t="e">
        <f>AND('Planilla_General_29-11-2012_10_'!M1718,"AAAAAHt/rxI=")</f>
        <v>#VALUE!</v>
      </c>
      <c r="T115" t="e">
        <f>AND('Planilla_General_29-11-2012_10_'!N1718,"AAAAAHt/rxM=")</f>
        <v>#VALUE!</v>
      </c>
      <c r="U115" t="e">
        <f>AND('Planilla_General_29-11-2012_10_'!O1718,"AAAAAHt/rxQ=")</f>
        <v>#VALUE!</v>
      </c>
      <c r="V115" t="e">
        <f>AND('Planilla_General_29-11-2012_10_'!P1718,"AAAAAHt/rxU=")</f>
        <v>#VALUE!</v>
      </c>
      <c r="W115">
        <f>IF('Planilla_General_29-11-2012_10_'!1719:1719,"AAAAAHt/rxY=",0)</f>
        <v>0</v>
      </c>
      <c r="X115" t="e">
        <f>AND('Planilla_General_29-11-2012_10_'!A1719,"AAAAAHt/rxc=")</f>
        <v>#VALUE!</v>
      </c>
      <c r="Y115" t="e">
        <f>AND('Planilla_General_29-11-2012_10_'!B1719,"AAAAAHt/rxg=")</f>
        <v>#VALUE!</v>
      </c>
      <c r="Z115" t="e">
        <f>AND('Planilla_General_29-11-2012_10_'!C1719,"AAAAAHt/rxk=")</f>
        <v>#VALUE!</v>
      </c>
      <c r="AA115" t="e">
        <f>AND('Planilla_General_29-11-2012_10_'!D1719,"AAAAAHt/rxo=")</f>
        <v>#VALUE!</v>
      </c>
      <c r="AB115" t="e">
        <f>AND('Planilla_General_29-11-2012_10_'!E1719,"AAAAAHt/rxs=")</f>
        <v>#VALUE!</v>
      </c>
      <c r="AC115" t="e">
        <f>AND('Planilla_General_29-11-2012_10_'!F1719,"AAAAAHt/rxw=")</f>
        <v>#VALUE!</v>
      </c>
      <c r="AD115" t="e">
        <f>AND('Planilla_General_29-11-2012_10_'!G1719,"AAAAAHt/rx0=")</f>
        <v>#VALUE!</v>
      </c>
      <c r="AE115" t="e">
        <f>AND('Planilla_General_29-11-2012_10_'!H1719,"AAAAAHt/rx4=")</f>
        <v>#VALUE!</v>
      </c>
      <c r="AF115" t="e">
        <f>AND('Planilla_General_29-11-2012_10_'!I1719,"AAAAAHt/rx8=")</f>
        <v>#VALUE!</v>
      </c>
      <c r="AG115" t="e">
        <f>AND('Planilla_General_29-11-2012_10_'!J1719,"AAAAAHt/ryA=")</f>
        <v>#VALUE!</v>
      </c>
      <c r="AH115" t="e">
        <f>AND('Planilla_General_29-11-2012_10_'!K1719,"AAAAAHt/ryE=")</f>
        <v>#VALUE!</v>
      </c>
      <c r="AI115" t="e">
        <f>AND('Planilla_General_29-11-2012_10_'!L1719,"AAAAAHt/ryI=")</f>
        <v>#VALUE!</v>
      </c>
      <c r="AJ115" t="e">
        <f>AND('Planilla_General_29-11-2012_10_'!M1719,"AAAAAHt/ryM=")</f>
        <v>#VALUE!</v>
      </c>
      <c r="AK115" t="e">
        <f>AND('Planilla_General_29-11-2012_10_'!N1719,"AAAAAHt/ryQ=")</f>
        <v>#VALUE!</v>
      </c>
      <c r="AL115" t="e">
        <f>AND('Planilla_General_29-11-2012_10_'!O1719,"AAAAAHt/ryU=")</f>
        <v>#VALUE!</v>
      </c>
      <c r="AM115" t="e">
        <f>AND('Planilla_General_29-11-2012_10_'!P1719,"AAAAAHt/ryY=")</f>
        <v>#VALUE!</v>
      </c>
      <c r="AN115">
        <f>IF('Planilla_General_29-11-2012_10_'!1720:1720,"AAAAAHt/ryc=",0)</f>
        <v>0</v>
      </c>
      <c r="AO115" t="e">
        <f>AND('Planilla_General_29-11-2012_10_'!A1720,"AAAAAHt/ryg=")</f>
        <v>#VALUE!</v>
      </c>
      <c r="AP115" t="e">
        <f>AND('Planilla_General_29-11-2012_10_'!B1720,"AAAAAHt/ryk=")</f>
        <v>#VALUE!</v>
      </c>
      <c r="AQ115" t="e">
        <f>AND('Planilla_General_29-11-2012_10_'!C1720,"AAAAAHt/ryo=")</f>
        <v>#VALUE!</v>
      </c>
      <c r="AR115" t="e">
        <f>AND('Planilla_General_29-11-2012_10_'!D1720,"AAAAAHt/rys=")</f>
        <v>#VALUE!</v>
      </c>
      <c r="AS115" t="e">
        <f>AND('Planilla_General_29-11-2012_10_'!E1720,"AAAAAHt/ryw=")</f>
        <v>#VALUE!</v>
      </c>
      <c r="AT115" t="e">
        <f>AND('Planilla_General_29-11-2012_10_'!F1720,"AAAAAHt/ry0=")</f>
        <v>#VALUE!</v>
      </c>
      <c r="AU115" t="e">
        <f>AND('Planilla_General_29-11-2012_10_'!G1720,"AAAAAHt/ry4=")</f>
        <v>#VALUE!</v>
      </c>
      <c r="AV115" t="e">
        <f>AND('Planilla_General_29-11-2012_10_'!H1720,"AAAAAHt/ry8=")</f>
        <v>#VALUE!</v>
      </c>
      <c r="AW115" t="e">
        <f>AND('Planilla_General_29-11-2012_10_'!I1720,"AAAAAHt/rzA=")</f>
        <v>#VALUE!</v>
      </c>
      <c r="AX115" t="e">
        <f>AND('Planilla_General_29-11-2012_10_'!J1720,"AAAAAHt/rzE=")</f>
        <v>#VALUE!</v>
      </c>
      <c r="AY115" t="e">
        <f>AND('Planilla_General_29-11-2012_10_'!K1720,"AAAAAHt/rzI=")</f>
        <v>#VALUE!</v>
      </c>
      <c r="AZ115" t="e">
        <f>AND('Planilla_General_29-11-2012_10_'!L1720,"AAAAAHt/rzM=")</f>
        <v>#VALUE!</v>
      </c>
      <c r="BA115" t="e">
        <f>AND('Planilla_General_29-11-2012_10_'!M1720,"AAAAAHt/rzQ=")</f>
        <v>#VALUE!</v>
      </c>
      <c r="BB115" t="e">
        <f>AND('Planilla_General_29-11-2012_10_'!N1720,"AAAAAHt/rzU=")</f>
        <v>#VALUE!</v>
      </c>
      <c r="BC115" t="e">
        <f>AND('Planilla_General_29-11-2012_10_'!O1720,"AAAAAHt/rzY=")</f>
        <v>#VALUE!</v>
      </c>
      <c r="BD115" t="e">
        <f>AND('Planilla_General_29-11-2012_10_'!P1720,"AAAAAHt/rzc=")</f>
        <v>#VALUE!</v>
      </c>
      <c r="BE115">
        <f>IF('Planilla_General_29-11-2012_10_'!1721:1721,"AAAAAHt/rzg=",0)</f>
        <v>0</v>
      </c>
      <c r="BF115" t="e">
        <f>AND('Planilla_General_29-11-2012_10_'!A1721,"AAAAAHt/rzk=")</f>
        <v>#VALUE!</v>
      </c>
      <c r="BG115" t="e">
        <f>AND('Planilla_General_29-11-2012_10_'!B1721,"AAAAAHt/rzo=")</f>
        <v>#VALUE!</v>
      </c>
      <c r="BH115" t="e">
        <f>AND('Planilla_General_29-11-2012_10_'!C1721,"AAAAAHt/rzs=")</f>
        <v>#VALUE!</v>
      </c>
      <c r="BI115" t="e">
        <f>AND('Planilla_General_29-11-2012_10_'!D1721,"AAAAAHt/rzw=")</f>
        <v>#VALUE!</v>
      </c>
      <c r="BJ115" t="e">
        <f>AND('Planilla_General_29-11-2012_10_'!E1721,"AAAAAHt/rz0=")</f>
        <v>#VALUE!</v>
      </c>
      <c r="BK115" t="e">
        <f>AND('Planilla_General_29-11-2012_10_'!F1721,"AAAAAHt/rz4=")</f>
        <v>#VALUE!</v>
      </c>
      <c r="BL115" t="e">
        <f>AND('Planilla_General_29-11-2012_10_'!G1721,"AAAAAHt/rz8=")</f>
        <v>#VALUE!</v>
      </c>
      <c r="BM115" t="e">
        <f>AND('Planilla_General_29-11-2012_10_'!H1721,"AAAAAHt/r0A=")</f>
        <v>#VALUE!</v>
      </c>
      <c r="BN115" t="e">
        <f>AND('Planilla_General_29-11-2012_10_'!I1721,"AAAAAHt/r0E=")</f>
        <v>#VALUE!</v>
      </c>
      <c r="BO115" t="e">
        <f>AND('Planilla_General_29-11-2012_10_'!J1721,"AAAAAHt/r0I=")</f>
        <v>#VALUE!</v>
      </c>
      <c r="BP115" t="e">
        <f>AND('Planilla_General_29-11-2012_10_'!K1721,"AAAAAHt/r0M=")</f>
        <v>#VALUE!</v>
      </c>
      <c r="BQ115" t="e">
        <f>AND('Planilla_General_29-11-2012_10_'!L1721,"AAAAAHt/r0Q=")</f>
        <v>#VALUE!</v>
      </c>
      <c r="BR115" t="e">
        <f>AND('Planilla_General_29-11-2012_10_'!M1721,"AAAAAHt/r0U=")</f>
        <v>#VALUE!</v>
      </c>
      <c r="BS115" t="e">
        <f>AND('Planilla_General_29-11-2012_10_'!N1721,"AAAAAHt/r0Y=")</f>
        <v>#VALUE!</v>
      </c>
      <c r="BT115" t="e">
        <f>AND('Planilla_General_29-11-2012_10_'!O1721,"AAAAAHt/r0c=")</f>
        <v>#VALUE!</v>
      </c>
      <c r="BU115" t="e">
        <f>AND('Planilla_General_29-11-2012_10_'!P1721,"AAAAAHt/r0g=")</f>
        <v>#VALUE!</v>
      </c>
      <c r="BV115">
        <f>IF('Planilla_General_29-11-2012_10_'!1722:1722,"AAAAAHt/r0k=",0)</f>
        <v>0</v>
      </c>
      <c r="BW115" t="e">
        <f>AND('Planilla_General_29-11-2012_10_'!A1722,"AAAAAHt/r0o=")</f>
        <v>#VALUE!</v>
      </c>
      <c r="BX115" t="e">
        <f>AND('Planilla_General_29-11-2012_10_'!B1722,"AAAAAHt/r0s=")</f>
        <v>#VALUE!</v>
      </c>
      <c r="BY115" t="e">
        <f>AND('Planilla_General_29-11-2012_10_'!C1722,"AAAAAHt/r0w=")</f>
        <v>#VALUE!</v>
      </c>
      <c r="BZ115" t="e">
        <f>AND('Planilla_General_29-11-2012_10_'!D1722,"AAAAAHt/r00=")</f>
        <v>#VALUE!</v>
      </c>
      <c r="CA115" t="e">
        <f>AND('Planilla_General_29-11-2012_10_'!E1722,"AAAAAHt/r04=")</f>
        <v>#VALUE!</v>
      </c>
      <c r="CB115" t="e">
        <f>AND('Planilla_General_29-11-2012_10_'!F1722,"AAAAAHt/r08=")</f>
        <v>#VALUE!</v>
      </c>
      <c r="CC115" t="e">
        <f>AND('Planilla_General_29-11-2012_10_'!G1722,"AAAAAHt/r1A=")</f>
        <v>#VALUE!</v>
      </c>
      <c r="CD115" t="e">
        <f>AND('Planilla_General_29-11-2012_10_'!H1722,"AAAAAHt/r1E=")</f>
        <v>#VALUE!</v>
      </c>
      <c r="CE115" t="e">
        <f>AND('Planilla_General_29-11-2012_10_'!I1722,"AAAAAHt/r1I=")</f>
        <v>#VALUE!</v>
      </c>
      <c r="CF115" t="e">
        <f>AND('Planilla_General_29-11-2012_10_'!J1722,"AAAAAHt/r1M=")</f>
        <v>#VALUE!</v>
      </c>
      <c r="CG115" t="e">
        <f>AND('Planilla_General_29-11-2012_10_'!K1722,"AAAAAHt/r1Q=")</f>
        <v>#VALUE!</v>
      </c>
      <c r="CH115" t="e">
        <f>AND('Planilla_General_29-11-2012_10_'!L1722,"AAAAAHt/r1U=")</f>
        <v>#VALUE!</v>
      </c>
      <c r="CI115" t="e">
        <f>AND('Planilla_General_29-11-2012_10_'!M1722,"AAAAAHt/r1Y=")</f>
        <v>#VALUE!</v>
      </c>
      <c r="CJ115" t="e">
        <f>AND('Planilla_General_29-11-2012_10_'!N1722,"AAAAAHt/r1c=")</f>
        <v>#VALUE!</v>
      </c>
      <c r="CK115" t="e">
        <f>AND('Planilla_General_29-11-2012_10_'!O1722,"AAAAAHt/r1g=")</f>
        <v>#VALUE!</v>
      </c>
      <c r="CL115" t="e">
        <f>AND('Planilla_General_29-11-2012_10_'!P1722,"AAAAAHt/r1k=")</f>
        <v>#VALUE!</v>
      </c>
      <c r="CM115">
        <f>IF('Planilla_General_29-11-2012_10_'!1723:1723,"AAAAAHt/r1o=",0)</f>
        <v>0</v>
      </c>
      <c r="CN115" t="e">
        <f>AND('Planilla_General_29-11-2012_10_'!A1723,"AAAAAHt/r1s=")</f>
        <v>#VALUE!</v>
      </c>
      <c r="CO115" t="e">
        <f>AND('Planilla_General_29-11-2012_10_'!B1723,"AAAAAHt/r1w=")</f>
        <v>#VALUE!</v>
      </c>
      <c r="CP115" t="e">
        <f>AND('Planilla_General_29-11-2012_10_'!C1723,"AAAAAHt/r10=")</f>
        <v>#VALUE!</v>
      </c>
      <c r="CQ115" t="e">
        <f>AND('Planilla_General_29-11-2012_10_'!D1723,"AAAAAHt/r14=")</f>
        <v>#VALUE!</v>
      </c>
      <c r="CR115" t="e">
        <f>AND('Planilla_General_29-11-2012_10_'!E1723,"AAAAAHt/r18=")</f>
        <v>#VALUE!</v>
      </c>
      <c r="CS115" t="e">
        <f>AND('Planilla_General_29-11-2012_10_'!F1723,"AAAAAHt/r2A=")</f>
        <v>#VALUE!</v>
      </c>
      <c r="CT115" t="e">
        <f>AND('Planilla_General_29-11-2012_10_'!G1723,"AAAAAHt/r2E=")</f>
        <v>#VALUE!</v>
      </c>
      <c r="CU115" t="e">
        <f>AND('Planilla_General_29-11-2012_10_'!H1723,"AAAAAHt/r2I=")</f>
        <v>#VALUE!</v>
      </c>
      <c r="CV115" t="e">
        <f>AND('Planilla_General_29-11-2012_10_'!I1723,"AAAAAHt/r2M=")</f>
        <v>#VALUE!</v>
      </c>
      <c r="CW115" t="e">
        <f>AND('Planilla_General_29-11-2012_10_'!J1723,"AAAAAHt/r2Q=")</f>
        <v>#VALUE!</v>
      </c>
      <c r="CX115" t="e">
        <f>AND('Planilla_General_29-11-2012_10_'!K1723,"AAAAAHt/r2U=")</f>
        <v>#VALUE!</v>
      </c>
      <c r="CY115" t="e">
        <f>AND('Planilla_General_29-11-2012_10_'!L1723,"AAAAAHt/r2Y=")</f>
        <v>#VALUE!</v>
      </c>
      <c r="CZ115" t="e">
        <f>AND('Planilla_General_29-11-2012_10_'!M1723,"AAAAAHt/r2c=")</f>
        <v>#VALUE!</v>
      </c>
      <c r="DA115" t="e">
        <f>AND('Planilla_General_29-11-2012_10_'!N1723,"AAAAAHt/r2g=")</f>
        <v>#VALUE!</v>
      </c>
      <c r="DB115" t="e">
        <f>AND('Planilla_General_29-11-2012_10_'!O1723,"AAAAAHt/r2k=")</f>
        <v>#VALUE!</v>
      </c>
      <c r="DC115" t="e">
        <f>AND('Planilla_General_29-11-2012_10_'!P1723,"AAAAAHt/r2o=")</f>
        <v>#VALUE!</v>
      </c>
      <c r="DD115">
        <f>IF('Planilla_General_29-11-2012_10_'!1724:1724,"AAAAAHt/r2s=",0)</f>
        <v>0</v>
      </c>
      <c r="DE115" t="e">
        <f>AND('Planilla_General_29-11-2012_10_'!A1724,"AAAAAHt/r2w=")</f>
        <v>#VALUE!</v>
      </c>
      <c r="DF115" t="e">
        <f>AND('Planilla_General_29-11-2012_10_'!B1724,"AAAAAHt/r20=")</f>
        <v>#VALUE!</v>
      </c>
      <c r="DG115" t="e">
        <f>AND('Planilla_General_29-11-2012_10_'!C1724,"AAAAAHt/r24=")</f>
        <v>#VALUE!</v>
      </c>
      <c r="DH115" t="e">
        <f>AND('Planilla_General_29-11-2012_10_'!D1724,"AAAAAHt/r28=")</f>
        <v>#VALUE!</v>
      </c>
      <c r="DI115" t="e">
        <f>AND('Planilla_General_29-11-2012_10_'!E1724,"AAAAAHt/r3A=")</f>
        <v>#VALUE!</v>
      </c>
      <c r="DJ115" t="e">
        <f>AND('Planilla_General_29-11-2012_10_'!F1724,"AAAAAHt/r3E=")</f>
        <v>#VALUE!</v>
      </c>
      <c r="DK115" t="e">
        <f>AND('Planilla_General_29-11-2012_10_'!G1724,"AAAAAHt/r3I=")</f>
        <v>#VALUE!</v>
      </c>
      <c r="DL115" t="e">
        <f>AND('Planilla_General_29-11-2012_10_'!H1724,"AAAAAHt/r3M=")</f>
        <v>#VALUE!</v>
      </c>
      <c r="DM115" t="e">
        <f>AND('Planilla_General_29-11-2012_10_'!I1724,"AAAAAHt/r3Q=")</f>
        <v>#VALUE!</v>
      </c>
      <c r="DN115" t="e">
        <f>AND('Planilla_General_29-11-2012_10_'!J1724,"AAAAAHt/r3U=")</f>
        <v>#VALUE!</v>
      </c>
      <c r="DO115" t="e">
        <f>AND('Planilla_General_29-11-2012_10_'!K1724,"AAAAAHt/r3Y=")</f>
        <v>#VALUE!</v>
      </c>
      <c r="DP115" t="e">
        <f>AND('Planilla_General_29-11-2012_10_'!L1724,"AAAAAHt/r3c=")</f>
        <v>#VALUE!</v>
      </c>
      <c r="DQ115" t="e">
        <f>AND('Planilla_General_29-11-2012_10_'!M1724,"AAAAAHt/r3g=")</f>
        <v>#VALUE!</v>
      </c>
      <c r="DR115" t="e">
        <f>AND('Planilla_General_29-11-2012_10_'!N1724,"AAAAAHt/r3k=")</f>
        <v>#VALUE!</v>
      </c>
      <c r="DS115" t="e">
        <f>AND('Planilla_General_29-11-2012_10_'!O1724,"AAAAAHt/r3o=")</f>
        <v>#VALUE!</v>
      </c>
      <c r="DT115" t="e">
        <f>AND('Planilla_General_29-11-2012_10_'!P1724,"AAAAAHt/r3s=")</f>
        <v>#VALUE!</v>
      </c>
      <c r="DU115">
        <f>IF('Planilla_General_29-11-2012_10_'!1725:1725,"AAAAAHt/r3w=",0)</f>
        <v>0</v>
      </c>
      <c r="DV115" t="e">
        <f>AND('Planilla_General_29-11-2012_10_'!A1725,"AAAAAHt/r30=")</f>
        <v>#VALUE!</v>
      </c>
      <c r="DW115" t="e">
        <f>AND('Planilla_General_29-11-2012_10_'!B1725,"AAAAAHt/r34=")</f>
        <v>#VALUE!</v>
      </c>
      <c r="DX115" t="e">
        <f>AND('Planilla_General_29-11-2012_10_'!C1725,"AAAAAHt/r38=")</f>
        <v>#VALUE!</v>
      </c>
      <c r="DY115" t="e">
        <f>AND('Planilla_General_29-11-2012_10_'!D1725,"AAAAAHt/r4A=")</f>
        <v>#VALUE!</v>
      </c>
      <c r="DZ115" t="e">
        <f>AND('Planilla_General_29-11-2012_10_'!E1725,"AAAAAHt/r4E=")</f>
        <v>#VALUE!</v>
      </c>
      <c r="EA115" t="e">
        <f>AND('Planilla_General_29-11-2012_10_'!F1725,"AAAAAHt/r4I=")</f>
        <v>#VALUE!</v>
      </c>
      <c r="EB115" t="e">
        <f>AND('Planilla_General_29-11-2012_10_'!G1725,"AAAAAHt/r4M=")</f>
        <v>#VALUE!</v>
      </c>
      <c r="EC115" t="e">
        <f>AND('Planilla_General_29-11-2012_10_'!H1725,"AAAAAHt/r4Q=")</f>
        <v>#VALUE!</v>
      </c>
      <c r="ED115" t="e">
        <f>AND('Planilla_General_29-11-2012_10_'!I1725,"AAAAAHt/r4U=")</f>
        <v>#VALUE!</v>
      </c>
      <c r="EE115" t="e">
        <f>AND('Planilla_General_29-11-2012_10_'!J1725,"AAAAAHt/r4Y=")</f>
        <v>#VALUE!</v>
      </c>
      <c r="EF115" t="e">
        <f>AND('Planilla_General_29-11-2012_10_'!K1725,"AAAAAHt/r4c=")</f>
        <v>#VALUE!</v>
      </c>
      <c r="EG115" t="e">
        <f>AND('Planilla_General_29-11-2012_10_'!L1725,"AAAAAHt/r4g=")</f>
        <v>#VALUE!</v>
      </c>
      <c r="EH115" t="e">
        <f>AND('Planilla_General_29-11-2012_10_'!M1725,"AAAAAHt/r4k=")</f>
        <v>#VALUE!</v>
      </c>
      <c r="EI115" t="e">
        <f>AND('Planilla_General_29-11-2012_10_'!N1725,"AAAAAHt/r4o=")</f>
        <v>#VALUE!</v>
      </c>
      <c r="EJ115" t="e">
        <f>AND('Planilla_General_29-11-2012_10_'!O1725,"AAAAAHt/r4s=")</f>
        <v>#VALUE!</v>
      </c>
      <c r="EK115" t="e">
        <f>AND('Planilla_General_29-11-2012_10_'!P1725,"AAAAAHt/r4w=")</f>
        <v>#VALUE!</v>
      </c>
      <c r="EL115">
        <f>IF('Planilla_General_29-11-2012_10_'!1726:1726,"AAAAAHt/r40=",0)</f>
        <v>0</v>
      </c>
      <c r="EM115" t="e">
        <f>AND('Planilla_General_29-11-2012_10_'!A1726,"AAAAAHt/r44=")</f>
        <v>#VALUE!</v>
      </c>
      <c r="EN115" t="e">
        <f>AND('Planilla_General_29-11-2012_10_'!B1726,"AAAAAHt/r48=")</f>
        <v>#VALUE!</v>
      </c>
      <c r="EO115" t="e">
        <f>AND('Planilla_General_29-11-2012_10_'!C1726,"AAAAAHt/r5A=")</f>
        <v>#VALUE!</v>
      </c>
      <c r="EP115" t="e">
        <f>AND('Planilla_General_29-11-2012_10_'!D1726,"AAAAAHt/r5E=")</f>
        <v>#VALUE!</v>
      </c>
      <c r="EQ115" t="e">
        <f>AND('Planilla_General_29-11-2012_10_'!E1726,"AAAAAHt/r5I=")</f>
        <v>#VALUE!</v>
      </c>
      <c r="ER115" t="e">
        <f>AND('Planilla_General_29-11-2012_10_'!F1726,"AAAAAHt/r5M=")</f>
        <v>#VALUE!</v>
      </c>
      <c r="ES115" t="e">
        <f>AND('Planilla_General_29-11-2012_10_'!G1726,"AAAAAHt/r5Q=")</f>
        <v>#VALUE!</v>
      </c>
      <c r="ET115" t="e">
        <f>AND('Planilla_General_29-11-2012_10_'!H1726,"AAAAAHt/r5U=")</f>
        <v>#VALUE!</v>
      </c>
      <c r="EU115" t="e">
        <f>AND('Planilla_General_29-11-2012_10_'!I1726,"AAAAAHt/r5Y=")</f>
        <v>#VALUE!</v>
      </c>
      <c r="EV115" t="e">
        <f>AND('Planilla_General_29-11-2012_10_'!J1726,"AAAAAHt/r5c=")</f>
        <v>#VALUE!</v>
      </c>
      <c r="EW115" t="e">
        <f>AND('Planilla_General_29-11-2012_10_'!K1726,"AAAAAHt/r5g=")</f>
        <v>#VALUE!</v>
      </c>
      <c r="EX115" t="e">
        <f>AND('Planilla_General_29-11-2012_10_'!L1726,"AAAAAHt/r5k=")</f>
        <v>#VALUE!</v>
      </c>
      <c r="EY115" t="e">
        <f>AND('Planilla_General_29-11-2012_10_'!M1726,"AAAAAHt/r5o=")</f>
        <v>#VALUE!</v>
      </c>
      <c r="EZ115" t="e">
        <f>AND('Planilla_General_29-11-2012_10_'!N1726,"AAAAAHt/r5s=")</f>
        <v>#VALUE!</v>
      </c>
      <c r="FA115" t="e">
        <f>AND('Planilla_General_29-11-2012_10_'!O1726,"AAAAAHt/r5w=")</f>
        <v>#VALUE!</v>
      </c>
      <c r="FB115" t="e">
        <f>AND('Planilla_General_29-11-2012_10_'!P1726,"AAAAAHt/r50=")</f>
        <v>#VALUE!</v>
      </c>
      <c r="FC115">
        <f>IF('Planilla_General_29-11-2012_10_'!1727:1727,"AAAAAHt/r54=",0)</f>
        <v>0</v>
      </c>
      <c r="FD115" t="e">
        <f>AND('Planilla_General_29-11-2012_10_'!A1727,"AAAAAHt/r58=")</f>
        <v>#VALUE!</v>
      </c>
      <c r="FE115" t="e">
        <f>AND('Planilla_General_29-11-2012_10_'!B1727,"AAAAAHt/r6A=")</f>
        <v>#VALUE!</v>
      </c>
      <c r="FF115" t="e">
        <f>AND('Planilla_General_29-11-2012_10_'!C1727,"AAAAAHt/r6E=")</f>
        <v>#VALUE!</v>
      </c>
      <c r="FG115" t="e">
        <f>AND('Planilla_General_29-11-2012_10_'!D1727,"AAAAAHt/r6I=")</f>
        <v>#VALUE!</v>
      </c>
      <c r="FH115" t="e">
        <f>AND('Planilla_General_29-11-2012_10_'!E1727,"AAAAAHt/r6M=")</f>
        <v>#VALUE!</v>
      </c>
      <c r="FI115" t="e">
        <f>AND('Planilla_General_29-11-2012_10_'!F1727,"AAAAAHt/r6Q=")</f>
        <v>#VALUE!</v>
      </c>
      <c r="FJ115" t="e">
        <f>AND('Planilla_General_29-11-2012_10_'!G1727,"AAAAAHt/r6U=")</f>
        <v>#VALUE!</v>
      </c>
      <c r="FK115" t="e">
        <f>AND('Planilla_General_29-11-2012_10_'!H1727,"AAAAAHt/r6Y=")</f>
        <v>#VALUE!</v>
      </c>
      <c r="FL115" t="e">
        <f>AND('Planilla_General_29-11-2012_10_'!I1727,"AAAAAHt/r6c=")</f>
        <v>#VALUE!</v>
      </c>
      <c r="FM115" t="e">
        <f>AND('Planilla_General_29-11-2012_10_'!J1727,"AAAAAHt/r6g=")</f>
        <v>#VALUE!</v>
      </c>
      <c r="FN115" t="e">
        <f>AND('Planilla_General_29-11-2012_10_'!K1727,"AAAAAHt/r6k=")</f>
        <v>#VALUE!</v>
      </c>
      <c r="FO115" t="e">
        <f>AND('Planilla_General_29-11-2012_10_'!L1727,"AAAAAHt/r6o=")</f>
        <v>#VALUE!</v>
      </c>
      <c r="FP115" t="e">
        <f>AND('Planilla_General_29-11-2012_10_'!M1727,"AAAAAHt/r6s=")</f>
        <v>#VALUE!</v>
      </c>
      <c r="FQ115" t="e">
        <f>AND('Planilla_General_29-11-2012_10_'!N1727,"AAAAAHt/r6w=")</f>
        <v>#VALUE!</v>
      </c>
      <c r="FR115" t="e">
        <f>AND('Planilla_General_29-11-2012_10_'!O1727,"AAAAAHt/r60=")</f>
        <v>#VALUE!</v>
      </c>
      <c r="FS115" t="e">
        <f>AND('Planilla_General_29-11-2012_10_'!P1727,"AAAAAHt/r64=")</f>
        <v>#VALUE!</v>
      </c>
      <c r="FT115">
        <f>IF('Planilla_General_29-11-2012_10_'!1728:1728,"AAAAAHt/r68=",0)</f>
        <v>0</v>
      </c>
      <c r="FU115" t="e">
        <f>AND('Planilla_General_29-11-2012_10_'!A1728,"AAAAAHt/r7A=")</f>
        <v>#VALUE!</v>
      </c>
      <c r="FV115" t="e">
        <f>AND('Planilla_General_29-11-2012_10_'!B1728,"AAAAAHt/r7E=")</f>
        <v>#VALUE!</v>
      </c>
      <c r="FW115" t="e">
        <f>AND('Planilla_General_29-11-2012_10_'!C1728,"AAAAAHt/r7I=")</f>
        <v>#VALUE!</v>
      </c>
      <c r="FX115" t="e">
        <f>AND('Planilla_General_29-11-2012_10_'!D1728,"AAAAAHt/r7M=")</f>
        <v>#VALUE!</v>
      </c>
      <c r="FY115" t="e">
        <f>AND('Planilla_General_29-11-2012_10_'!E1728,"AAAAAHt/r7Q=")</f>
        <v>#VALUE!</v>
      </c>
      <c r="FZ115" t="e">
        <f>AND('Planilla_General_29-11-2012_10_'!F1728,"AAAAAHt/r7U=")</f>
        <v>#VALUE!</v>
      </c>
      <c r="GA115" t="e">
        <f>AND('Planilla_General_29-11-2012_10_'!G1728,"AAAAAHt/r7Y=")</f>
        <v>#VALUE!</v>
      </c>
      <c r="GB115" t="e">
        <f>AND('Planilla_General_29-11-2012_10_'!H1728,"AAAAAHt/r7c=")</f>
        <v>#VALUE!</v>
      </c>
      <c r="GC115" t="e">
        <f>AND('Planilla_General_29-11-2012_10_'!I1728,"AAAAAHt/r7g=")</f>
        <v>#VALUE!</v>
      </c>
      <c r="GD115" t="e">
        <f>AND('Planilla_General_29-11-2012_10_'!J1728,"AAAAAHt/r7k=")</f>
        <v>#VALUE!</v>
      </c>
      <c r="GE115" t="e">
        <f>AND('Planilla_General_29-11-2012_10_'!K1728,"AAAAAHt/r7o=")</f>
        <v>#VALUE!</v>
      </c>
      <c r="GF115" t="e">
        <f>AND('Planilla_General_29-11-2012_10_'!L1728,"AAAAAHt/r7s=")</f>
        <v>#VALUE!</v>
      </c>
      <c r="GG115" t="e">
        <f>AND('Planilla_General_29-11-2012_10_'!M1728,"AAAAAHt/r7w=")</f>
        <v>#VALUE!</v>
      </c>
      <c r="GH115" t="e">
        <f>AND('Planilla_General_29-11-2012_10_'!N1728,"AAAAAHt/r70=")</f>
        <v>#VALUE!</v>
      </c>
      <c r="GI115" t="e">
        <f>AND('Planilla_General_29-11-2012_10_'!O1728,"AAAAAHt/r74=")</f>
        <v>#VALUE!</v>
      </c>
      <c r="GJ115" t="e">
        <f>AND('Planilla_General_29-11-2012_10_'!P1728,"AAAAAHt/r78=")</f>
        <v>#VALUE!</v>
      </c>
      <c r="GK115">
        <f>IF('Planilla_General_29-11-2012_10_'!1729:1729,"AAAAAHt/r8A=",0)</f>
        <v>0</v>
      </c>
      <c r="GL115" t="e">
        <f>AND('Planilla_General_29-11-2012_10_'!A1729,"AAAAAHt/r8E=")</f>
        <v>#VALUE!</v>
      </c>
      <c r="GM115" t="e">
        <f>AND('Planilla_General_29-11-2012_10_'!B1729,"AAAAAHt/r8I=")</f>
        <v>#VALUE!</v>
      </c>
      <c r="GN115" t="e">
        <f>AND('Planilla_General_29-11-2012_10_'!C1729,"AAAAAHt/r8M=")</f>
        <v>#VALUE!</v>
      </c>
      <c r="GO115" t="e">
        <f>AND('Planilla_General_29-11-2012_10_'!D1729,"AAAAAHt/r8Q=")</f>
        <v>#VALUE!</v>
      </c>
      <c r="GP115" t="e">
        <f>AND('Planilla_General_29-11-2012_10_'!E1729,"AAAAAHt/r8U=")</f>
        <v>#VALUE!</v>
      </c>
      <c r="GQ115" t="e">
        <f>AND('Planilla_General_29-11-2012_10_'!F1729,"AAAAAHt/r8Y=")</f>
        <v>#VALUE!</v>
      </c>
      <c r="GR115" t="e">
        <f>AND('Planilla_General_29-11-2012_10_'!G1729,"AAAAAHt/r8c=")</f>
        <v>#VALUE!</v>
      </c>
      <c r="GS115" t="e">
        <f>AND('Planilla_General_29-11-2012_10_'!H1729,"AAAAAHt/r8g=")</f>
        <v>#VALUE!</v>
      </c>
      <c r="GT115" t="e">
        <f>AND('Planilla_General_29-11-2012_10_'!I1729,"AAAAAHt/r8k=")</f>
        <v>#VALUE!</v>
      </c>
      <c r="GU115" t="e">
        <f>AND('Planilla_General_29-11-2012_10_'!J1729,"AAAAAHt/r8o=")</f>
        <v>#VALUE!</v>
      </c>
      <c r="GV115" t="e">
        <f>AND('Planilla_General_29-11-2012_10_'!K1729,"AAAAAHt/r8s=")</f>
        <v>#VALUE!</v>
      </c>
      <c r="GW115" t="e">
        <f>AND('Planilla_General_29-11-2012_10_'!L1729,"AAAAAHt/r8w=")</f>
        <v>#VALUE!</v>
      </c>
      <c r="GX115" t="e">
        <f>AND('Planilla_General_29-11-2012_10_'!M1729,"AAAAAHt/r80=")</f>
        <v>#VALUE!</v>
      </c>
      <c r="GY115" t="e">
        <f>AND('Planilla_General_29-11-2012_10_'!N1729,"AAAAAHt/r84=")</f>
        <v>#VALUE!</v>
      </c>
      <c r="GZ115" t="e">
        <f>AND('Planilla_General_29-11-2012_10_'!O1729,"AAAAAHt/r88=")</f>
        <v>#VALUE!</v>
      </c>
      <c r="HA115" t="e">
        <f>AND('Planilla_General_29-11-2012_10_'!P1729,"AAAAAHt/r9A=")</f>
        <v>#VALUE!</v>
      </c>
      <c r="HB115">
        <f>IF('Planilla_General_29-11-2012_10_'!1730:1730,"AAAAAHt/r9E=",0)</f>
        <v>0</v>
      </c>
      <c r="HC115" t="e">
        <f>AND('Planilla_General_29-11-2012_10_'!A1730,"AAAAAHt/r9I=")</f>
        <v>#VALUE!</v>
      </c>
      <c r="HD115" t="e">
        <f>AND('Planilla_General_29-11-2012_10_'!B1730,"AAAAAHt/r9M=")</f>
        <v>#VALUE!</v>
      </c>
      <c r="HE115" t="e">
        <f>AND('Planilla_General_29-11-2012_10_'!C1730,"AAAAAHt/r9Q=")</f>
        <v>#VALUE!</v>
      </c>
      <c r="HF115" t="e">
        <f>AND('Planilla_General_29-11-2012_10_'!D1730,"AAAAAHt/r9U=")</f>
        <v>#VALUE!</v>
      </c>
      <c r="HG115" t="e">
        <f>AND('Planilla_General_29-11-2012_10_'!E1730,"AAAAAHt/r9Y=")</f>
        <v>#VALUE!</v>
      </c>
      <c r="HH115" t="e">
        <f>AND('Planilla_General_29-11-2012_10_'!F1730,"AAAAAHt/r9c=")</f>
        <v>#VALUE!</v>
      </c>
      <c r="HI115" t="e">
        <f>AND('Planilla_General_29-11-2012_10_'!G1730,"AAAAAHt/r9g=")</f>
        <v>#VALUE!</v>
      </c>
      <c r="HJ115" t="e">
        <f>AND('Planilla_General_29-11-2012_10_'!H1730,"AAAAAHt/r9k=")</f>
        <v>#VALUE!</v>
      </c>
      <c r="HK115" t="e">
        <f>AND('Planilla_General_29-11-2012_10_'!I1730,"AAAAAHt/r9o=")</f>
        <v>#VALUE!</v>
      </c>
      <c r="HL115" t="e">
        <f>AND('Planilla_General_29-11-2012_10_'!J1730,"AAAAAHt/r9s=")</f>
        <v>#VALUE!</v>
      </c>
      <c r="HM115" t="e">
        <f>AND('Planilla_General_29-11-2012_10_'!K1730,"AAAAAHt/r9w=")</f>
        <v>#VALUE!</v>
      </c>
      <c r="HN115" t="e">
        <f>AND('Planilla_General_29-11-2012_10_'!L1730,"AAAAAHt/r90=")</f>
        <v>#VALUE!</v>
      </c>
      <c r="HO115" t="e">
        <f>AND('Planilla_General_29-11-2012_10_'!M1730,"AAAAAHt/r94=")</f>
        <v>#VALUE!</v>
      </c>
      <c r="HP115" t="e">
        <f>AND('Planilla_General_29-11-2012_10_'!N1730,"AAAAAHt/r98=")</f>
        <v>#VALUE!</v>
      </c>
      <c r="HQ115" t="e">
        <f>AND('Planilla_General_29-11-2012_10_'!O1730,"AAAAAHt/r+A=")</f>
        <v>#VALUE!</v>
      </c>
      <c r="HR115" t="e">
        <f>AND('Planilla_General_29-11-2012_10_'!P1730,"AAAAAHt/r+E=")</f>
        <v>#VALUE!</v>
      </c>
      <c r="HS115">
        <f>IF('Planilla_General_29-11-2012_10_'!1731:1731,"AAAAAHt/r+I=",0)</f>
        <v>0</v>
      </c>
      <c r="HT115" t="e">
        <f>AND('Planilla_General_29-11-2012_10_'!A1731,"AAAAAHt/r+M=")</f>
        <v>#VALUE!</v>
      </c>
      <c r="HU115" t="e">
        <f>AND('Planilla_General_29-11-2012_10_'!B1731,"AAAAAHt/r+Q=")</f>
        <v>#VALUE!</v>
      </c>
      <c r="HV115" t="e">
        <f>AND('Planilla_General_29-11-2012_10_'!C1731,"AAAAAHt/r+U=")</f>
        <v>#VALUE!</v>
      </c>
      <c r="HW115" t="e">
        <f>AND('Planilla_General_29-11-2012_10_'!D1731,"AAAAAHt/r+Y=")</f>
        <v>#VALUE!</v>
      </c>
      <c r="HX115" t="e">
        <f>AND('Planilla_General_29-11-2012_10_'!E1731,"AAAAAHt/r+c=")</f>
        <v>#VALUE!</v>
      </c>
      <c r="HY115" t="e">
        <f>AND('Planilla_General_29-11-2012_10_'!F1731,"AAAAAHt/r+g=")</f>
        <v>#VALUE!</v>
      </c>
      <c r="HZ115" t="e">
        <f>AND('Planilla_General_29-11-2012_10_'!G1731,"AAAAAHt/r+k=")</f>
        <v>#VALUE!</v>
      </c>
      <c r="IA115" t="e">
        <f>AND('Planilla_General_29-11-2012_10_'!H1731,"AAAAAHt/r+o=")</f>
        <v>#VALUE!</v>
      </c>
      <c r="IB115" t="e">
        <f>AND('Planilla_General_29-11-2012_10_'!I1731,"AAAAAHt/r+s=")</f>
        <v>#VALUE!</v>
      </c>
      <c r="IC115" t="e">
        <f>AND('Planilla_General_29-11-2012_10_'!J1731,"AAAAAHt/r+w=")</f>
        <v>#VALUE!</v>
      </c>
      <c r="ID115" t="e">
        <f>AND('Planilla_General_29-11-2012_10_'!K1731,"AAAAAHt/r+0=")</f>
        <v>#VALUE!</v>
      </c>
      <c r="IE115" t="e">
        <f>AND('Planilla_General_29-11-2012_10_'!L1731,"AAAAAHt/r+4=")</f>
        <v>#VALUE!</v>
      </c>
      <c r="IF115" t="e">
        <f>AND('Planilla_General_29-11-2012_10_'!M1731,"AAAAAHt/r+8=")</f>
        <v>#VALUE!</v>
      </c>
      <c r="IG115" t="e">
        <f>AND('Planilla_General_29-11-2012_10_'!N1731,"AAAAAHt/r/A=")</f>
        <v>#VALUE!</v>
      </c>
      <c r="IH115" t="e">
        <f>AND('Planilla_General_29-11-2012_10_'!O1731,"AAAAAHt/r/E=")</f>
        <v>#VALUE!</v>
      </c>
      <c r="II115" t="e">
        <f>AND('Planilla_General_29-11-2012_10_'!P1731,"AAAAAHt/r/I=")</f>
        <v>#VALUE!</v>
      </c>
      <c r="IJ115">
        <f>IF('Planilla_General_29-11-2012_10_'!1732:1732,"AAAAAHt/r/M=",0)</f>
        <v>0</v>
      </c>
      <c r="IK115" t="e">
        <f>AND('Planilla_General_29-11-2012_10_'!A1732,"AAAAAHt/r/Q=")</f>
        <v>#VALUE!</v>
      </c>
      <c r="IL115" t="e">
        <f>AND('Planilla_General_29-11-2012_10_'!B1732,"AAAAAHt/r/U=")</f>
        <v>#VALUE!</v>
      </c>
      <c r="IM115" t="e">
        <f>AND('Planilla_General_29-11-2012_10_'!C1732,"AAAAAHt/r/Y=")</f>
        <v>#VALUE!</v>
      </c>
      <c r="IN115" t="e">
        <f>AND('Planilla_General_29-11-2012_10_'!D1732,"AAAAAHt/r/c=")</f>
        <v>#VALUE!</v>
      </c>
      <c r="IO115" t="e">
        <f>AND('Planilla_General_29-11-2012_10_'!E1732,"AAAAAHt/r/g=")</f>
        <v>#VALUE!</v>
      </c>
      <c r="IP115" t="e">
        <f>AND('Planilla_General_29-11-2012_10_'!F1732,"AAAAAHt/r/k=")</f>
        <v>#VALUE!</v>
      </c>
      <c r="IQ115" t="e">
        <f>AND('Planilla_General_29-11-2012_10_'!G1732,"AAAAAHt/r/o=")</f>
        <v>#VALUE!</v>
      </c>
      <c r="IR115" t="e">
        <f>AND('Planilla_General_29-11-2012_10_'!H1732,"AAAAAHt/r/s=")</f>
        <v>#VALUE!</v>
      </c>
      <c r="IS115" t="e">
        <f>AND('Planilla_General_29-11-2012_10_'!I1732,"AAAAAHt/r/w=")</f>
        <v>#VALUE!</v>
      </c>
      <c r="IT115" t="e">
        <f>AND('Planilla_General_29-11-2012_10_'!J1732,"AAAAAHt/r/0=")</f>
        <v>#VALUE!</v>
      </c>
      <c r="IU115" t="e">
        <f>AND('Planilla_General_29-11-2012_10_'!K1732,"AAAAAHt/r/4=")</f>
        <v>#VALUE!</v>
      </c>
      <c r="IV115" t="e">
        <f>AND('Planilla_General_29-11-2012_10_'!L1732,"AAAAAHt/r/8=")</f>
        <v>#VALUE!</v>
      </c>
    </row>
    <row r="116" spans="1:256" x14ac:dyDescent="0.25">
      <c r="A116" t="e">
        <f>AND('Planilla_General_29-11-2012_10_'!M1732,"AAAAAD3P/QA=")</f>
        <v>#VALUE!</v>
      </c>
      <c r="B116" t="e">
        <f>AND('Planilla_General_29-11-2012_10_'!N1732,"AAAAAD3P/QE=")</f>
        <v>#VALUE!</v>
      </c>
      <c r="C116" t="e">
        <f>AND('Planilla_General_29-11-2012_10_'!O1732,"AAAAAD3P/QI=")</f>
        <v>#VALUE!</v>
      </c>
      <c r="D116" t="e">
        <f>AND('Planilla_General_29-11-2012_10_'!P1732,"AAAAAD3P/QM=")</f>
        <v>#VALUE!</v>
      </c>
      <c r="E116" t="e">
        <f>IF('Planilla_General_29-11-2012_10_'!1733:1733,"AAAAAD3P/QQ=",0)</f>
        <v>#VALUE!</v>
      </c>
      <c r="F116" t="e">
        <f>AND('Planilla_General_29-11-2012_10_'!A1733,"AAAAAD3P/QU=")</f>
        <v>#VALUE!</v>
      </c>
      <c r="G116" t="e">
        <f>AND('Planilla_General_29-11-2012_10_'!B1733,"AAAAAD3P/QY=")</f>
        <v>#VALUE!</v>
      </c>
      <c r="H116" t="e">
        <f>AND('Planilla_General_29-11-2012_10_'!C1733,"AAAAAD3P/Qc=")</f>
        <v>#VALUE!</v>
      </c>
      <c r="I116" t="e">
        <f>AND('Planilla_General_29-11-2012_10_'!D1733,"AAAAAD3P/Qg=")</f>
        <v>#VALUE!</v>
      </c>
      <c r="J116" t="e">
        <f>AND('Planilla_General_29-11-2012_10_'!E1733,"AAAAAD3P/Qk=")</f>
        <v>#VALUE!</v>
      </c>
      <c r="K116" t="e">
        <f>AND('Planilla_General_29-11-2012_10_'!F1733,"AAAAAD3P/Qo=")</f>
        <v>#VALUE!</v>
      </c>
      <c r="L116" t="e">
        <f>AND('Planilla_General_29-11-2012_10_'!G1733,"AAAAAD3P/Qs=")</f>
        <v>#VALUE!</v>
      </c>
      <c r="M116" t="e">
        <f>AND('Planilla_General_29-11-2012_10_'!H1733,"AAAAAD3P/Qw=")</f>
        <v>#VALUE!</v>
      </c>
      <c r="N116" t="e">
        <f>AND('Planilla_General_29-11-2012_10_'!I1733,"AAAAAD3P/Q0=")</f>
        <v>#VALUE!</v>
      </c>
      <c r="O116" t="e">
        <f>AND('Planilla_General_29-11-2012_10_'!J1733,"AAAAAD3P/Q4=")</f>
        <v>#VALUE!</v>
      </c>
      <c r="P116" t="e">
        <f>AND('Planilla_General_29-11-2012_10_'!K1733,"AAAAAD3P/Q8=")</f>
        <v>#VALUE!</v>
      </c>
      <c r="Q116" t="e">
        <f>AND('Planilla_General_29-11-2012_10_'!L1733,"AAAAAD3P/RA=")</f>
        <v>#VALUE!</v>
      </c>
      <c r="R116" t="e">
        <f>AND('Planilla_General_29-11-2012_10_'!M1733,"AAAAAD3P/RE=")</f>
        <v>#VALUE!</v>
      </c>
      <c r="S116" t="e">
        <f>AND('Planilla_General_29-11-2012_10_'!N1733,"AAAAAD3P/RI=")</f>
        <v>#VALUE!</v>
      </c>
      <c r="T116" t="e">
        <f>AND('Planilla_General_29-11-2012_10_'!O1733,"AAAAAD3P/RM=")</f>
        <v>#VALUE!</v>
      </c>
      <c r="U116" t="e">
        <f>AND('Planilla_General_29-11-2012_10_'!P1733,"AAAAAD3P/RQ=")</f>
        <v>#VALUE!</v>
      </c>
      <c r="V116">
        <f>IF('Planilla_General_29-11-2012_10_'!1734:1734,"AAAAAD3P/RU=",0)</f>
        <v>0</v>
      </c>
      <c r="W116" t="e">
        <f>AND('Planilla_General_29-11-2012_10_'!A1734,"AAAAAD3P/RY=")</f>
        <v>#VALUE!</v>
      </c>
      <c r="X116" t="e">
        <f>AND('Planilla_General_29-11-2012_10_'!B1734,"AAAAAD3P/Rc=")</f>
        <v>#VALUE!</v>
      </c>
      <c r="Y116" t="e">
        <f>AND('Planilla_General_29-11-2012_10_'!C1734,"AAAAAD3P/Rg=")</f>
        <v>#VALUE!</v>
      </c>
      <c r="Z116" t="e">
        <f>AND('Planilla_General_29-11-2012_10_'!D1734,"AAAAAD3P/Rk=")</f>
        <v>#VALUE!</v>
      </c>
      <c r="AA116" t="e">
        <f>AND('Planilla_General_29-11-2012_10_'!E1734,"AAAAAD3P/Ro=")</f>
        <v>#VALUE!</v>
      </c>
      <c r="AB116" t="e">
        <f>AND('Planilla_General_29-11-2012_10_'!F1734,"AAAAAD3P/Rs=")</f>
        <v>#VALUE!</v>
      </c>
      <c r="AC116" t="e">
        <f>AND('Planilla_General_29-11-2012_10_'!G1734,"AAAAAD3P/Rw=")</f>
        <v>#VALUE!</v>
      </c>
      <c r="AD116" t="e">
        <f>AND('Planilla_General_29-11-2012_10_'!H1734,"AAAAAD3P/R0=")</f>
        <v>#VALUE!</v>
      </c>
      <c r="AE116" t="e">
        <f>AND('Planilla_General_29-11-2012_10_'!I1734,"AAAAAD3P/R4=")</f>
        <v>#VALUE!</v>
      </c>
      <c r="AF116" t="e">
        <f>AND('Planilla_General_29-11-2012_10_'!J1734,"AAAAAD3P/R8=")</f>
        <v>#VALUE!</v>
      </c>
      <c r="AG116" t="e">
        <f>AND('Planilla_General_29-11-2012_10_'!K1734,"AAAAAD3P/SA=")</f>
        <v>#VALUE!</v>
      </c>
      <c r="AH116" t="e">
        <f>AND('Planilla_General_29-11-2012_10_'!L1734,"AAAAAD3P/SE=")</f>
        <v>#VALUE!</v>
      </c>
      <c r="AI116" t="e">
        <f>AND('Planilla_General_29-11-2012_10_'!M1734,"AAAAAD3P/SI=")</f>
        <v>#VALUE!</v>
      </c>
      <c r="AJ116" t="e">
        <f>AND('Planilla_General_29-11-2012_10_'!N1734,"AAAAAD3P/SM=")</f>
        <v>#VALUE!</v>
      </c>
      <c r="AK116" t="e">
        <f>AND('Planilla_General_29-11-2012_10_'!O1734,"AAAAAD3P/SQ=")</f>
        <v>#VALUE!</v>
      </c>
      <c r="AL116" t="e">
        <f>AND('Planilla_General_29-11-2012_10_'!P1734,"AAAAAD3P/SU=")</f>
        <v>#VALUE!</v>
      </c>
      <c r="AM116">
        <f>IF('Planilla_General_29-11-2012_10_'!1735:1735,"AAAAAD3P/SY=",0)</f>
        <v>0</v>
      </c>
      <c r="AN116" t="e">
        <f>AND('Planilla_General_29-11-2012_10_'!A1735,"AAAAAD3P/Sc=")</f>
        <v>#VALUE!</v>
      </c>
      <c r="AO116" t="e">
        <f>AND('Planilla_General_29-11-2012_10_'!B1735,"AAAAAD3P/Sg=")</f>
        <v>#VALUE!</v>
      </c>
      <c r="AP116" t="e">
        <f>AND('Planilla_General_29-11-2012_10_'!C1735,"AAAAAD3P/Sk=")</f>
        <v>#VALUE!</v>
      </c>
      <c r="AQ116" t="e">
        <f>AND('Planilla_General_29-11-2012_10_'!D1735,"AAAAAD3P/So=")</f>
        <v>#VALUE!</v>
      </c>
      <c r="AR116" t="e">
        <f>AND('Planilla_General_29-11-2012_10_'!E1735,"AAAAAD3P/Ss=")</f>
        <v>#VALUE!</v>
      </c>
      <c r="AS116" t="e">
        <f>AND('Planilla_General_29-11-2012_10_'!F1735,"AAAAAD3P/Sw=")</f>
        <v>#VALUE!</v>
      </c>
      <c r="AT116" t="e">
        <f>AND('Planilla_General_29-11-2012_10_'!G1735,"AAAAAD3P/S0=")</f>
        <v>#VALUE!</v>
      </c>
      <c r="AU116" t="e">
        <f>AND('Planilla_General_29-11-2012_10_'!H1735,"AAAAAD3P/S4=")</f>
        <v>#VALUE!</v>
      </c>
      <c r="AV116" t="e">
        <f>AND('Planilla_General_29-11-2012_10_'!I1735,"AAAAAD3P/S8=")</f>
        <v>#VALUE!</v>
      </c>
      <c r="AW116" t="e">
        <f>AND('Planilla_General_29-11-2012_10_'!J1735,"AAAAAD3P/TA=")</f>
        <v>#VALUE!</v>
      </c>
      <c r="AX116" t="e">
        <f>AND('Planilla_General_29-11-2012_10_'!K1735,"AAAAAD3P/TE=")</f>
        <v>#VALUE!</v>
      </c>
      <c r="AY116" t="e">
        <f>AND('Planilla_General_29-11-2012_10_'!L1735,"AAAAAD3P/TI=")</f>
        <v>#VALUE!</v>
      </c>
      <c r="AZ116" t="e">
        <f>AND('Planilla_General_29-11-2012_10_'!M1735,"AAAAAD3P/TM=")</f>
        <v>#VALUE!</v>
      </c>
      <c r="BA116" t="e">
        <f>AND('Planilla_General_29-11-2012_10_'!N1735,"AAAAAD3P/TQ=")</f>
        <v>#VALUE!</v>
      </c>
      <c r="BB116" t="e">
        <f>AND('Planilla_General_29-11-2012_10_'!O1735,"AAAAAD3P/TU=")</f>
        <v>#VALUE!</v>
      </c>
      <c r="BC116" t="e">
        <f>AND('Planilla_General_29-11-2012_10_'!P1735,"AAAAAD3P/TY=")</f>
        <v>#VALUE!</v>
      </c>
      <c r="BD116">
        <f>IF('Planilla_General_29-11-2012_10_'!1736:1736,"AAAAAD3P/Tc=",0)</f>
        <v>0</v>
      </c>
      <c r="BE116" t="e">
        <f>AND('Planilla_General_29-11-2012_10_'!A1736,"AAAAAD3P/Tg=")</f>
        <v>#VALUE!</v>
      </c>
      <c r="BF116" t="e">
        <f>AND('Planilla_General_29-11-2012_10_'!B1736,"AAAAAD3P/Tk=")</f>
        <v>#VALUE!</v>
      </c>
      <c r="BG116" t="e">
        <f>AND('Planilla_General_29-11-2012_10_'!C1736,"AAAAAD3P/To=")</f>
        <v>#VALUE!</v>
      </c>
      <c r="BH116" t="e">
        <f>AND('Planilla_General_29-11-2012_10_'!D1736,"AAAAAD3P/Ts=")</f>
        <v>#VALUE!</v>
      </c>
      <c r="BI116" t="e">
        <f>AND('Planilla_General_29-11-2012_10_'!E1736,"AAAAAD3P/Tw=")</f>
        <v>#VALUE!</v>
      </c>
      <c r="BJ116" t="e">
        <f>AND('Planilla_General_29-11-2012_10_'!F1736,"AAAAAD3P/T0=")</f>
        <v>#VALUE!</v>
      </c>
      <c r="BK116" t="e">
        <f>AND('Planilla_General_29-11-2012_10_'!G1736,"AAAAAD3P/T4=")</f>
        <v>#VALUE!</v>
      </c>
      <c r="BL116" t="e">
        <f>AND('Planilla_General_29-11-2012_10_'!H1736,"AAAAAD3P/T8=")</f>
        <v>#VALUE!</v>
      </c>
      <c r="BM116" t="e">
        <f>AND('Planilla_General_29-11-2012_10_'!I1736,"AAAAAD3P/UA=")</f>
        <v>#VALUE!</v>
      </c>
      <c r="BN116" t="e">
        <f>AND('Planilla_General_29-11-2012_10_'!J1736,"AAAAAD3P/UE=")</f>
        <v>#VALUE!</v>
      </c>
      <c r="BO116" t="e">
        <f>AND('Planilla_General_29-11-2012_10_'!K1736,"AAAAAD3P/UI=")</f>
        <v>#VALUE!</v>
      </c>
      <c r="BP116" t="e">
        <f>AND('Planilla_General_29-11-2012_10_'!L1736,"AAAAAD3P/UM=")</f>
        <v>#VALUE!</v>
      </c>
      <c r="BQ116" t="e">
        <f>AND('Planilla_General_29-11-2012_10_'!M1736,"AAAAAD3P/UQ=")</f>
        <v>#VALUE!</v>
      </c>
      <c r="BR116" t="e">
        <f>AND('Planilla_General_29-11-2012_10_'!N1736,"AAAAAD3P/UU=")</f>
        <v>#VALUE!</v>
      </c>
      <c r="BS116" t="e">
        <f>AND('Planilla_General_29-11-2012_10_'!O1736,"AAAAAD3P/UY=")</f>
        <v>#VALUE!</v>
      </c>
      <c r="BT116" t="e">
        <f>AND('Planilla_General_29-11-2012_10_'!P1736,"AAAAAD3P/Uc=")</f>
        <v>#VALUE!</v>
      </c>
      <c r="BU116">
        <f>IF('Planilla_General_29-11-2012_10_'!1737:1737,"AAAAAD3P/Ug=",0)</f>
        <v>0</v>
      </c>
      <c r="BV116" t="e">
        <f>AND('Planilla_General_29-11-2012_10_'!A1737,"AAAAAD3P/Uk=")</f>
        <v>#VALUE!</v>
      </c>
      <c r="BW116" t="e">
        <f>AND('Planilla_General_29-11-2012_10_'!B1737,"AAAAAD3P/Uo=")</f>
        <v>#VALUE!</v>
      </c>
      <c r="BX116" t="e">
        <f>AND('Planilla_General_29-11-2012_10_'!C1737,"AAAAAD3P/Us=")</f>
        <v>#VALUE!</v>
      </c>
      <c r="BY116" t="e">
        <f>AND('Planilla_General_29-11-2012_10_'!D1737,"AAAAAD3P/Uw=")</f>
        <v>#VALUE!</v>
      </c>
      <c r="BZ116" t="e">
        <f>AND('Planilla_General_29-11-2012_10_'!E1737,"AAAAAD3P/U0=")</f>
        <v>#VALUE!</v>
      </c>
      <c r="CA116" t="e">
        <f>AND('Planilla_General_29-11-2012_10_'!F1737,"AAAAAD3P/U4=")</f>
        <v>#VALUE!</v>
      </c>
      <c r="CB116" t="e">
        <f>AND('Planilla_General_29-11-2012_10_'!G1737,"AAAAAD3P/U8=")</f>
        <v>#VALUE!</v>
      </c>
      <c r="CC116" t="e">
        <f>AND('Planilla_General_29-11-2012_10_'!H1737,"AAAAAD3P/VA=")</f>
        <v>#VALUE!</v>
      </c>
      <c r="CD116" t="e">
        <f>AND('Planilla_General_29-11-2012_10_'!I1737,"AAAAAD3P/VE=")</f>
        <v>#VALUE!</v>
      </c>
      <c r="CE116" t="e">
        <f>AND('Planilla_General_29-11-2012_10_'!J1737,"AAAAAD3P/VI=")</f>
        <v>#VALUE!</v>
      </c>
      <c r="CF116" t="e">
        <f>AND('Planilla_General_29-11-2012_10_'!K1737,"AAAAAD3P/VM=")</f>
        <v>#VALUE!</v>
      </c>
      <c r="CG116" t="e">
        <f>AND('Planilla_General_29-11-2012_10_'!L1737,"AAAAAD3P/VQ=")</f>
        <v>#VALUE!</v>
      </c>
      <c r="CH116" t="e">
        <f>AND('Planilla_General_29-11-2012_10_'!M1737,"AAAAAD3P/VU=")</f>
        <v>#VALUE!</v>
      </c>
      <c r="CI116" t="e">
        <f>AND('Planilla_General_29-11-2012_10_'!N1737,"AAAAAD3P/VY=")</f>
        <v>#VALUE!</v>
      </c>
      <c r="CJ116" t="e">
        <f>AND('Planilla_General_29-11-2012_10_'!O1737,"AAAAAD3P/Vc=")</f>
        <v>#VALUE!</v>
      </c>
      <c r="CK116" t="e">
        <f>AND('Planilla_General_29-11-2012_10_'!P1737,"AAAAAD3P/Vg=")</f>
        <v>#VALUE!</v>
      </c>
      <c r="CL116">
        <f>IF('Planilla_General_29-11-2012_10_'!1738:1738,"AAAAAD3P/Vk=",0)</f>
        <v>0</v>
      </c>
      <c r="CM116" t="e">
        <f>AND('Planilla_General_29-11-2012_10_'!A1738,"AAAAAD3P/Vo=")</f>
        <v>#VALUE!</v>
      </c>
      <c r="CN116" t="e">
        <f>AND('Planilla_General_29-11-2012_10_'!B1738,"AAAAAD3P/Vs=")</f>
        <v>#VALUE!</v>
      </c>
      <c r="CO116" t="e">
        <f>AND('Planilla_General_29-11-2012_10_'!C1738,"AAAAAD3P/Vw=")</f>
        <v>#VALUE!</v>
      </c>
      <c r="CP116" t="e">
        <f>AND('Planilla_General_29-11-2012_10_'!D1738,"AAAAAD3P/V0=")</f>
        <v>#VALUE!</v>
      </c>
      <c r="CQ116" t="e">
        <f>AND('Planilla_General_29-11-2012_10_'!E1738,"AAAAAD3P/V4=")</f>
        <v>#VALUE!</v>
      </c>
      <c r="CR116" t="e">
        <f>AND('Planilla_General_29-11-2012_10_'!F1738,"AAAAAD3P/V8=")</f>
        <v>#VALUE!</v>
      </c>
      <c r="CS116" t="e">
        <f>AND('Planilla_General_29-11-2012_10_'!G1738,"AAAAAD3P/WA=")</f>
        <v>#VALUE!</v>
      </c>
      <c r="CT116" t="e">
        <f>AND('Planilla_General_29-11-2012_10_'!H1738,"AAAAAD3P/WE=")</f>
        <v>#VALUE!</v>
      </c>
      <c r="CU116" t="e">
        <f>AND('Planilla_General_29-11-2012_10_'!I1738,"AAAAAD3P/WI=")</f>
        <v>#VALUE!</v>
      </c>
      <c r="CV116" t="e">
        <f>AND('Planilla_General_29-11-2012_10_'!J1738,"AAAAAD3P/WM=")</f>
        <v>#VALUE!</v>
      </c>
      <c r="CW116" t="e">
        <f>AND('Planilla_General_29-11-2012_10_'!K1738,"AAAAAD3P/WQ=")</f>
        <v>#VALUE!</v>
      </c>
      <c r="CX116" t="e">
        <f>AND('Planilla_General_29-11-2012_10_'!L1738,"AAAAAD3P/WU=")</f>
        <v>#VALUE!</v>
      </c>
      <c r="CY116" t="e">
        <f>AND('Planilla_General_29-11-2012_10_'!M1738,"AAAAAD3P/WY=")</f>
        <v>#VALUE!</v>
      </c>
      <c r="CZ116" t="e">
        <f>AND('Planilla_General_29-11-2012_10_'!N1738,"AAAAAD3P/Wc=")</f>
        <v>#VALUE!</v>
      </c>
      <c r="DA116" t="e">
        <f>AND('Planilla_General_29-11-2012_10_'!O1738,"AAAAAD3P/Wg=")</f>
        <v>#VALUE!</v>
      </c>
      <c r="DB116" t="e">
        <f>AND('Planilla_General_29-11-2012_10_'!P1738,"AAAAAD3P/Wk=")</f>
        <v>#VALUE!</v>
      </c>
      <c r="DC116">
        <f>IF('Planilla_General_29-11-2012_10_'!1739:1739,"AAAAAD3P/Wo=",0)</f>
        <v>0</v>
      </c>
      <c r="DD116" t="e">
        <f>AND('Planilla_General_29-11-2012_10_'!A1739,"AAAAAD3P/Ws=")</f>
        <v>#VALUE!</v>
      </c>
      <c r="DE116" t="e">
        <f>AND('Planilla_General_29-11-2012_10_'!B1739,"AAAAAD3P/Ww=")</f>
        <v>#VALUE!</v>
      </c>
      <c r="DF116" t="e">
        <f>AND('Planilla_General_29-11-2012_10_'!C1739,"AAAAAD3P/W0=")</f>
        <v>#VALUE!</v>
      </c>
      <c r="DG116" t="e">
        <f>AND('Planilla_General_29-11-2012_10_'!D1739,"AAAAAD3P/W4=")</f>
        <v>#VALUE!</v>
      </c>
      <c r="DH116" t="e">
        <f>AND('Planilla_General_29-11-2012_10_'!E1739,"AAAAAD3P/W8=")</f>
        <v>#VALUE!</v>
      </c>
      <c r="DI116" t="e">
        <f>AND('Planilla_General_29-11-2012_10_'!F1739,"AAAAAD3P/XA=")</f>
        <v>#VALUE!</v>
      </c>
      <c r="DJ116" t="e">
        <f>AND('Planilla_General_29-11-2012_10_'!G1739,"AAAAAD3P/XE=")</f>
        <v>#VALUE!</v>
      </c>
      <c r="DK116" t="e">
        <f>AND('Planilla_General_29-11-2012_10_'!H1739,"AAAAAD3P/XI=")</f>
        <v>#VALUE!</v>
      </c>
      <c r="DL116" t="e">
        <f>AND('Planilla_General_29-11-2012_10_'!I1739,"AAAAAD3P/XM=")</f>
        <v>#VALUE!</v>
      </c>
      <c r="DM116" t="e">
        <f>AND('Planilla_General_29-11-2012_10_'!J1739,"AAAAAD3P/XQ=")</f>
        <v>#VALUE!</v>
      </c>
      <c r="DN116" t="e">
        <f>AND('Planilla_General_29-11-2012_10_'!K1739,"AAAAAD3P/XU=")</f>
        <v>#VALUE!</v>
      </c>
      <c r="DO116" t="e">
        <f>AND('Planilla_General_29-11-2012_10_'!L1739,"AAAAAD3P/XY=")</f>
        <v>#VALUE!</v>
      </c>
      <c r="DP116" t="e">
        <f>AND('Planilla_General_29-11-2012_10_'!M1739,"AAAAAD3P/Xc=")</f>
        <v>#VALUE!</v>
      </c>
      <c r="DQ116" t="e">
        <f>AND('Planilla_General_29-11-2012_10_'!N1739,"AAAAAD3P/Xg=")</f>
        <v>#VALUE!</v>
      </c>
      <c r="DR116" t="e">
        <f>AND('Planilla_General_29-11-2012_10_'!O1739,"AAAAAD3P/Xk=")</f>
        <v>#VALUE!</v>
      </c>
      <c r="DS116" t="e">
        <f>AND('Planilla_General_29-11-2012_10_'!P1739,"AAAAAD3P/Xo=")</f>
        <v>#VALUE!</v>
      </c>
      <c r="DT116">
        <f>IF('Planilla_General_29-11-2012_10_'!1740:1740,"AAAAAD3P/Xs=",0)</f>
        <v>0</v>
      </c>
      <c r="DU116" t="e">
        <f>AND('Planilla_General_29-11-2012_10_'!A1740,"AAAAAD3P/Xw=")</f>
        <v>#VALUE!</v>
      </c>
      <c r="DV116" t="e">
        <f>AND('Planilla_General_29-11-2012_10_'!B1740,"AAAAAD3P/X0=")</f>
        <v>#VALUE!</v>
      </c>
      <c r="DW116" t="e">
        <f>AND('Planilla_General_29-11-2012_10_'!C1740,"AAAAAD3P/X4=")</f>
        <v>#VALUE!</v>
      </c>
      <c r="DX116" t="e">
        <f>AND('Planilla_General_29-11-2012_10_'!D1740,"AAAAAD3P/X8=")</f>
        <v>#VALUE!</v>
      </c>
      <c r="DY116" t="e">
        <f>AND('Planilla_General_29-11-2012_10_'!E1740,"AAAAAD3P/YA=")</f>
        <v>#VALUE!</v>
      </c>
      <c r="DZ116" t="e">
        <f>AND('Planilla_General_29-11-2012_10_'!F1740,"AAAAAD3P/YE=")</f>
        <v>#VALUE!</v>
      </c>
      <c r="EA116" t="e">
        <f>AND('Planilla_General_29-11-2012_10_'!G1740,"AAAAAD3P/YI=")</f>
        <v>#VALUE!</v>
      </c>
      <c r="EB116" t="e">
        <f>AND('Planilla_General_29-11-2012_10_'!H1740,"AAAAAD3P/YM=")</f>
        <v>#VALUE!</v>
      </c>
      <c r="EC116" t="e">
        <f>AND('Planilla_General_29-11-2012_10_'!I1740,"AAAAAD3P/YQ=")</f>
        <v>#VALUE!</v>
      </c>
      <c r="ED116" t="e">
        <f>AND('Planilla_General_29-11-2012_10_'!J1740,"AAAAAD3P/YU=")</f>
        <v>#VALUE!</v>
      </c>
      <c r="EE116" t="e">
        <f>AND('Planilla_General_29-11-2012_10_'!K1740,"AAAAAD3P/YY=")</f>
        <v>#VALUE!</v>
      </c>
      <c r="EF116" t="e">
        <f>AND('Planilla_General_29-11-2012_10_'!L1740,"AAAAAD3P/Yc=")</f>
        <v>#VALUE!</v>
      </c>
      <c r="EG116" t="e">
        <f>AND('Planilla_General_29-11-2012_10_'!M1740,"AAAAAD3P/Yg=")</f>
        <v>#VALUE!</v>
      </c>
      <c r="EH116" t="e">
        <f>AND('Planilla_General_29-11-2012_10_'!N1740,"AAAAAD3P/Yk=")</f>
        <v>#VALUE!</v>
      </c>
      <c r="EI116" t="e">
        <f>AND('Planilla_General_29-11-2012_10_'!O1740,"AAAAAD3P/Yo=")</f>
        <v>#VALUE!</v>
      </c>
      <c r="EJ116" t="e">
        <f>AND('Planilla_General_29-11-2012_10_'!P1740,"AAAAAD3P/Ys=")</f>
        <v>#VALUE!</v>
      </c>
      <c r="EK116">
        <f>IF('Planilla_General_29-11-2012_10_'!1741:1741,"AAAAAD3P/Yw=",0)</f>
        <v>0</v>
      </c>
      <c r="EL116" t="e">
        <f>AND('Planilla_General_29-11-2012_10_'!A1741,"AAAAAD3P/Y0=")</f>
        <v>#VALUE!</v>
      </c>
      <c r="EM116" t="e">
        <f>AND('Planilla_General_29-11-2012_10_'!B1741,"AAAAAD3P/Y4=")</f>
        <v>#VALUE!</v>
      </c>
      <c r="EN116" t="e">
        <f>AND('Planilla_General_29-11-2012_10_'!C1741,"AAAAAD3P/Y8=")</f>
        <v>#VALUE!</v>
      </c>
      <c r="EO116" t="e">
        <f>AND('Planilla_General_29-11-2012_10_'!D1741,"AAAAAD3P/ZA=")</f>
        <v>#VALUE!</v>
      </c>
      <c r="EP116" t="e">
        <f>AND('Planilla_General_29-11-2012_10_'!E1741,"AAAAAD3P/ZE=")</f>
        <v>#VALUE!</v>
      </c>
      <c r="EQ116" t="e">
        <f>AND('Planilla_General_29-11-2012_10_'!F1741,"AAAAAD3P/ZI=")</f>
        <v>#VALUE!</v>
      </c>
      <c r="ER116" t="e">
        <f>AND('Planilla_General_29-11-2012_10_'!G1741,"AAAAAD3P/ZM=")</f>
        <v>#VALUE!</v>
      </c>
      <c r="ES116" t="e">
        <f>AND('Planilla_General_29-11-2012_10_'!H1741,"AAAAAD3P/ZQ=")</f>
        <v>#VALUE!</v>
      </c>
      <c r="ET116" t="e">
        <f>AND('Planilla_General_29-11-2012_10_'!I1741,"AAAAAD3P/ZU=")</f>
        <v>#VALUE!</v>
      </c>
      <c r="EU116" t="e">
        <f>AND('Planilla_General_29-11-2012_10_'!J1741,"AAAAAD3P/ZY=")</f>
        <v>#VALUE!</v>
      </c>
      <c r="EV116" t="e">
        <f>AND('Planilla_General_29-11-2012_10_'!K1741,"AAAAAD3P/Zc=")</f>
        <v>#VALUE!</v>
      </c>
      <c r="EW116" t="e">
        <f>AND('Planilla_General_29-11-2012_10_'!L1741,"AAAAAD3P/Zg=")</f>
        <v>#VALUE!</v>
      </c>
      <c r="EX116" t="e">
        <f>AND('Planilla_General_29-11-2012_10_'!M1741,"AAAAAD3P/Zk=")</f>
        <v>#VALUE!</v>
      </c>
      <c r="EY116" t="e">
        <f>AND('Planilla_General_29-11-2012_10_'!N1741,"AAAAAD3P/Zo=")</f>
        <v>#VALUE!</v>
      </c>
      <c r="EZ116" t="e">
        <f>AND('Planilla_General_29-11-2012_10_'!O1741,"AAAAAD3P/Zs=")</f>
        <v>#VALUE!</v>
      </c>
      <c r="FA116" t="e">
        <f>AND('Planilla_General_29-11-2012_10_'!P1741,"AAAAAD3P/Zw=")</f>
        <v>#VALUE!</v>
      </c>
      <c r="FB116">
        <f>IF('Planilla_General_29-11-2012_10_'!1742:1742,"AAAAAD3P/Z0=",0)</f>
        <v>0</v>
      </c>
      <c r="FC116" t="e">
        <f>AND('Planilla_General_29-11-2012_10_'!A1742,"AAAAAD3P/Z4=")</f>
        <v>#VALUE!</v>
      </c>
      <c r="FD116" t="e">
        <f>AND('Planilla_General_29-11-2012_10_'!B1742,"AAAAAD3P/Z8=")</f>
        <v>#VALUE!</v>
      </c>
      <c r="FE116" t="e">
        <f>AND('Planilla_General_29-11-2012_10_'!C1742,"AAAAAD3P/aA=")</f>
        <v>#VALUE!</v>
      </c>
      <c r="FF116" t="e">
        <f>AND('Planilla_General_29-11-2012_10_'!D1742,"AAAAAD3P/aE=")</f>
        <v>#VALUE!</v>
      </c>
      <c r="FG116" t="e">
        <f>AND('Planilla_General_29-11-2012_10_'!E1742,"AAAAAD3P/aI=")</f>
        <v>#VALUE!</v>
      </c>
      <c r="FH116" t="e">
        <f>AND('Planilla_General_29-11-2012_10_'!F1742,"AAAAAD3P/aM=")</f>
        <v>#VALUE!</v>
      </c>
      <c r="FI116" t="e">
        <f>AND('Planilla_General_29-11-2012_10_'!G1742,"AAAAAD3P/aQ=")</f>
        <v>#VALUE!</v>
      </c>
      <c r="FJ116" t="e">
        <f>AND('Planilla_General_29-11-2012_10_'!H1742,"AAAAAD3P/aU=")</f>
        <v>#VALUE!</v>
      </c>
      <c r="FK116" t="e">
        <f>AND('Planilla_General_29-11-2012_10_'!I1742,"AAAAAD3P/aY=")</f>
        <v>#VALUE!</v>
      </c>
      <c r="FL116" t="e">
        <f>AND('Planilla_General_29-11-2012_10_'!J1742,"AAAAAD3P/ac=")</f>
        <v>#VALUE!</v>
      </c>
      <c r="FM116" t="e">
        <f>AND('Planilla_General_29-11-2012_10_'!K1742,"AAAAAD3P/ag=")</f>
        <v>#VALUE!</v>
      </c>
      <c r="FN116" t="e">
        <f>AND('Planilla_General_29-11-2012_10_'!L1742,"AAAAAD3P/ak=")</f>
        <v>#VALUE!</v>
      </c>
      <c r="FO116" t="e">
        <f>AND('Planilla_General_29-11-2012_10_'!M1742,"AAAAAD3P/ao=")</f>
        <v>#VALUE!</v>
      </c>
      <c r="FP116" t="e">
        <f>AND('Planilla_General_29-11-2012_10_'!N1742,"AAAAAD3P/as=")</f>
        <v>#VALUE!</v>
      </c>
      <c r="FQ116" t="e">
        <f>AND('Planilla_General_29-11-2012_10_'!O1742,"AAAAAD3P/aw=")</f>
        <v>#VALUE!</v>
      </c>
      <c r="FR116" t="e">
        <f>AND('Planilla_General_29-11-2012_10_'!P1742,"AAAAAD3P/a0=")</f>
        <v>#VALUE!</v>
      </c>
      <c r="FS116">
        <f>IF('Planilla_General_29-11-2012_10_'!1743:1743,"AAAAAD3P/a4=",0)</f>
        <v>0</v>
      </c>
      <c r="FT116" t="e">
        <f>AND('Planilla_General_29-11-2012_10_'!A1743,"AAAAAD3P/a8=")</f>
        <v>#VALUE!</v>
      </c>
      <c r="FU116" t="e">
        <f>AND('Planilla_General_29-11-2012_10_'!B1743,"AAAAAD3P/bA=")</f>
        <v>#VALUE!</v>
      </c>
      <c r="FV116" t="e">
        <f>AND('Planilla_General_29-11-2012_10_'!C1743,"AAAAAD3P/bE=")</f>
        <v>#VALUE!</v>
      </c>
      <c r="FW116" t="e">
        <f>AND('Planilla_General_29-11-2012_10_'!D1743,"AAAAAD3P/bI=")</f>
        <v>#VALUE!</v>
      </c>
      <c r="FX116" t="e">
        <f>AND('Planilla_General_29-11-2012_10_'!E1743,"AAAAAD3P/bM=")</f>
        <v>#VALUE!</v>
      </c>
      <c r="FY116" t="e">
        <f>AND('Planilla_General_29-11-2012_10_'!F1743,"AAAAAD3P/bQ=")</f>
        <v>#VALUE!</v>
      </c>
      <c r="FZ116" t="e">
        <f>AND('Planilla_General_29-11-2012_10_'!G1743,"AAAAAD3P/bU=")</f>
        <v>#VALUE!</v>
      </c>
      <c r="GA116" t="e">
        <f>AND('Planilla_General_29-11-2012_10_'!H1743,"AAAAAD3P/bY=")</f>
        <v>#VALUE!</v>
      </c>
      <c r="GB116" t="e">
        <f>AND('Planilla_General_29-11-2012_10_'!I1743,"AAAAAD3P/bc=")</f>
        <v>#VALUE!</v>
      </c>
      <c r="GC116" t="e">
        <f>AND('Planilla_General_29-11-2012_10_'!J1743,"AAAAAD3P/bg=")</f>
        <v>#VALUE!</v>
      </c>
      <c r="GD116" t="e">
        <f>AND('Planilla_General_29-11-2012_10_'!K1743,"AAAAAD3P/bk=")</f>
        <v>#VALUE!</v>
      </c>
      <c r="GE116" t="e">
        <f>AND('Planilla_General_29-11-2012_10_'!L1743,"AAAAAD3P/bo=")</f>
        <v>#VALUE!</v>
      </c>
      <c r="GF116" t="e">
        <f>AND('Planilla_General_29-11-2012_10_'!M1743,"AAAAAD3P/bs=")</f>
        <v>#VALUE!</v>
      </c>
      <c r="GG116" t="e">
        <f>AND('Planilla_General_29-11-2012_10_'!N1743,"AAAAAD3P/bw=")</f>
        <v>#VALUE!</v>
      </c>
      <c r="GH116" t="e">
        <f>AND('Planilla_General_29-11-2012_10_'!O1743,"AAAAAD3P/b0=")</f>
        <v>#VALUE!</v>
      </c>
      <c r="GI116" t="e">
        <f>AND('Planilla_General_29-11-2012_10_'!P1743,"AAAAAD3P/b4=")</f>
        <v>#VALUE!</v>
      </c>
      <c r="GJ116">
        <f>IF('Planilla_General_29-11-2012_10_'!1744:1744,"AAAAAD3P/b8=",0)</f>
        <v>0</v>
      </c>
      <c r="GK116" t="e">
        <f>AND('Planilla_General_29-11-2012_10_'!A1744,"AAAAAD3P/cA=")</f>
        <v>#VALUE!</v>
      </c>
      <c r="GL116" t="e">
        <f>AND('Planilla_General_29-11-2012_10_'!B1744,"AAAAAD3P/cE=")</f>
        <v>#VALUE!</v>
      </c>
      <c r="GM116" t="e">
        <f>AND('Planilla_General_29-11-2012_10_'!C1744,"AAAAAD3P/cI=")</f>
        <v>#VALUE!</v>
      </c>
      <c r="GN116" t="e">
        <f>AND('Planilla_General_29-11-2012_10_'!D1744,"AAAAAD3P/cM=")</f>
        <v>#VALUE!</v>
      </c>
      <c r="GO116" t="e">
        <f>AND('Planilla_General_29-11-2012_10_'!E1744,"AAAAAD3P/cQ=")</f>
        <v>#VALUE!</v>
      </c>
      <c r="GP116" t="e">
        <f>AND('Planilla_General_29-11-2012_10_'!F1744,"AAAAAD3P/cU=")</f>
        <v>#VALUE!</v>
      </c>
      <c r="GQ116" t="e">
        <f>AND('Planilla_General_29-11-2012_10_'!G1744,"AAAAAD3P/cY=")</f>
        <v>#VALUE!</v>
      </c>
      <c r="GR116" t="e">
        <f>AND('Planilla_General_29-11-2012_10_'!H1744,"AAAAAD3P/cc=")</f>
        <v>#VALUE!</v>
      </c>
      <c r="GS116" t="e">
        <f>AND('Planilla_General_29-11-2012_10_'!I1744,"AAAAAD3P/cg=")</f>
        <v>#VALUE!</v>
      </c>
      <c r="GT116" t="e">
        <f>AND('Planilla_General_29-11-2012_10_'!J1744,"AAAAAD3P/ck=")</f>
        <v>#VALUE!</v>
      </c>
      <c r="GU116" t="e">
        <f>AND('Planilla_General_29-11-2012_10_'!K1744,"AAAAAD3P/co=")</f>
        <v>#VALUE!</v>
      </c>
      <c r="GV116" t="e">
        <f>AND('Planilla_General_29-11-2012_10_'!L1744,"AAAAAD3P/cs=")</f>
        <v>#VALUE!</v>
      </c>
      <c r="GW116" t="e">
        <f>AND('Planilla_General_29-11-2012_10_'!M1744,"AAAAAD3P/cw=")</f>
        <v>#VALUE!</v>
      </c>
      <c r="GX116" t="e">
        <f>AND('Planilla_General_29-11-2012_10_'!N1744,"AAAAAD3P/c0=")</f>
        <v>#VALUE!</v>
      </c>
      <c r="GY116" t="e">
        <f>AND('Planilla_General_29-11-2012_10_'!O1744,"AAAAAD3P/c4=")</f>
        <v>#VALUE!</v>
      </c>
      <c r="GZ116" t="e">
        <f>AND('Planilla_General_29-11-2012_10_'!P1744,"AAAAAD3P/c8=")</f>
        <v>#VALUE!</v>
      </c>
      <c r="HA116">
        <f>IF('Planilla_General_29-11-2012_10_'!1745:1745,"AAAAAD3P/dA=",0)</f>
        <v>0</v>
      </c>
      <c r="HB116" t="e">
        <f>AND('Planilla_General_29-11-2012_10_'!A1745,"AAAAAD3P/dE=")</f>
        <v>#VALUE!</v>
      </c>
      <c r="HC116" t="e">
        <f>AND('Planilla_General_29-11-2012_10_'!B1745,"AAAAAD3P/dI=")</f>
        <v>#VALUE!</v>
      </c>
      <c r="HD116" t="e">
        <f>AND('Planilla_General_29-11-2012_10_'!C1745,"AAAAAD3P/dM=")</f>
        <v>#VALUE!</v>
      </c>
      <c r="HE116" t="e">
        <f>AND('Planilla_General_29-11-2012_10_'!D1745,"AAAAAD3P/dQ=")</f>
        <v>#VALUE!</v>
      </c>
      <c r="HF116" t="e">
        <f>AND('Planilla_General_29-11-2012_10_'!E1745,"AAAAAD3P/dU=")</f>
        <v>#VALUE!</v>
      </c>
      <c r="HG116" t="e">
        <f>AND('Planilla_General_29-11-2012_10_'!F1745,"AAAAAD3P/dY=")</f>
        <v>#VALUE!</v>
      </c>
      <c r="HH116" t="e">
        <f>AND('Planilla_General_29-11-2012_10_'!G1745,"AAAAAD3P/dc=")</f>
        <v>#VALUE!</v>
      </c>
      <c r="HI116" t="e">
        <f>AND('Planilla_General_29-11-2012_10_'!H1745,"AAAAAD3P/dg=")</f>
        <v>#VALUE!</v>
      </c>
      <c r="HJ116" t="e">
        <f>AND('Planilla_General_29-11-2012_10_'!I1745,"AAAAAD3P/dk=")</f>
        <v>#VALUE!</v>
      </c>
      <c r="HK116" t="e">
        <f>AND('Planilla_General_29-11-2012_10_'!J1745,"AAAAAD3P/do=")</f>
        <v>#VALUE!</v>
      </c>
      <c r="HL116" t="e">
        <f>AND('Planilla_General_29-11-2012_10_'!K1745,"AAAAAD3P/ds=")</f>
        <v>#VALUE!</v>
      </c>
      <c r="HM116" t="e">
        <f>AND('Planilla_General_29-11-2012_10_'!L1745,"AAAAAD3P/dw=")</f>
        <v>#VALUE!</v>
      </c>
      <c r="HN116" t="e">
        <f>AND('Planilla_General_29-11-2012_10_'!M1745,"AAAAAD3P/d0=")</f>
        <v>#VALUE!</v>
      </c>
      <c r="HO116" t="e">
        <f>AND('Planilla_General_29-11-2012_10_'!N1745,"AAAAAD3P/d4=")</f>
        <v>#VALUE!</v>
      </c>
      <c r="HP116" t="e">
        <f>AND('Planilla_General_29-11-2012_10_'!O1745,"AAAAAD3P/d8=")</f>
        <v>#VALUE!</v>
      </c>
      <c r="HQ116" t="e">
        <f>AND('Planilla_General_29-11-2012_10_'!P1745,"AAAAAD3P/eA=")</f>
        <v>#VALUE!</v>
      </c>
      <c r="HR116">
        <f>IF('Planilla_General_29-11-2012_10_'!1746:1746,"AAAAAD3P/eE=",0)</f>
        <v>0</v>
      </c>
      <c r="HS116" t="e">
        <f>AND('Planilla_General_29-11-2012_10_'!A1746,"AAAAAD3P/eI=")</f>
        <v>#VALUE!</v>
      </c>
      <c r="HT116" t="e">
        <f>AND('Planilla_General_29-11-2012_10_'!B1746,"AAAAAD3P/eM=")</f>
        <v>#VALUE!</v>
      </c>
      <c r="HU116" t="e">
        <f>AND('Planilla_General_29-11-2012_10_'!C1746,"AAAAAD3P/eQ=")</f>
        <v>#VALUE!</v>
      </c>
      <c r="HV116" t="e">
        <f>AND('Planilla_General_29-11-2012_10_'!D1746,"AAAAAD3P/eU=")</f>
        <v>#VALUE!</v>
      </c>
      <c r="HW116" t="e">
        <f>AND('Planilla_General_29-11-2012_10_'!E1746,"AAAAAD3P/eY=")</f>
        <v>#VALUE!</v>
      </c>
      <c r="HX116" t="e">
        <f>AND('Planilla_General_29-11-2012_10_'!F1746,"AAAAAD3P/ec=")</f>
        <v>#VALUE!</v>
      </c>
      <c r="HY116" t="e">
        <f>AND('Planilla_General_29-11-2012_10_'!G1746,"AAAAAD3P/eg=")</f>
        <v>#VALUE!</v>
      </c>
      <c r="HZ116" t="e">
        <f>AND('Planilla_General_29-11-2012_10_'!H1746,"AAAAAD3P/ek=")</f>
        <v>#VALUE!</v>
      </c>
      <c r="IA116" t="e">
        <f>AND('Planilla_General_29-11-2012_10_'!I1746,"AAAAAD3P/eo=")</f>
        <v>#VALUE!</v>
      </c>
      <c r="IB116" t="e">
        <f>AND('Planilla_General_29-11-2012_10_'!J1746,"AAAAAD3P/es=")</f>
        <v>#VALUE!</v>
      </c>
      <c r="IC116" t="e">
        <f>AND('Planilla_General_29-11-2012_10_'!K1746,"AAAAAD3P/ew=")</f>
        <v>#VALUE!</v>
      </c>
      <c r="ID116" t="e">
        <f>AND('Planilla_General_29-11-2012_10_'!L1746,"AAAAAD3P/e0=")</f>
        <v>#VALUE!</v>
      </c>
      <c r="IE116" t="e">
        <f>AND('Planilla_General_29-11-2012_10_'!M1746,"AAAAAD3P/e4=")</f>
        <v>#VALUE!</v>
      </c>
      <c r="IF116" t="e">
        <f>AND('Planilla_General_29-11-2012_10_'!N1746,"AAAAAD3P/e8=")</f>
        <v>#VALUE!</v>
      </c>
      <c r="IG116" t="e">
        <f>AND('Planilla_General_29-11-2012_10_'!O1746,"AAAAAD3P/fA=")</f>
        <v>#VALUE!</v>
      </c>
      <c r="IH116" t="e">
        <f>AND('Planilla_General_29-11-2012_10_'!P1746,"AAAAAD3P/fE=")</f>
        <v>#VALUE!</v>
      </c>
      <c r="II116">
        <f>IF('Planilla_General_29-11-2012_10_'!1747:1747,"AAAAAD3P/fI=",0)</f>
        <v>0</v>
      </c>
      <c r="IJ116" t="e">
        <f>AND('Planilla_General_29-11-2012_10_'!A1747,"AAAAAD3P/fM=")</f>
        <v>#VALUE!</v>
      </c>
      <c r="IK116" t="e">
        <f>AND('Planilla_General_29-11-2012_10_'!B1747,"AAAAAD3P/fQ=")</f>
        <v>#VALUE!</v>
      </c>
      <c r="IL116" t="e">
        <f>AND('Planilla_General_29-11-2012_10_'!C1747,"AAAAAD3P/fU=")</f>
        <v>#VALUE!</v>
      </c>
      <c r="IM116" t="e">
        <f>AND('Planilla_General_29-11-2012_10_'!D1747,"AAAAAD3P/fY=")</f>
        <v>#VALUE!</v>
      </c>
      <c r="IN116" t="e">
        <f>AND('Planilla_General_29-11-2012_10_'!E1747,"AAAAAD3P/fc=")</f>
        <v>#VALUE!</v>
      </c>
      <c r="IO116" t="e">
        <f>AND('Planilla_General_29-11-2012_10_'!F1747,"AAAAAD3P/fg=")</f>
        <v>#VALUE!</v>
      </c>
      <c r="IP116" t="e">
        <f>AND('Planilla_General_29-11-2012_10_'!G1747,"AAAAAD3P/fk=")</f>
        <v>#VALUE!</v>
      </c>
      <c r="IQ116" t="e">
        <f>AND('Planilla_General_29-11-2012_10_'!H1747,"AAAAAD3P/fo=")</f>
        <v>#VALUE!</v>
      </c>
      <c r="IR116" t="e">
        <f>AND('Planilla_General_29-11-2012_10_'!I1747,"AAAAAD3P/fs=")</f>
        <v>#VALUE!</v>
      </c>
      <c r="IS116" t="e">
        <f>AND('Planilla_General_29-11-2012_10_'!J1747,"AAAAAD3P/fw=")</f>
        <v>#VALUE!</v>
      </c>
      <c r="IT116" t="e">
        <f>AND('Planilla_General_29-11-2012_10_'!K1747,"AAAAAD3P/f0=")</f>
        <v>#VALUE!</v>
      </c>
      <c r="IU116" t="e">
        <f>AND('Planilla_General_29-11-2012_10_'!L1747,"AAAAAD3P/f4=")</f>
        <v>#VALUE!</v>
      </c>
      <c r="IV116" t="e">
        <f>AND('Planilla_General_29-11-2012_10_'!M1747,"AAAAAD3P/f8=")</f>
        <v>#VALUE!</v>
      </c>
    </row>
    <row r="117" spans="1:256" x14ac:dyDescent="0.25">
      <c r="A117" t="e">
        <f>AND('Planilla_General_29-11-2012_10_'!N1747,"AAAAAD3v3QA=")</f>
        <v>#VALUE!</v>
      </c>
      <c r="B117" t="e">
        <f>AND('Planilla_General_29-11-2012_10_'!O1747,"AAAAAD3v3QE=")</f>
        <v>#VALUE!</v>
      </c>
      <c r="C117" t="e">
        <f>AND('Planilla_General_29-11-2012_10_'!P1747,"AAAAAD3v3QI=")</f>
        <v>#VALUE!</v>
      </c>
      <c r="D117" t="e">
        <f>IF('Planilla_General_29-11-2012_10_'!1748:1748,"AAAAAD3v3QM=",0)</f>
        <v>#VALUE!</v>
      </c>
      <c r="E117" t="e">
        <f>AND('Planilla_General_29-11-2012_10_'!A1748,"AAAAAD3v3QQ=")</f>
        <v>#VALUE!</v>
      </c>
      <c r="F117" t="e">
        <f>AND('Planilla_General_29-11-2012_10_'!B1748,"AAAAAD3v3QU=")</f>
        <v>#VALUE!</v>
      </c>
      <c r="G117" t="e">
        <f>AND('Planilla_General_29-11-2012_10_'!C1748,"AAAAAD3v3QY=")</f>
        <v>#VALUE!</v>
      </c>
      <c r="H117" t="e">
        <f>AND('Planilla_General_29-11-2012_10_'!D1748,"AAAAAD3v3Qc=")</f>
        <v>#VALUE!</v>
      </c>
      <c r="I117" t="e">
        <f>AND('Planilla_General_29-11-2012_10_'!E1748,"AAAAAD3v3Qg=")</f>
        <v>#VALUE!</v>
      </c>
      <c r="J117" t="e">
        <f>AND('Planilla_General_29-11-2012_10_'!F1748,"AAAAAD3v3Qk=")</f>
        <v>#VALUE!</v>
      </c>
      <c r="K117" t="e">
        <f>AND('Planilla_General_29-11-2012_10_'!G1748,"AAAAAD3v3Qo=")</f>
        <v>#VALUE!</v>
      </c>
      <c r="L117" t="e">
        <f>AND('Planilla_General_29-11-2012_10_'!H1748,"AAAAAD3v3Qs=")</f>
        <v>#VALUE!</v>
      </c>
      <c r="M117" t="e">
        <f>AND('Planilla_General_29-11-2012_10_'!I1748,"AAAAAD3v3Qw=")</f>
        <v>#VALUE!</v>
      </c>
      <c r="N117" t="e">
        <f>AND('Planilla_General_29-11-2012_10_'!J1748,"AAAAAD3v3Q0=")</f>
        <v>#VALUE!</v>
      </c>
      <c r="O117" t="e">
        <f>AND('Planilla_General_29-11-2012_10_'!K1748,"AAAAAD3v3Q4=")</f>
        <v>#VALUE!</v>
      </c>
      <c r="P117" t="e">
        <f>AND('Planilla_General_29-11-2012_10_'!L1748,"AAAAAD3v3Q8=")</f>
        <v>#VALUE!</v>
      </c>
      <c r="Q117" t="e">
        <f>AND('Planilla_General_29-11-2012_10_'!M1748,"AAAAAD3v3RA=")</f>
        <v>#VALUE!</v>
      </c>
      <c r="R117" t="e">
        <f>AND('Planilla_General_29-11-2012_10_'!N1748,"AAAAAD3v3RE=")</f>
        <v>#VALUE!</v>
      </c>
      <c r="S117" t="e">
        <f>AND('Planilla_General_29-11-2012_10_'!O1748,"AAAAAD3v3RI=")</f>
        <v>#VALUE!</v>
      </c>
      <c r="T117" t="e">
        <f>AND('Planilla_General_29-11-2012_10_'!P1748,"AAAAAD3v3RM=")</f>
        <v>#VALUE!</v>
      </c>
      <c r="U117">
        <f>IF('Planilla_General_29-11-2012_10_'!1749:1749,"AAAAAD3v3RQ=",0)</f>
        <v>0</v>
      </c>
      <c r="V117" t="e">
        <f>AND('Planilla_General_29-11-2012_10_'!A1749,"AAAAAD3v3RU=")</f>
        <v>#VALUE!</v>
      </c>
      <c r="W117" t="e">
        <f>AND('Planilla_General_29-11-2012_10_'!B1749,"AAAAAD3v3RY=")</f>
        <v>#VALUE!</v>
      </c>
      <c r="X117" t="e">
        <f>AND('Planilla_General_29-11-2012_10_'!C1749,"AAAAAD3v3Rc=")</f>
        <v>#VALUE!</v>
      </c>
      <c r="Y117" t="e">
        <f>AND('Planilla_General_29-11-2012_10_'!D1749,"AAAAAD3v3Rg=")</f>
        <v>#VALUE!</v>
      </c>
      <c r="Z117" t="e">
        <f>AND('Planilla_General_29-11-2012_10_'!E1749,"AAAAAD3v3Rk=")</f>
        <v>#VALUE!</v>
      </c>
      <c r="AA117" t="e">
        <f>AND('Planilla_General_29-11-2012_10_'!F1749,"AAAAAD3v3Ro=")</f>
        <v>#VALUE!</v>
      </c>
      <c r="AB117" t="e">
        <f>AND('Planilla_General_29-11-2012_10_'!G1749,"AAAAAD3v3Rs=")</f>
        <v>#VALUE!</v>
      </c>
      <c r="AC117" t="e">
        <f>AND('Planilla_General_29-11-2012_10_'!H1749,"AAAAAD3v3Rw=")</f>
        <v>#VALUE!</v>
      </c>
      <c r="AD117" t="e">
        <f>AND('Planilla_General_29-11-2012_10_'!I1749,"AAAAAD3v3R0=")</f>
        <v>#VALUE!</v>
      </c>
      <c r="AE117" t="e">
        <f>AND('Planilla_General_29-11-2012_10_'!J1749,"AAAAAD3v3R4=")</f>
        <v>#VALUE!</v>
      </c>
      <c r="AF117" t="e">
        <f>AND('Planilla_General_29-11-2012_10_'!K1749,"AAAAAD3v3R8=")</f>
        <v>#VALUE!</v>
      </c>
      <c r="AG117" t="e">
        <f>AND('Planilla_General_29-11-2012_10_'!L1749,"AAAAAD3v3SA=")</f>
        <v>#VALUE!</v>
      </c>
      <c r="AH117" t="e">
        <f>AND('Planilla_General_29-11-2012_10_'!M1749,"AAAAAD3v3SE=")</f>
        <v>#VALUE!</v>
      </c>
      <c r="AI117" t="e">
        <f>AND('Planilla_General_29-11-2012_10_'!N1749,"AAAAAD3v3SI=")</f>
        <v>#VALUE!</v>
      </c>
      <c r="AJ117" t="e">
        <f>AND('Planilla_General_29-11-2012_10_'!O1749,"AAAAAD3v3SM=")</f>
        <v>#VALUE!</v>
      </c>
      <c r="AK117" t="e">
        <f>AND('Planilla_General_29-11-2012_10_'!P1749,"AAAAAD3v3SQ=")</f>
        <v>#VALUE!</v>
      </c>
      <c r="AL117">
        <f>IF('Planilla_General_29-11-2012_10_'!1750:1750,"AAAAAD3v3SU=",0)</f>
        <v>0</v>
      </c>
      <c r="AM117" t="e">
        <f>AND('Planilla_General_29-11-2012_10_'!A1750,"AAAAAD3v3SY=")</f>
        <v>#VALUE!</v>
      </c>
      <c r="AN117" t="e">
        <f>AND('Planilla_General_29-11-2012_10_'!B1750,"AAAAAD3v3Sc=")</f>
        <v>#VALUE!</v>
      </c>
      <c r="AO117" t="e">
        <f>AND('Planilla_General_29-11-2012_10_'!C1750,"AAAAAD3v3Sg=")</f>
        <v>#VALUE!</v>
      </c>
      <c r="AP117" t="e">
        <f>AND('Planilla_General_29-11-2012_10_'!D1750,"AAAAAD3v3Sk=")</f>
        <v>#VALUE!</v>
      </c>
      <c r="AQ117" t="e">
        <f>AND('Planilla_General_29-11-2012_10_'!E1750,"AAAAAD3v3So=")</f>
        <v>#VALUE!</v>
      </c>
      <c r="AR117" t="e">
        <f>AND('Planilla_General_29-11-2012_10_'!F1750,"AAAAAD3v3Ss=")</f>
        <v>#VALUE!</v>
      </c>
      <c r="AS117" t="e">
        <f>AND('Planilla_General_29-11-2012_10_'!G1750,"AAAAAD3v3Sw=")</f>
        <v>#VALUE!</v>
      </c>
      <c r="AT117" t="e">
        <f>AND('Planilla_General_29-11-2012_10_'!H1750,"AAAAAD3v3S0=")</f>
        <v>#VALUE!</v>
      </c>
      <c r="AU117" t="e">
        <f>AND('Planilla_General_29-11-2012_10_'!I1750,"AAAAAD3v3S4=")</f>
        <v>#VALUE!</v>
      </c>
      <c r="AV117" t="e">
        <f>AND('Planilla_General_29-11-2012_10_'!J1750,"AAAAAD3v3S8=")</f>
        <v>#VALUE!</v>
      </c>
      <c r="AW117" t="e">
        <f>AND('Planilla_General_29-11-2012_10_'!K1750,"AAAAAD3v3TA=")</f>
        <v>#VALUE!</v>
      </c>
      <c r="AX117" t="e">
        <f>AND('Planilla_General_29-11-2012_10_'!L1750,"AAAAAD3v3TE=")</f>
        <v>#VALUE!</v>
      </c>
      <c r="AY117" t="e">
        <f>AND('Planilla_General_29-11-2012_10_'!M1750,"AAAAAD3v3TI=")</f>
        <v>#VALUE!</v>
      </c>
      <c r="AZ117" t="e">
        <f>AND('Planilla_General_29-11-2012_10_'!N1750,"AAAAAD3v3TM=")</f>
        <v>#VALUE!</v>
      </c>
      <c r="BA117" t="e">
        <f>AND('Planilla_General_29-11-2012_10_'!O1750,"AAAAAD3v3TQ=")</f>
        <v>#VALUE!</v>
      </c>
      <c r="BB117" t="e">
        <f>AND('Planilla_General_29-11-2012_10_'!P1750,"AAAAAD3v3TU=")</f>
        <v>#VALUE!</v>
      </c>
      <c r="BC117">
        <f>IF('Planilla_General_29-11-2012_10_'!1751:1751,"AAAAAD3v3TY=",0)</f>
        <v>0</v>
      </c>
      <c r="BD117" t="e">
        <f>AND('Planilla_General_29-11-2012_10_'!A1751,"AAAAAD3v3Tc=")</f>
        <v>#VALUE!</v>
      </c>
      <c r="BE117" t="e">
        <f>AND('Planilla_General_29-11-2012_10_'!B1751,"AAAAAD3v3Tg=")</f>
        <v>#VALUE!</v>
      </c>
      <c r="BF117" t="e">
        <f>AND('Planilla_General_29-11-2012_10_'!C1751,"AAAAAD3v3Tk=")</f>
        <v>#VALUE!</v>
      </c>
      <c r="BG117" t="e">
        <f>AND('Planilla_General_29-11-2012_10_'!D1751,"AAAAAD3v3To=")</f>
        <v>#VALUE!</v>
      </c>
      <c r="BH117" t="e">
        <f>AND('Planilla_General_29-11-2012_10_'!E1751,"AAAAAD3v3Ts=")</f>
        <v>#VALUE!</v>
      </c>
      <c r="BI117" t="e">
        <f>AND('Planilla_General_29-11-2012_10_'!F1751,"AAAAAD3v3Tw=")</f>
        <v>#VALUE!</v>
      </c>
      <c r="BJ117" t="e">
        <f>AND('Planilla_General_29-11-2012_10_'!G1751,"AAAAAD3v3T0=")</f>
        <v>#VALUE!</v>
      </c>
      <c r="BK117" t="e">
        <f>AND('Planilla_General_29-11-2012_10_'!H1751,"AAAAAD3v3T4=")</f>
        <v>#VALUE!</v>
      </c>
      <c r="BL117" t="e">
        <f>AND('Planilla_General_29-11-2012_10_'!I1751,"AAAAAD3v3T8=")</f>
        <v>#VALUE!</v>
      </c>
      <c r="BM117" t="e">
        <f>AND('Planilla_General_29-11-2012_10_'!J1751,"AAAAAD3v3UA=")</f>
        <v>#VALUE!</v>
      </c>
      <c r="BN117" t="e">
        <f>AND('Planilla_General_29-11-2012_10_'!K1751,"AAAAAD3v3UE=")</f>
        <v>#VALUE!</v>
      </c>
      <c r="BO117" t="e">
        <f>AND('Planilla_General_29-11-2012_10_'!L1751,"AAAAAD3v3UI=")</f>
        <v>#VALUE!</v>
      </c>
      <c r="BP117" t="e">
        <f>AND('Planilla_General_29-11-2012_10_'!M1751,"AAAAAD3v3UM=")</f>
        <v>#VALUE!</v>
      </c>
      <c r="BQ117" t="e">
        <f>AND('Planilla_General_29-11-2012_10_'!N1751,"AAAAAD3v3UQ=")</f>
        <v>#VALUE!</v>
      </c>
      <c r="BR117" t="e">
        <f>AND('Planilla_General_29-11-2012_10_'!O1751,"AAAAAD3v3UU=")</f>
        <v>#VALUE!</v>
      </c>
      <c r="BS117" t="e">
        <f>AND('Planilla_General_29-11-2012_10_'!P1751,"AAAAAD3v3UY=")</f>
        <v>#VALUE!</v>
      </c>
      <c r="BT117">
        <f>IF('Planilla_General_29-11-2012_10_'!1752:1752,"AAAAAD3v3Uc=",0)</f>
        <v>0</v>
      </c>
      <c r="BU117" t="e">
        <f>AND('Planilla_General_29-11-2012_10_'!A1752,"AAAAAD3v3Ug=")</f>
        <v>#VALUE!</v>
      </c>
      <c r="BV117" t="e">
        <f>AND('Planilla_General_29-11-2012_10_'!B1752,"AAAAAD3v3Uk=")</f>
        <v>#VALUE!</v>
      </c>
      <c r="BW117" t="e">
        <f>AND('Planilla_General_29-11-2012_10_'!C1752,"AAAAAD3v3Uo=")</f>
        <v>#VALUE!</v>
      </c>
      <c r="BX117" t="e">
        <f>AND('Planilla_General_29-11-2012_10_'!D1752,"AAAAAD3v3Us=")</f>
        <v>#VALUE!</v>
      </c>
      <c r="BY117" t="e">
        <f>AND('Planilla_General_29-11-2012_10_'!E1752,"AAAAAD3v3Uw=")</f>
        <v>#VALUE!</v>
      </c>
      <c r="BZ117" t="e">
        <f>AND('Planilla_General_29-11-2012_10_'!F1752,"AAAAAD3v3U0=")</f>
        <v>#VALUE!</v>
      </c>
      <c r="CA117" t="e">
        <f>AND('Planilla_General_29-11-2012_10_'!G1752,"AAAAAD3v3U4=")</f>
        <v>#VALUE!</v>
      </c>
      <c r="CB117" t="e">
        <f>AND('Planilla_General_29-11-2012_10_'!H1752,"AAAAAD3v3U8=")</f>
        <v>#VALUE!</v>
      </c>
      <c r="CC117" t="e">
        <f>AND('Planilla_General_29-11-2012_10_'!I1752,"AAAAAD3v3VA=")</f>
        <v>#VALUE!</v>
      </c>
      <c r="CD117" t="e">
        <f>AND('Planilla_General_29-11-2012_10_'!J1752,"AAAAAD3v3VE=")</f>
        <v>#VALUE!</v>
      </c>
      <c r="CE117" t="e">
        <f>AND('Planilla_General_29-11-2012_10_'!K1752,"AAAAAD3v3VI=")</f>
        <v>#VALUE!</v>
      </c>
      <c r="CF117" t="e">
        <f>AND('Planilla_General_29-11-2012_10_'!L1752,"AAAAAD3v3VM=")</f>
        <v>#VALUE!</v>
      </c>
      <c r="CG117" t="e">
        <f>AND('Planilla_General_29-11-2012_10_'!M1752,"AAAAAD3v3VQ=")</f>
        <v>#VALUE!</v>
      </c>
      <c r="CH117" t="e">
        <f>AND('Planilla_General_29-11-2012_10_'!N1752,"AAAAAD3v3VU=")</f>
        <v>#VALUE!</v>
      </c>
      <c r="CI117" t="e">
        <f>AND('Planilla_General_29-11-2012_10_'!O1752,"AAAAAD3v3VY=")</f>
        <v>#VALUE!</v>
      </c>
      <c r="CJ117" t="e">
        <f>AND('Planilla_General_29-11-2012_10_'!P1752,"AAAAAD3v3Vc=")</f>
        <v>#VALUE!</v>
      </c>
      <c r="CK117">
        <f>IF('Planilla_General_29-11-2012_10_'!1753:1753,"AAAAAD3v3Vg=",0)</f>
        <v>0</v>
      </c>
      <c r="CL117" t="e">
        <f>AND('Planilla_General_29-11-2012_10_'!A1753,"AAAAAD3v3Vk=")</f>
        <v>#VALUE!</v>
      </c>
      <c r="CM117" t="e">
        <f>AND('Planilla_General_29-11-2012_10_'!B1753,"AAAAAD3v3Vo=")</f>
        <v>#VALUE!</v>
      </c>
      <c r="CN117" t="e">
        <f>AND('Planilla_General_29-11-2012_10_'!C1753,"AAAAAD3v3Vs=")</f>
        <v>#VALUE!</v>
      </c>
      <c r="CO117" t="e">
        <f>AND('Planilla_General_29-11-2012_10_'!D1753,"AAAAAD3v3Vw=")</f>
        <v>#VALUE!</v>
      </c>
      <c r="CP117" t="e">
        <f>AND('Planilla_General_29-11-2012_10_'!E1753,"AAAAAD3v3V0=")</f>
        <v>#VALUE!</v>
      </c>
      <c r="CQ117" t="e">
        <f>AND('Planilla_General_29-11-2012_10_'!F1753,"AAAAAD3v3V4=")</f>
        <v>#VALUE!</v>
      </c>
      <c r="CR117" t="e">
        <f>AND('Planilla_General_29-11-2012_10_'!G1753,"AAAAAD3v3V8=")</f>
        <v>#VALUE!</v>
      </c>
      <c r="CS117" t="e">
        <f>AND('Planilla_General_29-11-2012_10_'!H1753,"AAAAAD3v3WA=")</f>
        <v>#VALUE!</v>
      </c>
      <c r="CT117" t="e">
        <f>AND('Planilla_General_29-11-2012_10_'!I1753,"AAAAAD3v3WE=")</f>
        <v>#VALUE!</v>
      </c>
      <c r="CU117" t="e">
        <f>AND('Planilla_General_29-11-2012_10_'!J1753,"AAAAAD3v3WI=")</f>
        <v>#VALUE!</v>
      </c>
      <c r="CV117" t="e">
        <f>AND('Planilla_General_29-11-2012_10_'!K1753,"AAAAAD3v3WM=")</f>
        <v>#VALUE!</v>
      </c>
      <c r="CW117" t="e">
        <f>AND('Planilla_General_29-11-2012_10_'!L1753,"AAAAAD3v3WQ=")</f>
        <v>#VALUE!</v>
      </c>
      <c r="CX117" t="e">
        <f>AND('Planilla_General_29-11-2012_10_'!M1753,"AAAAAD3v3WU=")</f>
        <v>#VALUE!</v>
      </c>
      <c r="CY117" t="e">
        <f>AND('Planilla_General_29-11-2012_10_'!N1753,"AAAAAD3v3WY=")</f>
        <v>#VALUE!</v>
      </c>
      <c r="CZ117" t="e">
        <f>AND('Planilla_General_29-11-2012_10_'!O1753,"AAAAAD3v3Wc=")</f>
        <v>#VALUE!</v>
      </c>
      <c r="DA117" t="e">
        <f>AND('Planilla_General_29-11-2012_10_'!P1753,"AAAAAD3v3Wg=")</f>
        <v>#VALUE!</v>
      </c>
      <c r="DB117">
        <f>IF('Planilla_General_29-11-2012_10_'!1754:1754,"AAAAAD3v3Wk=",0)</f>
        <v>0</v>
      </c>
      <c r="DC117" t="e">
        <f>AND('Planilla_General_29-11-2012_10_'!A1754,"AAAAAD3v3Wo=")</f>
        <v>#VALUE!</v>
      </c>
      <c r="DD117" t="e">
        <f>AND('Planilla_General_29-11-2012_10_'!B1754,"AAAAAD3v3Ws=")</f>
        <v>#VALUE!</v>
      </c>
      <c r="DE117" t="e">
        <f>AND('Planilla_General_29-11-2012_10_'!C1754,"AAAAAD3v3Ww=")</f>
        <v>#VALUE!</v>
      </c>
      <c r="DF117" t="e">
        <f>AND('Planilla_General_29-11-2012_10_'!D1754,"AAAAAD3v3W0=")</f>
        <v>#VALUE!</v>
      </c>
      <c r="DG117" t="e">
        <f>AND('Planilla_General_29-11-2012_10_'!E1754,"AAAAAD3v3W4=")</f>
        <v>#VALUE!</v>
      </c>
      <c r="DH117" t="e">
        <f>AND('Planilla_General_29-11-2012_10_'!F1754,"AAAAAD3v3W8=")</f>
        <v>#VALUE!</v>
      </c>
      <c r="DI117" t="e">
        <f>AND('Planilla_General_29-11-2012_10_'!G1754,"AAAAAD3v3XA=")</f>
        <v>#VALUE!</v>
      </c>
      <c r="DJ117" t="e">
        <f>AND('Planilla_General_29-11-2012_10_'!H1754,"AAAAAD3v3XE=")</f>
        <v>#VALUE!</v>
      </c>
      <c r="DK117" t="e">
        <f>AND('Planilla_General_29-11-2012_10_'!I1754,"AAAAAD3v3XI=")</f>
        <v>#VALUE!</v>
      </c>
      <c r="DL117" t="e">
        <f>AND('Planilla_General_29-11-2012_10_'!J1754,"AAAAAD3v3XM=")</f>
        <v>#VALUE!</v>
      </c>
      <c r="DM117" t="e">
        <f>AND('Planilla_General_29-11-2012_10_'!K1754,"AAAAAD3v3XQ=")</f>
        <v>#VALUE!</v>
      </c>
      <c r="DN117" t="e">
        <f>AND('Planilla_General_29-11-2012_10_'!L1754,"AAAAAD3v3XU=")</f>
        <v>#VALUE!</v>
      </c>
      <c r="DO117" t="e">
        <f>AND('Planilla_General_29-11-2012_10_'!M1754,"AAAAAD3v3XY=")</f>
        <v>#VALUE!</v>
      </c>
      <c r="DP117" t="e">
        <f>AND('Planilla_General_29-11-2012_10_'!N1754,"AAAAAD3v3Xc=")</f>
        <v>#VALUE!</v>
      </c>
      <c r="DQ117" t="e">
        <f>AND('Planilla_General_29-11-2012_10_'!O1754,"AAAAAD3v3Xg=")</f>
        <v>#VALUE!</v>
      </c>
      <c r="DR117" t="e">
        <f>AND('Planilla_General_29-11-2012_10_'!P1754,"AAAAAD3v3Xk=")</f>
        <v>#VALUE!</v>
      </c>
      <c r="DS117">
        <f>IF('Planilla_General_29-11-2012_10_'!1755:1755,"AAAAAD3v3Xo=",0)</f>
        <v>0</v>
      </c>
      <c r="DT117" t="e">
        <f>AND('Planilla_General_29-11-2012_10_'!A1755,"AAAAAD3v3Xs=")</f>
        <v>#VALUE!</v>
      </c>
      <c r="DU117" t="e">
        <f>AND('Planilla_General_29-11-2012_10_'!B1755,"AAAAAD3v3Xw=")</f>
        <v>#VALUE!</v>
      </c>
      <c r="DV117" t="e">
        <f>AND('Planilla_General_29-11-2012_10_'!C1755,"AAAAAD3v3X0=")</f>
        <v>#VALUE!</v>
      </c>
      <c r="DW117" t="e">
        <f>AND('Planilla_General_29-11-2012_10_'!D1755,"AAAAAD3v3X4=")</f>
        <v>#VALUE!</v>
      </c>
      <c r="DX117" t="e">
        <f>AND('Planilla_General_29-11-2012_10_'!E1755,"AAAAAD3v3X8=")</f>
        <v>#VALUE!</v>
      </c>
      <c r="DY117" t="e">
        <f>AND('Planilla_General_29-11-2012_10_'!F1755,"AAAAAD3v3YA=")</f>
        <v>#VALUE!</v>
      </c>
      <c r="DZ117" t="e">
        <f>AND('Planilla_General_29-11-2012_10_'!G1755,"AAAAAD3v3YE=")</f>
        <v>#VALUE!</v>
      </c>
      <c r="EA117" t="e">
        <f>AND('Planilla_General_29-11-2012_10_'!H1755,"AAAAAD3v3YI=")</f>
        <v>#VALUE!</v>
      </c>
      <c r="EB117" t="e">
        <f>AND('Planilla_General_29-11-2012_10_'!I1755,"AAAAAD3v3YM=")</f>
        <v>#VALUE!</v>
      </c>
      <c r="EC117" t="e">
        <f>AND('Planilla_General_29-11-2012_10_'!J1755,"AAAAAD3v3YQ=")</f>
        <v>#VALUE!</v>
      </c>
      <c r="ED117" t="e">
        <f>AND('Planilla_General_29-11-2012_10_'!K1755,"AAAAAD3v3YU=")</f>
        <v>#VALUE!</v>
      </c>
      <c r="EE117" t="e">
        <f>AND('Planilla_General_29-11-2012_10_'!L1755,"AAAAAD3v3YY=")</f>
        <v>#VALUE!</v>
      </c>
      <c r="EF117" t="e">
        <f>AND('Planilla_General_29-11-2012_10_'!M1755,"AAAAAD3v3Yc=")</f>
        <v>#VALUE!</v>
      </c>
      <c r="EG117" t="e">
        <f>AND('Planilla_General_29-11-2012_10_'!N1755,"AAAAAD3v3Yg=")</f>
        <v>#VALUE!</v>
      </c>
      <c r="EH117" t="e">
        <f>AND('Planilla_General_29-11-2012_10_'!O1755,"AAAAAD3v3Yk=")</f>
        <v>#VALUE!</v>
      </c>
      <c r="EI117" t="e">
        <f>AND('Planilla_General_29-11-2012_10_'!P1755,"AAAAAD3v3Yo=")</f>
        <v>#VALUE!</v>
      </c>
      <c r="EJ117">
        <f>IF('Planilla_General_29-11-2012_10_'!1756:1756,"AAAAAD3v3Ys=",0)</f>
        <v>0</v>
      </c>
      <c r="EK117" t="e">
        <f>AND('Planilla_General_29-11-2012_10_'!A1756,"AAAAAD3v3Yw=")</f>
        <v>#VALUE!</v>
      </c>
      <c r="EL117" t="e">
        <f>AND('Planilla_General_29-11-2012_10_'!B1756,"AAAAAD3v3Y0=")</f>
        <v>#VALUE!</v>
      </c>
      <c r="EM117" t="e">
        <f>AND('Planilla_General_29-11-2012_10_'!C1756,"AAAAAD3v3Y4=")</f>
        <v>#VALUE!</v>
      </c>
      <c r="EN117" t="e">
        <f>AND('Planilla_General_29-11-2012_10_'!D1756,"AAAAAD3v3Y8=")</f>
        <v>#VALUE!</v>
      </c>
      <c r="EO117" t="e">
        <f>AND('Planilla_General_29-11-2012_10_'!E1756,"AAAAAD3v3ZA=")</f>
        <v>#VALUE!</v>
      </c>
      <c r="EP117" t="e">
        <f>AND('Planilla_General_29-11-2012_10_'!F1756,"AAAAAD3v3ZE=")</f>
        <v>#VALUE!</v>
      </c>
      <c r="EQ117" t="e">
        <f>AND('Planilla_General_29-11-2012_10_'!G1756,"AAAAAD3v3ZI=")</f>
        <v>#VALUE!</v>
      </c>
      <c r="ER117" t="e">
        <f>AND('Planilla_General_29-11-2012_10_'!H1756,"AAAAAD3v3ZM=")</f>
        <v>#VALUE!</v>
      </c>
      <c r="ES117" t="e">
        <f>AND('Planilla_General_29-11-2012_10_'!I1756,"AAAAAD3v3ZQ=")</f>
        <v>#VALUE!</v>
      </c>
      <c r="ET117" t="e">
        <f>AND('Planilla_General_29-11-2012_10_'!J1756,"AAAAAD3v3ZU=")</f>
        <v>#VALUE!</v>
      </c>
      <c r="EU117" t="e">
        <f>AND('Planilla_General_29-11-2012_10_'!K1756,"AAAAAD3v3ZY=")</f>
        <v>#VALUE!</v>
      </c>
      <c r="EV117" t="e">
        <f>AND('Planilla_General_29-11-2012_10_'!L1756,"AAAAAD3v3Zc=")</f>
        <v>#VALUE!</v>
      </c>
      <c r="EW117" t="e">
        <f>AND('Planilla_General_29-11-2012_10_'!M1756,"AAAAAD3v3Zg=")</f>
        <v>#VALUE!</v>
      </c>
      <c r="EX117" t="e">
        <f>AND('Planilla_General_29-11-2012_10_'!N1756,"AAAAAD3v3Zk=")</f>
        <v>#VALUE!</v>
      </c>
      <c r="EY117" t="e">
        <f>AND('Planilla_General_29-11-2012_10_'!O1756,"AAAAAD3v3Zo=")</f>
        <v>#VALUE!</v>
      </c>
      <c r="EZ117" t="e">
        <f>AND('Planilla_General_29-11-2012_10_'!P1756,"AAAAAD3v3Zs=")</f>
        <v>#VALUE!</v>
      </c>
      <c r="FA117">
        <f>IF('Planilla_General_29-11-2012_10_'!1757:1757,"AAAAAD3v3Zw=",0)</f>
        <v>0</v>
      </c>
      <c r="FB117" t="e">
        <f>AND('Planilla_General_29-11-2012_10_'!A1757,"AAAAAD3v3Z0=")</f>
        <v>#VALUE!</v>
      </c>
      <c r="FC117" t="e">
        <f>AND('Planilla_General_29-11-2012_10_'!B1757,"AAAAAD3v3Z4=")</f>
        <v>#VALUE!</v>
      </c>
      <c r="FD117" t="e">
        <f>AND('Planilla_General_29-11-2012_10_'!C1757,"AAAAAD3v3Z8=")</f>
        <v>#VALUE!</v>
      </c>
      <c r="FE117" t="e">
        <f>AND('Planilla_General_29-11-2012_10_'!D1757,"AAAAAD3v3aA=")</f>
        <v>#VALUE!</v>
      </c>
      <c r="FF117" t="e">
        <f>AND('Planilla_General_29-11-2012_10_'!E1757,"AAAAAD3v3aE=")</f>
        <v>#VALUE!</v>
      </c>
      <c r="FG117" t="e">
        <f>AND('Planilla_General_29-11-2012_10_'!F1757,"AAAAAD3v3aI=")</f>
        <v>#VALUE!</v>
      </c>
      <c r="FH117" t="e">
        <f>AND('Planilla_General_29-11-2012_10_'!G1757,"AAAAAD3v3aM=")</f>
        <v>#VALUE!</v>
      </c>
      <c r="FI117" t="e">
        <f>AND('Planilla_General_29-11-2012_10_'!H1757,"AAAAAD3v3aQ=")</f>
        <v>#VALUE!</v>
      </c>
      <c r="FJ117" t="e">
        <f>AND('Planilla_General_29-11-2012_10_'!I1757,"AAAAAD3v3aU=")</f>
        <v>#VALUE!</v>
      </c>
      <c r="FK117" t="e">
        <f>AND('Planilla_General_29-11-2012_10_'!J1757,"AAAAAD3v3aY=")</f>
        <v>#VALUE!</v>
      </c>
      <c r="FL117" t="e">
        <f>AND('Planilla_General_29-11-2012_10_'!K1757,"AAAAAD3v3ac=")</f>
        <v>#VALUE!</v>
      </c>
      <c r="FM117" t="e">
        <f>AND('Planilla_General_29-11-2012_10_'!L1757,"AAAAAD3v3ag=")</f>
        <v>#VALUE!</v>
      </c>
      <c r="FN117" t="e">
        <f>AND('Planilla_General_29-11-2012_10_'!M1757,"AAAAAD3v3ak=")</f>
        <v>#VALUE!</v>
      </c>
      <c r="FO117" t="e">
        <f>AND('Planilla_General_29-11-2012_10_'!N1757,"AAAAAD3v3ao=")</f>
        <v>#VALUE!</v>
      </c>
      <c r="FP117" t="e">
        <f>AND('Planilla_General_29-11-2012_10_'!O1757,"AAAAAD3v3as=")</f>
        <v>#VALUE!</v>
      </c>
      <c r="FQ117" t="e">
        <f>AND('Planilla_General_29-11-2012_10_'!P1757,"AAAAAD3v3aw=")</f>
        <v>#VALUE!</v>
      </c>
      <c r="FR117">
        <f>IF('Planilla_General_29-11-2012_10_'!1758:1758,"AAAAAD3v3a0=",0)</f>
        <v>0</v>
      </c>
      <c r="FS117" t="e">
        <f>AND('Planilla_General_29-11-2012_10_'!A1758,"AAAAAD3v3a4=")</f>
        <v>#VALUE!</v>
      </c>
      <c r="FT117" t="e">
        <f>AND('Planilla_General_29-11-2012_10_'!B1758,"AAAAAD3v3a8=")</f>
        <v>#VALUE!</v>
      </c>
      <c r="FU117" t="e">
        <f>AND('Planilla_General_29-11-2012_10_'!C1758,"AAAAAD3v3bA=")</f>
        <v>#VALUE!</v>
      </c>
      <c r="FV117" t="e">
        <f>AND('Planilla_General_29-11-2012_10_'!D1758,"AAAAAD3v3bE=")</f>
        <v>#VALUE!</v>
      </c>
      <c r="FW117" t="e">
        <f>AND('Planilla_General_29-11-2012_10_'!E1758,"AAAAAD3v3bI=")</f>
        <v>#VALUE!</v>
      </c>
      <c r="FX117" t="e">
        <f>AND('Planilla_General_29-11-2012_10_'!F1758,"AAAAAD3v3bM=")</f>
        <v>#VALUE!</v>
      </c>
      <c r="FY117" t="e">
        <f>AND('Planilla_General_29-11-2012_10_'!G1758,"AAAAAD3v3bQ=")</f>
        <v>#VALUE!</v>
      </c>
      <c r="FZ117" t="e">
        <f>AND('Planilla_General_29-11-2012_10_'!H1758,"AAAAAD3v3bU=")</f>
        <v>#VALUE!</v>
      </c>
      <c r="GA117" t="e">
        <f>AND('Planilla_General_29-11-2012_10_'!I1758,"AAAAAD3v3bY=")</f>
        <v>#VALUE!</v>
      </c>
      <c r="GB117" t="e">
        <f>AND('Planilla_General_29-11-2012_10_'!J1758,"AAAAAD3v3bc=")</f>
        <v>#VALUE!</v>
      </c>
      <c r="GC117" t="e">
        <f>AND('Planilla_General_29-11-2012_10_'!K1758,"AAAAAD3v3bg=")</f>
        <v>#VALUE!</v>
      </c>
      <c r="GD117" t="e">
        <f>AND('Planilla_General_29-11-2012_10_'!L1758,"AAAAAD3v3bk=")</f>
        <v>#VALUE!</v>
      </c>
      <c r="GE117" t="e">
        <f>AND('Planilla_General_29-11-2012_10_'!M1758,"AAAAAD3v3bo=")</f>
        <v>#VALUE!</v>
      </c>
      <c r="GF117" t="e">
        <f>AND('Planilla_General_29-11-2012_10_'!N1758,"AAAAAD3v3bs=")</f>
        <v>#VALUE!</v>
      </c>
      <c r="GG117" t="e">
        <f>AND('Planilla_General_29-11-2012_10_'!O1758,"AAAAAD3v3bw=")</f>
        <v>#VALUE!</v>
      </c>
      <c r="GH117" t="e">
        <f>AND('Planilla_General_29-11-2012_10_'!P1758,"AAAAAD3v3b0=")</f>
        <v>#VALUE!</v>
      </c>
      <c r="GI117">
        <f>IF('Planilla_General_29-11-2012_10_'!1759:1759,"AAAAAD3v3b4=",0)</f>
        <v>0</v>
      </c>
      <c r="GJ117" t="e">
        <f>AND('Planilla_General_29-11-2012_10_'!A1759,"AAAAAD3v3b8=")</f>
        <v>#VALUE!</v>
      </c>
      <c r="GK117" t="e">
        <f>AND('Planilla_General_29-11-2012_10_'!B1759,"AAAAAD3v3cA=")</f>
        <v>#VALUE!</v>
      </c>
      <c r="GL117" t="e">
        <f>AND('Planilla_General_29-11-2012_10_'!C1759,"AAAAAD3v3cE=")</f>
        <v>#VALUE!</v>
      </c>
      <c r="GM117" t="e">
        <f>AND('Planilla_General_29-11-2012_10_'!D1759,"AAAAAD3v3cI=")</f>
        <v>#VALUE!</v>
      </c>
      <c r="GN117" t="e">
        <f>AND('Planilla_General_29-11-2012_10_'!E1759,"AAAAAD3v3cM=")</f>
        <v>#VALUE!</v>
      </c>
      <c r="GO117" t="e">
        <f>AND('Planilla_General_29-11-2012_10_'!F1759,"AAAAAD3v3cQ=")</f>
        <v>#VALUE!</v>
      </c>
      <c r="GP117" t="e">
        <f>AND('Planilla_General_29-11-2012_10_'!G1759,"AAAAAD3v3cU=")</f>
        <v>#VALUE!</v>
      </c>
      <c r="GQ117" t="e">
        <f>AND('Planilla_General_29-11-2012_10_'!H1759,"AAAAAD3v3cY=")</f>
        <v>#VALUE!</v>
      </c>
      <c r="GR117" t="e">
        <f>AND('Planilla_General_29-11-2012_10_'!I1759,"AAAAAD3v3cc=")</f>
        <v>#VALUE!</v>
      </c>
      <c r="GS117" t="e">
        <f>AND('Planilla_General_29-11-2012_10_'!J1759,"AAAAAD3v3cg=")</f>
        <v>#VALUE!</v>
      </c>
      <c r="GT117" t="e">
        <f>AND('Planilla_General_29-11-2012_10_'!K1759,"AAAAAD3v3ck=")</f>
        <v>#VALUE!</v>
      </c>
      <c r="GU117" t="e">
        <f>AND('Planilla_General_29-11-2012_10_'!L1759,"AAAAAD3v3co=")</f>
        <v>#VALUE!</v>
      </c>
      <c r="GV117" t="e">
        <f>AND('Planilla_General_29-11-2012_10_'!M1759,"AAAAAD3v3cs=")</f>
        <v>#VALUE!</v>
      </c>
      <c r="GW117" t="e">
        <f>AND('Planilla_General_29-11-2012_10_'!N1759,"AAAAAD3v3cw=")</f>
        <v>#VALUE!</v>
      </c>
      <c r="GX117" t="e">
        <f>AND('Planilla_General_29-11-2012_10_'!O1759,"AAAAAD3v3c0=")</f>
        <v>#VALUE!</v>
      </c>
      <c r="GY117" t="e">
        <f>AND('Planilla_General_29-11-2012_10_'!P1759,"AAAAAD3v3c4=")</f>
        <v>#VALUE!</v>
      </c>
      <c r="GZ117">
        <f>IF('Planilla_General_29-11-2012_10_'!1760:1760,"AAAAAD3v3c8=",0)</f>
        <v>0</v>
      </c>
      <c r="HA117" t="e">
        <f>AND('Planilla_General_29-11-2012_10_'!A1760,"AAAAAD3v3dA=")</f>
        <v>#VALUE!</v>
      </c>
      <c r="HB117" t="e">
        <f>AND('Planilla_General_29-11-2012_10_'!B1760,"AAAAAD3v3dE=")</f>
        <v>#VALUE!</v>
      </c>
      <c r="HC117" t="e">
        <f>AND('Planilla_General_29-11-2012_10_'!C1760,"AAAAAD3v3dI=")</f>
        <v>#VALUE!</v>
      </c>
      <c r="HD117" t="e">
        <f>AND('Planilla_General_29-11-2012_10_'!D1760,"AAAAAD3v3dM=")</f>
        <v>#VALUE!</v>
      </c>
      <c r="HE117" t="e">
        <f>AND('Planilla_General_29-11-2012_10_'!E1760,"AAAAAD3v3dQ=")</f>
        <v>#VALUE!</v>
      </c>
      <c r="HF117" t="e">
        <f>AND('Planilla_General_29-11-2012_10_'!F1760,"AAAAAD3v3dU=")</f>
        <v>#VALUE!</v>
      </c>
      <c r="HG117" t="e">
        <f>AND('Planilla_General_29-11-2012_10_'!G1760,"AAAAAD3v3dY=")</f>
        <v>#VALUE!</v>
      </c>
      <c r="HH117" t="e">
        <f>AND('Planilla_General_29-11-2012_10_'!H1760,"AAAAAD3v3dc=")</f>
        <v>#VALUE!</v>
      </c>
      <c r="HI117" t="e">
        <f>AND('Planilla_General_29-11-2012_10_'!I1760,"AAAAAD3v3dg=")</f>
        <v>#VALUE!</v>
      </c>
      <c r="HJ117" t="e">
        <f>AND('Planilla_General_29-11-2012_10_'!J1760,"AAAAAD3v3dk=")</f>
        <v>#VALUE!</v>
      </c>
      <c r="HK117" t="e">
        <f>AND('Planilla_General_29-11-2012_10_'!K1760,"AAAAAD3v3do=")</f>
        <v>#VALUE!</v>
      </c>
      <c r="HL117" t="e">
        <f>AND('Planilla_General_29-11-2012_10_'!L1760,"AAAAAD3v3ds=")</f>
        <v>#VALUE!</v>
      </c>
      <c r="HM117" t="e">
        <f>AND('Planilla_General_29-11-2012_10_'!M1760,"AAAAAD3v3dw=")</f>
        <v>#VALUE!</v>
      </c>
      <c r="HN117" t="e">
        <f>AND('Planilla_General_29-11-2012_10_'!N1760,"AAAAAD3v3d0=")</f>
        <v>#VALUE!</v>
      </c>
      <c r="HO117" t="e">
        <f>AND('Planilla_General_29-11-2012_10_'!O1760,"AAAAAD3v3d4=")</f>
        <v>#VALUE!</v>
      </c>
      <c r="HP117" t="e">
        <f>AND('Planilla_General_29-11-2012_10_'!P1760,"AAAAAD3v3d8=")</f>
        <v>#VALUE!</v>
      </c>
      <c r="HQ117">
        <f>IF('Planilla_General_29-11-2012_10_'!1761:1761,"AAAAAD3v3eA=",0)</f>
        <v>0</v>
      </c>
      <c r="HR117" t="e">
        <f>AND('Planilla_General_29-11-2012_10_'!A1761,"AAAAAD3v3eE=")</f>
        <v>#VALUE!</v>
      </c>
      <c r="HS117" t="e">
        <f>AND('Planilla_General_29-11-2012_10_'!B1761,"AAAAAD3v3eI=")</f>
        <v>#VALUE!</v>
      </c>
      <c r="HT117" t="e">
        <f>AND('Planilla_General_29-11-2012_10_'!C1761,"AAAAAD3v3eM=")</f>
        <v>#VALUE!</v>
      </c>
      <c r="HU117" t="e">
        <f>AND('Planilla_General_29-11-2012_10_'!D1761,"AAAAAD3v3eQ=")</f>
        <v>#VALUE!</v>
      </c>
      <c r="HV117" t="e">
        <f>AND('Planilla_General_29-11-2012_10_'!E1761,"AAAAAD3v3eU=")</f>
        <v>#VALUE!</v>
      </c>
      <c r="HW117" t="e">
        <f>AND('Planilla_General_29-11-2012_10_'!F1761,"AAAAAD3v3eY=")</f>
        <v>#VALUE!</v>
      </c>
      <c r="HX117" t="e">
        <f>AND('Planilla_General_29-11-2012_10_'!G1761,"AAAAAD3v3ec=")</f>
        <v>#VALUE!</v>
      </c>
      <c r="HY117" t="e">
        <f>AND('Planilla_General_29-11-2012_10_'!H1761,"AAAAAD3v3eg=")</f>
        <v>#VALUE!</v>
      </c>
      <c r="HZ117" t="e">
        <f>AND('Planilla_General_29-11-2012_10_'!I1761,"AAAAAD3v3ek=")</f>
        <v>#VALUE!</v>
      </c>
      <c r="IA117" t="e">
        <f>AND('Planilla_General_29-11-2012_10_'!J1761,"AAAAAD3v3eo=")</f>
        <v>#VALUE!</v>
      </c>
      <c r="IB117" t="e">
        <f>AND('Planilla_General_29-11-2012_10_'!K1761,"AAAAAD3v3es=")</f>
        <v>#VALUE!</v>
      </c>
      <c r="IC117" t="e">
        <f>AND('Planilla_General_29-11-2012_10_'!L1761,"AAAAAD3v3ew=")</f>
        <v>#VALUE!</v>
      </c>
      <c r="ID117" t="e">
        <f>AND('Planilla_General_29-11-2012_10_'!M1761,"AAAAAD3v3e0=")</f>
        <v>#VALUE!</v>
      </c>
      <c r="IE117" t="e">
        <f>AND('Planilla_General_29-11-2012_10_'!N1761,"AAAAAD3v3e4=")</f>
        <v>#VALUE!</v>
      </c>
      <c r="IF117" t="e">
        <f>AND('Planilla_General_29-11-2012_10_'!O1761,"AAAAAD3v3e8=")</f>
        <v>#VALUE!</v>
      </c>
      <c r="IG117" t="e">
        <f>AND('Planilla_General_29-11-2012_10_'!P1761,"AAAAAD3v3fA=")</f>
        <v>#VALUE!</v>
      </c>
      <c r="IH117">
        <f>IF('Planilla_General_29-11-2012_10_'!1762:1762,"AAAAAD3v3fE=",0)</f>
        <v>0</v>
      </c>
      <c r="II117" t="e">
        <f>AND('Planilla_General_29-11-2012_10_'!A1762,"AAAAAD3v3fI=")</f>
        <v>#VALUE!</v>
      </c>
      <c r="IJ117" t="e">
        <f>AND('Planilla_General_29-11-2012_10_'!B1762,"AAAAAD3v3fM=")</f>
        <v>#VALUE!</v>
      </c>
      <c r="IK117" t="e">
        <f>AND('Planilla_General_29-11-2012_10_'!C1762,"AAAAAD3v3fQ=")</f>
        <v>#VALUE!</v>
      </c>
      <c r="IL117" t="e">
        <f>AND('Planilla_General_29-11-2012_10_'!D1762,"AAAAAD3v3fU=")</f>
        <v>#VALUE!</v>
      </c>
      <c r="IM117" t="e">
        <f>AND('Planilla_General_29-11-2012_10_'!E1762,"AAAAAD3v3fY=")</f>
        <v>#VALUE!</v>
      </c>
      <c r="IN117" t="e">
        <f>AND('Planilla_General_29-11-2012_10_'!F1762,"AAAAAD3v3fc=")</f>
        <v>#VALUE!</v>
      </c>
      <c r="IO117" t="e">
        <f>AND('Planilla_General_29-11-2012_10_'!G1762,"AAAAAD3v3fg=")</f>
        <v>#VALUE!</v>
      </c>
      <c r="IP117" t="e">
        <f>AND('Planilla_General_29-11-2012_10_'!H1762,"AAAAAD3v3fk=")</f>
        <v>#VALUE!</v>
      </c>
      <c r="IQ117" t="e">
        <f>AND('Planilla_General_29-11-2012_10_'!I1762,"AAAAAD3v3fo=")</f>
        <v>#VALUE!</v>
      </c>
      <c r="IR117" t="e">
        <f>AND('Planilla_General_29-11-2012_10_'!J1762,"AAAAAD3v3fs=")</f>
        <v>#VALUE!</v>
      </c>
      <c r="IS117" t="e">
        <f>AND('Planilla_General_29-11-2012_10_'!K1762,"AAAAAD3v3fw=")</f>
        <v>#VALUE!</v>
      </c>
      <c r="IT117" t="e">
        <f>AND('Planilla_General_29-11-2012_10_'!L1762,"AAAAAD3v3f0=")</f>
        <v>#VALUE!</v>
      </c>
      <c r="IU117" t="e">
        <f>AND('Planilla_General_29-11-2012_10_'!M1762,"AAAAAD3v3f4=")</f>
        <v>#VALUE!</v>
      </c>
      <c r="IV117" t="e">
        <f>AND('Planilla_General_29-11-2012_10_'!N1762,"AAAAAD3v3f8=")</f>
        <v>#VALUE!</v>
      </c>
    </row>
    <row r="118" spans="1:256" x14ac:dyDescent="0.25">
      <c r="A118" t="e">
        <f>AND('Planilla_General_29-11-2012_10_'!O1762,"AAAAAH/WdwA=")</f>
        <v>#VALUE!</v>
      </c>
      <c r="B118" t="e">
        <f>AND('Planilla_General_29-11-2012_10_'!P1762,"AAAAAH/WdwE=")</f>
        <v>#VALUE!</v>
      </c>
      <c r="C118" t="str">
        <f>IF('Planilla_General_29-11-2012_10_'!1763:1763,"AAAAAH/WdwI=",0)</f>
        <v>AAAAAH/WdwI=</v>
      </c>
      <c r="D118" t="e">
        <f>AND('Planilla_General_29-11-2012_10_'!A1763,"AAAAAH/WdwM=")</f>
        <v>#VALUE!</v>
      </c>
      <c r="E118" t="e">
        <f>AND('Planilla_General_29-11-2012_10_'!B1763,"AAAAAH/WdwQ=")</f>
        <v>#VALUE!</v>
      </c>
      <c r="F118" t="e">
        <f>AND('Planilla_General_29-11-2012_10_'!C1763,"AAAAAH/WdwU=")</f>
        <v>#VALUE!</v>
      </c>
      <c r="G118" t="e">
        <f>AND('Planilla_General_29-11-2012_10_'!D1763,"AAAAAH/WdwY=")</f>
        <v>#VALUE!</v>
      </c>
      <c r="H118" t="e">
        <f>AND('Planilla_General_29-11-2012_10_'!E1763,"AAAAAH/Wdwc=")</f>
        <v>#VALUE!</v>
      </c>
      <c r="I118" t="e">
        <f>AND('Planilla_General_29-11-2012_10_'!F1763,"AAAAAH/Wdwg=")</f>
        <v>#VALUE!</v>
      </c>
      <c r="J118" t="e">
        <f>AND('Planilla_General_29-11-2012_10_'!G1763,"AAAAAH/Wdwk=")</f>
        <v>#VALUE!</v>
      </c>
      <c r="K118" t="e">
        <f>AND('Planilla_General_29-11-2012_10_'!H1763,"AAAAAH/Wdwo=")</f>
        <v>#VALUE!</v>
      </c>
      <c r="L118" t="e">
        <f>AND('Planilla_General_29-11-2012_10_'!I1763,"AAAAAH/Wdws=")</f>
        <v>#VALUE!</v>
      </c>
      <c r="M118" t="e">
        <f>AND('Planilla_General_29-11-2012_10_'!J1763,"AAAAAH/Wdww=")</f>
        <v>#VALUE!</v>
      </c>
      <c r="N118" t="e">
        <f>AND('Planilla_General_29-11-2012_10_'!K1763,"AAAAAH/Wdw0=")</f>
        <v>#VALUE!</v>
      </c>
      <c r="O118" t="e">
        <f>AND('Planilla_General_29-11-2012_10_'!L1763,"AAAAAH/Wdw4=")</f>
        <v>#VALUE!</v>
      </c>
      <c r="P118" t="e">
        <f>AND('Planilla_General_29-11-2012_10_'!M1763,"AAAAAH/Wdw8=")</f>
        <v>#VALUE!</v>
      </c>
      <c r="Q118" t="e">
        <f>AND('Planilla_General_29-11-2012_10_'!N1763,"AAAAAH/WdxA=")</f>
        <v>#VALUE!</v>
      </c>
      <c r="R118" t="e">
        <f>AND('Planilla_General_29-11-2012_10_'!O1763,"AAAAAH/WdxE=")</f>
        <v>#VALUE!</v>
      </c>
      <c r="S118" t="e">
        <f>AND('Planilla_General_29-11-2012_10_'!P1763,"AAAAAH/WdxI=")</f>
        <v>#VALUE!</v>
      </c>
      <c r="T118">
        <f>IF('Planilla_General_29-11-2012_10_'!1764:1764,"AAAAAH/WdxM=",0)</f>
        <v>0</v>
      </c>
      <c r="U118" t="e">
        <f>AND('Planilla_General_29-11-2012_10_'!A1764,"AAAAAH/WdxQ=")</f>
        <v>#VALUE!</v>
      </c>
      <c r="V118" t="e">
        <f>AND('Planilla_General_29-11-2012_10_'!B1764,"AAAAAH/WdxU=")</f>
        <v>#VALUE!</v>
      </c>
      <c r="W118" t="e">
        <f>AND('Planilla_General_29-11-2012_10_'!C1764,"AAAAAH/WdxY=")</f>
        <v>#VALUE!</v>
      </c>
      <c r="X118" t="e">
        <f>AND('Planilla_General_29-11-2012_10_'!D1764,"AAAAAH/Wdxc=")</f>
        <v>#VALUE!</v>
      </c>
      <c r="Y118" t="e">
        <f>AND('Planilla_General_29-11-2012_10_'!E1764,"AAAAAH/Wdxg=")</f>
        <v>#VALUE!</v>
      </c>
      <c r="Z118" t="e">
        <f>AND('Planilla_General_29-11-2012_10_'!F1764,"AAAAAH/Wdxk=")</f>
        <v>#VALUE!</v>
      </c>
      <c r="AA118" t="e">
        <f>AND('Planilla_General_29-11-2012_10_'!G1764,"AAAAAH/Wdxo=")</f>
        <v>#VALUE!</v>
      </c>
      <c r="AB118" t="e">
        <f>AND('Planilla_General_29-11-2012_10_'!H1764,"AAAAAH/Wdxs=")</f>
        <v>#VALUE!</v>
      </c>
      <c r="AC118" t="e">
        <f>AND('Planilla_General_29-11-2012_10_'!I1764,"AAAAAH/Wdxw=")</f>
        <v>#VALUE!</v>
      </c>
      <c r="AD118" t="e">
        <f>AND('Planilla_General_29-11-2012_10_'!J1764,"AAAAAH/Wdx0=")</f>
        <v>#VALUE!</v>
      </c>
      <c r="AE118" t="e">
        <f>AND('Planilla_General_29-11-2012_10_'!K1764,"AAAAAH/Wdx4=")</f>
        <v>#VALUE!</v>
      </c>
      <c r="AF118" t="e">
        <f>AND('Planilla_General_29-11-2012_10_'!L1764,"AAAAAH/Wdx8=")</f>
        <v>#VALUE!</v>
      </c>
      <c r="AG118" t="e">
        <f>AND('Planilla_General_29-11-2012_10_'!M1764,"AAAAAH/WdyA=")</f>
        <v>#VALUE!</v>
      </c>
      <c r="AH118" t="e">
        <f>AND('Planilla_General_29-11-2012_10_'!N1764,"AAAAAH/WdyE=")</f>
        <v>#VALUE!</v>
      </c>
      <c r="AI118" t="e">
        <f>AND('Planilla_General_29-11-2012_10_'!O1764,"AAAAAH/WdyI=")</f>
        <v>#VALUE!</v>
      </c>
      <c r="AJ118" t="e">
        <f>AND('Planilla_General_29-11-2012_10_'!P1764,"AAAAAH/WdyM=")</f>
        <v>#VALUE!</v>
      </c>
      <c r="AK118">
        <f>IF('Planilla_General_29-11-2012_10_'!1765:1765,"AAAAAH/WdyQ=",0)</f>
        <v>0</v>
      </c>
      <c r="AL118" t="e">
        <f>AND('Planilla_General_29-11-2012_10_'!A1765,"AAAAAH/WdyU=")</f>
        <v>#VALUE!</v>
      </c>
      <c r="AM118" t="e">
        <f>AND('Planilla_General_29-11-2012_10_'!B1765,"AAAAAH/WdyY=")</f>
        <v>#VALUE!</v>
      </c>
      <c r="AN118" t="e">
        <f>AND('Planilla_General_29-11-2012_10_'!C1765,"AAAAAH/Wdyc=")</f>
        <v>#VALUE!</v>
      </c>
      <c r="AO118" t="e">
        <f>AND('Planilla_General_29-11-2012_10_'!D1765,"AAAAAH/Wdyg=")</f>
        <v>#VALUE!</v>
      </c>
      <c r="AP118" t="e">
        <f>AND('Planilla_General_29-11-2012_10_'!E1765,"AAAAAH/Wdyk=")</f>
        <v>#VALUE!</v>
      </c>
      <c r="AQ118" t="e">
        <f>AND('Planilla_General_29-11-2012_10_'!F1765,"AAAAAH/Wdyo=")</f>
        <v>#VALUE!</v>
      </c>
      <c r="AR118" t="e">
        <f>AND('Planilla_General_29-11-2012_10_'!G1765,"AAAAAH/Wdys=")</f>
        <v>#VALUE!</v>
      </c>
      <c r="AS118" t="e">
        <f>AND('Planilla_General_29-11-2012_10_'!H1765,"AAAAAH/Wdyw=")</f>
        <v>#VALUE!</v>
      </c>
      <c r="AT118" t="e">
        <f>AND('Planilla_General_29-11-2012_10_'!I1765,"AAAAAH/Wdy0=")</f>
        <v>#VALUE!</v>
      </c>
      <c r="AU118" t="e">
        <f>AND('Planilla_General_29-11-2012_10_'!J1765,"AAAAAH/Wdy4=")</f>
        <v>#VALUE!</v>
      </c>
      <c r="AV118" t="e">
        <f>AND('Planilla_General_29-11-2012_10_'!K1765,"AAAAAH/Wdy8=")</f>
        <v>#VALUE!</v>
      </c>
      <c r="AW118" t="e">
        <f>AND('Planilla_General_29-11-2012_10_'!L1765,"AAAAAH/WdzA=")</f>
        <v>#VALUE!</v>
      </c>
      <c r="AX118" t="e">
        <f>AND('Planilla_General_29-11-2012_10_'!M1765,"AAAAAH/WdzE=")</f>
        <v>#VALUE!</v>
      </c>
      <c r="AY118" t="e">
        <f>AND('Planilla_General_29-11-2012_10_'!N1765,"AAAAAH/WdzI=")</f>
        <v>#VALUE!</v>
      </c>
      <c r="AZ118" t="e">
        <f>AND('Planilla_General_29-11-2012_10_'!O1765,"AAAAAH/WdzM=")</f>
        <v>#VALUE!</v>
      </c>
      <c r="BA118" t="e">
        <f>AND('Planilla_General_29-11-2012_10_'!P1765,"AAAAAH/WdzQ=")</f>
        <v>#VALUE!</v>
      </c>
      <c r="BB118">
        <f>IF('Planilla_General_29-11-2012_10_'!1766:1766,"AAAAAH/WdzU=",0)</f>
        <v>0</v>
      </c>
      <c r="BC118" t="e">
        <f>AND('Planilla_General_29-11-2012_10_'!A1766,"AAAAAH/WdzY=")</f>
        <v>#VALUE!</v>
      </c>
      <c r="BD118" t="e">
        <f>AND('Planilla_General_29-11-2012_10_'!B1766,"AAAAAH/Wdzc=")</f>
        <v>#VALUE!</v>
      </c>
      <c r="BE118" t="e">
        <f>AND('Planilla_General_29-11-2012_10_'!C1766,"AAAAAH/Wdzg=")</f>
        <v>#VALUE!</v>
      </c>
      <c r="BF118" t="e">
        <f>AND('Planilla_General_29-11-2012_10_'!D1766,"AAAAAH/Wdzk=")</f>
        <v>#VALUE!</v>
      </c>
      <c r="BG118" t="e">
        <f>AND('Planilla_General_29-11-2012_10_'!E1766,"AAAAAH/Wdzo=")</f>
        <v>#VALUE!</v>
      </c>
      <c r="BH118" t="e">
        <f>AND('Planilla_General_29-11-2012_10_'!F1766,"AAAAAH/Wdzs=")</f>
        <v>#VALUE!</v>
      </c>
      <c r="BI118" t="e">
        <f>AND('Planilla_General_29-11-2012_10_'!G1766,"AAAAAH/Wdzw=")</f>
        <v>#VALUE!</v>
      </c>
      <c r="BJ118" t="e">
        <f>AND('Planilla_General_29-11-2012_10_'!H1766,"AAAAAH/Wdz0=")</f>
        <v>#VALUE!</v>
      </c>
      <c r="BK118" t="e">
        <f>AND('Planilla_General_29-11-2012_10_'!I1766,"AAAAAH/Wdz4=")</f>
        <v>#VALUE!</v>
      </c>
      <c r="BL118" t="e">
        <f>AND('Planilla_General_29-11-2012_10_'!J1766,"AAAAAH/Wdz8=")</f>
        <v>#VALUE!</v>
      </c>
      <c r="BM118" t="e">
        <f>AND('Planilla_General_29-11-2012_10_'!K1766,"AAAAAH/Wd0A=")</f>
        <v>#VALUE!</v>
      </c>
      <c r="BN118" t="e">
        <f>AND('Planilla_General_29-11-2012_10_'!L1766,"AAAAAH/Wd0E=")</f>
        <v>#VALUE!</v>
      </c>
      <c r="BO118" t="e">
        <f>AND('Planilla_General_29-11-2012_10_'!M1766,"AAAAAH/Wd0I=")</f>
        <v>#VALUE!</v>
      </c>
      <c r="BP118" t="e">
        <f>AND('Planilla_General_29-11-2012_10_'!N1766,"AAAAAH/Wd0M=")</f>
        <v>#VALUE!</v>
      </c>
      <c r="BQ118" t="e">
        <f>AND('Planilla_General_29-11-2012_10_'!O1766,"AAAAAH/Wd0Q=")</f>
        <v>#VALUE!</v>
      </c>
      <c r="BR118" t="e">
        <f>AND('Planilla_General_29-11-2012_10_'!P1766,"AAAAAH/Wd0U=")</f>
        <v>#VALUE!</v>
      </c>
      <c r="BS118">
        <f>IF('Planilla_General_29-11-2012_10_'!1767:1767,"AAAAAH/Wd0Y=",0)</f>
        <v>0</v>
      </c>
      <c r="BT118" t="e">
        <f>AND('Planilla_General_29-11-2012_10_'!A1767,"AAAAAH/Wd0c=")</f>
        <v>#VALUE!</v>
      </c>
      <c r="BU118" t="e">
        <f>AND('Planilla_General_29-11-2012_10_'!B1767,"AAAAAH/Wd0g=")</f>
        <v>#VALUE!</v>
      </c>
      <c r="BV118" t="e">
        <f>AND('Planilla_General_29-11-2012_10_'!C1767,"AAAAAH/Wd0k=")</f>
        <v>#VALUE!</v>
      </c>
      <c r="BW118" t="e">
        <f>AND('Planilla_General_29-11-2012_10_'!D1767,"AAAAAH/Wd0o=")</f>
        <v>#VALUE!</v>
      </c>
      <c r="BX118" t="e">
        <f>AND('Planilla_General_29-11-2012_10_'!E1767,"AAAAAH/Wd0s=")</f>
        <v>#VALUE!</v>
      </c>
      <c r="BY118" t="e">
        <f>AND('Planilla_General_29-11-2012_10_'!F1767,"AAAAAH/Wd0w=")</f>
        <v>#VALUE!</v>
      </c>
      <c r="BZ118" t="e">
        <f>AND('Planilla_General_29-11-2012_10_'!G1767,"AAAAAH/Wd00=")</f>
        <v>#VALUE!</v>
      </c>
      <c r="CA118" t="e">
        <f>AND('Planilla_General_29-11-2012_10_'!H1767,"AAAAAH/Wd04=")</f>
        <v>#VALUE!</v>
      </c>
      <c r="CB118" t="e">
        <f>AND('Planilla_General_29-11-2012_10_'!I1767,"AAAAAH/Wd08=")</f>
        <v>#VALUE!</v>
      </c>
      <c r="CC118" t="e">
        <f>AND('Planilla_General_29-11-2012_10_'!J1767,"AAAAAH/Wd1A=")</f>
        <v>#VALUE!</v>
      </c>
      <c r="CD118" t="e">
        <f>AND('Planilla_General_29-11-2012_10_'!K1767,"AAAAAH/Wd1E=")</f>
        <v>#VALUE!</v>
      </c>
      <c r="CE118" t="e">
        <f>AND('Planilla_General_29-11-2012_10_'!L1767,"AAAAAH/Wd1I=")</f>
        <v>#VALUE!</v>
      </c>
      <c r="CF118" t="e">
        <f>AND('Planilla_General_29-11-2012_10_'!M1767,"AAAAAH/Wd1M=")</f>
        <v>#VALUE!</v>
      </c>
      <c r="CG118" t="e">
        <f>AND('Planilla_General_29-11-2012_10_'!N1767,"AAAAAH/Wd1Q=")</f>
        <v>#VALUE!</v>
      </c>
      <c r="CH118" t="e">
        <f>AND('Planilla_General_29-11-2012_10_'!O1767,"AAAAAH/Wd1U=")</f>
        <v>#VALUE!</v>
      </c>
      <c r="CI118" t="e">
        <f>AND('Planilla_General_29-11-2012_10_'!P1767,"AAAAAH/Wd1Y=")</f>
        <v>#VALUE!</v>
      </c>
      <c r="CJ118">
        <f>IF('Planilla_General_29-11-2012_10_'!1768:1768,"AAAAAH/Wd1c=",0)</f>
        <v>0</v>
      </c>
      <c r="CK118" t="e">
        <f>AND('Planilla_General_29-11-2012_10_'!A1768,"AAAAAH/Wd1g=")</f>
        <v>#VALUE!</v>
      </c>
      <c r="CL118" t="e">
        <f>AND('Planilla_General_29-11-2012_10_'!B1768,"AAAAAH/Wd1k=")</f>
        <v>#VALUE!</v>
      </c>
      <c r="CM118" t="e">
        <f>AND('Planilla_General_29-11-2012_10_'!C1768,"AAAAAH/Wd1o=")</f>
        <v>#VALUE!</v>
      </c>
      <c r="CN118" t="e">
        <f>AND('Planilla_General_29-11-2012_10_'!D1768,"AAAAAH/Wd1s=")</f>
        <v>#VALUE!</v>
      </c>
      <c r="CO118" t="e">
        <f>AND('Planilla_General_29-11-2012_10_'!E1768,"AAAAAH/Wd1w=")</f>
        <v>#VALUE!</v>
      </c>
      <c r="CP118" t="e">
        <f>AND('Planilla_General_29-11-2012_10_'!F1768,"AAAAAH/Wd10=")</f>
        <v>#VALUE!</v>
      </c>
      <c r="CQ118" t="e">
        <f>AND('Planilla_General_29-11-2012_10_'!G1768,"AAAAAH/Wd14=")</f>
        <v>#VALUE!</v>
      </c>
      <c r="CR118" t="e">
        <f>AND('Planilla_General_29-11-2012_10_'!H1768,"AAAAAH/Wd18=")</f>
        <v>#VALUE!</v>
      </c>
      <c r="CS118" t="e">
        <f>AND('Planilla_General_29-11-2012_10_'!I1768,"AAAAAH/Wd2A=")</f>
        <v>#VALUE!</v>
      </c>
      <c r="CT118" t="e">
        <f>AND('Planilla_General_29-11-2012_10_'!J1768,"AAAAAH/Wd2E=")</f>
        <v>#VALUE!</v>
      </c>
      <c r="CU118" t="e">
        <f>AND('Planilla_General_29-11-2012_10_'!K1768,"AAAAAH/Wd2I=")</f>
        <v>#VALUE!</v>
      </c>
      <c r="CV118" t="e">
        <f>AND('Planilla_General_29-11-2012_10_'!L1768,"AAAAAH/Wd2M=")</f>
        <v>#VALUE!</v>
      </c>
      <c r="CW118" t="e">
        <f>AND('Planilla_General_29-11-2012_10_'!M1768,"AAAAAH/Wd2Q=")</f>
        <v>#VALUE!</v>
      </c>
      <c r="CX118" t="e">
        <f>AND('Planilla_General_29-11-2012_10_'!N1768,"AAAAAH/Wd2U=")</f>
        <v>#VALUE!</v>
      </c>
      <c r="CY118" t="e">
        <f>AND('Planilla_General_29-11-2012_10_'!O1768,"AAAAAH/Wd2Y=")</f>
        <v>#VALUE!</v>
      </c>
      <c r="CZ118" t="e">
        <f>AND('Planilla_General_29-11-2012_10_'!P1768,"AAAAAH/Wd2c=")</f>
        <v>#VALUE!</v>
      </c>
      <c r="DA118">
        <f>IF('Planilla_General_29-11-2012_10_'!1769:1769,"AAAAAH/Wd2g=",0)</f>
        <v>0</v>
      </c>
      <c r="DB118" t="e">
        <f>AND('Planilla_General_29-11-2012_10_'!A1769,"AAAAAH/Wd2k=")</f>
        <v>#VALUE!</v>
      </c>
      <c r="DC118" t="e">
        <f>AND('Planilla_General_29-11-2012_10_'!B1769,"AAAAAH/Wd2o=")</f>
        <v>#VALUE!</v>
      </c>
      <c r="DD118" t="e">
        <f>AND('Planilla_General_29-11-2012_10_'!C1769,"AAAAAH/Wd2s=")</f>
        <v>#VALUE!</v>
      </c>
      <c r="DE118" t="e">
        <f>AND('Planilla_General_29-11-2012_10_'!D1769,"AAAAAH/Wd2w=")</f>
        <v>#VALUE!</v>
      </c>
      <c r="DF118" t="e">
        <f>AND('Planilla_General_29-11-2012_10_'!E1769,"AAAAAH/Wd20=")</f>
        <v>#VALUE!</v>
      </c>
      <c r="DG118" t="e">
        <f>AND('Planilla_General_29-11-2012_10_'!F1769,"AAAAAH/Wd24=")</f>
        <v>#VALUE!</v>
      </c>
      <c r="DH118" t="e">
        <f>AND('Planilla_General_29-11-2012_10_'!G1769,"AAAAAH/Wd28=")</f>
        <v>#VALUE!</v>
      </c>
      <c r="DI118" t="e">
        <f>AND('Planilla_General_29-11-2012_10_'!H1769,"AAAAAH/Wd3A=")</f>
        <v>#VALUE!</v>
      </c>
      <c r="DJ118" t="e">
        <f>AND('Planilla_General_29-11-2012_10_'!I1769,"AAAAAH/Wd3E=")</f>
        <v>#VALUE!</v>
      </c>
      <c r="DK118" t="e">
        <f>AND('Planilla_General_29-11-2012_10_'!J1769,"AAAAAH/Wd3I=")</f>
        <v>#VALUE!</v>
      </c>
      <c r="DL118" t="e">
        <f>AND('Planilla_General_29-11-2012_10_'!K1769,"AAAAAH/Wd3M=")</f>
        <v>#VALUE!</v>
      </c>
      <c r="DM118" t="e">
        <f>AND('Planilla_General_29-11-2012_10_'!L1769,"AAAAAH/Wd3Q=")</f>
        <v>#VALUE!</v>
      </c>
      <c r="DN118" t="e">
        <f>AND('Planilla_General_29-11-2012_10_'!M1769,"AAAAAH/Wd3U=")</f>
        <v>#VALUE!</v>
      </c>
      <c r="DO118" t="e">
        <f>AND('Planilla_General_29-11-2012_10_'!N1769,"AAAAAH/Wd3Y=")</f>
        <v>#VALUE!</v>
      </c>
      <c r="DP118" t="e">
        <f>AND('Planilla_General_29-11-2012_10_'!O1769,"AAAAAH/Wd3c=")</f>
        <v>#VALUE!</v>
      </c>
      <c r="DQ118" t="e">
        <f>AND('Planilla_General_29-11-2012_10_'!P1769,"AAAAAH/Wd3g=")</f>
        <v>#VALUE!</v>
      </c>
      <c r="DR118">
        <f>IF('Planilla_General_29-11-2012_10_'!1770:1770,"AAAAAH/Wd3k=",0)</f>
        <v>0</v>
      </c>
      <c r="DS118" t="e">
        <f>AND('Planilla_General_29-11-2012_10_'!A1770,"AAAAAH/Wd3o=")</f>
        <v>#VALUE!</v>
      </c>
      <c r="DT118" t="e">
        <f>AND('Planilla_General_29-11-2012_10_'!B1770,"AAAAAH/Wd3s=")</f>
        <v>#VALUE!</v>
      </c>
      <c r="DU118" t="e">
        <f>AND('Planilla_General_29-11-2012_10_'!C1770,"AAAAAH/Wd3w=")</f>
        <v>#VALUE!</v>
      </c>
      <c r="DV118" t="e">
        <f>AND('Planilla_General_29-11-2012_10_'!D1770,"AAAAAH/Wd30=")</f>
        <v>#VALUE!</v>
      </c>
      <c r="DW118" t="e">
        <f>AND('Planilla_General_29-11-2012_10_'!E1770,"AAAAAH/Wd34=")</f>
        <v>#VALUE!</v>
      </c>
      <c r="DX118" t="e">
        <f>AND('Planilla_General_29-11-2012_10_'!F1770,"AAAAAH/Wd38=")</f>
        <v>#VALUE!</v>
      </c>
      <c r="DY118" t="e">
        <f>AND('Planilla_General_29-11-2012_10_'!G1770,"AAAAAH/Wd4A=")</f>
        <v>#VALUE!</v>
      </c>
      <c r="DZ118" t="e">
        <f>AND('Planilla_General_29-11-2012_10_'!H1770,"AAAAAH/Wd4E=")</f>
        <v>#VALUE!</v>
      </c>
      <c r="EA118" t="e">
        <f>AND('Planilla_General_29-11-2012_10_'!I1770,"AAAAAH/Wd4I=")</f>
        <v>#VALUE!</v>
      </c>
      <c r="EB118" t="e">
        <f>AND('Planilla_General_29-11-2012_10_'!J1770,"AAAAAH/Wd4M=")</f>
        <v>#VALUE!</v>
      </c>
      <c r="EC118" t="e">
        <f>AND('Planilla_General_29-11-2012_10_'!K1770,"AAAAAH/Wd4Q=")</f>
        <v>#VALUE!</v>
      </c>
      <c r="ED118" t="e">
        <f>AND('Planilla_General_29-11-2012_10_'!L1770,"AAAAAH/Wd4U=")</f>
        <v>#VALUE!</v>
      </c>
      <c r="EE118" t="e">
        <f>AND('Planilla_General_29-11-2012_10_'!M1770,"AAAAAH/Wd4Y=")</f>
        <v>#VALUE!</v>
      </c>
      <c r="EF118" t="e">
        <f>AND('Planilla_General_29-11-2012_10_'!N1770,"AAAAAH/Wd4c=")</f>
        <v>#VALUE!</v>
      </c>
      <c r="EG118" t="e">
        <f>AND('Planilla_General_29-11-2012_10_'!O1770,"AAAAAH/Wd4g=")</f>
        <v>#VALUE!</v>
      </c>
      <c r="EH118" t="e">
        <f>AND('Planilla_General_29-11-2012_10_'!P1770,"AAAAAH/Wd4k=")</f>
        <v>#VALUE!</v>
      </c>
      <c r="EI118">
        <f>IF('Planilla_General_29-11-2012_10_'!1771:1771,"AAAAAH/Wd4o=",0)</f>
        <v>0</v>
      </c>
      <c r="EJ118" t="e">
        <f>AND('Planilla_General_29-11-2012_10_'!A1771,"AAAAAH/Wd4s=")</f>
        <v>#VALUE!</v>
      </c>
      <c r="EK118" t="e">
        <f>AND('Planilla_General_29-11-2012_10_'!B1771,"AAAAAH/Wd4w=")</f>
        <v>#VALUE!</v>
      </c>
      <c r="EL118" t="e">
        <f>AND('Planilla_General_29-11-2012_10_'!C1771,"AAAAAH/Wd40=")</f>
        <v>#VALUE!</v>
      </c>
      <c r="EM118" t="e">
        <f>AND('Planilla_General_29-11-2012_10_'!D1771,"AAAAAH/Wd44=")</f>
        <v>#VALUE!</v>
      </c>
      <c r="EN118" t="e">
        <f>AND('Planilla_General_29-11-2012_10_'!E1771,"AAAAAH/Wd48=")</f>
        <v>#VALUE!</v>
      </c>
      <c r="EO118" t="e">
        <f>AND('Planilla_General_29-11-2012_10_'!F1771,"AAAAAH/Wd5A=")</f>
        <v>#VALUE!</v>
      </c>
      <c r="EP118" t="e">
        <f>AND('Planilla_General_29-11-2012_10_'!G1771,"AAAAAH/Wd5E=")</f>
        <v>#VALUE!</v>
      </c>
      <c r="EQ118" t="e">
        <f>AND('Planilla_General_29-11-2012_10_'!H1771,"AAAAAH/Wd5I=")</f>
        <v>#VALUE!</v>
      </c>
      <c r="ER118" t="e">
        <f>AND('Planilla_General_29-11-2012_10_'!I1771,"AAAAAH/Wd5M=")</f>
        <v>#VALUE!</v>
      </c>
      <c r="ES118" t="e">
        <f>AND('Planilla_General_29-11-2012_10_'!J1771,"AAAAAH/Wd5Q=")</f>
        <v>#VALUE!</v>
      </c>
      <c r="ET118" t="e">
        <f>AND('Planilla_General_29-11-2012_10_'!K1771,"AAAAAH/Wd5U=")</f>
        <v>#VALUE!</v>
      </c>
      <c r="EU118" t="e">
        <f>AND('Planilla_General_29-11-2012_10_'!L1771,"AAAAAH/Wd5Y=")</f>
        <v>#VALUE!</v>
      </c>
      <c r="EV118" t="e">
        <f>AND('Planilla_General_29-11-2012_10_'!M1771,"AAAAAH/Wd5c=")</f>
        <v>#VALUE!</v>
      </c>
      <c r="EW118" t="e">
        <f>AND('Planilla_General_29-11-2012_10_'!N1771,"AAAAAH/Wd5g=")</f>
        <v>#VALUE!</v>
      </c>
      <c r="EX118" t="e">
        <f>AND('Planilla_General_29-11-2012_10_'!O1771,"AAAAAH/Wd5k=")</f>
        <v>#VALUE!</v>
      </c>
      <c r="EY118" t="e">
        <f>AND('Planilla_General_29-11-2012_10_'!P1771,"AAAAAH/Wd5o=")</f>
        <v>#VALUE!</v>
      </c>
      <c r="EZ118">
        <f>IF('Planilla_General_29-11-2012_10_'!1772:1772,"AAAAAH/Wd5s=",0)</f>
        <v>0</v>
      </c>
      <c r="FA118" t="e">
        <f>AND('Planilla_General_29-11-2012_10_'!A1772,"AAAAAH/Wd5w=")</f>
        <v>#VALUE!</v>
      </c>
      <c r="FB118" t="e">
        <f>AND('Planilla_General_29-11-2012_10_'!B1772,"AAAAAH/Wd50=")</f>
        <v>#VALUE!</v>
      </c>
      <c r="FC118" t="e">
        <f>AND('Planilla_General_29-11-2012_10_'!C1772,"AAAAAH/Wd54=")</f>
        <v>#VALUE!</v>
      </c>
      <c r="FD118" t="e">
        <f>AND('Planilla_General_29-11-2012_10_'!D1772,"AAAAAH/Wd58=")</f>
        <v>#VALUE!</v>
      </c>
      <c r="FE118" t="e">
        <f>AND('Planilla_General_29-11-2012_10_'!E1772,"AAAAAH/Wd6A=")</f>
        <v>#VALUE!</v>
      </c>
      <c r="FF118" t="e">
        <f>AND('Planilla_General_29-11-2012_10_'!F1772,"AAAAAH/Wd6E=")</f>
        <v>#VALUE!</v>
      </c>
      <c r="FG118" t="e">
        <f>AND('Planilla_General_29-11-2012_10_'!G1772,"AAAAAH/Wd6I=")</f>
        <v>#VALUE!</v>
      </c>
      <c r="FH118" t="e">
        <f>AND('Planilla_General_29-11-2012_10_'!H1772,"AAAAAH/Wd6M=")</f>
        <v>#VALUE!</v>
      </c>
      <c r="FI118" t="e">
        <f>AND('Planilla_General_29-11-2012_10_'!I1772,"AAAAAH/Wd6Q=")</f>
        <v>#VALUE!</v>
      </c>
      <c r="FJ118" t="e">
        <f>AND('Planilla_General_29-11-2012_10_'!J1772,"AAAAAH/Wd6U=")</f>
        <v>#VALUE!</v>
      </c>
      <c r="FK118" t="e">
        <f>AND('Planilla_General_29-11-2012_10_'!K1772,"AAAAAH/Wd6Y=")</f>
        <v>#VALUE!</v>
      </c>
      <c r="FL118" t="e">
        <f>AND('Planilla_General_29-11-2012_10_'!L1772,"AAAAAH/Wd6c=")</f>
        <v>#VALUE!</v>
      </c>
      <c r="FM118" t="e">
        <f>AND('Planilla_General_29-11-2012_10_'!M1772,"AAAAAH/Wd6g=")</f>
        <v>#VALUE!</v>
      </c>
      <c r="FN118" t="e">
        <f>AND('Planilla_General_29-11-2012_10_'!N1772,"AAAAAH/Wd6k=")</f>
        <v>#VALUE!</v>
      </c>
      <c r="FO118" t="e">
        <f>AND('Planilla_General_29-11-2012_10_'!O1772,"AAAAAH/Wd6o=")</f>
        <v>#VALUE!</v>
      </c>
      <c r="FP118" t="e">
        <f>AND('Planilla_General_29-11-2012_10_'!P1772,"AAAAAH/Wd6s=")</f>
        <v>#VALUE!</v>
      </c>
      <c r="FQ118">
        <f>IF('Planilla_General_29-11-2012_10_'!1773:1773,"AAAAAH/Wd6w=",0)</f>
        <v>0</v>
      </c>
      <c r="FR118" t="e">
        <f>AND('Planilla_General_29-11-2012_10_'!A1773,"AAAAAH/Wd60=")</f>
        <v>#VALUE!</v>
      </c>
      <c r="FS118" t="e">
        <f>AND('Planilla_General_29-11-2012_10_'!B1773,"AAAAAH/Wd64=")</f>
        <v>#VALUE!</v>
      </c>
      <c r="FT118" t="e">
        <f>AND('Planilla_General_29-11-2012_10_'!C1773,"AAAAAH/Wd68=")</f>
        <v>#VALUE!</v>
      </c>
      <c r="FU118" t="e">
        <f>AND('Planilla_General_29-11-2012_10_'!D1773,"AAAAAH/Wd7A=")</f>
        <v>#VALUE!</v>
      </c>
      <c r="FV118" t="e">
        <f>AND('Planilla_General_29-11-2012_10_'!E1773,"AAAAAH/Wd7E=")</f>
        <v>#VALUE!</v>
      </c>
      <c r="FW118" t="e">
        <f>AND('Planilla_General_29-11-2012_10_'!F1773,"AAAAAH/Wd7I=")</f>
        <v>#VALUE!</v>
      </c>
      <c r="FX118" t="e">
        <f>AND('Planilla_General_29-11-2012_10_'!G1773,"AAAAAH/Wd7M=")</f>
        <v>#VALUE!</v>
      </c>
      <c r="FY118" t="e">
        <f>AND('Planilla_General_29-11-2012_10_'!H1773,"AAAAAH/Wd7Q=")</f>
        <v>#VALUE!</v>
      </c>
      <c r="FZ118" t="e">
        <f>AND('Planilla_General_29-11-2012_10_'!I1773,"AAAAAH/Wd7U=")</f>
        <v>#VALUE!</v>
      </c>
      <c r="GA118" t="e">
        <f>AND('Planilla_General_29-11-2012_10_'!J1773,"AAAAAH/Wd7Y=")</f>
        <v>#VALUE!</v>
      </c>
      <c r="GB118" t="e">
        <f>AND('Planilla_General_29-11-2012_10_'!K1773,"AAAAAH/Wd7c=")</f>
        <v>#VALUE!</v>
      </c>
      <c r="GC118" t="e">
        <f>AND('Planilla_General_29-11-2012_10_'!L1773,"AAAAAH/Wd7g=")</f>
        <v>#VALUE!</v>
      </c>
      <c r="GD118" t="e">
        <f>AND('Planilla_General_29-11-2012_10_'!M1773,"AAAAAH/Wd7k=")</f>
        <v>#VALUE!</v>
      </c>
      <c r="GE118" t="e">
        <f>AND('Planilla_General_29-11-2012_10_'!N1773,"AAAAAH/Wd7o=")</f>
        <v>#VALUE!</v>
      </c>
      <c r="GF118" t="e">
        <f>AND('Planilla_General_29-11-2012_10_'!O1773,"AAAAAH/Wd7s=")</f>
        <v>#VALUE!</v>
      </c>
      <c r="GG118" t="e">
        <f>AND('Planilla_General_29-11-2012_10_'!P1773,"AAAAAH/Wd7w=")</f>
        <v>#VALUE!</v>
      </c>
      <c r="GH118">
        <f>IF('Planilla_General_29-11-2012_10_'!1774:1774,"AAAAAH/Wd70=",0)</f>
        <v>0</v>
      </c>
      <c r="GI118" t="e">
        <f>AND('Planilla_General_29-11-2012_10_'!A1774,"AAAAAH/Wd74=")</f>
        <v>#VALUE!</v>
      </c>
      <c r="GJ118" t="e">
        <f>AND('Planilla_General_29-11-2012_10_'!B1774,"AAAAAH/Wd78=")</f>
        <v>#VALUE!</v>
      </c>
      <c r="GK118" t="e">
        <f>AND('Planilla_General_29-11-2012_10_'!C1774,"AAAAAH/Wd8A=")</f>
        <v>#VALUE!</v>
      </c>
      <c r="GL118" t="e">
        <f>AND('Planilla_General_29-11-2012_10_'!D1774,"AAAAAH/Wd8E=")</f>
        <v>#VALUE!</v>
      </c>
      <c r="GM118" t="e">
        <f>AND('Planilla_General_29-11-2012_10_'!E1774,"AAAAAH/Wd8I=")</f>
        <v>#VALUE!</v>
      </c>
      <c r="GN118" t="e">
        <f>AND('Planilla_General_29-11-2012_10_'!F1774,"AAAAAH/Wd8M=")</f>
        <v>#VALUE!</v>
      </c>
      <c r="GO118" t="e">
        <f>AND('Planilla_General_29-11-2012_10_'!G1774,"AAAAAH/Wd8Q=")</f>
        <v>#VALUE!</v>
      </c>
      <c r="GP118" t="e">
        <f>AND('Planilla_General_29-11-2012_10_'!H1774,"AAAAAH/Wd8U=")</f>
        <v>#VALUE!</v>
      </c>
      <c r="GQ118" t="e">
        <f>AND('Planilla_General_29-11-2012_10_'!I1774,"AAAAAH/Wd8Y=")</f>
        <v>#VALUE!</v>
      </c>
      <c r="GR118" t="e">
        <f>AND('Planilla_General_29-11-2012_10_'!J1774,"AAAAAH/Wd8c=")</f>
        <v>#VALUE!</v>
      </c>
      <c r="GS118" t="e">
        <f>AND('Planilla_General_29-11-2012_10_'!K1774,"AAAAAH/Wd8g=")</f>
        <v>#VALUE!</v>
      </c>
      <c r="GT118" t="e">
        <f>AND('Planilla_General_29-11-2012_10_'!L1774,"AAAAAH/Wd8k=")</f>
        <v>#VALUE!</v>
      </c>
      <c r="GU118" t="e">
        <f>AND('Planilla_General_29-11-2012_10_'!M1774,"AAAAAH/Wd8o=")</f>
        <v>#VALUE!</v>
      </c>
      <c r="GV118" t="e">
        <f>AND('Planilla_General_29-11-2012_10_'!N1774,"AAAAAH/Wd8s=")</f>
        <v>#VALUE!</v>
      </c>
      <c r="GW118" t="e">
        <f>AND('Planilla_General_29-11-2012_10_'!O1774,"AAAAAH/Wd8w=")</f>
        <v>#VALUE!</v>
      </c>
      <c r="GX118" t="e">
        <f>AND('Planilla_General_29-11-2012_10_'!P1774,"AAAAAH/Wd80=")</f>
        <v>#VALUE!</v>
      </c>
      <c r="GY118">
        <f>IF('Planilla_General_29-11-2012_10_'!1775:1775,"AAAAAH/Wd84=",0)</f>
        <v>0</v>
      </c>
      <c r="GZ118" t="e">
        <f>AND('Planilla_General_29-11-2012_10_'!A1775,"AAAAAH/Wd88=")</f>
        <v>#VALUE!</v>
      </c>
      <c r="HA118" t="e">
        <f>AND('Planilla_General_29-11-2012_10_'!B1775,"AAAAAH/Wd9A=")</f>
        <v>#VALUE!</v>
      </c>
      <c r="HB118" t="e">
        <f>AND('Planilla_General_29-11-2012_10_'!C1775,"AAAAAH/Wd9E=")</f>
        <v>#VALUE!</v>
      </c>
      <c r="HC118" t="e">
        <f>AND('Planilla_General_29-11-2012_10_'!D1775,"AAAAAH/Wd9I=")</f>
        <v>#VALUE!</v>
      </c>
      <c r="HD118" t="e">
        <f>AND('Planilla_General_29-11-2012_10_'!E1775,"AAAAAH/Wd9M=")</f>
        <v>#VALUE!</v>
      </c>
      <c r="HE118" t="e">
        <f>AND('Planilla_General_29-11-2012_10_'!F1775,"AAAAAH/Wd9Q=")</f>
        <v>#VALUE!</v>
      </c>
      <c r="HF118" t="e">
        <f>AND('Planilla_General_29-11-2012_10_'!G1775,"AAAAAH/Wd9U=")</f>
        <v>#VALUE!</v>
      </c>
      <c r="HG118" t="e">
        <f>AND('Planilla_General_29-11-2012_10_'!H1775,"AAAAAH/Wd9Y=")</f>
        <v>#VALUE!</v>
      </c>
      <c r="HH118" t="e">
        <f>AND('Planilla_General_29-11-2012_10_'!I1775,"AAAAAH/Wd9c=")</f>
        <v>#VALUE!</v>
      </c>
      <c r="HI118" t="e">
        <f>AND('Planilla_General_29-11-2012_10_'!J1775,"AAAAAH/Wd9g=")</f>
        <v>#VALUE!</v>
      </c>
      <c r="HJ118" t="e">
        <f>AND('Planilla_General_29-11-2012_10_'!K1775,"AAAAAH/Wd9k=")</f>
        <v>#VALUE!</v>
      </c>
      <c r="HK118" t="e">
        <f>AND('Planilla_General_29-11-2012_10_'!L1775,"AAAAAH/Wd9o=")</f>
        <v>#VALUE!</v>
      </c>
      <c r="HL118" t="e">
        <f>AND('Planilla_General_29-11-2012_10_'!M1775,"AAAAAH/Wd9s=")</f>
        <v>#VALUE!</v>
      </c>
      <c r="HM118" t="e">
        <f>AND('Planilla_General_29-11-2012_10_'!N1775,"AAAAAH/Wd9w=")</f>
        <v>#VALUE!</v>
      </c>
      <c r="HN118" t="e">
        <f>AND('Planilla_General_29-11-2012_10_'!O1775,"AAAAAH/Wd90=")</f>
        <v>#VALUE!</v>
      </c>
      <c r="HO118" t="e">
        <f>AND('Planilla_General_29-11-2012_10_'!P1775,"AAAAAH/Wd94=")</f>
        <v>#VALUE!</v>
      </c>
      <c r="HP118">
        <f>IF('Planilla_General_29-11-2012_10_'!1776:1776,"AAAAAH/Wd98=",0)</f>
        <v>0</v>
      </c>
      <c r="HQ118" t="e">
        <f>AND('Planilla_General_29-11-2012_10_'!A1776,"AAAAAH/Wd+A=")</f>
        <v>#VALUE!</v>
      </c>
      <c r="HR118" t="e">
        <f>AND('Planilla_General_29-11-2012_10_'!B1776,"AAAAAH/Wd+E=")</f>
        <v>#VALUE!</v>
      </c>
      <c r="HS118" t="e">
        <f>AND('Planilla_General_29-11-2012_10_'!C1776,"AAAAAH/Wd+I=")</f>
        <v>#VALUE!</v>
      </c>
      <c r="HT118" t="e">
        <f>AND('Planilla_General_29-11-2012_10_'!D1776,"AAAAAH/Wd+M=")</f>
        <v>#VALUE!</v>
      </c>
      <c r="HU118" t="e">
        <f>AND('Planilla_General_29-11-2012_10_'!E1776,"AAAAAH/Wd+Q=")</f>
        <v>#VALUE!</v>
      </c>
      <c r="HV118" t="e">
        <f>AND('Planilla_General_29-11-2012_10_'!F1776,"AAAAAH/Wd+U=")</f>
        <v>#VALUE!</v>
      </c>
      <c r="HW118" t="e">
        <f>AND('Planilla_General_29-11-2012_10_'!G1776,"AAAAAH/Wd+Y=")</f>
        <v>#VALUE!</v>
      </c>
      <c r="HX118" t="e">
        <f>AND('Planilla_General_29-11-2012_10_'!H1776,"AAAAAH/Wd+c=")</f>
        <v>#VALUE!</v>
      </c>
      <c r="HY118" t="e">
        <f>AND('Planilla_General_29-11-2012_10_'!I1776,"AAAAAH/Wd+g=")</f>
        <v>#VALUE!</v>
      </c>
      <c r="HZ118" t="e">
        <f>AND('Planilla_General_29-11-2012_10_'!J1776,"AAAAAH/Wd+k=")</f>
        <v>#VALUE!</v>
      </c>
      <c r="IA118" t="e">
        <f>AND('Planilla_General_29-11-2012_10_'!K1776,"AAAAAH/Wd+o=")</f>
        <v>#VALUE!</v>
      </c>
      <c r="IB118" t="e">
        <f>AND('Planilla_General_29-11-2012_10_'!L1776,"AAAAAH/Wd+s=")</f>
        <v>#VALUE!</v>
      </c>
      <c r="IC118" t="e">
        <f>AND('Planilla_General_29-11-2012_10_'!M1776,"AAAAAH/Wd+w=")</f>
        <v>#VALUE!</v>
      </c>
      <c r="ID118" t="e">
        <f>AND('Planilla_General_29-11-2012_10_'!N1776,"AAAAAH/Wd+0=")</f>
        <v>#VALUE!</v>
      </c>
      <c r="IE118" t="e">
        <f>AND('Planilla_General_29-11-2012_10_'!O1776,"AAAAAH/Wd+4=")</f>
        <v>#VALUE!</v>
      </c>
      <c r="IF118" t="e">
        <f>AND('Planilla_General_29-11-2012_10_'!P1776,"AAAAAH/Wd+8=")</f>
        <v>#VALUE!</v>
      </c>
      <c r="IG118">
        <f>IF('Planilla_General_29-11-2012_10_'!1777:1777,"AAAAAH/Wd/A=",0)</f>
        <v>0</v>
      </c>
      <c r="IH118" t="e">
        <f>AND('Planilla_General_29-11-2012_10_'!A1777,"AAAAAH/Wd/E=")</f>
        <v>#VALUE!</v>
      </c>
      <c r="II118" t="e">
        <f>AND('Planilla_General_29-11-2012_10_'!B1777,"AAAAAH/Wd/I=")</f>
        <v>#VALUE!</v>
      </c>
      <c r="IJ118" t="e">
        <f>AND('Planilla_General_29-11-2012_10_'!C1777,"AAAAAH/Wd/M=")</f>
        <v>#VALUE!</v>
      </c>
      <c r="IK118" t="e">
        <f>AND('Planilla_General_29-11-2012_10_'!D1777,"AAAAAH/Wd/Q=")</f>
        <v>#VALUE!</v>
      </c>
      <c r="IL118" t="e">
        <f>AND('Planilla_General_29-11-2012_10_'!E1777,"AAAAAH/Wd/U=")</f>
        <v>#VALUE!</v>
      </c>
      <c r="IM118" t="e">
        <f>AND('Planilla_General_29-11-2012_10_'!F1777,"AAAAAH/Wd/Y=")</f>
        <v>#VALUE!</v>
      </c>
      <c r="IN118" t="e">
        <f>AND('Planilla_General_29-11-2012_10_'!G1777,"AAAAAH/Wd/c=")</f>
        <v>#VALUE!</v>
      </c>
      <c r="IO118" t="e">
        <f>AND('Planilla_General_29-11-2012_10_'!H1777,"AAAAAH/Wd/g=")</f>
        <v>#VALUE!</v>
      </c>
      <c r="IP118" t="e">
        <f>AND('Planilla_General_29-11-2012_10_'!I1777,"AAAAAH/Wd/k=")</f>
        <v>#VALUE!</v>
      </c>
      <c r="IQ118" t="e">
        <f>AND('Planilla_General_29-11-2012_10_'!J1777,"AAAAAH/Wd/o=")</f>
        <v>#VALUE!</v>
      </c>
      <c r="IR118" t="e">
        <f>AND('Planilla_General_29-11-2012_10_'!K1777,"AAAAAH/Wd/s=")</f>
        <v>#VALUE!</v>
      </c>
      <c r="IS118" t="e">
        <f>AND('Planilla_General_29-11-2012_10_'!L1777,"AAAAAH/Wd/w=")</f>
        <v>#VALUE!</v>
      </c>
      <c r="IT118" t="e">
        <f>AND('Planilla_General_29-11-2012_10_'!M1777,"AAAAAH/Wd/0=")</f>
        <v>#VALUE!</v>
      </c>
      <c r="IU118" t="e">
        <f>AND('Planilla_General_29-11-2012_10_'!N1777,"AAAAAH/Wd/4=")</f>
        <v>#VALUE!</v>
      </c>
      <c r="IV118" t="e">
        <f>AND('Planilla_General_29-11-2012_10_'!O1777,"AAAAAH/Wd/8=")</f>
        <v>#VALUE!</v>
      </c>
    </row>
    <row r="119" spans="1:256" x14ac:dyDescent="0.25">
      <c r="A119" t="e">
        <f>AND('Planilla_General_29-11-2012_10_'!P1777,"AAAAAGvd/wA=")</f>
        <v>#VALUE!</v>
      </c>
      <c r="B119" t="e">
        <f>IF('Planilla_General_29-11-2012_10_'!1778:1778,"AAAAAGvd/wE=",0)</f>
        <v>#VALUE!</v>
      </c>
      <c r="C119" t="e">
        <f>AND('Planilla_General_29-11-2012_10_'!A1778,"AAAAAGvd/wI=")</f>
        <v>#VALUE!</v>
      </c>
      <c r="D119" t="e">
        <f>AND('Planilla_General_29-11-2012_10_'!B1778,"AAAAAGvd/wM=")</f>
        <v>#VALUE!</v>
      </c>
      <c r="E119" t="e">
        <f>AND('Planilla_General_29-11-2012_10_'!C1778,"AAAAAGvd/wQ=")</f>
        <v>#VALUE!</v>
      </c>
      <c r="F119" t="e">
        <f>AND('Planilla_General_29-11-2012_10_'!D1778,"AAAAAGvd/wU=")</f>
        <v>#VALUE!</v>
      </c>
      <c r="G119" t="e">
        <f>AND('Planilla_General_29-11-2012_10_'!E1778,"AAAAAGvd/wY=")</f>
        <v>#VALUE!</v>
      </c>
      <c r="H119" t="e">
        <f>AND('Planilla_General_29-11-2012_10_'!F1778,"AAAAAGvd/wc=")</f>
        <v>#VALUE!</v>
      </c>
      <c r="I119" t="e">
        <f>AND('Planilla_General_29-11-2012_10_'!G1778,"AAAAAGvd/wg=")</f>
        <v>#VALUE!</v>
      </c>
      <c r="J119" t="e">
        <f>AND('Planilla_General_29-11-2012_10_'!H1778,"AAAAAGvd/wk=")</f>
        <v>#VALUE!</v>
      </c>
      <c r="K119" t="e">
        <f>AND('Planilla_General_29-11-2012_10_'!I1778,"AAAAAGvd/wo=")</f>
        <v>#VALUE!</v>
      </c>
      <c r="L119" t="e">
        <f>AND('Planilla_General_29-11-2012_10_'!J1778,"AAAAAGvd/ws=")</f>
        <v>#VALUE!</v>
      </c>
      <c r="M119" t="e">
        <f>AND('Planilla_General_29-11-2012_10_'!K1778,"AAAAAGvd/ww=")</f>
        <v>#VALUE!</v>
      </c>
      <c r="N119" t="e">
        <f>AND('Planilla_General_29-11-2012_10_'!L1778,"AAAAAGvd/w0=")</f>
        <v>#VALUE!</v>
      </c>
      <c r="O119" t="e">
        <f>AND('Planilla_General_29-11-2012_10_'!M1778,"AAAAAGvd/w4=")</f>
        <v>#VALUE!</v>
      </c>
      <c r="P119" t="e">
        <f>AND('Planilla_General_29-11-2012_10_'!N1778,"AAAAAGvd/w8=")</f>
        <v>#VALUE!</v>
      </c>
      <c r="Q119" t="e">
        <f>AND('Planilla_General_29-11-2012_10_'!O1778,"AAAAAGvd/xA=")</f>
        <v>#VALUE!</v>
      </c>
      <c r="R119" t="e">
        <f>AND('Planilla_General_29-11-2012_10_'!P1778,"AAAAAGvd/xE=")</f>
        <v>#VALUE!</v>
      </c>
      <c r="S119">
        <f>IF('Planilla_General_29-11-2012_10_'!1779:1779,"AAAAAGvd/xI=",0)</f>
        <v>0</v>
      </c>
      <c r="T119" t="e">
        <f>AND('Planilla_General_29-11-2012_10_'!A1779,"AAAAAGvd/xM=")</f>
        <v>#VALUE!</v>
      </c>
      <c r="U119" t="e">
        <f>AND('Planilla_General_29-11-2012_10_'!B1779,"AAAAAGvd/xQ=")</f>
        <v>#VALUE!</v>
      </c>
      <c r="V119" t="e">
        <f>AND('Planilla_General_29-11-2012_10_'!C1779,"AAAAAGvd/xU=")</f>
        <v>#VALUE!</v>
      </c>
      <c r="W119" t="e">
        <f>AND('Planilla_General_29-11-2012_10_'!D1779,"AAAAAGvd/xY=")</f>
        <v>#VALUE!</v>
      </c>
      <c r="X119" t="e">
        <f>AND('Planilla_General_29-11-2012_10_'!E1779,"AAAAAGvd/xc=")</f>
        <v>#VALUE!</v>
      </c>
      <c r="Y119" t="e">
        <f>AND('Planilla_General_29-11-2012_10_'!F1779,"AAAAAGvd/xg=")</f>
        <v>#VALUE!</v>
      </c>
      <c r="Z119" t="e">
        <f>AND('Planilla_General_29-11-2012_10_'!G1779,"AAAAAGvd/xk=")</f>
        <v>#VALUE!</v>
      </c>
      <c r="AA119" t="e">
        <f>AND('Planilla_General_29-11-2012_10_'!H1779,"AAAAAGvd/xo=")</f>
        <v>#VALUE!</v>
      </c>
      <c r="AB119" t="e">
        <f>AND('Planilla_General_29-11-2012_10_'!I1779,"AAAAAGvd/xs=")</f>
        <v>#VALUE!</v>
      </c>
      <c r="AC119" t="e">
        <f>AND('Planilla_General_29-11-2012_10_'!J1779,"AAAAAGvd/xw=")</f>
        <v>#VALUE!</v>
      </c>
      <c r="AD119" t="e">
        <f>AND('Planilla_General_29-11-2012_10_'!K1779,"AAAAAGvd/x0=")</f>
        <v>#VALUE!</v>
      </c>
      <c r="AE119" t="e">
        <f>AND('Planilla_General_29-11-2012_10_'!L1779,"AAAAAGvd/x4=")</f>
        <v>#VALUE!</v>
      </c>
      <c r="AF119" t="e">
        <f>AND('Planilla_General_29-11-2012_10_'!M1779,"AAAAAGvd/x8=")</f>
        <v>#VALUE!</v>
      </c>
      <c r="AG119" t="e">
        <f>AND('Planilla_General_29-11-2012_10_'!N1779,"AAAAAGvd/yA=")</f>
        <v>#VALUE!</v>
      </c>
      <c r="AH119" t="e">
        <f>AND('Planilla_General_29-11-2012_10_'!O1779,"AAAAAGvd/yE=")</f>
        <v>#VALUE!</v>
      </c>
      <c r="AI119" t="e">
        <f>AND('Planilla_General_29-11-2012_10_'!P1779,"AAAAAGvd/yI=")</f>
        <v>#VALUE!</v>
      </c>
      <c r="AJ119">
        <f>IF('Planilla_General_29-11-2012_10_'!1780:1780,"AAAAAGvd/yM=",0)</f>
        <v>0</v>
      </c>
      <c r="AK119" t="e">
        <f>AND('Planilla_General_29-11-2012_10_'!A1780,"AAAAAGvd/yQ=")</f>
        <v>#VALUE!</v>
      </c>
      <c r="AL119" t="e">
        <f>AND('Planilla_General_29-11-2012_10_'!B1780,"AAAAAGvd/yU=")</f>
        <v>#VALUE!</v>
      </c>
      <c r="AM119" t="e">
        <f>AND('Planilla_General_29-11-2012_10_'!C1780,"AAAAAGvd/yY=")</f>
        <v>#VALUE!</v>
      </c>
      <c r="AN119" t="e">
        <f>AND('Planilla_General_29-11-2012_10_'!D1780,"AAAAAGvd/yc=")</f>
        <v>#VALUE!</v>
      </c>
      <c r="AO119" t="e">
        <f>AND('Planilla_General_29-11-2012_10_'!E1780,"AAAAAGvd/yg=")</f>
        <v>#VALUE!</v>
      </c>
      <c r="AP119" t="e">
        <f>AND('Planilla_General_29-11-2012_10_'!F1780,"AAAAAGvd/yk=")</f>
        <v>#VALUE!</v>
      </c>
      <c r="AQ119" t="e">
        <f>AND('Planilla_General_29-11-2012_10_'!G1780,"AAAAAGvd/yo=")</f>
        <v>#VALUE!</v>
      </c>
      <c r="AR119" t="e">
        <f>AND('Planilla_General_29-11-2012_10_'!H1780,"AAAAAGvd/ys=")</f>
        <v>#VALUE!</v>
      </c>
      <c r="AS119" t="e">
        <f>AND('Planilla_General_29-11-2012_10_'!I1780,"AAAAAGvd/yw=")</f>
        <v>#VALUE!</v>
      </c>
      <c r="AT119" t="e">
        <f>AND('Planilla_General_29-11-2012_10_'!J1780,"AAAAAGvd/y0=")</f>
        <v>#VALUE!</v>
      </c>
      <c r="AU119" t="e">
        <f>AND('Planilla_General_29-11-2012_10_'!K1780,"AAAAAGvd/y4=")</f>
        <v>#VALUE!</v>
      </c>
      <c r="AV119" t="e">
        <f>AND('Planilla_General_29-11-2012_10_'!L1780,"AAAAAGvd/y8=")</f>
        <v>#VALUE!</v>
      </c>
      <c r="AW119" t="e">
        <f>AND('Planilla_General_29-11-2012_10_'!M1780,"AAAAAGvd/zA=")</f>
        <v>#VALUE!</v>
      </c>
      <c r="AX119" t="e">
        <f>AND('Planilla_General_29-11-2012_10_'!N1780,"AAAAAGvd/zE=")</f>
        <v>#VALUE!</v>
      </c>
      <c r="AY119" t="e">
        <f>AND('Planilla_General_29-11-2012_10_'!O1780,"AAAAAGvd/zI=")</f>
        <v>#VALUE!</v>
      </c>
      <c r="AZ119" t="e">
        <f>AND('Planilla_General_29-11-2012_10_'!P1780,"AAAAAGvd/zM=")</f>
        <v>#VALUE!</v>
      </c>
      <c r="BA119">
        <f>IF('Planilla_General_29-11-2012_10_'!1781:1781,"AAAAAGvd/zQ=",0)</f>
        <v>0</v>
      </c>
      <c r="BB119" t="e">
        <f>AND('Planilla_General_29-11-2012_10_'!A1781,"AAAAAGvd/zU=")</f>
        <v>#VALUE!</v>
      </c>
      <c r="BC119" t="e">
        <f>AND('Planilla_General_29-11-2012_10_'!B1781,"AAAAAGvd/zY=")</f>
        <v>#VALUE!</v>
      </c>
      <c r="BD119" t="e">
        <f>AND('Planilla_General_29-11-2012_10_'!C1781,"AAAAAGvd/zc=")</f>
        <v>#VALUE!</v>
      </c>
      <c r="BE119" t="e">
        <f>AND('Planilla_General_29-11-2012_10_'!D1781,"AAAAAGvd/zg=")</f>
        <v>#VALUE!</v>
      </c>
      <c r="BF119" t="e">
        <f>AND('Planilla_General_29-11-2012_10_'!E1781,"AAAAAGvd/zk=")</f>
        <v>#VALUE!</v>
      </c>
      <c r="BG119" t="e">
        <f>AND('Planilla_General_29-11-2012_10_'!F1781,"AAAAAGvd/zo=")</f>
        <v>#VALUE!</v>
      </c>
      <c r="BH119" t="e">
        <f>AND('Planilla_General_29-11-2012_10_'!G1781,"AAAAAGvd/zs=")</f>
        <v>#VALUE!</v>
      </c>
      <c r="BI119" t="e">
        <f>AND('Planilla_General_29-11-2012_10_'!H1781,"AAAAAGvd/zw=")</f>
        <v>#VALUE!</v>
      </c>
      <c r="BJ119" t="e">
        <f>AND('Planilla_General_29-11-2012_10_'!I1781,"AAAAAGvd/z0=")</f>
        <v>#VALUE!</v>
      </c>
      <c r="BK119" t="e">
        <f>AND('Planilla_General_29-11-2012_10_'!J1781,"AAAAAGvd/z4=")</f>
        <v>#VALUE!</v>
      </c>
      <c r="BL119" t="e">
        <f>AND('Planilla_General_29-11-2012_10_'!K1781,"AAAAAGvd/z8=")</f>
        <v>#VALUE!</v>
      </c>
      <c r="BM119" t="e">
        <f>AND('Planilla_General_29-11-2012_10_'!L1781,"AAAAAGvd/0A=")</f>
        <v>#VALUE!</v>
      </c>
      <c r="BN119" t="e">
        <f>AND('Planilla_General_29-11-2012_10_'!M1781,"AAAAAGvd/0E=")</f>
        <v>#VALUE!</v>
      </c>
      <c r="BO119" t="e">
        <f>AND('Planilla_General_29-11-2012_10_'!N1781,"AAAAAGvd/0I=")</f>
        <v>#VALUE!</v>
      </c>
      <c r="BP119" t="e">
        <f>AND('Planilla_General_29-11-2012_10_'!O1781,"AAAAAGvd/0M=")</f>
        <v>#VALUE!</v>
      </c>
      <c r="BQ119" t="e">
        <f>AND('Planilla_General_29-11-2012_10_'!P1781,"AAAAAGvd/0Q=")</f>
        <v>#VALUE!</v>
      </c>
      <c r="BR119">
        <f>IF('Planilla_General_29-11-2012_10_'!1782:1782,"AAAAAGvd/0U=",0)</f>
        <v>0</v>
      </c>
      <c r="BS119" t="e">
        <f>AND('Planilla_General_29-11-2012_10_'!A1782,"AAAAAGvd/0Y=")</f>
        <v>#VALUE!</v>
      </c>
      <c r="BT119" t="e">
        <f>AND('Planilla_General_29-11-2012_10_'!B1782,"AAAAAGvd/0c=")</f>
        <v>#VALUE!</v>
      </c>
      <c r="BU119" t="e">
        <f>AND('Planilla_General_29-11-2012_10_'!C1782,"AAAAAGvd/0g=")</f>
        <v>#VALUE!</v>
      </c>
      <c r="BV119" t="e">
        <f>AND('Planilla_General_29-11-2012_10_'!D1782,"AAAAAGvd/0k=")</f>
        <v>#VALUE!</v>
      </c>
      <c r="BW119" t="e">
        <f>AND('Planilla_General_29-11-2012_10_'!E1782,"AAAAAGvd/0o=")</f>
        <v>#VALUE!</v>
      </c>
      <c r="BX119" t="e">
        <f>AND('Planilla_General_29-11-2012_10_'!F1782,"AAAAAGvd/0s=")</f>
        <v>#VALUE!</v>
      </c>
      <c r="BY119" t="e">
        <f>AND('Planilla_General_29-11-2012_10_'!G1782,"AAAAAGvd/0w=")</f>
        <v>#VALUE!</v>
      </c>
      <c r="BZ119" t="e">
        <f>AND('Planilla_General_29-11-2012_10_'!H1782,"AAAAAGvd/00=")</f>
        <v>#VALUE!</v>
      </c>
      <c r="CA119" t="e">
        <f>AND('Planilla_General_29-11-2012_10_'!I1782,"AAAAAGvd/04=")</f>
        <v>#VALUE!</v>
      </c>
      <c r="CB119" t="e">
        <f>AND('Planilla_General_29-11-2012_10_'!J1782,"AAAAAGvd/08=")</f>
        <v>#VALUE!</v>
      </c>
      <c r="CC119" t="e">
        <f>AND('Planilla_General_29-11-2012_10_'!K1782,"AAAAAGvd/1A=")</f>
        <v>#VALUE!</v>
      </c>
      <c r="CD119" t="e">
        <f>AND('Planilla_General_29-11-2012_10_'!L1782,"AAAAAGvd/1E=")</f>
        <v>#VALUE!</v>
      </c>
      <c r="CE119" t="e">
        <f>AND('Planilla_General_29-11-2012_10_'!M1782,"AAAAAGvd/1I=")</f>
        <v>#VALUE!</v>
      </c>
      <c r="CF119" t="e">
        <f>AND('Planilla_General_29-11-2012_10_'!N1782,"AAAAAGvd/1M=")</f>
        <v>#VALUE!</v>
      </c>
      <c r="CG119" t="e">
        <f>AND('Planilla_General_29-11-2012_10_'!O1782,"AAAAAGvd/1Q=")</f>
        <v>#VALUE!</v>
      </c>
      <c r="CH119" t="e">
        <f>AND('Planilla_General_29-11-2012_10_'!P1782,"AAAAAGvd/1U=")</f>
        <v>#VALUE!</v>
      </c>
      <c r="CI119">
        <f>IF('Planilla_General_29-11-2012_10_'!1783:1783,"AAAAAGvd/1Y=",0)</f>
        <v>0</v>
      </c>
      <c r="CJ119" t="e">
        <f>AND('Planilla_General_29-11-2012_10_'!A1783,"AAAAAGvd/1c=")</f>
        <v>#VALUE!</v>
      </c>
      <c r="CK119" t="e">
        <f>AND('Planilla_General_29-11-2012_10_'!B1783,"AAAAAGvd/1g=")</f>
        <v>#VALUE!</v>
      </c>
      <c r="CL119" t="e">
        <f>AND('Planilla_General_29-11-2012_10_'!C1783,"AAAAAGvd/1k=")</f>
        <v>#VALUE!</v>
      </c>
      <c r="CM119" t="e">
        <f>AND('Planilla_General_29-11-2012_10_'!D1783,"AAAAAGvd/1o=")</f>
        <v>#VALUE!</v>
      </c>
      <c r="CN119" t="e">
        <f>AND('Planilla_General_29-11-2012_10_'!E1783,"AAAAAGvd/1s=")</f>
        <v>#VALUE!</v>
      </c>
      <c r="CO119" t="e">
        <f>AND('Planilla_General_29-11-2012_10_'!F1783,"AAAAAGvd/1w=")</f>
        <v>#VALUE!</v>
      </c>
      <c r="CP119" t="e">
        <f>AND('Planilla_General_29-11-2012_10_'!G1783,"AAAAAGvd/10=")</f>
        <v>#VALUE!</v>
      </c>
      <c r="CQ119" t="e">
        <f>AND('Planilla_General_29-11-2012_10_'!H1783,"AAAAAGvd/14=")</f>
        <v>#VALUE!</v>
      </c>
      <c r="CR119" t="e">
        <f>AND('Planilla_General_29-11-2012_10_'!I1783,"AAAAAGvd/18=")</f>
        <v>#VALUE!</v>
      </c>
      <c r="CS119" t="e">
        <f>AND('Planilla_General_29-11-2012_10_'!J1783,"AAAAAGvd/2A=")</f>
        <v>#VALUE!</v>
      </c>
      <c r="CT119" t="e">
        <f>AND('Planilla_General_29-11-2012_10_'!K1783,"AAAAAGvd/2E=")</f>
        <v>#VALUE!</v>
      </c>
      <c r="CU119" t="e">
        <f>AND('Planilla_General_29-11-2012_10_'!L1783,"AAAAAGvd/2I=")</f>
        <v>#VALUE!</v>
      </c>
      <c r="CV119" t="e">
        <f>AND('Planilla_General_29-11-2012_10_'!M1783,"AAAAAGvd/2M=")</f>
        <v>#VALUE!</v>
      </c>
      <c r="CW119" t="e">
        <f>AND('Planilla_General_29-11-2012_10_'!N1783,"AAAAAGvd/2Q=")</f>
        <v>#VALUE!</v>
      </c>
      <c r="CX119" t="e">
        <f>AND('Planilla_General_29-11-2012_10_'!O1783,"AAAAAGvd/2U=")</f>
        <v>#VALUE!</v>
      </c>
      <c r="CY119" t="e">
        <f>AND('Planilla_General_29-11-2012_10_'!P1783,"AAAAAGvd/2Y=")</f>
        <v>#VALUE!</v>
      </c>
      <c r="CZ119">
        <f>IF('Planilla_General_29-11-2012_10_'!1784:1784,"AAAAAGvd/2c=",0)</f>
        <v>0</v>
      </c>
      <c r="DA119" t="e">
        <f>AND('Planilla_General_29-11-2012_10_'!A1784,"AAAAAGvd/2g=")</f>
        <v>#VALUE!</v>
      </c>
      <c r="DB119" t="e">
        <f>AND('Planilla_General_29-11-2012_10_'!B1784,"AAAAAGvd/2k=")</f>
        <v>#VALUE!</v>
      </c>
      <c r="DC119" t="e">
        <f>AND('Planilla_General_29-11-2012_10_'!C1784,"AAAAAGvd/2o=")</f>
        <v>#VALUE!</v>
      </c>
      <c r="DD119" t="e">
        <f>AND('Planilla_General_29-11-2012_10_'!D1784,"AAAAAGvd/2s=")</f>
        <v>#VALUE!</v>
      </c>
      <c r="DE119" t="e">
        <f>AND('Planilla_General_29-11-2012_10_'!E1784,"AAAAAGvd/2w=")</f>
        <v>#VALUE!</v>
      </c>
      <c r="DF119" t="e">
        <f>AND('Planilla_General_29-11-2012_10_'!F1784,"AAAAAGvd/20=")</f>
        <v>#VALUE!</v>
      </c>
      <c r="DG119" t="e">
        <f>AND('Planilla_General_29-11-2012_10_'!G1784,"AAAAAGvd/24=")</f>
        <v>#VALUE!</v>
      </c>
      <c r="DH119" t="e">
        <f>AND('Planilla_General_29-11-2012_10_'!H1784,"AAAAAGvd/28=")</f>
        <v>#VALUE!</v>
      </c>
      <c r="DI119" t="e">
        <f>AND('Planilla_General_29-11-2012_10_'!I1784,"AAAAAGvd/3A=")</f>
        <v>#VALUE!</v>
      </c>
      <c r="DJ119" t="e">
        <f>AND('Planilla_General_29-11-2012_10_'!J1784,"AAAAAGvd/3E=")</f>
        <v>#VALUE!</v>
      </c>
      <c r="DK119" t="e">
        <f>AND('Planilla_General_29-11-2012_10_'!K1784,"AAAAAGvd/3I=")</f>
        <v>#VALUE!</v>
      </c>
      <c r="DL119" t="e">
        <f>AND('Planilla_General_29-11-2012_10_'!L1784,"AAAAAGvd/3M=")</f>
        <v>#VALUE!</v>
      </c>
      <c r="DM119" t="e">
        <f>AND('Planilla_General_29-11-2012_10_'!M1784,"AAAAAGvd/3Q=")</f>
        <v>#VALUE!</v>
      </c>
      <c r="DN119" t="e">
        <f>AND('Planilla_General_29-11-2012_10_'!N1784,"AAAAAGvd/3U=")</f>
        <v>#VALUE!</v>
      </c>
      <c r="DO119" t="e">
        <f>AND('Planilla_General_29-11-2012_10_'!O1784,"AAAAAGvd/3Y=")</f>
        <v>#VALUE!</v>
      </c>
      <c r="DP119" t="e">
        <f>AND('Planilla_General_29-11-2012_10_'!P1784,"AAAAAGvd/3c=")</f>
        <v>#VALUE!</v>
      </c>
      <c r="DQ119">
        <f>IF('Planilla_General_29-11-2012_10_'!1785:1785,"AAAAAGvd/3g=",0)</f>
        <v>0</v>
      </c>
      <c r="DR119" t="e">
        <f>AND('Planilla_General_29-11-2012_10_'!A1785,"AAAAAGvd/3k=")</f>
        <v>#VALUE!</v>
      </c>
      <c r="DS119" t="e">
        <f>AND('Planilla_General_29-11-2012_10_'!B1785,"AAAAAGvd/3o=")</f>
        <v>#VALUE!</v>
      </c>
      <c r="DT119" t="e">
        <f>AND('Planilla_General_29-11-2012_10_'!C1785,"AAAAAGvd/3s=")</f>
        <v>#VALUE!</v>
      </c>
      <c r="DU119" t="e">
        <f>AND('Planilla_General_29-11-2012_10_'!D1785,"AAAAAGvd/3w=")</f>
        <v>#VALUE!</v>
      </c>
      <c r="DV119" t="e">
        <f>AND('Planilla_General_29-11-2012_10_'!E1785,"AAAAAGvd/30=")</f>
        <v>#VALUE!</v>
      </c>
      <c r="DW119" t="e">
        <f>AND('Planilla_General_29-11-2012_10_'!F1785,"AAAAAGvd/34=")</f>
        <v>#VALUE!</v>
      </c>
      <c r="DX119" t="e">
        <f>AND('Planilla_General_29-11-2012_10_'!G1785,"AAAAAGvd/38=")</f>
        <v>#VALUE!</v>
      </c>
      <c r="DY119" t="e">
        <f>AND('Planilla_General_29-11-2012_10_'!H1785,"AAAAAGvd/4A=")</f>
        <v>#VALUE!</v>
      </c>
      <c r="DZ119" t="e">
        <f>AND('Planilla_General_29-11-2012_10_'!I1785,"AAAAAGvd/4E=")</f>
        <v>#VALUE!</v>
      </c>
      <c r="EA119" t="e">
        <f>AND('Planilla_General_29-11-2012_10_'!J1785,"AAAAAGvd/4I=")</f>
        <v>#VALUE!</v>
      </c>
      <c r="EB119" t="e">
        <f>AND('Planilla_General_29-11-2012_10_'!K1785,"AAAAAGvd/4M=")</f>
        <v>#VALUE!</v>
      </c>
      <c r="EC119" t="e">
        <f>AND('Planilla_General_29-11-2012_10_'!L1785,"AAAAAGvd/4Q=")</f>
        <v>#VALUE!</v>
      </c>
      <c r="ED119" t="e">
        <f>AND('Planilla_General_29-11-2012_10_'!M1785,"AAAAAGvd/4U=")</f>
        <v>#VALUE!</v>
      </c>
      <c r="EE119" t="e">
        <f>AND('Planilla_General_29-11-2012_10_'!N1785,"AAAAAGvd/4Y=")</f>
        <v>#VALUE!</v>
      </c>
      <c r="EF119" t="e">
        <f>AND('Planilla_General_29-11-2012_10_'!O1785,"AAAAAGvd/4c=")</f>
        <v>#VALUE!</v>
      </c>
      <c r="EG119" t="e">
        <f>AND('Planilla_General_29-11-2012_10_'!P1785,"AAAAAGvd/4g=")</f>
        <v>#VALUE!</v>
      </c>
      <c r="EH119">
        <f>IF('Planilla_General_29-11-2012_10_'!1786:1786,"AAAAAGvd/4k=",0)</f>
        <v>0</v>
      </c>
      <c r="EI119" t="e">
        <f>AND('Planilla_General_29-11-2012_10_'!A1786,"AAAAAGvd/4o=")</f>
        <v>#VALUE!</v>
      </c>
      <c r="EJ119" t="e">
        <f>AND('Planilla_General_29-11-2012_10_'!B1786,"AAAAAGvd/4s=")</f>
        <v>#VALUE!</v>
      </c>
      <c r="EK119" t="e">
        <f>AND('Planilla_General_29-11-2012_10_'!C1786,"AAAAAGvd/4w=")</f>
        <v>#VALUE!</v>
      </c>
      <c r="EL119" t="e">
        <f>AND('Planilla_General_29-11-2012_10_'!D1786,"AAAAAGvd/40=")</f>
        <v>#VALUE!</v>
      </c>
      <c r="EM119" t="e">
        <f>AND('Planilla_General_29-11-2012_10_'!E1786,"AAAAAGvd/44=")</f>
        <v>#VALUE!</v>
      </c>
      <c r="EN119" t="e">
        <f>AND('Planilla_General_29-11-2012_10_'!F1786,"AAAAAGvd/48=")</f>
        <v>#VALUE!</v>
      </c>
      <c r="EO119" t="e">
        <f>AND('Planilla_General_29-11-2012_10_'!G1786,"AAAAAGvd/5A=")</f>
        <v>#VALUE!</v>
      </c>
      <c r="EP119" t="e">
        <f>AND('Planilla_General_29-11-2012_10_'!H1786,"AAAAAGvd/5E=")</f>
        <v>#VALUE!</v>
      </c>
      <c r="EQ119" t="e">
        <f>AND('Planilla_General_29-11-2012_10_'!I1786,"AAAAAGvd/5I=")</f>
        <v>#VALUE!</v>
      </c>
      <c r="ER119" t="e">
        <f>AND('Planilla_General_29-11-2012_10_'!J1786,"AAAAAGvd/5M=")</f>
        <v>#VALUE!</v>
      </c>
      <c r="ES119" t="e">
        <f>AND('Planilla_General_29-11-2012_10_'!K1786,"AAAAAGvd/5Q=")</f>
        <v>#VALUE!</v>
      </c>
      <c r="ET119" t="e">
        <f>AND('Planilla_General_29-11-2012_10_'!L1786,"AAAAAGvd/5U=")</f>
        <v>#VALUE!</v>
      </c>
      <c r="EU119" t="e">
        <f>AND('Planilla_General_29-11-2012_10_'!M1786,"AAAAAGvd/5Y=")</f>
        <v>#VALUE!</v>
      </c>
      <c r="EV119" t="e">
        <f>AND('Planilla_General_29-11-2012_10_'!N1786,"AAAAAGvd/5c=")</f>
        <v>#VALUE!</v>
      </c>
      <c r="EW119" t="e">
        <f>AND('Planilla_General_29-11-2012_10_'!O1786,"AAAAAGvd/5g=")</f>
        <v>#VALUE!</v>
      </c>
      <c r="EX119" t="e">
        <f>AND('Planilla_General_29-11-2012_10_'!P1786,"AAAAAGvd/5k=")</f>
        <v>#VALUE!</v>
      </c>
      <c r="EY119">
        <f>IF('Planilla_General_29-11-2012_10_'!1787:1787,"AAAAAGvd/5o=",0)</f>
        <v>0</v>
      </c>
      <c r="EZ119" t="e">
        <f>AND('Planilla_General_29-11-2012_10_'!A1787,"AAAAAGvd/5s=")</f>
        <v>#VALUE!</v>
      </c>
      <c r="FA119" t="e">
        <f>AND('Planilla_General_29-11-2012_10_'!B1787,"AAAAAGvd/5w=")</f>
        <v>#VALUE!</v>
      </c>
      <c r="FB119" t="e">
        <f>AND('Planilla_General_29-11-2012_10_'!C1787,"AAAAAGvd/50=")</f>
        <v>#VALUE!</v>
      </c>
      <c r="FC119" t="e">
        <f>AND('Planilla_General_29-11-2012_10_'!D1787,"AAAAAGvd/54=")</f>
        <v>#VALUE!</v>
      </c>
      <c r="FD119" t="e">
        <f>AND('Planilla_General_29-11-2012_10_'!E1787,"AAAAAGvd/58=")</f>
        <v>#VALUE!</v>
      </c>
      <c r="FE119" t="e">
        <f>AND('Planilla_General_29-11-2012_10_'!F1787,"AAAAAGvd/6A=")</f>
        <v>#VALUE!</v>
      </c>
      <c r="FF119" t="e">
        <f>AND('Planilla_General_29-11-2012_10_'!G1787,"AAAAAGvd/6E=")</f>
        <v>#VALUE!</v>
      </c>
      <c r="FG119" t="e">
        <f>AND('Planilla_General_29-11-2012_10_'!H1787,"AAAAAGvd/6I=")</f>
        <v>#VALUE!</v>
      </c>
      <c r="FH119" t="e">
        <f>AND('Planilla_General_29-11-2012_10_'!I1787,"AAAAAGvd/6M=")</f>
        <v>#VALUE!</v>
      </c>
      <c r="FI119" t="e">
        <f>AND('Planilla_General_29-11-2012_10_'!J1787,"AAAAAGvd/6Q=")</f>
        <v>#VALUE!</v>
      </c>
      <c r="FJ119" t="e">
        <f>AND('Planilla_General_29-11-2012_10_'!K1787,"AAAAAGvd/6U=")</f>
        <v>#VALUE!</v>
      </c>
      <c r="FK119" t="e">
        <f>AND('Planilla_General_29-11-2012_10_'!L1787,"AAAAAGvd/6Y=")</f>
        <v>#VALUE!</v>
      </c>
      <c r="FL119" t="e">
        <f>AND('Planilla_General_29-11-2012_10_'!M1787,"AAAAAGvd/6c=")</f>
        <v>#VALUE!</v>
      </c>
      <c r="FM119" t="e">
        <f>AND('Planilla_General_29-11-2012_10_'!N1787,"AAAAAGvd/6g=")</f>
        <v>#VALUE!</v>
      </c>
      <c r="FN119" t="e">
        <f>AND('Planilla_General_29-11-2012_10_'!O1787,"AAAAAGvd/6k=")</f>
        <v>#VALUE!</v>
      </c>
      <c r="FO119" t="e">
        <f>AND('Planilla_General_29-11-2012_10_'!P1787,"AAAAAGvd/6o=")</f>
        <v>#VALUE!</v>
      </c>
      <c r="FP119">
        <f>IF('Planilla_General_29-11-2012_10_'!1788:1788,"AAAAAGvd/6s=",0)</f>
        <v>0</v>
      </c>
      <c r="FQ119" t="e">
        <f>AND('Planilla_General_29-11-2012_10_'!A1788,"AAAAAGvd/6w=")</f>
        <v>#VALUE!</v>
      </c>
      <c r="FR119" t="e">
        <f>AND('Planilla_General_29-11-2012_10_'!B1788,"AAAAAGvd/60=")</f>
        <v>#VALUE!</v>
      </c>
      <c r="FS119" t="e">
        <f>AND('Planilla_General_29-11-2012_10_'!C1788,"AAAAAGvd/64=")</f>
        <v>#VALUE!</v>
      </c>
      <c r="FT119" t="e">
        <f>AND('Planilla_General_29-11-2012_10_'!D1788,"AAAAAGvd/68=")</f>
        <v>#VALUE!</v>
      </c>
      <c r="FU119" t="e">
        <f>AND('Planilla_General_29-11-2012_10_'!E1788,"AAAAAGvd/7A=")</f>
        <v>#VALUE!</v>
      </c>
      <c r="FV119" t="e">
        <f>AND('Planilla_General_29-11-2012_10_'!F1788,"AAAAAGvd/7E=")</f>
        <v>#VALUE!</v>
      </c>
      <c r="FW119" t="e">
        <f>AND('Planilla_General_29-11-2012_10_'!G1788,"AAAAAGvd/7I=")</f>
        <v>#VALUE!</v>
      </c>
      <c r="FX119" t="e">
        <f>AND('Planilla_General_29-11-2012_10_'!H1788,"AAAAAGvd/7M=")</f>
        <v>#VALUE!</v>
      </c>
      <c r="FY119" t="e">
        <f>AND('Planilla_General_29-11-2012_10_'!I1788,"AAAAAGvd/7Q=")</f>
        <v>#VALUE!</v>
      </c>
      <c r="FZ119" t="e">
        <f>AND('Planilla_General_29-11-2012_10_'!J1788,"AAAAAGvd/7U=")</f>
        <v>#VALUE!</v>
      </c>
      <c r="GA119" t="e">
        <f>AND('Planilla_General_29-11-2012_10_'!K1788,"AAAAAGvd/7Y=")</f>
        <v>#VALUE!</v>
      </c>
      <c r="GB119" t="e">
        <f>AND('Planilla_General_29-11-2012_10_'!L1788,"AAAAAGvd/7c=")</f>
        <v>#VALUE!</v>
      </c>
      <c r="GC119" t="e">
        <f>AND('Planilla_General_29-11-2012_10_'!M1788,"AAAAAGvd/7g=")</f>
        <v>#VALUE!</v>
      </c>
      <c r="GD119" t="e">
        <f>AND('Planilla_General_29-11-2012_10_'!N1788,"AAAAAGvd/7k=")</f>
        <v>#VALUE!</v>
      </c>
      <c r="GE119" t="e">
        <f>AND('Planilla_General_29-11-2012_10_'!O1788,"AAAAAGvd/7o=")</f>
        <v>#VALUE!</v>
      </c>
      <c r="GF119" t="e">
        <f>AND('Planilla_General_29-11-2012_10_'!P1788,"AAAAAGvd/7s=")</f>
        <v>#VALUE!</v>
      </c>
      <c r="GG119">
        <f>IF('Planilla_General_29-11-2012_10_'!1789:1789,"AAAAAGvd/7w=",0)</f>
        <v>0</v>
      </c>
      <c r="GH119" t="e">
        <f>AND('Planilla_General_29-11-2012_10_'!A1789,"AAAAAGvd/70=")</f>
        <v>#VALUE!</v>
      </c>
      <c r="GI119" t="e">
        <f>AND('Planilla_General_29-11-2012_10_'!B1789,"AAAAAGvd/74=")</f>
        <v>#VALUE!</v>
      </c>
      <c r="GJ119" t="e">
        <f>AND('Planilla_General_29-11-2012_10_'!C1789,"AAAAAGvd/78=")</f>
        <v>#VALUE!</v>
      </c>
      <c r="GK119" t="e">
        <f>AND('Planilla_General_29-11-2012_10_'!D1789,"AAAAAGvd/8A=")</f>
        <v>#VALUE!</v>
      </c>
      <c r="GL119" t="e">
        <f>AND('Planilla_General_29-11-2012_10_'!E1789,"AAAAAGvd/8E=")</f>
        <v>#VALUE!</v>
      </c>
      <c r="GM119" t="e">
        <f>AND('Planilla_General_29-11-2012_10_'!F1789,"AAAAAGvd/8I=")</f>
        <v>#VALUE!</v>
      </c>
      <c r="GN119" t="e">
        <f>AND('Planilla_General_29-11-2012_10_'!G1789,"AAAAAGvd/8M=")</f>
        <v>#VALUE!</v>
      </c>
      <c r="GO119" t="e">
        <f>AND('Planilla_General_29-11-2012_10_'!H1789,"AAAAAGvd/8Q=")</f>
        <v>#VALUE!</v>
      </c>
      <c r="GP119" t="e">
        <f>AND('Planilla_General_29-11-2012_10_'!I1789,"AAAAAGvd/8U=")</f>
        <v>#VALUE!</v>
      </c>
      <c r="GQ119" t="e">
        <f>AND('Planilla_General_29-11-2012_10_'!J1789,"AAAAAGvd/8Y=")</f>
        <v>#VALUE!</v>
      </c>
      <c r="GR119" t="e">
        <f>AND('Planilla_General_29-11-2012_10_'!K1789,"AAAAAGvd/8c=")</f>
        <v>#VALUE!</v>
      </c>
      <c r="GS119" t="e">
        <f>AND('Planilla_General_29-11-2012_10_'!L1789,"AAAAAGvd/8g=")</f>
        <v>#VALUE!</v>
      </c>
      <c r="GT119" t="e">
        <f>AND('Planilla_General_29-11-2012_10_'!M1789,"AAAAAGvd/8k=")</f>
        <v>#VALUE!</v>
      </c>
      <c r="GU119" t="e">
        <f>AND('Planilla_General_29-11-2012_10_'!N1789,"AAAAAGvd/8o=")</f>
        <v>#VALUE!</v>
      </c>
      <c r="GV119" t="e">
        <f>AND('Planilla_General_29-11-2012_10_'!O1789,"AAAAAGvd/8s=")</f>
        <v>#VALUE!</v>
      </c>
      <c r="GW119" t="e">
        <f>AND('Planilla_General_29-11-2012_10_'!P1789,"AAAAAGvd/8w=")</f>
        <v>#VALUE!</v>
      </c>
      <c r="GX119">
        <f>IF('Planilla_General_29-11-2012_10_'!1790:1790,"AAAAAGvd/80=",0)</f>
        <v>0</v>
      </c>
      <c r="GY119" t="e">
        <f>AND('Planilla_General_29-11-2012_10_'!A1790,"AAAAAGvd/84=")</f>
        <v>#VALUE!</v>
      </c>
      <c r="GZ119" t="e">
        <f>AND('Planilla_General_29-11-2012_10_'!B1790,"AAAAAGvd/88=")</f>
        <v>#VALUE!</v>
      </c>
      <c r="HA119" t="e">
        <f>AND('Planilla_General_29-11-2012_10_'!C1790,"AAAAAGvd/9A=")</f>
        <v>#VALUE!</v>
      </c>
      <c r="HB119" t="e">
        <f>AND('Planilla_General_29-11-2012_10_'!D1790,"AAAAAGvd/9E=")</f>
        <v>#VALUE!</v>
      </c>
      <c r="HC119" t="e">
        <f>AND('Planilla_General_29-11-2012_10_'!E1790,"AAAAAGvd/9I=")</f>
        <v>#VALUE!</v>
      </c>
      <c r="HD119" t="e">
        <f>AND('Planilla_General_29-11-2012_10_'!F1790,"AAAAAGvd/9M=")</f>
        <v>#VALUE!</v>
      </c>
      <c r="HE119" t="e">
        <f>AND('Planilla_General_29-11-2012_10_'!G1790,"AAAAAGvd/9Q=")</f>
        <v>#VALUE!</v>
      </c>
      <c r="HF119" t="e">
        <f>AND('Planilla_General_29-11-2012_10_'!H1790,"AAAAAGvd/9U=")</f>
        <v>#VALUE!</v>
      </c>
      <c r="HG119" t="e">
        <f>AND('Planilla_General_29-11-2012_10_'!I1790,"AAAAAGvd/9Y=")</f>
        <v>#VALUE!</v>
      </c>
      <c r="HH119" t="e">
        <f>AND('Planilla_General_29-11-2012_10_'!J1790,"AAAAAGvd/9c=")</f>
        <v>#VALUE!</v>
      </c>
      <c r="HI119" t="e">
        <f>AND('Planilla_General_29-11-2012_10_'!K1790,"AAAAAGvd/9g=")</f>
        <v>#VALUE!</v>
      </c>
      <c r="HJ119" t="e">
        <f>AND('Planilla_General_29-11-2012_10_'!L1790,"AAAAAGvd/9k=")</f>
        <v>#VALUE!</v>
      </c>
      <c r="HK119" t="e">
        <f>AND('Planilla_General_29-11-2012_10_'!M1790,"AAAAAGvd/9o=")</f>
        <v>#VALUE!</v>
      </c>
      <c r="HL119" t="e">
        <f>AND('Planilla_General_29-11-2012_10_'!N1790,"AAAAAGvd/9s=")</f>
        <v>#VALUE!</v>
      </c>
      <c r="HM119" t="e">
        <f>AND('Planilla_General_29-11-2012_10_'!O1790,"AAAAAGvd/9w=")</f>
        <v>#VALUE!</v>
      </c>
      <c r="HN119" t="e">
        <f>AND('Planilla_General_29-11-2012_10_'!P1790,"AAAAAGvd/90=")</f>
        <v>#VALUE!</v>
      </c>
      <c r="HO119">
        <f>IF('Planilla_General_29-11-2012_10_'!1791:1791,"AAAAAGvd/94=",0)</f>
        <v>0</v>
      </c>
      <c r="HP119" t="e">
        <f>AND('Planilla_General_29-11-2012_10_'!A1791,"AAAAAGvd/98=")</f>
        <v>#VALUE!</v>
      </c>
      <c r="HQ119" t="e">
        <f>AND('Planilla_General_29-11-2012_10_'!B1791,"AAAAAGvd/+A=")</f>
        <v>#VALUE!</v>
      </c>
      <c r="HR119" t="e">
        <f>AND('Planilla_General_29-11-2012_10_'!C1791,"AAAAAGvd/+E=")</f>
        <v>#VALUE!</v>
      </c>
      <c r="HS119" t="e">
        <f>AND('Planilla_General_29-11-2012_10_'!D1791,"AAAAAGvd/+I=")</f>
        <v>#VALUE!</v>
      </c>
      <c r="HT119" t="e">
        <f>AND('Planilla_General_29-11-2012_10_'!E1791,"AAAAAGvd/+M=")</f>
        <v>#VALUE!</v>
      </c>
      <c r="HU119" t="e">
        <f>AND('Planilla_General_29-11-2012_10_'!F1791,"AAAAAGvd/+Q=")</f>
        <v>#VALUE!</v>
      </c>
      <c r="HV119" t="e">
        <f>AND('Planilla_General_29-11-2012_10_'!G1791,"AAAAAGvd/+U=")</f>
        <v>#VALUE!</v>
      </c>
      <c r="HW119" t="e">
        <f>AND('Planilla_General_29-11-2012_10_'!H1791,"AAAAAGvd/+Y=")</f>
        <v>#VALUE!</v>
      </c>
      <c r="HX119" t="e">
        <f>AND('Planilla_General_29-11-2012_10_'!I1791,"AAAAAGvd/+c=")</f>
        <v>#VALUE!</v>
      </c>
      <c r="HY119" t="e">
        <f>AND('Planilla_General_29-11-2012_10_'!J1791,"AAAAAGvd/+g=")</f>
        <v>#VALUE!</v>
      </c>
      <c r="HZ119" t="e">
        <f>AND('Planilla_General_29-11-2012_10_'!K1791,"AAAAAGvd/+k=")</f>
        <v>#VALUE!</v>
      </c>
      <c r="IA119" t="e">
        <f>AND('Planilla_General_29-11-2012_10_'!L1791,"AAAAAGvd/+o=")</f>
        <v>#VALUE!</v>
      </c>
      <c r="IB119" t="e">
        <f>AND('Planilla_General_29-11-2012_10_'!M1791,"AAAAAGvd/+s=")</f>
        <v>#VALUE!</v>
      </c>
      <c r="IC119" t="e">
        <f>AND('Planilla_General_29-11-2012_10_'!N1791,"AAAAAGvd/+w=")</f>
        <v>#VALUE!</v>
      </c>
      <c r="ID119" t="e">
        <f>AND('Planilla_General_29-11-2012_10_'!O1791,"AAAAAGvd/+0=")</f>
        <v>#VALUE!</v>
      </c>
      <c r="IE119" t="e">
        <f>AND('Planilla_General_29-11-2012_10_'!P1791,"AAAAAGvd/+4=")</f>
        <v>#VALUE!</v>
      </c>
      <c r="IF119">
        <f>IF('Planilla_General_29-11-2012_10_'!1792:1792,"AAAAAGvd/+8=",0)</f>
        <v>0</v>
      </c>
      <c r="IG119" t="e">
        <f>AND('Planilla_General_29-11-2012_10_'!A1792,"AAAAAGvd//A=")</f>
        <v>#VALUE!</v>
      </c>
      <c r="IH119" t="e">
        <f>AND('Planilla_General_29-11-2012_10_'!B1792,"AAAAAGvd//E=")</f>
        <v>#VALUE!</v>
      </c>
      <c r="II119" t="e">
        <f>AND('Planilla_General_29-11-2012_10_'!C1792,"AAAAAGvd//I=")</f>
        <v>#VALUE!</v>
      </c>
      <c r="IJ119" t="e">
        <f>AND('Planilla_General_29-11-2012_10_'!D1792,"AAAAAGvd//M=")</f>
        <v>#VALUE!</v>
      </c>
      <c r="IK119" t="e">
        <f>AND('Planilla_General_29-11-2012_10_'!E1792,"AAAAAGvd//Q=")</f>
        <v>#VALUE!</v>
      </c>
      <c r="IL119" t="e">
        <f>AND('Planilla_General_29-11-2012_10_'!F1792,"AAAAAGvd//U=")</f>
        <v>#VALUE!</v>
      </c>
      <c r="IM119" t="e">
        <f>AND('Planilla_General_29-11-2012_10_'!G1792,"AAAAAGvd//Y=")</f>
        <v>#VALUE!</v>
      </c>
      <c r="IN119" t="e">
        <f>AND('Planilla_General_29-11-2012_10_'!H1792,"AAAAAGvd//c=")</f>
        <v>#VALUE!</v>
      </c>
      <c r="IO119" t="e">
        <f>AND('Planilla_General_29-11-2012_10_'!I1792,"AAAAAGvd//g=")</f>
        <v>#VALUE!</v>
      </c>
      <c r="IP119" t="e">
        <f>AND('Planilla_General_29-11-2012_10_'!J1792,"AAAAAGvd//k=")</f>
        <v>#VALUE!</v>
      </c>
      <c r="IQ119" t="e">
        <f>AND('Planilla_General_29-11-2012_10_'!K1792,"AAAAAGvd//o=")</f>
        <v>#VALUE!</v>
      </c>
      <c r="IR119" t="e">
        <f>AND('Planilla_General_29-11-2012_10_'!L1792,"AAAAAGvd//s=")</f>
        <v>#VALUE!</v>
      </c>
      <c r="IS119" t="e">
        <f>AND('Planilla_General_29-11-2012_10_'!M1792,"AAAAAGvd//w=")</f>
        <v>#VALUE!</v>
      </c>
      <c r="IT119" t="e">
        <f>AND('Planilla_General_29-11-2012_10_'!N1792,"AAAAAGvd//0=")</f>
        <v>#VALUE!</v>
      </c>
      <c r="IU119" t="e">
        <f>AND('Planilla_General_29-11-2012_10_'!O1792,"AAAAAGvd//4=")</f>
        <v>#VALUE!</v>
      </c>
      <c r="IV119" t="e">
        <f>AND('Planilla_General_29-11-2012_10_'!P1792,"AAAAAGvd//8=")</f>
        <v>#VALUE!</v>
      </c>
    </row>
    <row r="120" spans="1:256" x14ac:dyDescent="0.25">
      <c r="A120" t="e">
        <f>IF('Planilla_General_29-11-2012_10_'!1793:1793,"AAAAAH/fvwA=",0)</f>
        <v>#VALUE!</v>
      </c>
      <c r="B120" t="e">
        <f>AND('Planilla_General_29-11-2012_10_'!A1793,"AAAAAH/fvwE=")</f>
        <v>#VALUE!</v>
      </c>
      <c r="C120" t="e">
        <f>AND('Planilla_General_29-11-2012_10_'!B1793,"AAAAAH/fvwI=")</f>
        <v>#VALUE!</v>
      </c>
      <c r="D120" t="e">
        <f>AND('Planilla_General_29-11-2012_10_'!C1793,"AAAAAH/fvwM=")</f>
        <v>#VALUE!</v>
      </c>
      <c r="E120" t="e">
        <f>AND('Planilla_General_29-11-2012_10_'!D1793,"AAAAAH/fvwQ=")</f>
        <v>#VALUE!</v>
      </c>
      <c r="F120" t="e">
        <f>AND('Planilla_General_29-11-2012_10_'!E1793,"AAAAAH/fvwU=")</f>
        <v>#VALUE!</v>
      </c>
      <c r="G120" t="e">
        <f>AND('Planilla_General_29-11-2012_10_'!F1793,"AAAAAH/fvwY=")</f>
        <v>#VALUE!</v>
      </c>
      <c r="H120" t="e">
        <f>AND('Planilla_General_29-11-2012_10_'!G1793,"AAAAAH/fvwc=")</f>
        <v>#VALUE!</v>
      </c>
      <c r="I120" t="e">
        <f>AND('Planilla_General_29-11-2012_10_'!H1793,"AAAAAH/fvwg=")</f>
        <v>#VALUE!</v>
      </c>
      <c r="J120" t="e">
        <f>AND('Planilla_General_29-11-2012_10_'!I1793,"AAAAAH/fvwk=")</f>
        <v>#VALUE!</v>
      </c>
      <c r="K120" t="e">
        <f>AND('Planilla_General_29-11-2012_10_'!J1793,"AAAAAH/fvwo=")</f>
        <v>#VALUE!</v>
      </c>
      <c r="L120" t="e">
        <f>AND('Planilla_General_29-11-2012_10_'!K1793,"AAAAAH/fvws=")</f>
        <v>#VALUE!</v>
      </c>
      <c r="M120" t="e">
        <f>AND('Planilla_General_29-11-2012_10_'!L1793,"AAAAAH/fvww=")</f>
        <v>#VALUE!</v>
      </c>
      <c r="N120" t="e">
        <f>AND('Planilla_General_29-11-2012_10_'!M1793,"AAAAAH/fvw0=")</f>
        <v>#VALUE!</v>
      </c>
      <c r="O120" t="e">
        <f>AND('Planilla_General_29-11-2012_10_'!N1793,"AAAAAH/fvw4=")</f>
        <v>#VALUE!</v>
      </c>
      <c r="P120" t="e">
        <f>AND('Planilla_General_29-11-2012_10_'!O1793,"AAAAAH/fvw8=")</f>
        <v>#VALUE!</v>
      </c>
      <c r="Q120" t="e">
        <f>AND('Planilla_General_29-11-2012_10_'!P1793,"AAAAAH/fvxA=")</f>
        <v>#VALUE!</v>
      </c>
      <c r="R120">
        <f>IF('Planilla_General_29-11-2012_10_'!1794:1794,"AAAAAH/fvxE=",0)</f>
        <v>0</v>
      </c>
      <c r="S120" t="e">
        <f>AND('Planilla_General_29-11-2012_10_'!A1794,"AAAAAH/fvxI=")</f>
        <v>#VALUE!</v>
      </c>
      <c r="T120" t="e">
        <f>AND('Planilla_General_29-11-2012_10_'!B1794,"AAAAAH/fvxM=")</f>
        <v>#VALUE!</v>
      </c>
      <c r="U120" t="e">
        <f>AND('Planilla_General_29-11-2012_10_'!C1794,"AAAAAH/fvxQ=")</f>
        <v>#VALUE!</v>
      </c>
      <c r="V120" t="e">
        <f>AND('Planilla_General_29-11-2012_10_'!D1794,"AAAAAH/fvxU=")</f>
        <v>#VALUE!</v>
      </c>
      <c r="W120" t="e">
        <f>AND('Planilla_General_29-11-2012_10_'!E1794,"AAAAAH/fvxY=")</f>
        <v>#VALUE!</v>
      </c>
      <c r="X120" t="e">
        <f>AND('Planilla_General_29-11-2012_10_'!F1794,"AAAAAH/fvxc=")</f>
        <v>#VALUE!</v>
      </c>
      <c r="Y120" t="e">
        <f>AND('Planilla_General_29-11-2012_10_'!G1794,"AAAAAH/fvxg=")</f>
        <v>#VALUE!</v>
      </c>
      <c r="Z120" t="e">
        <f>AND('Planilla_General_29-11-2012_10_'!H1794,"AAAAAH/fvxk=")</f>
        <v>#VALUE!</v>
      </c>
      <c r="AA120" t="e">
        <f>AND('Planilla_General_29-11-2012_10_'!I1794,"AAAAAH/fvxo=")</f>
        <v>#VALUE!</v>
      </c>
      <c r="AB120" t="e">
        <f>AND('Planilla_General_29-11-2012_10_'!J1794,"AAAAAH/fvxs=")</f>
        <v>#VALUE!</v>
      </c>
      <c r="AC120" t="e">
        <f>AND('Planilla_General_29-11-2012_10_'!K1794,"AAAAAH/fvxw=")</f>
        <v>#VALUE!</v>
      </c>
      <c r="AD120" t="e">
        <f>AND('Planilla_General_29-11-2012_10_'!L1794,"AAAAAH/fvx0=")</f>
        <v>#VALUE!</v>
      </c>
      <c r="AE120" t="e">
        <f>AND('Planilla_General_29-11-2012_10_'!M1794,"AAAAAH/fvx4=")</f>
        <v>#VALUE!</v>
      </c>
      <c r="AF120" t="e">
        <f>AND('Planilla_General_29-11-2012_10_'!N1794,"AAAAAH/fvx8=")</f>
        <v>#VALUE!</v>
      </c>
      <c r="AG120" t="e">
        <f>AND('Planilla_General_29-11-2012_10_'!O1794,"AAAAAH/fvyA=")</f>
        <v>#VALUE!</v>
      </c>
      <c r="AH120" t="e">
        <f>AND('Planilla_General_29-11-2012_10_'!P1794,"AAAAAH/fvyE=")</f>
        <v>#VALUE!</v>
      </c>
      <c r="AI120">
        <f>IF('Planilla_General_29-11-2012_10_'!1795:1795,"AAAAAH/fvyI=",0)</f>
        <v>0</v>
      </c>
      <c r="AJ120" t="e">
        <f>AND('Planilla_General_29-11-2012_10_'!A1795,"AAAAAH/fvyM=")</f>
        <v>#VALUE!</v>
      </c>
      <c r="AK120" t="e">
        <f>AND('Planilla_General_29-11-2012_10_'!B1795,"AAAAAH/fvyQ=")</f>
        <v>#VALUE!</v>
      </c>
      <c r="AL120" t="e">
        <f>AND('Planilla_General_29-11-2012_10_'!C1795,"AAAAAH/fvyU=")</f>
        <v>#VALUE!</v>
      </c>
      <c r="AM120" t="e">
        <f>AND('Planilla_General_29-11-2012_10_'!D1795,"AAAAAH/fvyY=")</f>
        <v>#VALUE!</v>
      </c>
      <c r="AN120" t="e">
        <f>AND('Planilla_General_29-11-2012_10_'!E1795,"AAAAAH/fvyc=")</f>
        <v>#VALUE!</v>
      </c>
      <c r="AO120" t="e">
        <f>AND('Planilla_General_29-11-2012_10_'!F1795,"AAAAAH/fvyg=")</f>
        <v>#VALUE!</v>
      </c>
      <c r="AP120" t="e">
        <f>AND('Planilla_General_29-11-2012_10_'!G1795,"AAAAAH/fvyk=")</f>
        <v>#VALUE!</v>
      </c>
      <c r="AQ120" t="e">
        <f>AND('Planilla_General_29-11-2012_10_'!H1795,"AAAAAH/fvyo=")</f>
        <v>#VALUE!</v>
      </c>
      <c r="AR120" t="e">
        <f>AND('Planilla_General_29-11-2012_10_'!I1795,"AAAAAH/fvys=")</f>
        <v>#VALUE!</v>
      </c>
      <c r="AS120" t="e">
        <f>AND('Planilla_General_29-11-2012_10_'!J1795,"AAAAAH/fvyw=")</f>
        <v>#VALUE!</v>
      </c>
      <c r="AT120" t="e">
        <f>AND('Planilla_General_29-11-2012_10_'!K1795,"AAAAAH/fvy0=")</f>
        <v>#VALUE!</v>
      </c>
      <c r="AU120" t="e">
        <f>AND('Planilla_General_29-11-2012_10_'!L1795,"AAAAAH/fvy4=")</f>
        <v>#VALUE!</v>
      </c>
      <c r="AV120" t="e">
        <f>AND('Planilla_General_29-11-2012_10_'!M1795,"AAAAAH/fvy8=")</f>
        <v>#VALUE!</v>
      </c>
      <c r="AW120" t="e">
        <f>AND('Planilla_General_29-11-2012_10_'!N1795,"AAAAAH/fvzA=")</f>
        <v>#VALUE!</v>
      </c>
      <c r="AX120" t="e">
        <f>AND('Planilla_General_29-11-2012_10_'!O1795,"AAAAAH/fvzE=")</f>
        <v>#VALUE!</v>
      </c>
      <c r="AY120" t="e">
        <f>AND('Planilla_General_29-11-2012_10_'!P1795,"AAAAAH/fvzI=")</f>
        <v>#VALUE!</v>
      </c>
      <c r="AZ120">
        <f>IF('Planilla_General_29-11-2012_10_'!1796:1796,"AAAAAH/fvzM=",0)</f>
        <v>0</v>
      </c>
      <c r="BA120" t="e">
        <f>AND('Planilla_General_29-11-2012_10_'!A1796,"AAAAAH/fvzQ=")</f>
        <v>#VALUE!</v>
      </c>
      <c r="BB120" t="e">
        <f>AND('Planilla_General_29-11-2012_10_'!B1796,"AAAAAH/fvzU=")</f>
        <v>#VALUE!</v>
      </c>
      <c r="BC120" t="e">
        <f>AND('Planilla_General_29-11-2012_10_'!C1796,"AAAAAH/fvzY=")</f>
        <v>#VALUE!</v>
      </c>
      <c r="BD120" t="e">
        <f>AND('Planilla_General_29-11-2012_10_'!D1796,"AAAAAH/fvzc=")</f>
        <v>#VALUE!</v>
      </c>
      <c r="BE120" t="e">
        <f>AND('Planilla_General_29-11-2012_10_'!E1796,"AAAAAH/fvzg=")</f>
        <v>#VALUE!</v>
      </c>
      <c r="BF120" t="e">
        <f>AND('Planilla_General_29-11-2012_10_'!F1796,"AAAAAH/fvzk=")</f>
        <v>#VALUE!</v>
      </c>
      <c r="BG120" t="e">
        <f>AND('Planilla_General_29-11-2012_10_'!G1796,"AAAAAH/fvzo=")</f>
        <v>#VALUE!</v>
      </c>
      <c r="BH120" t="e">
        <f>AND('Planilla_General_29-11-2012_10_'!H1796,"AAAAAH/fvzs=")</f>
        <v>#VALUE!</v>
      </c>
      <c r="BI120" t="e">
        <f>AND('Planilla_General_29-11-2012_10_'!I1796,"AAAAAH/fvzw=")</f>
        <v>#VALUE!</v>
      </c>
      <c r="BJ120" t="e">
        <f>AND('Planilla_General_29-11-2012_10_'!J1796,"AAAAAH/fvz0=")</f>
        <v>#VALUE!</v>
      </c>
      <c r="BK120" t="e">
        <f>AND('Planilla_General_29-11-2012_10_'!K1796,"AAAAAH/fvz4=")</f>
        <v>#VALUE!</v>
      </c>
      <c r="BL120" t="e">
        <f>AND('Planilla_General_29-11-2012_10_'!L1796,"AAAAAH/fvz8=")</f>
        <v>#VALUE!</v>
      </c>
      <c r="BM120" t="e">
        <f>AND('Planilla_General_29-11-2012_10_'!M1796,"AAAAAH/fv0A=")</f>
        <v>#VALUE!</v>
      </c>
      <c r="BN120" t="e">
        <f>AND('Planilla_General_29-11-2012_10_'!N1796,"AAAAAH/fv0E=")</f>
        <v>#VALUE!</v>
      </c>
      <c r="BO120" t="e">
        <f>AND('Planilla_General_29-11-2012_10_'!O1796,"AAAAAH/fv0I=")</f>
        <v>#VALUE!</v>
      </c>
      <c r="BP120" t="e">
        <f>AND('Planilla_General_29-11-2012_10_'!P1796,"AAAAAH/fv0M=")</f>
        <v>#VALUE!</v>
      </c>
      <c r="BQ120">
        <f>IF('Planilla_General_29-11-2012_10_'!1797:1797,"AAAAAH/fv0Q=",0)</f>
        <v>0</v>
      </c>
      <c r="BR120" t="e">
        <f>AND('Planilla_General_29-11-2012_10_'!A1797,"AAAAAH/fv0U=")</f>
        <v>#VALUE!</v>
      </c>
      <c r="BS120" t="e">
        <f>AND('Planilla_General_29-11-2012_10_'!B1797,"AAAAAH/fv0Y=")</f>
        <v>#VALUE!</v>
      </c>
      <c r="BT120" t="e">
        <f>AND('Planilla_General_29-11-2012_10_'!C1797,"AAAAAH/fv0c=")</f>
        <v>#VALUE!</v>
      </c>
      <c r="BU120" t="e">
        <f>AND('Planilla_General_29-11-2012_10_'!D1797,"AAAAAH/fv0g=")</f>
        <v>#VALUE!</v>
      </c>
      <c r="BV120" t="e">
        <f>AND('Planilla_General_29-11-2012_10_'!E1797,"AAAAAH/fv0k=")</f>
        <v>#VALUE!</v>
      </c>
      <c r="BW120" t="e">
        <f>AND('Planilla_General_29-11-2012_10_'!F1797,"AAAAAH/fv0o=")</f>
        <v>#VALUE!</v>
      </c>
      <c r="BX120" t="e">
        <f>AND('Planilla_General_29-11-2012_10_'!G1797,"AAAAAH/fv0s=")</f>
        <v>#VALUE!</v>
      </c>
      <c r="BY120" t="e">
        <f>AND('Planilla_General_29-11-2012_10_'!H1797,"AAAAAH/fv0w=")</f>
        <v>#VALUE!</v>
      </c>
      <c r="BZ120" t="e">
        <f>AND('Planilla_General_29-11-2012_10_'!I1797,"AAAAAH/fv00=")</f>
        <v>#VALUE!</v>
      </c>
      <c r="CA120" t="e">
        <f>AND('Planilla_General_29-11-2012_10_'!J1797,"AAAAAH/fv04=")</f>
        <v>#VALUE!</v>
      </c>
      <c r="CB120" t="e">
        <f>AND('Planilla_General_29-11-2012_10_'!K1797,"AAAAAH/fv08=")</f>
        <v>#VALUE!</v>
      </c>
      <c r="CC120" t="e">
        <f>AND('Planilla_General_29-11-2012_10_'!L1797,"AAAAAH/fv1A=")</f>
        <v>#VALUE!</v>
      </c>
      <c r="CD120" t="e">
        <f>AND('Planilla_General_29-11-2012_10_'!M1797,"AAAAAH/fv1E=")</f>
        <v>#VALUE!</v>
      </c>
      <c r="CE120" t="e">
        <f>AND('Planilla_General_29-11-2012_10_'!N1797,"AAAAAH/fv1I=")</f>
        <v>#VALUE!</v>
      </c>
      <c r="CF120" t="e">
        <f>AND('Planilla_General_29-11-2012_10_'!O1797,"AAAAAH/fv1M=")</f>
        <v>#VALUE!</v>
      </c>
      <c r="CG120" t="e">
        <f>AND('Planilla_General_29-11-2012_10_'!P1797,"AAAAAH/fv1Q=")</f>
        <v>#VALUE!</v>
      </c>
      <c r="CH120">
        <f>IF('Planilla_General_29-11-2012_10_'!1798:1798,"AAAAAH/fv1U=",0)</f>
        <v>0</v>
      </c>
      <c r="CI120" t="e">
        <f>AND('Planilla_General_29-11-2012_10_'!A1798,"AAAAAH/fv1Y=")</f>
        <v>#VALUE!</v>
      </c>
      <c r="CJ120" t="e">
        <f>AND('Planilla_General_29-11-2012_10_'!B1798,"AAAAAH/fv1c=")</f>
        <v>#VALUE!</v>
      </c>
      <c r="CK120" t="e">
        <f>AND('Planilla_General_29-11-2012_10_'!C1798,"AAAAAH/fv1g=")</f>
        <v>#VALUE!</v>
      </c>
      <c r="CL120" t="e">
        <f>AND('Planilla_General_29-11-2012_10_'!D1798,"AAAAAH/fv1k=")</f>
        <v>#VALUE!</v>
      </c>
      <c r="CM120" t="e">
        <f>AND('Planilla_General_29-11-2012_10_'!E1798,"AAAAAH/fv1o=")</f>
        <v>#VALUE!</v>
      </c>
      <c r="CN120" t="e">
        <f>AND('Planilla_General_29-11-2012_10_'!F1798,"AAAAAH/fv1s=")</f>
        <v>#VALUE!</v>
      </c>
      <c r="CO120" t="e">
        <f>AND('Planilla_General_29-11-2012_10_'!G1798,"AAAAAH/fv1w=")</f>
        <v>#VALUE!</v>
      </c>
      <c r="CP120" t="e">
        <f>AND('Planilla_General_29-11-2012_10_'!H1798,"AAAAAH/fv10=")</f>
        <v>#VALUE!</v>
      </c>
      <c r="CQ120" t="e">
        <f>AND('Planilla_General_29-11-2012_10_'!I1798,"AAAAAH/fv14=")</f>
        <v>#VALUE!</v>
      </c>
      <c r="CR120" t="e">
        <f>AND('Planilla_General_29-11-2012_10_'!J1798,"AAAAAH/fv18=")</f>
        <v>#VALUE!</v>
      </c>
      <c r="CS120" t="e">
        <f>AND('Planilla_General_29-11-2012_10_'!K1798,"AAAAAH/fv2A=")</f>
        <v>#VALUE!</v>
      </c>
      <c r="CT120" t="e">
        <f>AND('Planilla_General_29-11-2012_10_'!L1798,"AAAAAH/fv2E=")</f>
        <v>#VALUE!</v>
      </c>
      <c r="CU120" t="e">
        <f>AND('Planilla_General_29-11-2012_10_'!M1798,"AAAAAH/fv2I=")</f>
        <v>#VALUE!</v>
      </c>
      <c r="CV120" t="e">
        <f>AND('Planilla_General_29-11-2012_10_'!N1798,"AAAAAH/fv2M=")</f>
        <v>#VALUE!</v>
      </c>
      <c r="CW120" t="e">
        <f>AND('Planilla_General_29-11-2012_10_'!O1798,"AAAAAH/fv2Q=")</f>
        <v>#VALUE!</v>
      </c>
      <c r="CX120" t="e">
        <f>AND('Planilla_General_29-11-2012_10_'!P1798,"AAAAAH/fv2U=")</f>
        <v>#VALUE!</v>
      </c>
      <c r="CY120">
        <f>IF('Planilla_General_29-11-2012_10_'!1799:1799,"AAAAAH/fv2Y=",0)</f>
        <v>0</v>
      </c>
      <c r="CZ120" t="e">
        <f>AND('Planilla_General_29-11-2012_10_'!A1799,"AAAAAH/fv2c=")</f>
        <v>#VALUE!</v>
      </c>
      <c r="DA120" t="e">
        <f>AND('Planilla_General_29-11-2012_10_'!B1799,"AAAAAH/fv2g=")</f>
        <v>#VALUE!</v>
      </c>
      <c r="DB120" t="e">
        <f>AND('Planilla_General_29-11-2012_10_'!C1799,"AAAAAH/fv2k=")</f>
        <v>#VALUE!</v>
      </c>
      <c r="DC120" t="e">
        <f>AND('Planilla_General_29-11-2012_10_'!D1799,"AAAAAH/fv2o=")</f>
        <v>#VALUE!</v>
      </c>
      <c r="DD120" t="e">
        <f>AND('Planilla_General_29-11-2012_10_'!E1799,"AAAAAH/fv2s=")</f>
        <v>#VALUE!</v>
      </c>
      <c r="DE120" t="e">
        <f>AND('Planilla_General_29-11-2012_10_'!F1799,"AAAAAH/fv2w=")</f>
        <v>#VALUE!</v>
      </c>
      <c r="DF120" t="e">
        <f>AND('Planilla_General_29-11-2012_10_'!G1799,"AAAAAH/fv20=")</f>
        <v>#VALUE!</v>
      </c>
      <c r="DG120" t="e">
        <f>AND('Planilla_General_29-11-2012_10_'!H1799,"AAAAAH/fv24=")</f>
        <v>#VALUE!</v>
      </c>
      <c r="DH120" t="e">
        <f>AND('Planilla_General_29-11-2012_10_'!I1799,"AAAAAH/fv28=")</f>
        <v>#VALUE!</v>
      </c>
      <c r="DI120" t="e">
        <f>AND('Planilla_General_29-11-2012_10_'!J1799,"AAAAAH/fv3A=")</f>
        <v>#VALUE!</v>
      </c>
      <c r="DJ120" t="e">
        <f>AND('Planilla_General_29-11-2012_10_'!K1799,"AAAAAH/fv3E=")</f>
        <v>#VALUE!</v>
      </c>
      <c r="DK120" t="e">
        <f>AND('Planilla_General_29-11-2012_10_'!L1799,"AAAAAH/fv3I=")</f>
        <v>#VALUE!</v>
      </c>
      <c r="DL120" t="e">
        <f>AND('Planilla_General_29-11-2012_10_'!M1799,"AAAAAH/fv3M=")</f>
        <v>#VALUE!</v>
      </c>
      <c r="DM120" t="e">
        <f>AND('Planilla_General_29-11-2012_10_'!N1799,"AAAAAH/fv3Q=")</f>
        <v>#VALUE!</v>
      </c>
      <c r="DN120" t="e">
        <f>AND('Planilla_General_29-11-2012_10_'!O1799,"AAAAAH/fv3U=")</f>
        <v>#VALUE!</v>
      </c>
      <c r="DO120" t="e">
        <f>AND('Planilla_General_29-11-2012_10_'!P1799,"AAAAAH/fv3Y=")</f>
        <v>#VALUE!</v>
      </c>
      <c r="DP120">
        <f>IF('Planilla_General_29-11-2012_10_'!1800:1800,"AAAAAH/fv3c=",0)</f>
        <v>0</v>
      </c>
      <c r="DQ120" t="e">
        <f>AND('Planilla_General_29-11-2012_10_'!A1800,"AAAAAH/fv3g=")</f>
        <v>#VALUE!</v>
      </c>
      <c r="DR120" t="e">
        <f>AND('Planilla_General_29-11-2012_10_'!B1800,"AAAAAH/fv3k=")</f>
        <v>#VALUE!</v>
      </c>
      <c r="DS120" t="e">
        <f>AND('Planilla_General_29-11-2012_10_'!C1800,"AAAAAH/fv3o=")</f>
        <v>#VALUE!</v>
      </c>
      <c r="DT120" t="e">
        <f>AND('Planilla_General_29-11-2012_10_'!D1800,"AAAAAH/fv3s=")</f>
        <v>#VALUE!</v>
      </c>
      <c r="DU120" t="e">
        <f>AND('Planilla_General_29-11-2012_10_'!E1800,"AAAAAH/fv3w=")</f>
        <v>#VALUE!</v>
      </c>
      <c r="DV120" t="e">
        <f>AND('Planilla_General_29-11-2012_10_'!F1800,"AAAAAH/fv30=")</f>
        <v>#VALUE!</v>
      </c>
      <c r="DW120" t="e">
        <f>AND('Planilla_General_29-11-2012_10_'!G1800,"AAAAAH/fv34=")</f>
        <v>#VALUE!</v>
      </c>
      <c r="DX120" t="e">
        <f>AND('Planilla_General_29-11-2012_10_'!H1800,"AAAAAH/fv38=")</f>
        <v>#VALUE!</v>
      </c>
      <c r="DY120" t="e">
        <f>AND('Planilla_General_29-11-2012_10_'!I1800,"AAAAAH/fv4A=")</f>
        <v>#VALUE!</v>
      </c>
      <c r="DZ120" t="e">
        <f>AND('Planilla_General_29-11-2012_10_'!J1800,"AAAAAH/fv4E=")</f>
        <v>#VALUE!</v>
      </c>
      <c r="EA120" t="e">
        <f>AND('Planilla_General_29-11-2012_10_'!K1800,"AAAAAH/fv4I=")</f>
        <v>#VALUE!</v>
      </c>
      <c r="EB120" t="e">
        <f>AND('Planilla_General_29-11-2012_10_'!L1800,"AAAAAH/fv4M=")</f>
        <v>#VALUE!</v>
      </c>
      <c r="EC120" t="e">
        <f>AND('Planilla_General_29-11-2012_10_'!M1800,"AAAAAH/fv4Q=")</f>
        <v>#VALUE!</v>
      </c>
      <c r="ED120" t="e">
        <f>AND('Planilla_General_29-11-2012_10_'!N1800,"AAAAAH/fv4U=")</f>
        <v>#VALUE!</v>
      </c>
      <c r="EE120" t="e">
        <f>AND('Planilla_General_29-11-2012_10_'!O1800,"AAAAAH/fv4Y=")</f>
        <v>#VALUE!</v>
      </c>
      <c r="EF120" t="e">
        <f>AND('Planilla_General_29-11-2012_10_'!P1800,"AAAAAH/fv4c=")</f>
        <v>#VALUE!</v>
      </c>
      <c r="EG120">
        <f>IF('Planilla_General_29-11-2012_10_'!1801:1801,"AAAAAH/fv4g=",0)</f>
        <v>0</v>
      </c>
      <c r="EH120" t="e">
        <f>AND('Planilla_General_29-11-2012_10_'!A1801,"AAAAAH/fv4k=")</f>
        <v>#VALUE!</v>
      </c>
      <c r="EI120" t="e">
        <f>AND('Planilla_General_29-11-2012_10_'!B1801,"AAAAAH/fv4o=")</f>
        <v>#VALUE!</v>
      </c>
      <c r="EJ120" t="e">
        <f>AND('Planilla_General_29-11-2012_10_'!C1801,"AAAAAH/fv4s=")</f>
        <v>#VALUE!</v>
      </c>
      <c r="EK120" t="e">
        <f>AND('Planilla_General_29-11-2012_10_'!D1801,"AAAAAH/fv4w=")</f>
        <v>#VALUE!</v>
      </c>
      <c r="EL120" t="e">
        <f>AND('Planilla_General_29-11-2012_10_'!E1801,"AAAAAH/fv40=")</f>
        <v>#VALUE!</v>
      </c>
      <c r="EM120" t="e">
        <f>AND('Planilla_General_29-11-2012_10_'!F1801,"AAAAAH/fv44=")</f>
        <v>#VALUE!</v>
      </c>
      <c r="EN120" t="e">
        <f>AND('Planilla_General_29-11-2012_10_'!G1801,"AAAAAH/fv48=")</f>
        <v>#VALUE!</v>
      </c>
      <c r="EO120" t="e">
        <f>AND('Planilla_General_29-11-2012_10_'!H1801,"AAAAAH/fv5A=")</f>
        <v>#VALUE!</v>
      </c>
      <c r="EP120" t="e">
        <f>AND('Planilla_General_29-11-2012_10_'!I1801,"AAAAAH/fv5E=")</f>
        <v>#VALUE!</v>
      </c>
      <c r="EQ120" t="e">
        <f>AND('Planilla_General_29-11-2012_10_'!J1801,"AAAAAH/fv5I=")</f>
        <v>#VALUE!</v>
      </c>
      <c r="ER120" t="e">
        <f>AND('Planilla_General_29-11-2012_10_'!K1801,"AAAAAH/fv5M=")</f>
        <v>#VALUE!</v>
      </c>
      <c r="ES120" t="e">
        <f>AND('Planilla_General_29-11-2012_10_'!L1801,"AAAAAH/fv5Q=")</f>
        <v>#VALUE!</v>
      </c>
      <c r="ET120" t="e">
        <f>AND('Planilla_General_29-11-2012_10_'!M1801,"AAAAAH/fv5U=")</f>
        <v>#VALUE!</v>
      </c>
      <c r="EU120" t="e">
        <f>AND('Planilla_General_29-11-2012_10_'!N1801,"AAAAAH/fv5Y=")</f>
        <v>#VALUE!</v>
      </c>
      <c r="EV120" t="e">
        <f>AND('Planilla_General_29-11-2012_10_'!O1801,"AAAAAH/fv5c=")</f>
        <v>#VALUE!</v>
      </c>
      <c r="EW120" t="e">
        <f>AND('Planilla_General_29-11-2012_10_'!P1801,"AAAAAH/fv5g=")</f>
        <v>#VALUE!</v>
      </c>
      <c r="EX120">
        <f>IF('Planilla_General_29-11-2012_10_'!1802:1802,"AAAAAH/fv5k=",0)</f>
        <v>0</v>
      </c>
      <c r="EY120" t="e">
        <f>AND('Planilla_General_29-11-2012_10_'!A1802,"AAAAAH/fv5o=")</f>
        <v>#VALUE!</v>
      </c>
      <c r="EZ120" t="e">
        <f>AND('Planilla_General_29-11-2012_10_'!B1802,"AAAAAH/fv5s=")</f>
        <v>#VALUE!</v>
      </c>
      <c r="FA120" t="e">
        <f>AND('Planilla_General_29-11-2012_10_'!C1802,"AAAAAH/fv5w=")</f>
        <v>#VALUE!</v>
      </c>
      <c r="FB120" t="e">
        <f>AND('Planilla_General_29-11-2012_10_'!D1802,"AAAAAH/fv50=")</f>
        <v>#VALUE!</v>
      </c>
      <c r="FC120" t="e">
        <f>AND('Planilla_General_29-11-2012_10_'!E1802,"AAAAAH/fv54=")</f>
        <v>#VALUE!</v>
      </c>
      <c r="FD120" t="e">
        <f>AND('Planilla_General_29-11-2012_10_'!F1802,"AAAAAH/fv58=")</f>
        <v>#VALUE!</v>
      </c>
      <c r="FE120" t="e">
        <f>AND('Planilla_General_29-11-2012_10_'!G1802,"AAAAAH/fv6A=")</f>
        <v>#VALUE!</v>
      </c>
      <c r="FF120" t="e">
        <f>AND('Planilla_General_29-11-2012_10_'!H1802,"AAAAAH/fv6E=")</f>
        <v>#VALUE!</v>
      </c>
      <c r="FG120" t="e">
        <f>AND('Planilla_General_29-11-2012_10_'!I1802,"AAAAAH/fv6I=")</f>
        <v>#VALUE!</v>
      </c>
      <c r="FH120" t="e">
        <f>AND('Planilla_General_29-11-2012_10_'!J1802,"AAAAAH/fv6M=")</f>
        <v>#VALUE!</v>
      </c>
      <c r="FI120" t="e">
        <f>AND('Planilla_General_29-11-2012_10_'!K1802,"AAAAAH/fv6Q=")</f>
        <v>#VALUE!</v>
      </c>
      <c r="FJ120" t="e">
        <f>AND('Planilla_General_29-11-2012_10_'!L1802,"AAAAAH/fv6U=")</f>
        <v>#VALUE!</v>
      </c>
      <c r="FK120" t="e">
        <f>AND('Planilla_General_29-11-2012_10_'!M1802,"AAAAAH/fv6Y=")</f>
        <v>#VALUE!</v>
      </c>
      <c r="FL120" t="e">
        <f>AND('Planilla_General_29-11-2012_10_'!N1802,"AAAAAH/fv6c=")</f>
        <v>#VALUE!</v>
      </c>
      <c r="FM120" t="e">
        <f>AND('Planilla_General_29-11-2012_10_'!O1802,"AAAAAH/fv6g=")</f>
        <v>#VALUE!</v>
      </c>
      <c r="FN120" t="e">
        <f>AND('Planilla_General_29-11-2012_10_'!P1802,"AAAAAH/fv6k=")</f>
        <v>#VALUE!</v>
      </c>
      <c r="FO120">
        <f>IF('Planilla_General_29-11-2012_10_'!1803:1803,"AAAAAH/fv6o=",0)</f>
        <v>0</v>
      </c>
      <c r="FP120" t="e">
        <f>AND('Planilla_General_29-11-2012_10_'!A1803,"AAAAAH/fv6s=")</f>
        <v>#VALUE!</v>
      </c>
      <c r="FQ120" t="e">
        <f>AND('Planilla_General_29-11-2012_10_'!B1803,"AAAAAH/fv6w=")</f>
        <v>#VALUE!</v>
      </c>
      <c r="FR120" t="e">
        <f>AND('Planilla_General_29-11-2012_10_'!C1803,"AAAAAH/fv60=")</f>
        <v>#VALUE!</v>
      </c>
      <c r="FS120" t="e">
        <f>AND('Planilla_General_29-11-2012_10_'!D1803,"AAAAAH/fv64=")</f>
        <v>#VALUE!</v>
      </c>
      <c r="FT120" t="e">
        <f>AND('Planilla_General_29-11-2012_10_'!E1803,"AAAAAH/fv68=")</f>
        <v>#VALUE!</v>
      </c>
      <c r="FU120" t="e">
        <f>AND('Planilla_General_29-11-2012_10_'!F1803,"AAAAAH/fv7A=")</f>
        <v>#VALUE!</v>
      </c>
      <c r="FV120" t="e">
        <f>AND('Planilla_General_29-11-2012_10_'!G1803,"AAAAAH/fv7E=")</f>
        <v>#VALUE!</v>
      </c>
      <c r="FW120" t="e">
        <f>AND('Planilla_General_29-11-2012_10_'!H1803,"AAAAAH/fv7I=")</f>
        <v>#VALUE!</v>
      </c>
      <c r="FX120" t="e">
        <f>AND('Planilla_General_29-11-2012_10_'!I1803,"AAAAAH/fv7M=")</f>
        <v>#VALUE!</v>
      </c>
      <c r="FY120" t="e">
        <f>AND('Planilla_General_29-11-2012_10_'!J1803,"AAAAAH/fv7Q=")</f>
        <v>#VALUE!</v>
      </c>
      <c r="FZ120" t="e">
        <f>AND('Planilla_General_29-11-2012_10_'!K1803,"AAAAAH/fv7U=")</f>
        <v>#VALUE!</v>
      </c>
      <c r="GA120" t="e">
        <f>AND('Planilla_General_29-11-2012_10_'!L1803,"AAAAAH/fv7Y=")</f>
        <v>#VALUE!</v>
      </c>
      <c r="GB120" t="e">
        <f>AND('Planilla_General_29-11-2012_10_'!M1803,"AAAAAH/fv7c=")</f>
        <v>#VALUE!</v>
      </c>
      <c r="GC120" t="e">
        <f>AND('Planilla_General_29-11-2012_10_'!N1803,"AAAAAH/fv7g=")</f>
        <v>#VALUE!</v>
      </c>
      <c r="GD120" t="e">
        <f>AND('Planilla_General_29-11-2012_10_'!O1803,"AAAAAH/fv7k=")</f>
        <v>#VALUE!</v>
      </c>
      <c r="GE120" t="e">
        <f>AND('Planilla_General_29-11-2012_10_'!P1803,"AAAAAH/fv7o=")</f>
        <v>#VALUE!</v>
      </c>
      <c r="GF120">
        <f>IF('Planilla_General_29-11-2012_10_'!1804:1804,"AAAAAH/fv7s=",0)</f>
        <v>0</v>
      </c>
      <c r="GG120" t="e">
        <f>AND('Planilla_General_29-11-2012_10_'!A1804,"AAAAAH/fv7w=")</f>
        <v>#VALUE!</v>
      </c>
      <c r="GH120" t="e">
        <f>AND('Planilla_General_29-11-2012_10_'!B1804,"AAAAAH/fv70=")</f>
        <v>#VALUE!</v>
      </c>
      <c r="GI120" t="e">
        <f>AND('Planilla_General_29-11-2012_10_'!C1804,"AAAAAH/fv74=")</f>
        <v>#VALUE!</v>
      </c>
      <c r="GJ120" t="e">
        <f>AND('Planilla_General_29-11-2012_10_'!D1804,"AAAAAH/fv78=")</f>
        <v>#VALUE!</v>
      </c>
      <c r="GK120" t="e">
        <f>AND('Planilla_General_29-11-2012_10_'!E1804,"AAAAAH/fv8A=")</f>
        <v>#VALUE!</v>
      </c>
      <c r="GL120" t="e">
        <f>AND('Planilla_General_29-11-2012_10_'!F1804,"AAAAAH/fv8E=")</f>
        <v>#VALUE!</v>
      </c>
      <c r="GM120" t="e">
        <f>AND('Planilla_General_29-11-2012_10_'!G1804,"AAAAAH/fv8I=")</f>
        <v>#VALUE!</v>
      </c>
      <c r="GN120" t="e">
        <f>AND('Planilla_General_29-11-2012_10_'!H1804,"AAAAAH/fv8M=")</f>
        <v>#VALUE!</v>
      </c>
      <c r="GO120" t="e">
        <f>AND('Planilla_General_29-11-2012_10_'!I1804,"AAAAAH/fv8Q=")</f>
        <v>#VALUE!</v>
      </c>
      <c r="GP120" t="e">
        <f>AND('Planilla_General_29-11-2012_10_'!J1804,"AAAAAH/fv8U=")</f>
        <v>#VALUE!</v>
      </c>
      <c r="GQ120" t="e">
        <f>AND('Planilla_General_29-11-2012_10_'!K1804,"AAAAAH/fv8Y=")</f>
        <v>#VALUE!</v>
      </c>
      <c r="GR120" t="e">
        <f>AND('Planilla_General_29-11-2012_10_'!L1804,"AAAAAH/fv8c=")</f>
        <v>#VALUE!</v>
      </c>
      <c r="GS120" t="e">
        <f>AND('Planilla_General_29-11-2012_10_'!M1804,"AAAAAH/fv8g=")</f>
        <v>#VALUE!</v>
      </c>
      <c r="GT120" t="e">
        <f>AND('Planilla_General_29-11-2012_10_'!N1804,"AAAAAH/fv8k=")</f>
        <v>#VALUE!</v>
      </c>
      <c r="GU120" t="e">
        <f>AND('Planilla_General_29-11-2012_10_'!O1804,"AAAAAH/fv8o=")</f>
        <v>#VALUE!</v>
      </c>
      <c r="GV120" t="e">
        <f>AND('Planilla_General_29-11-2012_10_'!P1804,"AAAAAH/fv8s=")</f>
        <v>#VALUE!</v>
      </c>
      <c r="GW120">
        <f>IF('Planilla_General_29-11-2012_10_'!1805:1805,"AAAAAH/fv8w=",0)</f>
        <v>0</v>
      </c>
      <c r="GX120" t="e">
        <f>AND('Planilla_General_29-11-2012_10_'!A1805,"AAAAAH/fv80=")</f>
        <v>#VALUE!</v>
      </c>
      <c r="GY120" t="e">
        <f>AND('Planilla_General_29-11-2012_10_'!B1805,"AAAAAH/fv84=")</f>
        <v>#VALUE!</v>
      </c>
      <c r="GZ120" t="e">
        <f>AND('Planilla_General_29-11-2012_10_'!C1805,"AAAAAH/fv88=")</f>
        <v>#VALUE!</v>
      </c>
      <c r="HA120" t="e">
        <f>AND('Planilla_General_29-11-2012_10_'!D1805,"AAAAAH/fv9A=")</f>
        <v>#VALUE!</v>
      </c>
      <c r="HB120" t="e">
        <f>AND('Planilla_General_29-11-2012_10_'!E1805,"AAAAAH/fv9E=")</f>
        <v>#VALUE!</v>
      </c>
      <c r="HC120" t="e">
        <f>AND('Planilla_General_29-11-2012_10_'!F1805,"AAAAAH/fv9I=")</f>
        <v>#VALUE!</v>
      </c>
      <c r="HD120" t="e">
        <f>AND('Planilla_General_29-11-2012_10_'!G1805,"AAAAAH/fv9M=")</f>
        <v>#VALUE!</v>
      </c>
      <c r="HE120" t="e">
        <f>AND('Planilla_General_29-11-2012_10_'!H1805,"AAAAAH/fv9Q=")</f>
        <v>#VALUE!</v>
      </c>
      <c r="HF120" t="e">
        <f>AND('Planilla_General_29-11-2012_10_'!I1805,"AAAAAH/fv9U=")</f>
        <v>#VALUE!</v>
      </c>
      <c r="HG120" t="e">
        <f>AND('Planilla_General_29-11-2012_10_'!J1805,"AAAAAH/fv9Y=")</f>
        <v>#VALUE!</v>
      </c>
      <c r="HH120" t="e">
        <f>AND('Planilla_General_29-11-2012_10_'!K1805,"AAAAAH/fv9c=")</f>
        <v>#VALUE!</v>
      </c>
      <c r="HI120" t="e">
        <f>AND('Planilla_General_29-11-2012_10_'!L1805,"AAAAAH/fv9g=")</f>
        <v>#VALUE!</v>
      </c>
      <c r="HJ120" t="e">
        <f>AND('Planilla_General_29-11-2012_10_'!M1805,"AAAAAH/fv9k=")</f>
        <v>#VALUE!</v>
      </c>
      <c r="HK120" t="e">
        <f>AND('Planilla_General_29-11-2012_10_'!N1805,"AAAAAH/fv9o=")</f>
        <v>#VALUE!</v>
      </c>
      <c r="HL120" t="e">
        <f>AND('Planilla_General_29-11-2012_10_'!O1805,"AAAAAH/fv9s=")</f>
        <v>#VALUE!</v>
      </c>
      <c r="HM120" t="e">
        <f>AND('Planilla_General_29-11-2012_10_'!P1805,"AAAAAH/fv9w=")</f>
        <v>#VALUE!</v>
      </c>
      <c r="HN120">
        <f>IF('Planilla_General_29-11-2012_10_'!1806:1806,"AAAAAH/fv90=",0)</f>
        <v>0</v>
      </c>
      <c r="HO120" t="e">
        <f>AND('Planilla_General_29-11-2012_10_'!A1806,"AAAAAH/fv94=")</f>
        <v>#VALUE!</v>
      </c>
      <c r="HP120" t="e">
        <f>AND('Planilla_General_29-11-2012_10_'!B1806,"AAAAAH/fv98=")</f>
        <v>#VALUE!</v>
      </c>
      <c r="HQ120" t="e">
        <f>AND('Planilla_General_29-11-2012_10_'!C1806,"AAAAAH/fv+A=")</f>
        <v>#VALUE!</v>
      </c>
      <c r="HR120" t="e">
        <f>AND('Planilla_General_29-11-2012_10_'!D1806,"AAAAAH/fv+E=")</f>
        <v>#VALUE!</v>
      </c>
      <c r="HS120" t="e">
        <f>AND('Planilla_General_29-11-2012_10_'!E1806,"AAAAAH/fv+I=")</f>
        <v>#VALUE!</v>
      </c>
      <c r="HT120" t="e">
        <f>AND('Planilla_General_29-11-2012_10_'!F1806,"AAAAAH/fv+M=")</f>
        <v>#VALUE!</v>
      </c>
      <c r="HU120" t="e">
        <f>AND('Planilla_General_29-11-2012_10_'!G1806,"AAAAAH/fv+Q=")</f>
        <v>#VALUE!</v>
      </c>
      <c r="HV120" t="e">
        <f>AND('Planilla_General_29-11-2012_10_'!H1806,"AAAAAH/fv+U=")</f>
        <v>#VALUE!</v>
      </c>
      <c r="HW120" t="e">
        <f>AND('Planilla_General_29-11-2012_10_'!I1806,"AAAAAH/fv+Y=")</f>
        <v>#VALUE!</v>
      </c>
      <c r="HX120" t="e">
        <f>AND('Planilla_General_29-11-2012_10_'!J1806,"AAAAAH/fv+c=")</f>
        <v>#VALUE!</v>
      </c>
      <c r="HY120" t="e">
        <f>AND('Planilla_General_29-11-2012_10_'!K1806,"AAAAAH/fv+g=")</f>
        <v>#VALUE!</v>
      </c>
      <c r="HZ120" t="e">
        <f>AND('Planilla_General_29-11-2012_10_'!L1806,"AAAAAH/fv+k=")</f>
        <v>#VALUE!</v>
      </c>
      <c r="IA120" t="e">
        <f>AND('Planilla_General_29-11-2012_10_'!M1806,"AAAAAH/fv+o=")</f>
        <v>#VALUE!</v>
      </c>
      <c r="IB120" t="e">
        <f>AND('Planilla_General_29-11-2012_10_'!N1806,"AAAAAH/fv+s=")</f>
        <v>#VALUE!</v>
      </c>
      <c r="IC120" t="e">
        <f>AND('Planilla_General_29-11-2012_10_'!O1806,"AAAAAH/fv+w=")</f>
        <v>#VALUE!</v>
      </c>
      <c r="ID120" t="e">
        <f>AND('Planilla_General_29-11-2012_10_'!P1806,"AAAAAH/fv+0=")</f>
        <v>#VALUE!</v>
      </c>
      <c r="IE120">
        <f>IF('Planilla_General_29-11-2012_10_'!1807:1807,"AAAAAH/fv+4=",0)</f>
        <v>0</v>
      </c>
      <c r="IF120" t="e">
        <f>AND('Planilla_General_29-11-2012_10_'!A1807,"AAAAAH/fv+8=")</f>
        <v>#VALUE!</v>
      </c>
      <c r="IG120" t="e">
        <f>AND('Planilla_General_29-11-2012_10_'!B1807,"AAAAAH/fv/A=")</f>
        <v>#VALUE!</v>
      </c>
      <c r="IH120" t="e">
        <f>AND('Planilla_General_29-11-2012_10_'!C1807,"AAAAAH/fv/E=")</f>
        <v>#VALUE!</v>
      </c>
      <c r="II120" t="e">
        <f>AND('Planilla_General_29-11-2012_10_'!D1807,"AAAAAH/fv/I=")</f>
        <v>#VALUE!</v>
      </c>
      <c r="IJ120" t="e">
        <f>AND('Planilla_General_29-11-2012_10_'!E1807,"AAAAAH/fv/M=")</f>
        <v>#VALUE!</v>
      </c>
      <c r="IK120" t="e">
        <f>AND('Planilla_General_29-11-2012_10_'!F1807,"AAAAAH/fv/Q=")</f>
        <v>#VALUE!</v>
      </c>
      <c r="IL120" t="e">
        <f>AND('Planilla_General_29-11-2012_10_'!G1807,"AAAAAH/fv/U=")</f>
        <v>#VALUE!</v>
      </c>
      <c r="IM120" t="e">
        <f>AND('Planilla_General_29-11-2012_10_'!H1807,"AAAAAH/fv/Y=")</f>
        <v>#VALUE!</v>
      </c>
      <c r="IN120" t="e">
        <f>AND('Planilla_General_29-11-2012_10_'!I1807,"AAAAAH/fv/c=")</f>
        <v>#VALUE!</v>
      </c>
      <c r="IO120" t="e">
        <f>AND('Planilla_General_29-11-2012_10_'!J1807,"AAAAAH/fv/g=")</f>
        <v>#VALUE!</v>
      </c>
      <c r="IP120" t="e">
        <f>AND('Planilla_General_29-11-2012_10_'!K1807,"AAAAAH/fv/k=")</f>
        <v>#VALUE!</v>
      </c>
      <c r="IQ120" t="e">
        <f>AND('Planilla_General_29-11-2012_10_'!L1807,"AAAAAH/fv/o=")</f>
        <v>#VALUE!</v>
      </c>
      <c r="IR120" t="e">
        <f>AND('Planilla_General_29-11-2012_10_'!M1807,"AAAAAH/fv/s=")</f>
        <v>#VALUE!</v>
      </c>
      <c r="IS120" t="e">
        <f>AND('Planilla_General_29-11-2012_10_'!N1807,"AAAAAH/fv/w=")</f>
        <v>#VALUE!</v>
      </c>
      <c r="IT120" t="e">
        <f>AND('Planilla_General_29-11-2012_10_'!O1807,"AAAAAH/fv/0=")</f>
        <v>#VALUE!</v>
      </c>
      <c r="IU120" t="e">
        <f>AND('Planilla_General_29-11-2012_10_'!P1807,"AAAAAH/fv/4=")</f>
        <v>#VALUE!</v>
      </c>
      <c r="IV120">
        <f>IF('Planilla_General_29-11-2012_10_'!1808:1808,"AAAAAH/fv/8=",0)</f>
        <v>0</v>
      </c>
    </row>
    <row r="121" spans="1:256" x14ac:dyDescent="0.25">
      <c r="A121" t="e">
        <f>AND('Planilla_General_29-11-2012_10_'!A1808,"AAAAAHl3/wA=")</f>
        <v>#VALUE!</v>
      </c>
      <c r="B121" t="e">
        <f>AND('Planilla_General_29-11-2012_10_'!B1808,"AAAAAHl3/wE=")</f>
        <v>#VALUE!</v>
      </c>
      <c r="C121" t="e">
        <f>AND('Planilla_General_29-11-2012_10_'!C1808,"AAAAAHl3/wI=")</f>
        <v>#VALUE!</v>
      </c>
      <c r="D121" t="e">
        <f>AND('Planilla_General_29-11-2012_10_'!D1808,"AAAAAHl3/wM=")</f>
        <v>#VALUE!</v>
      </c>
      <c r="E121" t="e">
        <f>AND('Planilla_General_29-11-2012_10_'!E1808,"AAAAAHl3/wQ=")</f>
        <v>#VALUE!</v>
      </c>
      <c r="F121" t="e">
        <f>AND('Planilla_General_29-11-2012_10_'!F1808,"AAAAAHl3/wU=")</f>
        <v>#VALUE!</v>
      </c>
      <c r="G121" t="e">
        <f>AND('Planilla_General_29-11-2012_10_'!G1808,"AAAAAHl3/wY=")</f>
        <v>#VALUE!</v>
      </c>
      <c r="H121" t="e">
        <f>AND('Planilla_General_29-11-2012_10_'!H1808,"AAAAAHl3/wc=")</f>
        <v>#VALUE!</v>
      </c>
      <c r="I121" t="e">
        <f>AND('Planilla_General_29-11-2012_10_'!I1808,"AAAAAHl3/wg=")</f>
        <v>#VALUE!</v>
      </c>
      <c r="J121" t="e">
        <f>AND('Planilla_General_29-11-2012_10_'!J1808,"AAAAAHl3/wk=")</f>
        <v>#VALUE!</v>
      </c>
      <c r="K121" t="e">
        <f>AND('Planilla_General_29-11-2012_10_'!K1808,"AAAAAHl3/wo=")</f>
        <v>#VALUE!</v>
      </c>
      <c r="L121" t="e">
        <f>AND('Planilla_General_29-11-2012_10_'!L1808,"AAAAAHl3/ws=")</f>
        <v>#VALUE!</v>
      </c>
      <c r="M121" t="e">
        <f>AND('Planilla_General_29-11-2012_10_'!M1808,"AAAAAHl3/ww=")</f>
        <v>#VALUE!</v>
      </c>
      <c r="N121" t="e">
        <f>AND('Planilla_General_29-11-2012_10_'!N1808,"AAAAAHl3/w0=")</f>
        <v>#VALUE!</v>
      </c>
      <c r="O121" t="e">
        <f>AND('Planilla_General_29-11-2012_10_'!O1808,"AAAAAHl3/w4=")</f>
        <v>#VALUE!</v>
      </c>
      <c r="P121" t="e">
        <f>AND('Planilla_General_29-11-2012_10_'!P1808,"AAAAAHl3/w8=")</f>
        <v>#VALUE!</v>
      </c>
      <c r="Q121">
        <f>IF('Planilla_General_29-11-2012_10_'!1809:1809,"AAAAAHl3/xA=",0)</f>
        <v>0</v>
      </c>
      <c r="R121" t="e">
        <f>AND('Planilla_General_29-11-2012_10_'!A1809,"AAAAAHl3/xE=")</f>
        <v>#VALUE!</v>
      </c>
      <c r="S121" t="e">
        <f>AND('Planilla_General_29-11-2012_10_'!B1809,"AAAAAHl3/xI=")</f>
        <v>#VALUE!</v>
      </c>
      <c r="T121" t="e">
        <f>AND('Planilla_General_29-11-2012_10_'!C1809,"AAAAAHl3/xM=")</f>
        <v>#VALUE!</v>
      </c>
      <c r="U121" t="e">
        <f>AND('Planilla_General_29-11-2012_10_'!D1809,"AAAAAHl3/xQ=")</f>
        <v>#VALUE!</v>
      </c>
      <c r="V121" t="e">
        <f>AND('Planilla_General_29-11-2012_10_'!E1809,"AAAAAHl3/xU=")</f>
        <v>#VALUE!</v>
      </c>
      <c r="W121" t="e">
        <f>AND('Planilla_General_29-11-2012_10_'!F1809,"AAAAAHl3/xY=")</f>
        <v>#VALUE!</v>
      </c>
      <c r="X121" t="e">
        <f>AND('Planilla_General_29-11-2012_10_'!G1809,"AAAAAHl3/xc=")</f>
        <v>#VALUE!</v>
      </c>
      <c r="Y121" t="e">
        <f>AND('Planilla_General_29-11-2012_10_'!H1809,"AAAAAHl3/xg=")</f>
        <v>#VALUE!</v>
      </c>
      <c r="Z121" t="e">
        <f>AND('Planilla_General_29-11-2012_10_'!I1809,"AAAAAHl3/xk=")</f>
        <v>#VALUE!</v>
      </c>
      <c r="AA121" t="e">
        <f>AND('Planilla_General_29-11-2012_10_'!J1809,"AAAAAHl3/xo=")</f>
        <v>#VALUE!</v>
      </c>
      <c r="AB121" t="e">
        <f>AND('Planilla_General_29-11-2012_10_'!K1809,"AAAAAHl3/xs=")</f>
        <v>#VALUE!</v>
      </c>
      <c r="AC121" t="e">
        <f>AND('Planilla_General_29-11-2012_10_'!L1809,"AAAAAHl3/xw=")</f>
        <v>#VALUE!</v>
      </c>
      <c r="AD121" t="e">
        <f>AND('Planilla_General_29-11-2012_10_'!M1809,"AAAAAHl3/x0=")</f>
        <v>#VALUE!</v>
      </c>
      <c r="AE121" t="e">
        <f>AND('Planilla_General_29-11-2012_10_'!N1809,"AAAAAHl3/x4=")</f>
        <v>#VALUE!</v>
      </c>
      <c r="AF121" t="e">
        <f>AND('Planilla_General_29-11-2012_10_'!O1809,"AAAAAHl3/x8=")</f>
        <v>#VALUE!</v>
      </c>
      <c r="AG121" t="e">
        <f>AND('Planilla_General_29-11-2012_10_'!P1809,"AAAAAHl3/yA=")</f>
        <v>#VALUE!</v>
      </c>
      <c r="AH121">
        <f>IF('Planilla_General_29-11-2012_10_'!1810:1810,"AAAAAHl3/yE=",0)</f>
        <v>0</v>
      </c>
      <c r="AI121" t="e">
        <f>AND('Planilla_General_29-11-2012_10_'!A1810,"AAAAAHl3/yI=")</f>
        <v>#VALUE!</v>
      </c>
      <c r="AJ121" t="e">
        <f>AND('Planilla_General_29-11-2012_10_'!B1810,"AAAAAHl3/yM=")</f>
        <v>#VALUE!</v>
      </c>
      <c r="AK121" t="e">
        <f>AND('Planilla_General_29-11-2012_10_'!C1810,"AAAAAHl3/yQ=")</f>
        <v>#VALUE!</v>
      </c>
      <c r="AL121" t="e">
        <f>AND('Planilla_General_29-11-2012_10_'!D1810,"AAAAAHl3/yU=")</f>
        <v>#VALUE!</v>
      </c>
      <c r="AM121" t="e">
        <f>AND('Planilla_General_29-11-2012_10_'!E1810,"AAAAAHl3/yY=")</f>
        <v>#VALUE!</v>
      </c>
      <c r="AN121" t="e">
        <f>AND('Planilla_General_29-11-2012_10_'!F1810,"AAAAAHl3/yc=")</f>
        <v>#VALUE!</v>
      </c>
      <c r="AO121" t="e">
        <f>AND('Planilla_General_29-11-2012_10_'!G1810,"AAAAAHl3/yg=")</f>
        <v>#VALUE!</v>
      </c>
      <c r="AP121" t="e">
        <f>AND('Planilla_General_29-11-2012_10_'!H1810,"AAAAAHl3/yk=")</f>
        <v>#VALUE!</v>
      </c>
      <c r="AQ121" t="e">
        <f>AND('Planilla_General_29-11-2012_10_'!I1810,"AAAAAHl3/yo=")</f>
        <v>#VALUE!</v>
      </c>
      <c r="AR121" t="e">
        <f>AND('Planilla_General_29-11-2012_10_'!J1810,"AAAAAHl3/ys=")</f>
        <v>#VALUE!</v>
      </c>
      <c r="AS121" t="e">
        <f>AND('Planilla_General_29-11-2012_10_'!K1810,"AAAAAHl3/yw=")</f>
        <v>#VALUE!</v>
      </c>
      <c r="AT121" t="e">
        <f>AND('Planilla_General_29-11-2012_10_'!L1810,"AAAAAHl3/y0=")</f>
        <v>#VALUE!</v>
      </c>
      <c r="AU121" t="e">
        <f>AND('Planilla_General_29-11-2012_10_'!M1810,"AAAAAHl3/y4=")</f>
        <v>#VALUE!</v>
      </c>
      <c r="AV121" t="e">
        <f>AND('Planilla_General_29-11-2012_10_'!N1810,"AAAAAHl3/y8=")</f>
        <v>#VALUE!</v>
      </c>
      <c r="AW121" t="e">
        <f>AND('Planilla_General_29-11-2012_10_'!O1810,"AAAAAHl3/zA=")</f>
        <v>#VALUE!</v>
      </c>
      <c r="AX121" t="e">
        <f>AND('Planilla_General_29-11-2012_10_'!P1810,"AAAAAHl3/zE=")</f>
        <v>#VALUE!</v>
      </c>
      <c r="AY121">
        <f>IF('Planilla_General_29-11-2012_10_'!1811:1811,"AAAAAHl3/zI=",0)</f>
        <v>0</v>
      </c>
      <c r="AZ121" t="e">
        <f>AND('Planilla_General_29-11-2012_10_'!A1811,"AAAAAHl3/zM=")</f>
        <v>#VALUE!</v>
      </c>
      <c r="BA121" t="e">
        <f>AND('Planilla_General_29-11-2012_10_'!B1811,"AAAAAHl3/zQ=")</f>
        <v>#VALUE!</v>
      </c>
      <c r="BB121" t="e">
        <f>AND('Planilla_General_29-11-2012_10_'!C1811,"AAAAAHl3/zU=")</f>
        <v>#VALUE!</v>
      </c>
      <c r="BC121" t="e">
        <f>AND('Planilla_General_29-11-2012_10_'!D1811,"AAAAAHl3/zY=")</f>
        <v>#VALUE!</v>
      </c>
      <c r="BD121" t="e">
        <f>AND('Planilla_General_29-11-2012_10_'!E1811,"AAAAAHl3/zc=")</f>
        <v>#VALUE!</v>
      </c>
      <c r="BE121" t="e">
        <f>AND('Planilla_General_29-11-2012_10_'!F1811,"AAAAAHl3/zg=")</f>
        <v>#VALUE!</v>
      </c>
      <c r="BF121" t="e">
        <f>AND('Planilla_General_29-11-2012_10_'!G1811,"AAAAAHl3/zk=")</f>
        <v>#VALUE!</v>
      </c>
      <c r="BG121" t="e">
        <f>AND('Planilla_General_29-11-2012_10_'!H1811,"AAAAAHl3/zo=")</f>
        <v>#VALUE!</v>
      </c>
      <c r="BH121" t="e">
        <f>AND('Planilla_General_29-11-2012_10_'!I1811,"AAAAAHl3/zs=")</f>
        <v>#VALUE!</v>
      </c>
      <c r="BI121" t="e">
        <f>AND('Planilla_General_29-11-2012_10_'!J1811,"AAAAAHl3/zw=")</f>
        <v>#VALUE!</v>
      </c>
      <c r="BJ121" t="e">
        <f>AND('Planilla_General_29-11-2012_10_'!K1811,"AAAAAHl3/z0=")</f>
        <v>#VALUE!</v>
      </c>
      <c r="BK121" t="e">
        <f>AND('Planilla_General_29-11-2012_10_'!L1811,"AAAAAHl3/z4=")</f>
        <v>#VALUE!</v>
      </c>
      <c r="BL121" t="e">
        <f>AND('Planilla_General_29-11-2012_10_'!M1811,"AAAAAHl3/z8=")</f>
        <v>#VALUE!</v>
      </c>
      <c r="BM121" t="e">
        <f>AND('Planilla_General_29-11-2012_10_'!N1811,"AAAAAHl3/0A=")</f>
        <v>#VALUE!</v>
      </c>
      <c r="BN121" t="e">
        <f>AND('Planilla_General_29-11-2012_10_'!O1811,"AAAAAHl3/0E=")</f>
        <v>#VALUE!</v>
      </c>
      <c r="BO121" t="e">
        <f>AND('Planilla_General_29-11-2012_10_'!P1811,"AAAAAHl3/0I=")</f>
        <v>#VALUE!</v>
      </c>
      <c r="BP121">
        <f>IF('Planilla_General_29-11-2012_10_'!1812:1812,"AAAAAHl3/0M=",0)</f>
        <v>0</v>
      </c>
      <c r="BQ121" t="e">
        <f>AND('Planilla_General_29-11-2012_10_'!A1812,"AAAAAHl3/0Q=")</f>
        <v>#VALUE!</v>
      </c>
      <c r="BR121" t="e">
        <f>AND('Planilla_General_29-11-2012_10_'!B1812,"AAAAAHl3/0U=")</f>
        <v>#VALUE!</v>
      </c>
      <c r="BS121" t="e">
        <f>AND('Planilla_General_29-11-2012_10_'!C1812,"AAAAAHl3/0Y=")</f>
        <v>#VALUE!</v>
      </c>
      <c r="BT121" t="e">
        <f>AND('Planilla_General_29-11-2012_10_'!D1812,"AAAAAHl3/0c=")</f>
        <v>#VALUE!</v>
      </c>
      <c r="BU121" t="e">
        <f>AND('Planilla_General_29-11-2012_10_'!E1812,"AAAAAHl3/0g=")</f>
        <v>#VALUE!</v>
      </c>
      <c r="BV121" t="e">
        <f>AND('Planilla_General_29-11-2012_10_'!F1812,"AAAAAHl3/0k=")</f>
        <v>#VALUE!</v>
      </c>
      <c r="BW121" t="e">
        <f>AND('Planilla_General_29-11-2012_10_'!G1812,"AAAAAHl3/0o=")</f>
        <v>#VALUE!</v>
      </c>
      <c r="BX121" t="e">
        <f>AND('Planilla_General_29-11-2012_10_'!H1812,"AAAAAHl3/0s=")</f>
        <v>#VALUE!</v>
      </c>
      <c r="BY121" t="e">
        <f>AND('Planilla_General_29-11-2012_10_'!I1812,"AAAAAHl3/0w=")</f>
        <v>#VALUE!</v>
      </c>
      <c r="BZ121" t="e">
        <f>AND('Planilla_General_29-11-2012_10_'!J1812,"AAAAAHl3/00=")</f>
        <v>#VALUE!</v>
      </c>
      <c r="CA121" t="e">
        <f>AND('Planilla_General_29-11-2012_10_'!K1812,"AAAAAHl3/04=")</f>
        <v>#VALUE!</v>
      </c>
      <c r="CB121" t="e">
        <f>AND('Planilla_General_29-11-2012_10_'!L1812,"AAAAAHl3/08=")</f>
        <v>#VALUE!</v>
      </c>
      <c r="CC121" t="e">
        <f>AND('Planilla_General_29-11-2012_10_'!M1812,"AAAAAHl3/1A=")</f>
        <v>#VALUE!</v>
      </c>
      <c r="CD121" t="e">
        <f>AND('Planilla_General_29-11-2012_10_'!N1812,"AAAAAHl3/1E=")</f>
        <v>#VALUE!</v>
      </c>
      <c r="CE121" t="e">
        <f>AND('Planilla_General_29-11-2012_10_'!O1812,"AAAAAHl3/1I=")</f>
        <v>#VALUE!</v>
      </c>
      <c r="CF121" t="e">
        <f>AND('Planilla_General_29-11-2012_10_'!P1812,"AAAAAHl3/1M=")</f>
        <v>#VALUE!</v>
      </c>
      <c r="CG121">
        <f>IF('Planilla_General_29-11-2012_10_'!1813:1813,"AAAAAHl3/1Q=",0)</f>
        <v>0</v>
      </c>
      <c r="CH121" t="e">
        <f>AND('Planilla_General_29-11-2012_10_'!A1813,"AAAAAHl3/1U=")</f>
        <v>#VALUE!</v>
      </c>
      <c r="CI121" t="e">
        <f>AND('Planilla_General_29-11-2012_10_'!B1813,"AAAAAHl3/1Y=")</f>
        <v>#VALUE!</v>
      </c>
      <c r="CJ121" t="e">
        <f>AND('Planilla_General_29-11-2012_10_'!C1813,"AAAAAHl3/1c=")</f>
        <v>#VALUE!</v>
      </c>
      <c r="CK121" t="e">
        <f>AND('Planilla_General_29-11-2012_10_'!D1813,"AAAAAHl3/1g=")</f>
        <v>#VALUE!</v>
      </c>
      <c r="CL121" t="e">
        <f>AND('Planilla_General_29-11-2012_10_'!E1813,"AAAAAHl3/1k=")</f>
        <v>#VALUE!</v>
      </c>
      <c r="CM121" t="e">
        <f>AND('Planilla_General_29-11-2012_10_'!F1813,"AAAAAHl3/1o=")</f>
        <v>#VALUE!</v>
      </c>
      <c r="CN121" t="e">
        <f>AND('Planilla_General_29-11-2012_10_'!G1813,"AAAAAHl3/1s=")</f>
        <v>#VALUE!</v>
      </c>
      <c r="CO121" t="e">
        <f>AND('Planilla_General_29-11-2012_10_'!H1813,"AAAAAHl3/1w=")</f>
        <v>#VALUE!</v>
      </c>
      <c r="CP121" t="e">
        <f>AND('Planilla_General_29-11-2012_10_'!I1813,"AAAAAHl3/10=")</f>
        <v>#VALUE!</v>
      </c>
      <c r="CQ121" t="e">
        <f>AND('Planilla_General_29-11-2012_10_'!J1813,"AAAAAHl3/14=")</f>
        <v>#VALUE!</v>
      </c>
      <c r="CR121" t="e">
        <f>AND('Planilla_General_29-11-2012_10_'!K1813,"AAAAAHl3/18=")</f>
        <v>#VALUE!</v>
      </c>
      <c r="CS121" t="e">
        <f>AND('Planilla_General_29-11-2012_10_'!L1813,"AAAAAHl3/2A=")</f>
        <v>#VALUE!</v>
      </c>
      <c r="CT121" t="e">
        <f>AND('Planilla_General_29-11-2012_10_'!M1813,"AAAAAHl3/2E=")</f>
        <v>#VALUE!</v>
      </c>
      <c r="CU121" t="e">
        <f>AND('Planilla_General_29-11-2012_10_'!N1813,"AAAAAHl3/2I=")</f>
        <v>#VALUE!</v>
      </c>
      <c r="CV121" t="e">
        <f>AND('Planilla_General_29-11-2012_10_'!O1813,"AAAAAHl3/2M=")</f>
        <v>#VALUE!</v>
      </c>
      <c r="CW121" t="e">
        <f>AND('Planilla_General_29-11-2012_10_'!P1813,"AAAAAHl3/2Q=")</f>
        <v>#VALUE!</v>
      </c>
      <c r="CX121">
        <f>IF('Planilla_General_29-11-2012_10_'!1814:1814,"AAAAAHl3/2U=",0)</f>
        <v>0</v>
      </c>
      <c r="CY121" t="e">
        <f>AND('Planilla_General_29-11-2012_10_'!A1814,"AAAAAHl3/2Y=")</f>
        <v>#VALUE!</v>
      </c>
      <c r="CZ121" t="e">
        <f>AND('Planilla_General_29-11-2012_10_'!B1814,"AAAAAHl3/2c=")</f>
        <v>#VALUE!</v>
      </c>
      <c r="DA121" t="e">
        <f>AND('Planilla_General_29-11-2012_10_'!C1814,"AAAAAHl3/2g=")</f>
        <v>#VALUE!</v>
      </c>
      <c r="DB121" t="e">
        <f>AND('Planilla_General_29-11-2012_10_'!D1814,"AAAAAHl3/2k=")</f>
        <v>#VALUE!</v>
      </c>
      <c r="DC121" t="e">
        <f>AND('Planilla_General_29-11-2012_10_'!E1814,"AAAAAHl3/2o=")</f>
        <v>#VALUE!</v>
      </c>
      <c r="DD121" t="e">
        <f>AND('Planilla_General_29-11-2012_10_'!F1814,"AAAAAHl3/2s=")</f>
        <v>#VALUE!</v>
      </c>
      <c r="DE121" t="e">
        <f>AND('Planilla_General_29-11-2012_10_'!G1814,"AAAAAHl3/2w=")</f>
        <v>#VALUE!</v>
      </c>
      <c r="DF121" t="e">
        <f>AND('Planilla_General_29-11-2012_10_'!H1814,"AAAAAHl3/20=")</f>
        <v>#VALUE!</v>
      </c>
      <c r="DG121" t="e">
        <f>AND('Planilla_General_29-11-2012_10_'!I1814,"AAAAAHl3/24=")</f>
        <v>#VALUE!</v>
      </c>
      <c r="DH121" t="e">
        <f>AND('Planilla_General_29-11-2012_10_'!J1814,"AAAAAHl3/28=")</f>
        <v>#VALUE!</v>
      </c>
      <c r="DI121" t="e">
        <f>AND('Planilla_General_29-11-2012_10_'!K1814,"AAAAAHl3/3A=")</f>
        <v>#VALUE!</v>
      </c>
      <c r="DJ121" t="e">
        <f>AND('Planilla_General_29-11-2012_10_'!L1814,"AAAAAHl3/3E=")</f>
        <v>#VALUE!</v>
      </c>
      <c r="DK121" t="e">
        <f>AND('Planilla_General_29-11-2012_10_'!M1814,"AAAAAHl3/3I=")</f>
        <v>#VALUE!</v>
      </c>
      <c r="DL121" t="e">
        <f>AND('Planilla_General_29-11-2012_10_'!N1814,"AAAAAHl3/3M=")</f>
        <v>#VALUE!</v>
      </c>
      <c r="DM121" t="e">
        <f>AND('Planilla_General_29-11-2012_10_'!O1814,"AAAAAHl3/3Q=")</f>
        <v>#VALUE!</v>
      </c>
      <c r="DN121" t="e">
        <f>AND('Planilla_General_29-11-2012_10_'!P1814,"AAAAAHl3/3U=")</f>
        <v>#VALUE!</v>
      </c>
      <c r="DO121">
        <f>IF('Planilla_General_29-11-2012_10_'!1815:1815,"AAAAAHl3/3Y=",0)</f>
        <v>0</v>
      </c>
      <c r="DP121" t="e">
        <f>AND('Planilla_General_29-11-2012_10_'!A1815,"AAAAAHl3/3c=")</f>
        <v>#VALUE!</v>
      </c>
      <c r="DQ121" t="e">
        <f>AND('Planilla_General_29-11-2012_10_'!B1815,"AAAAAHl3/3g=")</f>
        <v>#VALUE!</v>
      </c>
      <c r="DR121" t="e">
        <f>AND('Planilla_General_29-11-2012_10_'!C1815,"AAAAAHl3/3k=")</f>
        <v>#VALUE!</v>
      </c>
      <c r="DS121" t="e">
        <f>AND('Planilla_General_29-11-2012_10_'!D1815,"AAAAAHl3/3o=")</f>
        <v>#VALUE!</v>
      </c>
      <c r="DT121" t="e">
        <f>AND('Planilla_General_29-11-2012_10_'!E1815,"AAAAAHl3/3s=")</f>
        <v>#VALUE!</v>
      </c>
      <c r="DU121" t="e">
        <f>AND('Planilla_General_29-11-2012_10_'!F1815,"AAAAAHl3/3w=")</f>
        <v>#VALUE!</v>
      </c>
      <c r="DV121" t="e">
        <f>AND('Planilla_General_29-11-2012_10_'!G1815,"AAAAAHl3/30=")</f>
        <v>#VALUE!</v>
      </c>
      <c r="DW121" t="e">
        <f>AND('Planilla_General_29-11-2012_10_'!H1815,"AAAAAHl3/34=")</f>
        <v>#VALUE!</v>
      </c>
      <c r="DX121" t="e">
        <f>AND('Planilla_General_29-11-2012_10_'!I1815,"AAAAAHl3/38=")</f>
        <v>#VALUE!</v>
      </c>
      <c r="DY121" t="e">
        <f>AND('Planilla_General_29-11-2012_10_'!J1815,"AAAAAHl3/4A=")</f>
        <v>#VALUE!</v>
      </c>
      <c r="DZ121" t="e">
        <f>AND('Planilla_General_29-11-2012_10_'!K1815,"AAAAAHl3/4E=")</f>
        <v>#VALUE!</v>
      </c>
      <c r="EA121" t="e">
        <f>AND('Planilla_General_29-11-2012_10_'!L1815,"AAAAAHl3/4I=")</f>
        <v>#VALUE!</v>
      </c>
      <c r="EB121" t="e">
        <f>AND('Planilla_General_29-11-2012_10_'!M1815,"AAAAAHl3/4M=")</f>
        <v>#VALUE!</v>
      </c>
      <c r="EC121" t="e">
        <f>AND('Planilla_General_29-11-2012_10_'!N1815,"AAAAAHl3/4Q=")</f>
        <v>#VALUE!</v>
      </c>
      <c r="ED121" t="e">
        <f>AND('Planilla_General_29-11-2012_10_'!O1815,"AAAAAHl3/4U=")</f>
        <v>#VALUE!</v>
      </c>
      <c r="EE121" t="e">
        <f>AND('Planilla_General_29-11-2012_10_'!P1815,"AAAAAHl3/4Y=")</f>
        <v>#VALUE!</v>
      </c>
      <c r="EF121">
        <f>IF('Planilla_General_29-11-2012_10_'!1816:1816,"AAAAAHl3/4c=",0)</f>
        <v>0</v>
      </c>
      <c r="EG121" t="e">
        <f>AND('Planilla_General_29-11-2012_10_'!A1816,"AAAAAHl3/4g=")</f>
        <v>#VALUE!</v>
      </c>
      <c r="EH121" t="e">
        <f>AND('Planilla_General_29-11-2012_10_'!B1816,"AAAAAHl3/4k=")</f>
        <v>#VALUE!</v>
      </c>
      <c r="EI121" t="e">
        <f>AND('Planilla_General_29-11-2012_10_'!C1816,"AAAAAHl3/4o=")</f>
        <v>#VALUE!</v>
      </c>
      <c r="EJ121" t="e">
        <f>AND('Planilla_General_29-11-2012_10_'!D1816,"AAAAAHl3/4s=")</f>
        <v>#VALUE!</v>
      </c>
      <c r="EK121" t="e">
        <f>AND('Planilla_General_29-11-2012_10_'!E1816,"AAAAAHl3/4w=")</f>
        <v>#VALUE!</v>
      </c>
      <c r="EL121" t="e">
        <f>AND('Planilla_General_29-11-2012_10_'!F1816,"AAAAAHl3/40=")</f>
        <v>#VALUE!</v>
      </c>
      <c r="EM121" t="e">
        <f>AND('Planilla_General_29-11-2012_10_'!G1816,"AAAAAHl3/44=")</f>
        <v>#VALUE!</v>
      </c>
      <c r="EN121" t="e">
        <f>AND('Planilla_General_29-11-2012_10_'!H1816,"AAAAAHl3/48=")</f>
        <v>#VALUE!</v>
      </c>
      <c r="EO121" t="e">
        <f>AND('Planilla_General_29-11-2012_10_'!I1816,"AAAAAHl3/5A=")</f>
        <v>#VALUE!</v>
      </c>
      <c r="EP121" t="e">
        <f>AND('Planilla_General_29-11-2012_10_'!J1816,"AAAAAHl3/5E=")</f>
        <v>#VALUE!</v>
      </c>
      <c r="EQ121" t="e">
        <f>AND('Planilla_General_29-11-2012_10_'!K1816,"AAAAAHl3/5I=")</f>
        <v>#VALUE!</v>
      </c>
      <c r="ER121" t="e">
        <f>AND('Planilla_General_29-11-2012_10_'!L1816,"AAAAAHl3/5M=")</f>
        <v>#VALUE!</v>
      </c>
      <c r="ES121" t="e">
        <f>AND('Planilla_General_29-11-2012_10_'!M1816,"AAAAAHl3/5Q=")</f>
        <v>#VALUE!</v>
      </c>
      <c r="ET121" t="e">
        <f>AND('Planilla_General_29-11-2012_10_'!N1816,"AAAAAHl3/5U=")</f>
        <v>#VALUE!</v>
      </c>
      <c r="EU121" t="e">
        <f>AND('Planilla_General_29-11-2012_10_'!O1816,"AAAAAHl3/5Y=")</f>
        <v>#VALUE!</v>
      </c>
      <c r="EV121" t="e">
        <f>AND('Planilla_General_29-11-2012_10_'!P1816,"AAAAAHl3/5c=")</f>
        <v>#VALUE!</v>
      </c>
      <c r="EW121">
        <f>IF('Planilla_General_29-11-2012_10_'!1817:1817,"AAAAAHl3/5g=",0)</f>
        <v>0</v>
      </c>
      <c r="EX121" t="e">
        <f>AND('Planilla_General_29-11-2012_10_'!A1817,"AAAAAHl3/5k=")</f>
        <v>#VALUE!</v>
      </c>
      <c r="EY121" t="e">
        <f>AND('Planilla_General_29-11-2012_10_'!B1817,"AAAAAHl3/5o=")</f>
        <v>#VALUE!</v>
      </c>
      <c r="EZ121" t="e">
        <f>AND('Planilla_General_29-11-2012_10_'!C1817,"AAAAAHl3/5s=")</f>
        <v>#VALUE!</v>
      </c>
      <c r="FA121" t="e">
        <f>AND('Planilla_General_29-11-2012_10_'!D1817,"AAAAAHl3/5w=")</f>
        <v>#VALUE!</v>
      </c>
      <c r="FB121" t="e">
        <f>AND('Planilla_General_29-11-2012_10_'!E1817,"AAAAAHl3/50=")</f>
        <v>#VALUE!</v>
      </c>
      <c r="FC121" t="e">
        <f>AND('Planilla_General_29-11-2012_10_'!F1817,"AAAAAHl3/54=")</f>
        <v>#VALUE!</v>
      </c>
      <c r="FD121" t="e">
        <f>AND('Planilla_General_29-11-2012_10_'!G1817,"AAAAAHl3/58=")</f>
        <v>#VALUE!</v>
      </c>
      <c r="FE121" t="e">
        <f>AND('Planilla_General_29-11-2012_10_'!H1817,"AAAAAHl3/6A=")</f>
        <v>#VALUE!</v>
      </c>
      <c r="FF121" t="e">
        <f>AND('Planilla_General_29-11-2012_10_'!I1817,"AAAAAHl3/6E=")</f>
        <v>#VALUE!</v>
      </c>
      <c r="FG121" t="e">
        <f>AND('Planilla_General_29-11-2012_10_'!J1817,"AAAAAHl3/6I=")</f>
        <v>#VALUE!</v>
      </c>
      <c r="FH121" t="e">
        <f>AND('Planilla_General_29-11-2012_10_'!K1817,"AAAAAHl3/6M=")</f>
        <v>#VALUE!</v>
      </c>
      <c r="FI121" t="e">
        <f>AND('Planilla_General_29-11-2012_10_'!L1817,"AAAAAHl3/6Q=")</f>
        <v>#VALUE!</v>
      </c>
      <c r="FJ121" t="e">
        <f>AND('Planilla_General_29-11-2012_10_'!M1817,"AAAAAHl3/6U=")</f>
        <v>#VALUE!</v>
      </c>
      <c r="FK121" t="e">
        <f>AND('Planilla_General_29-11-2012_10_'!N1817,"AAAAAHl3/6Y=")</f>
        <v>#VALUE!</v>
      </c>
      <c r="FL121" t="e">
        <f>AND('Planilla_General_29-11-2012_10_'!O1817,"AAAAAHl3/6c=")</f>
        <v>#VALUE!</v>
      </c>
      <c r="FM121" t="e">
        <f>AND('Planilla_General_29-11-2012_10_'!P1817,"AAAAAHl3/6g=")</f>
        <v>#VALUE!</v>
      </c>
      <c r="FN121">
        <f>IF('Planilla_General_29-11-2012_10_'!1818:1818,"AAAAAHl3/6k=",0)</f>
        <v>0</v>
      </c>
      <c r="FO121" t="e">
        <f>AND('Planilla_General_29-11-2012_10_'!A1818,"AAAAAHl3/6o=")</f>
        <v>#VALUE!</v>
      </c>
      <c r="FP121" t="e">
        <f>AND('Planilla_General_29-11-2012_10_'!B1818,"AAAAAHl3/6s=")</f>
        <v>#VALUE!</v>
      </c>
      <c r="FQ121" t="e">
        <f>AND('Planilla_General_29-11-2012_10_'!C1818,"AAAAAHl3/6w=")</f>
        <v>#VALUE!</v>
      </c>
      <c r="FR121" t="e">
        <f>AND('Planilla_General_29-11-2012_10_'!D1818,"AAAAAHl3/60=")</f>
        <v>#VALUE!</v>
      </c>
      <c r="FS121" t="e">
        <f>AND('Planilla_General_29-11-2012_10_'!E1818,"AAAAAHl3/64=")</f>
        <v>#VALUE!</v>
      </c>
      <c r="FT121" t="e">
        <f>AND('Planilla_General_29-11-2012_10_'!F1818,"AAAAAHl3/68=")</f>
        <v>#VALUE!</v>
      </c>
      <c r="FU121" t="e">
        <f>AND('Planilla_General_29-11-2012_10_'!G1818,"AAAAAHl3/7A=")</f>
        <v>#VALUE!</v>
      </c>
      <c r="FV121" t="e">
        <f>AND('Planilla_General_29-11-2012_10_'!H1818,"AAAAAHl3/7E=")</f>
        <v>#VALUE!</v>
      </c>
      <c r="FW121" t="e">
        <f>AND('Planilla_General_29-11-2012_10_'!I1818,"AAAAAHl3/7I=")</f>
        <v>#VALUE!</v>
      </c>
      <c r="FX121" t="e">
        <f>AND('Planilla_General_29-11-2012_10_'!J1818,"AAAAAHl3/7M=")</f>
        <v>#VALUE!</v>
      </c>
      <c r="FY121" t="e">
        <f>AND('Planilla_General_29-11-2012_10_'!K1818,"AAAAAHl3/7Q=")</f>
        <v>#VALUE!</v>
      </c>
      <c r="FZ121" t="e">
        <f>AND('Planilla_General_29-11-2012_10_'!L1818,"AAAAAHl3/7U=")</f>
        <v>#VALUE!</v>
      </c>
      <c r="GA121" t="e">
        <f>AND('Planilla_General_29-11-2012_10_'!M1818,"AAAAAHl3/7Y=")</f>
        <v>#VALUE!</v>
      </c>
      <c r="GB121" t="e">
        <f>AND('Planilla_General_29-11-2012_10_'!N1818,"AAAAAHl3/7c=")</f>
        <v>#VALUE!</v>
      </c>
      <c r="GC121" t="e">
        <f>AND('Planilla_General_29-11-2012_10_'!O1818,"AAAAAHl3/7g=")</f>
        <v>#VALUE!</v>
      </c>
      <c r="GD121" t="e">
        <f>AND('Planilla_General_29-11-2012_10_'!P1818,"AAAAAHl3/7k=")</f>
        <v>#VALUE!</v>
      </c>
      <c r="GE121">
        <f>IF('Planilla_General_29-11-2012_10_'!1819:1819,"AAAAAHl3/7o=",0)</f>
        <v>0</v>
      </c>
      <c r="GF121" t="e">
        <f>AND('Planilla_General_29-11-2012_10_'!A1819,"AAAAAHl3/7s=")</f>
        <v>#VALUE!</v>
      </c>
      <c r="GG121" t="e">
        <f>AND('Planilla_General_29-11-2012_10_'!B1819,"AAAAAHl3/7w=")</f>
        <v>#VALUE!</v>
      </c>
      <c r="GH121" t="e">
        <f>AND('Planilla_General_29-11-2012_10_'!C1819,"AAAAAHl3/70=")</f>
        <v>#VALUE!</v>
      </c>
      <c r="GI121" t="e">
        <f>AND('Planilla_General_29-11-2012_10_'!D1819,"AAAAAHl3/74=")</f>
        <v>#VALUE!</v>
      </c>
      <c r="GJ121" t="e">
        <f>AND('Planilla_General_29-11-2012_10_'!E1819,"AAAAAHl3/78=")</f>
        <v>#VALUE!</v>
      </c>
      <c r="GK121" t="e">
        <f>AND('Planilla_General_29-11-2012_10_'!F1819,"AAAAAHl3/8A=")</f>
        <v>#VALUE!</v>
      </c>
      <c r="GL121" t="e">
        <f>AND('Planilla_General_29-11-2012_10_'!G1819,"AAAAAHl3/8E=")</f>
        <v>#VALUE!</v>
      </c>
      <c r="GM121" t="e">
        <f>AND('Planilla_General_29-11-2012_10_'!H1819,"AAAAAHl3/8I=")</f>
        <v>#VALUE!</v>
      </c>
      <c r="GN121" t="e">
        <f>AND('Planilla_General_29-11-2012_10_'!I1819,"AAAAAHl3/8M=")</f>
        <v>#VALUE!</v>
      </c>
      <c r="GO121" t="e">
        <f>AND('Planilla_General_29-11-2012_10_'!J1819,"AAAAAHl3/8Q=")</f>
        <v>#VALUE!</v>
      </c>
      <c r="GP121" t="e">
        <f>AND('Planilla_General_29-11-2012_10_'!K1819,"AAAAAHl3/8U=")</f>
        <v>#VALUE!</v>
      </c>
      <c r="GQ121" t="e">
        <f>AND('Planilla_General_29-11-2012_10_'!L1819,"AAAAAHl3/8Y=")</f>
        <v>#VALUE!</v>
      </c>
      <c r="GR121" t="e">
        <f>AND('Planilla_General_29-11-2012_10_'!M1819,"AAAAAHl3/8c=")</f>
        <v>#VALUE!</v>
      </c>
      <c r="GS121" t="e">
        <f>AND('Planilla_General_29-11-2012_10_'!N1819,"AAAAAHl3/8g=")</f>
        <v>#VALUE!</v>
      </c>
      <c r="GT121" t="e">
        <f>AND('Planilla_General_29-11-2012_10_'!O1819,"AAAAAHl3/8k=")</f>
        <v>#VALUE!</v>
      </c>
      <c r="GU121" t="e">
        <f>AND('Planilla_General_29-11-2012_10_'!P1819,"AAAAAHl3/8o=")</f>
        <v>#VALUE!</v>
      </c>
      <c r="GV121">
        <f>IF('Planilla_General_29-11-2012_10_'!1820:1820,"AAAAAHl3/8s=",0)</f>
        <v>0</v>
      </c>
      <c r="GW121" t="e">
        <f>AND('Planilla_General_29-11-2012_10_'!A1820,"AAAAAHl3/8w=")</f>
        <v>#VALUE!</v>
      </c>
      <c r="GX121" t="e">
        <f>AND('Planilla_General_29-11-2012_10_'!B1820,"AAAAAHl3/80=")</f>
        <v>#VALUE!</v>
      </c>
      <c r="GY121" t="e">
        <f>AND('Planilla_General_29-11-2012_10_'!C1820,"AAAAAHl3/84=")</f>
        <v>#VALUE!</v>
      </c>
      <c r="GZ121" t="e">
        <f>AND('Planilla_General_29-11-2012_10_'!D1820,"AAAAAHl3/88=")</f>
        <v>#VALUE!</v>
      </c>
      <c r="HA121" t="e">
        <f>AND('Planilla_General_29-11-2012_10_'!E1820,"AAAAAHl3/9A=")</f>
        <v>#VALUE!</v>
      </c>
      <c r="HB121" t="e">
        <f>AND('Planilla_General_29-11-2012_10_'!F1820,"AAAAAHl3/9E=")</f>
        <v>#VALUE!</v>
      </c>
      <c r="HC121" t="e">
        <f>AND('Planilla_General_29-11-2012_10_'!G1820,"AAAAAHl3/9I=")</f>
        <v>#VALUE!</v>
      </c>
      <c r="HD121" t="e">
        <f>AND('Planilla_General_29-11-2012_10_'!H1820,"AAAAAHl3/9M=")</f>
        <v>#VALUE!</v>
      </c>
      <c r="HE121" t="e">
        <f>AND('Planilla_General_29-11-2012_10_'!I1820,"AAAAAHl3/9Q=")</f>
        <v>#VALUE!</v>
      </c>
      <c r="HF121" t="e">
        <f>AND('Planilla_General_29-11-2012_10_'!J1820,"AAAAAHl3/9U=")</f>
        <v>#VALUE!</v>
      </c>
      <c r="HG121" t="e">
        <f>AND('Planilla_General_29-11-2012_10_'!K1820,"AAAAAHl3/9Y=")</f>
        <v>#VALUE!</v>
      </c>
      <c r="HH121" t="e">
        <f>AND('Planilla_General_29-11-2012_10_'!L1820,"AAAAAHl3/9c=")</f>
        <v>#VALUE!</v>
      </c>
      <c r="HI121" t="e">
        <f>AND('Planilla_General_29-11-2012_10_'!M1820,"AAAAAHl3/9g=")</f>
        <v>#VALUE!</v>
      </c>
      <c r="HJ121" t="e">
        <f>AND('Planilla_General_29-11-2012_10_'!N1820,"AAAAAHl3/9k=")</f>
        <v>#VALUE!</v>
      </c>
      <c r="HK121" t="e">
        <f>AND('Planilla_General_29-11-2012_10_'!O1820,"AAAAAHl3/9o=")</f>
        <v>#VALUE!</v>
      </c>
      <c r="HL121" t="e">
        <f>AND('Planilla_General_29-11-2012_10_'!P1820,"AAAAAHl3/9s=")</f>
        <v>#VALUE!</v>
      </c>
      <c r="HM121">
        <f>IF('Planilla_General_29-11-2012_10_'!1821:1821,"AAAAAHl3/9w=",0)</f>
        <v>0</v>
      </c>
      <c r="HN121" t="e">
        <f>AND('Planilla_General_29-11-2012_10_'!A1821,"AAAAAHl3/90=")</f>
        <v>#VALUE!</v>
      </c>
      <c r="HO121" t="e">
        <f>AND('Planilla_General_29-11-2012_10_'!B1821,"AAAAAHl3/94=")</f>
        <v>#VALUE!</v>
      </c>
      <c r="HP121" t="e">
        <f>AND('Planilla_General_29-11-2012_10_'!C1821,"AAAAAHl3/98=")</f>
        <v>#VALUE!</v>
      </c>
      <c r="HQ121" t="e">
        <f>AND('Planilla_General_29-11-2012_10_'!D1821,"AAAAAHl3/+A=")</f>
        <v>#VALUE!</v>
      </c>
      <c r="HR121" t="e">
        <f>AND('Planilla_General_29-11-2012_10_'!E1821,"AAAAAHl3/+E=")</f>
        <v>#VALUE!</v>
      </c>
      <c r="HS121" t="e">
        <f>AND('Planilla_General_29-11-2012_10_'!F1821,"AAAAAHl3/+I=")</f>
        <v>#VALUE!</v>
      </c>
      <c r="HT121" t="e">
        <f>AND('Planilla_General_29-11-2012_10_'!G1821,"AAAAAHl3/+M=")</f>
        <v>#VALUE!</v>
      </c>
      <c r="HU121" t="e">
        <f>AND('Planilla_General_29-11-2012_10_'!H1821,"AAAAAHl3/+Q=")</f>
        <v>#VALUE!</v>
      </c>
      <c r="HV121" t="e">
        <f>AND('Planilla_General_29-11-2012_10_'!I1821,"AAAAAHl3/+U=")</f>
        <v>#VALUE!</v>
      </c>
      <c r="HW121" t="e">
        <f>AND('Planilla_General_29-11-2012_10_'!J1821,"AAAAAHl3/+Y=")</f>
        <v>#VALUE!</v>
      </c>
      <c r="HX121" t="e">
        <f>AND('Planilla_General_29-11-2012_10_'!K1821,"AAAAAHl3/+c=")</f>
        <v>#VALUE!</v>
      </c>
      <c r="HY121" t="e">
        <f>AND('Planilla_General_29-11-2012_10_'!L1821,"AAAAAHl3/+g=")</f>
        <v>#VALUE!</v>
      </c>
      <c r="HZ121" t="e">
        <f>AND('Planilla_General_29-11-2012_10_'!M1821,"AAAAAHl3/+k=")</f>
        <v>#VALUE!</v>
      </c>
      <c r="IA121" t="e">
        <f>AND('Planilla_General_29-11-2012_10_'!N1821,"AAAAAHl3/+o=")</f>
        <v>#VALUE!</v>
      </c>
      <c r="IB121" t="e">
        <f>AND('Planilla_General_29-11-2012_10_'!O1821,"AAAAAHl3/+s=")</f>
        <v>#VALUE!</v>
      </c>
      <c r="IC121" t="e">
        <f>AND('Planilla_General_29-11-2012_10_'!P1821,"AAAAAHl3/+w=")</f>
        <v>#VALUE!</v>
      </c>
      <c r="ID121">
        <f>IF('Planilla_General_29-11-2012_10_'!1822:1822,"AAAAAHl3/+0=",0)</f>
        <v>0</v>
      </c>
      <c r="IE121" t="e">
        <f>AND('Planilla_General_29-11-2012_10_'!A1822,"AAAAAHl3/+4=")</f>
        <v>#VALUE!</v>
      </c>
      <c r="IF121" t="e">
        <f>AND('Planilla_General_29-11-2012_10_'!B1822,"AAAAAHl3/+8=")</f>
        <v>#VALUE!</v>
      </c>
      <c r="IG121" t="e">
        <f>AND('Planilla_General_29-11-2012_10_'!C1822,"AAAAAHl3//A=")</f>
        <v>#VALUE!</v>
      </c>
      <c r="IH121" t="e">
        <f>AND('Planilla_General_29-11-2012_10_'!D1822,"AAAAAHl3//E=")</f>
        <v>#VALUE!</v>
      </c>
      <c r="II121" t="e">
        <f>AND('Planilla_General_29-11-2012_10_'!E1822,"AAAAAHl3//I=")</f>
        <v>#VALUE!</v>
      </c>
      <c r="IJ121" t="e">
        <f>AND('Planilla_General_29-11-2012_10_'!F1822,"AAAAAHl3//M=")</f>
        <v>#VALUE!</v>
      </c>
      <c r="IK121" t="e">
        <f>AND('Planilla_General_29-11-2012_10_'!G1822,"AAAAAHl3//Q=")</f>
        <v>#VALUE!</v>
      </c>
      <c r="IL121" t="e">
        <f>AND('Planilla_General_29-11-2012_10_'!H1822,"AAAAAHl3//U=")</f>
        <v>#VALUE!</v>
      </c>
      <c r="IM121" t="e">
        <f>AND('Planilla_General_29-11-2012_10_'!I1822,"AAAAAHl3//Y=")</f>
        <v>#VALUE!</v>
      </c>
      <c r="IN121" t="e">
        <f>AND('Planilla_General_29-11-2012_10_'!J1822,"AAAAAHl3//c=")</f>
        <v>#VALUE!</v>
      </c>
      <c r="IO121" t="e">
        <f>AND('Planilla_General_29-11-2012_10_'!K1822,"AAAAAHl3//g=")</f>
        <v>#VALUE!</v>
      </c>
      <c r="IP121" t="e">
        <f>AND('Planilla_General_29-11-2012_10_'!L1822,"AAAAAHl3//k=")</f>
        <v>#VALUE!</v>
      </c>
      <c r="IQ121" t="e">
        <f>AND('Planilla_General_29-11-2012_10_'!M1822,"AAAAAHl3//o=")</f>
        <v>#VALUE!</v>
      </c>
      <c r="IR121" t="e">
        <f>AND('Planilla_General_29-11-2012_10_'!N1822,"AAAAAHl3//s=")</f>
        <v>#VALUE!</v>
      </c>
      <c r="IS121" t="e">
        <f>AND('Planilla_General_29-11-2012_10_'!O1822,"AAAAAHl3//w=")</f>
        <v>#VALUE!</v>
      </c>
      <c r="IT121" t="e">
        <f>AND('Planilla_General_29-11-2012_10_'!P1822,"AAAAAHl3//0=")</f>
        <v>#VALUE!</v>
      </c>
      <c r="IU121">
        <f>IF('Planilla_General_29-11-2012_10_'!1823:1823,"AAAAAHl3//4=",0)</f>
        <v>0</v>
      </c>
      <c r="IV121" t="e">
        <f>AND('Planilla_General_29-11-2012_10_'!A1823,"AAAAAHl3//8=")</f>
        <v>#VALUE!</v>
      </c>
    </row>
    <row r="122" spans="1:256" x14ac:dyDescent="0.25">
      <c r="A122" t="e">
        <f>AND('Planilla_General_29-11-2012_10_'!B1823,"AAAAAFvX1AA=")</f>
        <v>#VALUE!</v>
      </c>
      <c r="B122" t="e">
        <f>AND('Planilla_General_29-11-2012_10_'!C1823,"AAAAAFvX1AE=")</f>
        <v>#VALUE!</v>
      </c>
      <c r="C122" t="e">
        <f>AND('Planilla_General_29-11-2012_10_'!D1823,"AAAAAFvX1AI=")</f>
        <v>#VALUE!</v>
      </c>
      <c r="D122" t="e">
        <f>AND('Planilla_General_29-11-2012_10_'!E1823,"AAAAAFvX1AM=")</f>
        <v>#VALUE!</v>
      </c>
      <c r="E122" t="e">
        <f>AND('Planilla_General_29-11-2012_10_'!F1823,"AAAAAFvX1AQ=")</f>
        <v>#VALUE!</v>
      </c>
      <c r="F122" t="e">
        <f>AND('Planilla_General_29-11-2012_10_'!G1823,"AAAAAFvX1AU=")</f>
        <v>#VALUE!</v>
      </c>
      <c r="G122" t="e">
        <f>AND('Planilla_General_29-11-2012_10_'!H1823,"AAAAAFvX1AY=")</f>
        <v>#VALUE!</v>
      </c>
      <c r="H122" t="e">
        <f>AND('Planilla_General_29-11-2012_10_'!I1823,"AAAAAFvX1Ac=")</f>
        <v>#VALUE!</v>
      </c>
      <c r="I122" t="e">
        <f>AND('Planilla_General_29-11-2012_10_'!J1823,"AAAAAFvX1Ag=")</f>
        <v>#VALUE!</v>
      </c>
      <c r="J122" t="e">
        <f>AND('Planilla_General_29-11-2012_10_'!K1823,"AAAAAFvX1Ak=")</f>
        <v>#VALUE!</v>
      </c>
      <c r="K122" t="e">
        <f>AND('Planilla_General_29-11-2012_10_'!L1823,"AAAAAFvX1Ao=")</f>
        <v>#VALUE!</v>
      </c>
      <c r="L122" t="e">
        <f>AND('Planilla_General_29-11-2012_10_'!M1823,"AAAAAFvX1As=")</f>
        <v>#VALUE!</v>
      </c>
      <c r="M122" t="e">
        <f>AND('Planilla_General_29-11-2012_10_'!N1823,"AAAAAFvX1Aw=")</f>
        <v>#VALUE!</v>
      </c>
      <c r="N122" t="e">
        <f>AND('Planilla_General_29-11-2012_10_'!O1823,"AAAAAFvX1A0=")</f>
        <v>#VALUE!</v>
      </c>
      <c r="O122" t="e">
        <f>AND('Planilla_General_29-11-2012_10_'!P1823,"AAAAAFvX1A4=")</f>
        <v>#VALUE!</v>
      </c>
      <c r="P122">
        <f>IF('Planilla_General_29-11-2012_10_'!1824:1824,"AAAAAFvX1A8=",0)</f>
        <v>0</v>
      </c>
      <c r="Q122" t="e">
        <f>AND('Planilla_General_29-11-2012_10_'!A1824,"AAAAAFvX1BA=")</f>
        <v>#VALUE!</v>
      </c>
      <c r="R122" t="e">
        <f>AND('Planilla_General_29-11-2012_10_'!B1824,"AAAAAFvX1BE=")</f>
        <v>#VALUE!</v>
      </c>
      <c r="S122" t="e">
        <f>AND('Planilla_General_29-11-2012_10_'!C1824,"AAAAAFvX1BI=")</f>
        <v>#VALUE!</v>
      </c>
      <c r="T122" t="e">
        <f>AND('Planilla_General_29-11-2012_10_'!D1824,"AAAAAFvX1BM=")</f>
        <v>#VALUE!</v>
      </c>
      <c r="U122" t="e">
        <f>AND('Planilla_General_29-11-2012_10_'!E1824,"AAAAAFvX1BQ=")</f>
        <v>#VALUE!</v>
      </c>
      <c r="V122" t="e">
        <f>AND('Planilla_General_29-11-2012_10_'!F1824,"AAAAAFvX1BU=")</f>
        <v>#VALUE!</v>
      </c>
      <c r="W122" t="e">
        <f>AND('Planilla_General_29-11-2012_10_'!G1824,"AAAAAFvX1BY=")</f>
        <v>#VALUE!</v>
      </c>
      <c r="X122" t="e">
        <f>AND('Planilla_General_29-11-2012_10_'!H1824,"AAAAAFvX1Bc=")</f>
        <v>#VALUE!</v>
      </c>
      <c r="Y122" t="e">
        <f>AND('Planilla_General_29-11-2012_10_'!I1824,"AAAAAFvX1Bg=")</f>
        <v>#VALUE!</v>
      </c>
      <c r="Z122" t="e">
        <f>AND('Planilla_General_29-11-2012_10_'!J1824,"AAAAAFvX1Bk=")</f>
        <v>#VALUE!</v>
      </c>
      <c r="AA122" t="e">
        <f>AND('Planilla_General_29-11-2012_10_'!K1824,"AAAAAFvX1Bo=")</f>
        <v>#VALUE!</v>
      </c>
      <c r="AB122" t="e">
        <f>AND('Planilla_General_29-11-2012_10_'!L1824,"AAAAAFvX1Bs=")</f>
        <v>#VALUE!</v>
      </c>
      <c r="AC122" t="e">
        <f>AND('Planilla_General_29-11-2012_10_'!M1824,"AAAAAFvX1Bw=")</f>
        <v>#VALUE!</v>
      </c>
      <c r="AD122" t="e">
        <f>AND('Planilla_General_29-11-2012_10_'!N1824,"AAAAAFvX1B0=")</f>
        <v>#VALUE!</v>
      </c>
      <c r="AE122" t="e">
        <f>AND('Planilla_General_29-11-2012_10_'!O1824,"AAAAAFvX1B4=")</f>
        <v>#VALUE!</v>
      </c>
      <c r="AF122" t="e">
        <f>AND('Planilla_General_29-11-2012_10_'!P1824,"AAAAAFvX1B8=")</f>
        <v>#VALUE!</v>
      </c>
      <c r="AG122">
        <f>IF('Planilla_General_29-11-2012_10_'!1825:1825,"AAAAAFvX1CA=",0)</f>
        <v>0</v>
      </c>
      <c r="AH122" t="e">
        <f>AND('Planilla_General_29-11-2012_10_'!A1825,"AAAAAFvX1CE=")</f>
        <v>#VALUE!</v>
      </c>
      <c r="AI122" t="e">
        <f>AND('Planilla_General_29-11-2012_10_'!B1825,"AAAAAFvX1CI=")</f>
        <v>#VALUE!</v>
      </c>
      <c r="AJ122" t="e">
        <f>AND('Planilla_General_29-11-2012_10_'!C1825,"AAAAAFvX1CM=")</f>
        <v>#VALUE!</v>
      </c>
      <c r="AK122" t="e">
        <f>AND('Planilla_General_29-11-2012_10_'!D1825,"AAAAAFvX1CQ=")</f>
        <v>#VALUE!</v>
      </c>
      <c r="AL122" t="e">
        <f>AND('Planilla_General_29-11-2012_10_'!E1825,"AAAAAFvX1CU=")</f>
        <v>#VALUE!</v>
      </c>
      <c r="AM122" t="e">
        <f>AND('Planilla_General_29-11-2012_10_'!F1825,"AAAAAFvX1CY=")</f>
        <v>#VALUE!</v>
      </c>
      <c r="AN122" t="e">
        <f>AND('Planilla_General_29-11-2012_10_'!G1825,"AAAAAFvX1Cc=")</f>
        <v>#VALUE!</v>
      </c>
      <c r="AO122" t="e">
        <f>AND('Planilla_General_29-11-2012_10_'!H1825,"AAAAAFvX1Cg=")</f>
        <v>#VALUE!</v>
      </c>
      <c r="AP122" t="e">
        <f>AND('Planilla_General_29-11-2012_10_'!I1825,"AAAAAFvX1Ck=")</f>
        <v>#VALUE!</v>
      </c>
      <c r="AQ122" t="e">
        <f>AND('Planilla_General_29-11-2012_10_'!J1825,"AAAAAFvX1Co=")</f>
        <v>#VALUE!</v>
      </c>
      <c r="AR122" t="e">
        <f>AND('Planilla_General_29-11-2012_10_'!K1825,"AAAAAFvX1Cs=")</f>
        <v>#VALUE!</v>
      </c>
      <c r="AS122" t="e">
        <f>AND('Planilla_General_29-11-2012_10_'!L1825,"AAAAAFvX1Cw=")</f>
        <v>#VALUE!</v>
      </c>
      <c r="AT122" t="e">
        <f>AND('Planilla_General_29-11-2012_10_'!M1825,"AAAAAFvX1C0=")</f>
        <v>#VALUE!</v>
      </c>
      <c r="AU122" t="e">
        <f>AND('Planilla_General_29-11-2012_10_'!N1825,"AAAAAFvX1C4=")</f>
        <v>#VALUE!</v>
      </c>
      <c r="AV122" t="e">
        <f>AND('Planilla_General_29-11-2012_10_'!O1825,"AAAAAFvX1C8=")</f>
        <v>#VALUE!</v>
      </c>
      <c r="AW122" t="e">
        <f>AND('Planilla_General_29-11-2012_10_'!P1825,"AAAAAFvX1DA=")</f>
        <v>#VALUE!</v>
      </c>
      <c r="AX122">
        <f>IF('Planilla_General_29-11-2012_10_'!1826:1826,"AAAAAFvX1DE=",0)</f>
        <v>0</v>
      </c>
      <c r="AY122" t="e">
        <f>AND('Planilla_General_29-11-2012_10_'!A1826,"AAAAAFvX1DI=")</f>
        <v>#VALUE!</v>
      </c>
      <c r="AZ122" t="e">
        <f>AND('Planilla_General_29-11-2012_10_'!B1826,"AAAAAFvX1DM=")</f>
        <v>#VALUE!</v>
      </c>
      <c r="BA122" t="e">
        <f>AND('Planilla_General_29-11-2012_10_'!C1826,"AAAAAFvX1DQ=")</f>
        <v>#VALUE!</v>
      </c>
      <c r="BB122" t="e">
        <f>AND('Planilla_General_29-11-2012_10_'!D1826,"AAAAAFvX1DU=")</f>
        <v>#VALUE!</v>
      </c>
      <c r="BC122" t="e">
        <f>AND('Planilla_General_29-11-2012_10_'!E1826,"AAAAAFvX1DY=")</f>
        <v>#VALUE!</v>
      </c>
      <c r="BD122" t="e">
        <f>AND('Planilla_General_29-11-2012_10_'!F1826,"AAAAAFvX1Dc=")</f>
        <v>#VALUE!</v>
      </c>
      <c r="BE122" t="e">
        <f>AND('Planilla_General_29-11-2012_10_'!G1826,"AAAAAFvX1Dg=")</f>
        <v>#VALUE!</v>
      </c>
      <c r="BF122" t="e">
        <f>AND('Planilla_General_29-11-2012_10_'!H1826,"AAAAAFvX1Dk=")</f>
        <v>#VALUE!</v>
      </c>
      <c r="BG122" t="e">
        <f>AND('Planilla_General_29-11-2012_10_'!I1826,"AAAAAFvX1Do=")</f>
        <v>#VALUE!</v>
      </c>
      <c r="BH122" t="e">
        <f>AND('Planilla_General_29-11-2012_10_'!J1826,"AAAAAFvX1Ds=")</f>
        <v>#VALUE!</v>
      </c>
      <c r="BI122" t="e">
        <f>AND('Planilla_General_29-11-2012_10_'!K1826,"AAAAAFvX1Dw=")</f>
        <v>#VALUE!</v>
      </c>
      <c r="BJ122" t="e">
        <f>AND('Planilla_General_29-11-2012_10_'!L1826,"AAAAAFvX1D0=")</f>
        <v>#VALUE!</v>
      </c>
      <c r="BK122" t="e">
        <f>AND('Planilla_General_29-11-2012_10_'!M1826,"AAAAAFvX1D4=")</f>
        <v>#VALUE!</v>
      </c>
      <c r="BL122" t="e">
        <f>AND('Planilla_General_29-11-2012_10_'!N1826,"AAAAAFvX1D8=")</f>
        <v>#VALUE!</v>
      </c>
      <c r="BM122" t="e">
        <f>AND('Planilla_General_29-11-2012_10_'!O1826,"AAAAAFvX1EA=")</f>
        <v>#VALUE!</v>
      </c>
      <c r="BN122" t="e">
        <f>AND('Planilla_General_29-11-2012_10_'!P1826,"AAAAAFvX1EE=")</f>
        <v>#VALUE!</v>
      </c>
      <c r="BO122">
        <f>IF('Planilla_General_29-11-2012_10_'!1827:1827,"AAAAAFvX1EI=",0)</f>
        <v>0</v>
      </c>
      <c r="BP122" t="e">
        <f>AND('Planilla_General_29-11-2012_10_'!A1827,"AAAAAFvX1EM=")</f>
        <v>#VALUE!</v>
      </c>
      <c r="BQ122" t="e">
        <f>AND('Planilla_General_29-11-2012_10_'!B1827,"AAAAAFvX1EQ=")</f>
        <v>#VALUE!</v>
      </c>
      <c r="BR122" t="e">
        <f>AND('Planilla_General_29-11-2012_10_'!C1827,"AAAAAFvX1EU=")</f>
        <v>#VALUE!</v>
      </c>
      <c r="BS122" t="e">
        <f>AND('Planilla_General_29-11-2012_10_'!D1827,"AAAAAFvX1EY=")</f>
        <v>#VALUE!</v>
      </c>
      <c r="BT122" t="e">
        <f>AND('Planilla_General_29-11-2012_10_'!E1827,"AAAAAFvX1Ec=")</f>
        <v>#VALUE!</v>
      </c>
      <c r="BU122" t="e">
        <f>AND('Planilla_General_29-11-2012_10_'!F1827,"AAAAAFvX1Eg=")</f>
        <v>#VALUE!</v>
      </c>
      <c r="BV122" t="e">
        <f>AND('Planilla_General_29-11-2012_10_'!G1827,"AAAAAFvX1Ek=")</f>
        <v>#VALUE!</v>
      </c>
      <c r="BW122" t="e">
        <f>AND('Planilla_General_29-11-2012_10_'!H1827,"AAAAAFvX1Eo=")</f>
        <v>#VALUE!</v>
      </c>
      <c r="BX122" t="e">
        <f>AND('Planilla_General_29-11-2012_10_'!I1827,"AAAAAFvX1Es=")</f>
        <v>#VALUE!</v>
      </c>
      <c r="BY122" t="e">
        <f>AND('Planilla_General_29-11-2012_10_'!J1827,"AAAAAFvX1Ew=")</f>
        <v>#VALUE!</v>
      </c>
      <c r="BZ122" t="e">
        <f>AND('Planilla_General_29-11-2012_10_'!K1827,"AAAAAFvX1E0=")</f>
        <v>#VALUE!</v>
      </c>
      <c r="CA122" t="e">
        <f>AND('Planilla_General_29-11-2012_10_'!L1827,"AAAAAFvX1E4=")</f>
        <v>#VALUE!</v>
      </c>
      <c r="CB122" t="e">
        <f>AND('Planilla_General_29-11-2012_10_'!M1827,"AAAAAFvX1E8=")</f>
        <v>#VALUE!</v>
      </c>
      <c r="CC122" t="e">
        <f>AND('Planilla_General_29-11-2012_10_'!N1827,"AAAAAFvX1FA=")</f>
        <v>#VALUE!</v>
      </c>
      <c r="CD122" t="e">
        <f>AND('Planilla_General_29-11-2012_10_'!O1827,"AAAAAFvX1FE=")</f>
        <v>#VALUE!</v>
      </c>
      <c r="CE122" t="e">
        <f>AND('Planilla_General_29-11-2012_10_'!P1827,"AAAAAFvX1FI=")</f>
        <v>#VALUE!</v>
      </c>
      <c r="CF122">
        <f>IF('Planilla_General_29-11-2012_10_'!1828:1828,"AAAAAFvX1FM=",0)</f>
        <v>0</v>
      </c>
      <c r="CG122" t="e">
        <f>AND('Planilla_General_29-11-2012_10_'!A1828,"AAAAAFvX1FQ=")</f>
        <v>#VALUE!</v>
      </c>
      <c r="CH122" t="e">
        <f>AND('Planilla_General_29-11-2012_10_'!B1828,"AAAAAFvX1FU=")</f>
        <v>#VALUE!</v>
      </c>
      <c r="CI122" t="e">
        <f>AND('Planilla_General_29-11-2012_10_'!C1828,"AAAAAFvX1FY=")</f>
        <v>#VALUE!</v>
      </c>
      <c r="CJ122" t="e">
        <f>AND('Planilla_General_29-11-2012_10_'!D1828,"AAAAAFvX1Fc=")</f>
        <v>#VALUE!</v>
      </c>
      <c r="CK122" t="e">
        <f>AND('Planilla_General_29-11-2012_10_'!E1828,"AAAAAFvX1Fg=")</f>
        <v>#VALUE!</v>
      </c>
      <c r="CL122" t="e">
        <f>AND('Planilla_General_29-11-2012_10_'!F1828,"AAAAAFvX1Fk=")</f>
        <v>#VALUE!</v>
      </c>
      <c r="CM122" t="e">
        <f>AND('Planilla_General_29-11-2012_10_'!G1828,"AAAAAFvX1Fo=")</f>
        <v>#VALUE!</v>
      </c>
      <c r="CN122" t="e">
        <f>AND('Planilla_General_29-11-2012_10_'!H1828,"AAAAAFvX1Fs=")</f>
        <v>#VALUE!</v>
      </c>
      <c r="CO122" t="e">
        <f>AND('Planilla_General_29-11-2012_10_'!I1828,"AAAAAFvX1Fw=")</f>
        <v>#VALUE!</v>
      </c>
      <c r="CP122" t="e">
        <f>AND('Planilla_General_29-11-2012_10_'!J1828,"AAAAAFvX1F0=")</f>
        <v>#VALUE!</v>
      </c>
      <c r="CQ122" t="e">
        <f>AND('Planilla_General_29-11-2012_10_'!K1828,"AAAAAFvX1F4=")</f>
        <v>#VALUE!</v>
      </c>
      <c r="CR122" t="e">
        <f>AND('Planilla_General_29-11-2012_10_'!L1828,"AAAAAFvX1F8=")</f>
        <v>#VALUE!</v>
      </c>
      <c r="CS122" t="e">
        <f>AND('Planilla_General_29-11-2012_10_'!M1828,"AAAAAFvX1GA=")</f>
        <v>#VALUE!</v>
      </c>
      <c r="CT122" t="e">
        <f>AND('Planilla_General_29-11-2012_10_'!N1828,"AAAAAFvX1GE=")</f>
        <v>#VALUE!</v>
      </c>
      <c r="CU122" t="e">
        <f>AND('Planilla_General_29-11-2012_10_'!O1828,"AAAAAFvX1GI=")</f>
        <v>#VALUE!</v>
      </c>
      <c r="CV122" t="e">
        <f>AND('Planilla_General_29-11-2012_10_'!P1828,"AAAAAFvX1GM=")</f>
        <v>#VALUE!</v>
      </c>
      <c r="CW122">
        <f>IF('Planilla_General_29-11-2012_10_'!1829:1829,"AAAAAFvX1GQ=",0)</f>
        <v>0</v>
      </c>
      <c r="CX122" t="e">
        <f>AND('Planilla_General_29-11-2012_10_'!A1829,"AAAAAFvX1GU=")</f>
        <v>#VALUE!</v>
      </c>
      <c r="CY122" t="e">
        <f>AND('Planilla_General_29-11-2012_10_'!B1829,"AAAAAFvX1GY=")</f>
        <v>#VALUE!</v>
      </c>
      <c r="CZ122" t="e">
        <f>AND('Planilla_General_29-11-2012_10_'!C1829,"AAAAAFvX1Gc=")</f>
        <v>#VALUE!</v>
      </c>
      <c r="DA122" t="e">
        <f>AND('Planilla_General_29-11-2012_10_'!D1829,"AAAAAFvX1Gg=")</f>
        <v>#VALUE!</v>
      </c>
      <c r="DB122" t="e">
        <f>AND('Planilla_General_29-11-2012_10_'!E1829,"AAAAAFvX1Gk=")</f>
        <v>#VALUE!</v>
      </c>
      <c r="DC122" t="e">
        <f>AND('Planilla_General_29-11-2012_10_'!F1829,"AAAAAFvX1Go=")</f>
        <v>#VALUE!</v>
      </c>
      <c r="DD122" t="e">
        <f>AND('Planilla_General_29-11-2012_10_'!G1829,"AAAAAFvX1Gs=")</f>
        <v>#VALUE!</v>
      </c>
      <c r="DE122" t="e">
        <f>AND('Planilla_General_29-11-2012_10_'!H1829,"AAAAAFvX1Gw=")</f>
        <v>#VALUE!</v>
      </c>
      <c r="DF122" t="e">
        <f>AND('Planilla_General_29-11-2012_10_'!I1829,"AAAAAFvX1G0=")</f>
        <v>#VALUE!</v>
      </c>
      <c r="DG122" t="e">
        <f>AND('Planilla_General_29-11-2012_10_'!J1829,"AAAAAFvX1G4=")</f>
        <v>#VALUE!</v>
      </c>
      <c r="DH122" t="e">
        <f>AND('Planilla_General_29-11-2012_10_'!K1829,"AAAAAFvX1G8=")</f>
        <v>#VALUE!</v>
      </c>
      <c r="DI122" t="e">
        <f>AND('Planilla_General_29-11-2012_10_'!L1829,"AAAAAFvX1HA=")</f>
        <v>#VALUE!</v>
      </c>
      <c r="DJ122" t="e">
        <f>AND('Planilla_General_29-11-2012_10_'!M1829,"AAAAAFvX1HE=")</f>
        <v>#VALUE!</v>
      </c>
      <c r="DK122" t="e">
        <f>AND('Planilla_General_29-11-2012_10_'!N1829,"AAAAAFvX1HI=")</f>
        <v>#VALUE!</v>
      </c>
      <c r="DL122" t="e">
        <f>AND('Planilla_General_29-11-2012_10_'!O1829,"AAAAAFvX1HM=")</f>
        <v>#VALUE!</v>
      </c>
      <c r="DM122" t="e">
        <f>AND('Planilla_General_29-11-2012_10_'!P1829,"AAAAAFvX1HQ=")</f>
        <v>#VALUE!</v>
      </c>
      <c r="DN122">
        <f>IF('Planilla_General_29-11-2012_10_'!1830:1830,"AAAAAFvX1HU=",0)</f>
        <v>0</v>
      </c>
      <c r="DO122" t="e">
        <f>AND('Planilla_General_29-11-2012_10_'!A1830,"AAAAAFvX1HY=")</f>
        <v>#VALUE!</v>
      </c>
      <c r="DP122" t="e">
        <f>AND('Planilla_General_29-11-2012_10_'!B1830,"AAAAAFvX1Hc=")</f>
        <v>#VALUE!</v>
      </c>
      <c r="DQ122" t="e">
        <f>AND('Planilla_General_29-11-2012_10_'!C1830,"AAAAAFvX1Hg=")</f>
        <v>#VALUE!</v>
      </c>
      <c r="DR122" t="e">
        <f>AND('Planilla_General_29-11-2012_10_'!D1830,"AAAAAFvX1Hk=")</f>
        <v>#VALUE!</v>
      </c>
      <c r="DS122" t="e">
        <f>AND('Planilla_General_29-11-2012_10_'!E1830,"AAAAAFvX1Ho=")</f>
        <v>#VALUE!</v>
      </c>
      <c r="DT122" t="e">
        <f>AND('Planilla_General_29-11-2012_10_'!F1830,"AAAAAFvX1Hs=")</f>
        <v>#VALUE!</v>
      </c>
      <c r="DU122" t="e">
        <f>AND('Planilla_General_29-11-2012_10_'!G1830,"AAAAAFvX1Hw=")</f>
        <v>#VALUE!</v>
      </c>
      <c r="DV122" t="e">
        <f>AND('Planilla_General_29-11-2012_10_'!H1830,"AAAAAFvX1H0=")</f>
        <v>#VALUE!</v>
      </c>
      <c r="DW122" t="e">
        <f>AND('Planilla_General_29-11-2012_10_'!I1830,"AAAAAFvX1H4=")</f>
        <v>#VALUE!</v>
      </c>
      <c r="DX122" t="e">
        <f>AND('Planilla_General_29-11-2012_10_'!J1830,"AAAAAFvX1H8=")</f>
        <v>#VALUE!</v>
      </c>
      <c r="DY122" t="e">
        <f>AND('Planilla_General_29-11-2012_10_'!K1830,"AAAAAFvX1IA=")</f>
        <v>#VALUE!</v>
      </c>
      <c r="DZ122" t="e">
        <f>AND('Planilla_General_29-11-2012_10_'!L1830,"AAAAAFvX1IE=")</f>
        <v>#VALUE!</v>
      </c>
      <c r="EA122" t="e">
        <f>AND('Planilla_General_29-11-2012_10_'!M1830,"AAAAAFvX1II=")</f>
        <v>#VALUE!</v>
      </c>
      <c r="EB122" t="e">
        <f>AND('Planilla_General_29-11-2012_10_'!N1830,"AAAAAFvX1IM=")</f>
        <v>#VALUE!</v>
      </c>
      <c r="EC122" t="e">
        <f>AND('Planilla_General_29-11-2012_10_'!O1830,"AAAAAFvX1IQ=")</f>
        <v>#VALUE!</v>
      </c>
      <c r="ED122" t="e">
        <f>AND('Planilla_General_29-11-2012_10_'!P1830,"AAAAAFvX1IU=")</f>
        <v>#VALUE!</v>
      </c>
      <c r="EE122">
        <f>IF('Planilla_General_29-11-2012_10_'!1831:1831,"AAAAAFvX1IY=",0)</f>
        <v>0</v>
      </c>
      <c r="EF122" t="e">
        <f>AND('Planilla_General_29-11-2012_10_'!A1831,"AAAAAFvX1Ic=")</f>
        <v>#VALUE!</v>
      </c>
      <c r="EG122" t="e">
        <f>AND('Planilla_General_29-11-2012_10_'!B1831,"AAAAAFvX1Ig=")</f>
        <v>#VALUE!</v>
      </c>
      <c r="EH122" t="e">
        <f>AND('Planilla_General_29-11-2012_10_'!C1831,"AAAAAFvX1Ik=")</f>
        <v>#VALUE!</v>
      </c>
      <c r="EI122" t="e">
        <f>AND('Planilla_General_29-11-2012_10_'!D1831,"AAAAAFvX1Io=")</f>
        <v>#VALUE!</v>
      </c>
      <c r="EJ122" t="e">
        <f>AND('Planilla_General_29-11-2012_10_'!E1831,"AAAAAFvX1Is=")</f>
        <v>#VALUE!</v>
      </c>
      <c r="EK122" t="e">
        <f>AND('Planilla_General_29-11-2012_10_'!F1831,"AAAAAFvX1Iw=")</f>
        <v>#VALUE!</v>
      </c>
      <c r="EL122" t="e">
        <f>AND('Planilla_General_29-11-2012_10_'!G1831,"AAAAAFvX1I0=")</f>
        <v>#VALUE!</v>
      </c>
      <c r="EM122" t="e">
        <f>AND('Planilla_General_29-11-2012_10_'!H1831,"AAAAAFvX1I4=")</f>
        <v>#VALUE!</v>
      </c>
      <c r="EN122" t="e">
        <f>AND('Planilla_General_29-11-2012_10_'!I1831,"AAAAAFvX1I8=")</f>
        <v>#VALUE!</v>
      </c>
      <c r="EO122" t="e">
        <f>AND('Planilla_General_29-11-2012_10_'!J1831,"AAAAAFvX1JA=")</f>
        <v>#VALUE!</v>
      </c>
      <c r="EP122" t="e">
        <f>AND('Planilla_General_29-11-2012_10_'!K1831,"AAAAAFvX1JE=")</f>
        <v>#VALUE!</v>
      </c>
      <c r="EQ122" t="e">
        <f>AND('Planilla_General_29-11-2012_10_'!L1831,"AAAAAFvX1JI=")</f>
        <v>#VALUE!</v>
      </c>
      <c r="ER122" t="e">
        <f>AND('Planilla_General_29-11-2012_10_'!M1831,"AAAAAFvX1JM=")</f>
        <v>#VALUE!</v>
      </c>
      <c r="ES122" t="e">
        <f>AND('Planilla_General_29-11-2012_10_'!N1831,"AAAAAFvX1JQ=")</f>
        <v>#VALUE!</v>
      </c>
      <c r="ET122" t="e">
        <f>AND('Planilla_General_29-11-2012_10_'!O1831,"AAAAAFvX1JU=")</f>
        <v>#VALUE!</v>
      </c>
      <c r="EU122" t="e">
        <f>AND('Planilla_General_29-11-2012_10_'!P1831,"AAAAAFvX1JY=")</f>
        <v>#VALUE!</v>
      </c>
      <c r="EV122">
        <f>IF('Planilla_General_29-11-2012_10_'!1832:1832,"AAAAAFvX1Jc=",0)</f>
        <v>0</v>
      </c>
      <c r="EW122" t="e">
        <f>AND('Planilla_General_29-11-2012_10_'!A1832,"AAAAAFvX1Jg=")</f>
        <v>#VALUE!</v>
      </c>
      <c r="EX122" t="e">
        <f>AND('Planilla_General_29-11-2012_10_'!B1832,"AAAAAFvX1Jk=")</f>
        <v>#VALUE!</v>
      </c>
      <c r="EY122" t="e">
        <f>AND('Planilla_General_29-11-2012_10_'!C1832,"AAAAAFvX1Jo=")</f>
        <v>#VALUE!</v>
      </c>
      <c r="EZ122" t="e">
        <f>AND('Planilla_General_29-11-2012_10_'!D1832,"AAAAAFvX1Js=")</f>
        <v>#VALUE!</v>
      </c>
      <c r="FA122" t="e">
        <f>AND('Planilla_General_29-11-2012_10_'!E1832,"AAAAAFvX1Jw=")</f>
        <v>#VALUE!</v>
      </c>
      <c r="FB122" t="e">
        <f>AND('Planilla_General_29-11-2012_10_'!F1832,"AAAAAFvX1J0=")</f>
        <v>#VALUE!</v>
      </c>
      <c r="FC122" t="e">
        <f>AND('Planilla_General_29-11-2012_10_'!G1832,"AAAAAFvX1J4=")</f>
        <v>#VALUE!</v>
      </c>
      <c r="FD122" t="e">
        <f>AND('Planilla_General_29-11-2012_10_'!H1832,"AAAAAFvX1J8=")</f>
        <v>#VALUE!</v>
      </c>
      <c r="FE122" t="e">
        <f>AND('Planilla_General_29-11-2012_10_'!I1832,"AAAAAFvX1KA=")</f>
        <v>#VALUE!</v>
      </c>
      <c r="FF122" t="e">
        <f>AND('Planilla_General_29-11-2012_10_'!J1832,"AAAAAFvX1KE=")</f>
        <v>#VALUE!</v>
      </c>
      <c r="FG122" t="e">
        <f>AND('Planilla_General_29-11-2012_10_'!K1832,"AAAAAFvX1KI=")</f>
        <v>#VALUE!</v>
      </c>
      <c r="FH122" t="e">
        <f>AND('Planilla_General_29-11-2012_10_'!L1832,"AAAAAFvX1KM=")</f>
        <v>#VALUE!</v>
      </c>
      <c r="FI122" t="e">
        <f>AND('Planilla_General_29-11-2012_10_'!M1832,"AAAAAFvX1KQ=")</f>
        <v>#VALUE!</v>
      </c>
      <c r="FJ122" t="e">
        <f>AND('Planilla_General_29-11-2012_10_'!N1832,"AAAAAFvX1KU=")</f>
        <v>#VALUE!</v>
      </c>
      <c r="FK122" t="e">
        <f>AND('Planilla_General_29-11-2012_10_'!O1832,"AAAAAFvX1KY=")</f>
        <v>#VALUE!</v>
      </c>
      <c r="FL122" t="e">
        <f>AND('Planilla_General_29-11-2012_10_'!P1832,"AAAAAFvX1Kc=")</f>
        <v>#VALUE!</v>
      </c>
      <c r="FM122">
        <f>IF('Planilla_General_29-11-2012_10_'!1833:1833,"AAAAAFvX1Kg=",0)</f>
        <v>0</v>
      </c>
      <c r="FN122" t="e">
        <f>AND('Planilla_General_29-11-2012_10_'!A1833,"AAAAAFvX1Kk=")</f>
        <v>#VALUE!</v>
      </c>
      <c r="FO122" t="e">
        <f>AND('Planilla_General_29-11-2012_10_'!B1833,"AAAAAFvX1Ko=")</f>
        <v>#VALUE!</v>
      </c>
      <c r="FP122" t="e">
        <f>AND('Planilla_General_29-11-2012_10_'!C1833,"AAAAAFvX1Ks=")</f>
        <v>#VALUE!</v>
      </c>
      <c r="FQ122" t="e">
        <f>AND('Planilla_General_29-11-2012_10_'!D1833,"AAAAAFvX1Kw=")</f>
        <v>#VALUE!</v>
      </c>
      <c r="FR122" t="e">
        <f>AND('Planilla_General_29-11-2012_10_'!E1833,"AAAAAFvX1K0=")</f>
        <v>#VALUE!</v>
      </c>
      <c r="FS122" t="e">
        <f>AND('Planilla_General_29-11-2012_10_'!F1833,"AAAAAFvX1K4=")</f>
        <v>#VALUE!</v>
      </c>
      <c r="FT122" t="e">
        <f>AND('Planilla_General_29-11-2012_10_'!G1833,"AAAAAFvX1K8=")</f>
        <v>#VALUE!</v>
      </c>
      <c r="FU122" t="e">
        <f>AND('Planilla_General_29-11-2012_10_'!H1833,"AAAAAFvX1LA=")</f>
        <v>#VALUE!</v>
      </c>
      <c r="FV122" t="e">
        <f>AND('Planilla_General_29-11-2012_10_'!I1833,"AAAAAFvX1LE=")</f>
        <v>#VALUE!</v>
      </c>
      <c r="FW122" t="e">
        <f>AND('Planilla_General_29-11-2012_10_'!J1833,"AAAAAFvX1LI=")</f>
        <v>#VALUE!</v>
      </c>
      <c r="FX122" t="e">
        <f>AND('Planilla_General_29-11-2012_10_'!K1833,"AAAAAFvX1LM=")</f>
        <v>#VALUE!</v>
      </c>
      <c r="FY122" t="e">
        <f>AND('Planilla_General_29-11-2012_10_'!L1833,"AAAAAFvX1LQ=")</f>
        <v>#VALUE!</v>
      </c>
      <c r="FZ122" t="e">
        <f>AND('Planilla_General_29-11-2012_10_'!M1833,"AAAAAFvX1LU=")</f>
        <v>#VALUE!</v>
      </c>
      <c r="GA122" t="e">
        <f>AND('Planilla_General_29-11-2012_10_'!N1833,"AAAAAFvX1LY=")</f>
        <v>#VALUE!</v>
      </c>
      <c r="GB122" t="e">
        <f>AND('Planilla_General_29-11-2012_10_'!O1833,"AAAAAFvX1Lc=")</f>
        <v>#VALUE!</v>
      </c>
      <c r="GC122" t="e">
        <f>AND('Planilla_General_29-11-2012_10_'!P1833,"AAAAAFvX1Lg=")</f>
        <v>#VALUE!</v>
      </c>
      <c r="GD122">
        <f>IF('Planilla_General_29-11-2012_10_'!1834:1834,"AAAAAFvX1Lk=",0)</f>
        <v>0</v>
      </c>
      <c r="GE122" t="e">
        <f>AND('Planilla_General_29-11-2012_10_'!A1834,"AAAAAFvX1Lo=")</f>
        <v>#VALUE!</v>
      </c>
      <c r="GF122" t="e">
        <f>AND('Planilla_General_29-11-2012_10_'!B1834,"AAAAAFvX1Ls=")</f>
        <v>#VALUE!</v>
      </c>
      <c r="GG122" t="e">
        <f>AND('Planilla_General_29-11-2012_10_'!C1834,"AAAAAFvX1Lw=")</f>
        <v>#VALUE!</v>
      </c>
      <c r="GH122" t="e">
        <f>AND('Planilla_General_29-11-2012_10_'!D1834,"AAAAAFvX1L0=")</f>
        <v>#VALUE!</v>
      </c>
      <c r="GI122" t="e">
        <f>AND('Planilla_General_29-11-2012_10_'!E1834,"AAAAAFvX1L4=")</f>
        <v>#VALUE!</v>
      </c>
      <c r="GJ122" t="e">
        <f>AND('Planilla_General_29-11-2012_10_'!F1834,"AAAAAFvX1L8=")</f>
        <v>#VALUE!</v>
      </c>
      <c r="GK122" t="e">
        <f>AND('Planilla_General_29-11-2012_10_'!G1834,"AAAAAFvX1MA=")</f>
        <v>#VALUE!</v>
      </c>
      <c r="GL122" t="e">
        <f>AND('Planilla_General_29-11-2012_10_'!H1834,"AAAAAFvX1ME=")</f>
        <v>#VALUE!</v>
      </c>
      <c r="GM122" t="e">
        <f>AND('Planilla_General_29-11-2012_10_'!I1834,"AAAAAFvX1MI=")</f>
        <v>#VALUE!</v>
      </c>
      <c r="GN122" t="e">
        <f>AND('Planilla_General_29-11-2012_10_'!J1834,"AAAAAFvX1MM=")</f>
        <v>#VALUE!</v>
      </c>
      <c r="GO122" t="e">
        <f>AND('Planilla_General_29-11-2012_10_'!K1834,"AAAAAFvX1MQ=")</f>
        <v>#VALUE!</v>
      </c>
      <c r="GP122" t="e">
        <f>AND('Planilla_General_29-11-2012_10_'!L1834,"AAAAAFvX1MU=")</f>
        <v>#VALUE!</v>
      </c>
      <c r="GQ122" t="e">
        <f>AND('Planilla_General_29-11-2012_10_'!M1834,"AAAAAFvX1MY=")</f>
        <v>#VALUE!</v>
      </c>
      <c r="GR122" t="e">
        <f>AND('Planilla_General_29-11-2012_10_'!N1834,"AAAAAFvX1Mc=")</f>
        <v>#VALUE!</v>
      </c>
      <c r="GS122" t="e">
        <f>AND('Planilla_General_29-11-2012_10_'!O1834,"AAAAAFvX1Mg=")</f>
        <v>#VALUE!</v>
      </c>
      <c r="GT122" t="e">
        <f>AND('Planilla_General_29-11-2012_10_'!P1834,"AAAAAFvX1Mk=")</f>
        <v>#VALUE!</v>
      </c>
      <c r="GU122">
        <f>IF('Planilla_General_29-11-2012_10_'!1835:1835,"AAAAAFvX1Mo=",0)</f>
        <v>0</v>
      </c>
      <c r="GV122" t="e">
        <f>AND('Planilla_General_29-11-2012_10_'!A1835,"AAAAAFvX1Ms=")</f>
        <v>#VALUE!</v>
      </c>
      <c r="GW122" t="e">
        <f>AND('Planilla_General_29-11-2012_10_'!B1835,"AAAAAFvX1Mw=")</f>
        <v>#VALUE!</v>
      </c>
      <c r="GX122" t="e">
        <f>AND('Planilla_General_29-11-2012_10_'!C1835,"AAAAAFvX1M0=")</f>
        <v>#VALUE!</v>
      </c>
      <c r="GY122" t="e">
        <f>AND('Planilla_General_29-11-2012_10_'!D1835,"AAAAAFvX1M4=")</f>
        <v>#VALUE!</v>
      </c>
      <c r="GZ122" t="e">
        <f>AND('Planilla_General_29-11-2012_10_'!E1835,"AAAAAFvX1M8=")</f>
        <v>#VALUE!</v>
      </c>
      <c r="HA122" t="e">
        <f>AND('Planilla_General_29-11-2012_10_'!F1835,"AAAAAFvX1NA=")</f>
        <v>#VALUE!</v>
      </c>
      <c r="HB122" t="e">
        <f>AND('Planilla_General_29-11-2012_10_'!G1835,"AAAAAFvX1NE=")</f>
        <v>#VALUE!</v>
      </c>
      <c r="HC122" t="e">
        <f>AND('Planilla_General_29-11-2012_10_'!H1835,"AAAAAFvX1NI=")</f>
        <v>#VALUE!</v>
      </c>
      <c r="HD122" t="e">
        <f>AND('Planilla_General_29-11-2012_10_'!I1835,"AAAAAFvX1NM=")</f>
        <v>#VALUE!</v>
      </c>
      <c r="HE122" t="e">
        <f>AND('Planilla_General_29-11-2012_10_'!J1835,"AAAAAFvX1NQ=")</f>
        <v>#VALUE!</v>
      </c>
      <c r="HF122" t="e">
        <f>AND('Planilla_General_29-11-2012_10_'!K1835,"AAAAAFvX1NU=")</f>
        <v>#VALUE!</v>
      </c>
      <c r="HG122" t="e">
        <f>AND('Planilla_General_29-11-2012_10_'!L1835,"AAAAAFvX1NY=")</f>
        <v>#VALUE!</v>
      </c>
      <c r="HH122" t="e">
        <f>AND('Planilla_General_29-11-2012_10_'!M1835,"AAAAAFvX1Nc=")</f>
        <v>#VALUE!</v>
      </c>
      <c r="HI122" t="e">
        <f>AND('Planilla_General_29-11-2012_10_'!N1835,"AAAAAFvX1Ng=")</f>
        <v>#VALUE!</v>
      </c>
      <c r="HJ122" t="e">
        <f>AND('Planilla_General_29-11-2012_10_'!O1835,"AAAAAFvX1Nk=")</f>
        <v>#VALUE!</v>
      </c>
      <c r="HK122" t="e">
        <f>AND('Planilla_General_29-11-2012_10_'!P1835,"AAAAAFvX1No=")</f>
        <v>#VALUE!</v>
      </c>
      <c r="HL122">
        <f>IF('Planilla_General_29-11-2012_10_'!1836:1836,"AAAAAFvX1Ns=",0)</f>
        <v>0</v>
      </c>
      <c r="HM122" t="e">
        <f>AND('Planilla_General_29-11-2012_10_'!A1836,"AAAAAFvX1Nw=")</f>
        <v>#VALUE!</v>
      </c>
      <c r="HN122" t="e">
        <f>AND('Planilla_General_29-11-2012_10_'!B1836,"AAAAAFvX1N0=")</f>
        <v>#VALUE!</v>
      </c>
      <c r="HO122" t="e">
        <f>AND('Planilla_General_29-11-2012_10_'!C1836,"AAAAAFvX1N4=")</f>
        <v>#VALUE!</v>
      </c>
      <c r="HP122" t="e">
        <f>AND('Planilla_General_29-11-2012_10_'!D1836,"AAAAAFvX1N8=")</f>
        <v>#VALUE!</v>
      </c>
      <c r="HQ122" t="e">
        <f>AND('Planilla_General_29-11-2012_10_'!E1836,"AAAAAFvX1OA=")</f>
        <v>#VALUE!</v>
      </c>
      <c r="HR122" t="e">
        <f>AND('Planilla_General_29-11-2012_10_'!F1836,"AAAAAFvX1OE=")</f>
        <v>#VALUE!</v>
      </c>
      <c r="HS122" t="e">
        <f>AND('Planilla_General_29-11-2012_10_'!G1836,"AAAAAFvX1OI=")</f>
        <v>#VALUE!</v>
      </c>
      <c r="HT122" t="e">
        <f>AND('Planilla_General_29-11-2012_10_'!H1836,"AAAAAFvX1OM=")</f>
        <v>#VALUE!</v>
      </c>
      <c r="HU122" t="e">
        <f>AND('Planilla_General_29-11-2012_10_'!I1836,"AAAAAFvX1OQ=")</f>
        <v>#VALUE!</v>
      </c>
      <c r="HV122" t="e">
        <f>AND('Planilla_General_29-11-2012_10_'!J1836,"AAAAAFvX1OU=")</f>
        <v>#VALUE!</v>
      </c>
      <c r="HW122" t="e">
        <f>AND('Planilla_General_29-11-2012_10_'!K1836,"AAAAAFvX1OY=")</f>
        <v>#VALUE!</v>
      </c>
      <c r="HX122" t="e">
        <f>AND('Planilla_General_29-11-2012_10_'!L1836,"AAAAAFvX1Oc=")</f>
        <v>#VALUE!</v>
      </c>
      <c r="HY122" t="e">
        <f>AND('Planilla_General_29-11-2012_10_'!M1836,"AAAAAFvX1Og=")</f>
        <v>#VALUE!</v>
      </c>
      <c r="HZ122" t="e">
        <f>AND('Planilla_General_29-11-2012_10_'!N1836,"AAAAAFvX1Ok=")</f>
        <v>#VALUE!</v>
      </c>
      <c r="IA122" t="e">
        <f>AND('Planilla_General_29-11-2012_10_'!O1836,"AAAAAFvX1Oo=")</f>
        <v>#VALUE!</v>
      </c>
      <c r="IB122" t="e">
        <f>AND('Planilla_General_29-11-2012_10_'!P1836,"AAAAAFvX1Os=")</f>
        <v>#VALUE!</v>
      </c>
      <c r="IC122">
        <f>IF('Planilla_General_29-11-2012_10_'!1837:1837,"AAAAAFvX1Ow=",0)</f>
        <v>0</v>
      </c>
      <c r="ID122" t="e">
        <f>AND('Planilla_General_29-11-2012_10_'!A1837,"AAAAAFvX1O0=")</f>
        <v>#VALUE!</v>
      </c>
      <c r="IE122" t="e">
        <f>AND('Planilla_General_29-11-2012_10_'!B1837,"AAAAAFvX1O4=")</f>
        <v>#VALUE!</v>
      </c>
      <c r="IF122" t="e">
        <f>AND('Planilla_General_29-11-2012_10_'!C1837,"AAAAAFvX1O8=")</f>
        <v>#VALUE!</v>
      </c>
      <c r="IG122" t="e">
        <f>AND('Planilla_General_29-11-2012_10_'!D1837,"AAAAAFvX1PA=")</f>
        <v>#VALUE!</v>
      </c>
      <c r="IH122" t="e">
        <f>AND('Planilla_General_29-11-2012_10_'!E1837,"AAAAAFvX1PE=")</f>
        <v>#VALUE!</v>
      </c>
      <c r="II122" t="e">
        <f>AND('Planilla_General_29-11-2012_10_'!F1837,"AAAAAFvX1PI=")</f>
        <v>#VALUE!</v>
      </c>
      <c r="IJ122" t="e">
        <f>AND('Planilla_General_29-11-2012_10_'!G1837,"AAAAAFvX1PM=")</f>
        <v>#VALUE!</v>
      </c>
      <c r="IK122" t="e">
        <f>AND('Planilla_General_29-11-2012_10_'!H1837,"AAAAAFvX1PQ=")</f>
        <v>#VALUE!</v>
      </c>
      <c r="IL122" t="e">
        <f>AND('Planilla_General_29-11-2012_10_'!I1837,"AAAAAFvX1PU=")</f>
        <v>#VALUE!</v>
      </c>
      <c r="IM122" t="e">
        <f>AND('Planilla_General_29-11-2012_10_'!J1837,"AAAAAFvX1PY=")</f>
        <v>#VALUE!</v>
      </c>
      <c r="IN122" t="e">
        <f>AND('Planilla_General_29-11-2012_10_'!K1837,"AAAAAFvX1Pc=")</f>
        <v>#VALUE!</v>
      </c>
      <c r="IO122" t="e">
        <f>AND('Planilla_General_29-11-2012_10_'!L1837,"AAAAAFvX1Pg=")</f>
        <v>#VALUE!</v>
      </c>
      <c r="IP122" t="e">
        <f>AND('Planilla_General_29-11-2012_10_'!M1837,"AAAAAFvX1Pk=")</f>
        <v>#VALUE!</v>
      </c>
      <c r="IQ122" t="e">
        <f>AND('Planilla_General_29-11-2012_10_'!N1837,"AAAAAFvX1Po=")</f>
        <v>#VALUE!</v>
      </c>
      <c r="IR122" t="e">
        <f>AND('Planilla_General_29-11-2012_10_'!O1837,"AAAAAFvX1Ps=")</f>
        <v>#VALUE!</v>
      </c>
      <c r="IS122" t="e">
        <f>AND('Planilla_General_29-11-2012_10_'!P1837,"AAAAAFvX1Pw=")</f>
        <v>#VALUE!</v>
      </c>
      <c r="IT122">
        <f>IF('Planilla_General_29-11-2012_10_'!1838:1838,"AAAAAFvX1P0=",0)</f>
        <v>0</v>
      </c>
      <c r="IU122" t="e">
        <f>AND('Planilla_General_29-11-2012_10_'!A1838,"AAAAAFvX1P4=")</f>
        <v>#VALUE!</v>
      </c>
      <c r="IV122" t="e">
        <f>AND('Planilla_General_29-11-2012_10_'!B1838,"AAAAAFvX1P8=")</f>
        <v>#VALUE!</v>
      </c>
    </row>
    <row r="123" spans="1:256" x14ac:dyDescent="0.25">
      <c r="A123" t="e">
        <f>AND('Planilla_General_29-11-2012_10_'!C1838,"AAAAAGtr/wA=")</f>
        <v>#VALUE!</v>
      </c>
      <c r="B123" t="e">
        <f>AND('Planilla_General_29-11-2012_10_'!D1838,"AAAAAGtr/wE=")</f>
        <v>#VALUE!</v>
      </c>
      <c r="C123" t="e">
        <f>AND('Planilla_General_29-11-2012_10_'!E1838,"AAAAAGtr/wI=")</f>
        <v>#VALUE!</v>
      </c>
      <c r="D123" t="e">
        <f>AND('Planilla_General_29-11-2012_10_'!F1838,"AAAAAGtr/wM=")</f>
        <v>#VALUE!</v>
      </c>
      <c r="E123" t="e">
        <f>AND('Planilla_General_29-11-2012_10_'!G1838,"AAAAAGtr/wQ=")</f>
        <v>#VALUE!</v>
      </c>
      <c r="F123" t="e">
        <f>AND('Planilla_General_29-11-2012_10_'!H1838,"AAAAAGtr/wU=")</f>
        <v>#VALUE!</v>
      </c>
      <c r="G123" t="e">
        <f>AND('Planilla_General_29-11-2012_10_'!I1838,"AAAAAGtr/wY=")</f>
        <v>#VALUE!</v>
      </c>
      <c r="H123" t="e">
        <f>AND('Planilla_General_29-11-2012_10_'!J1838,"AAAAAGtr/wc=")</f>
        <v>#VALUE!</v>
      </c>
      <c r="I123" t="e">
        <f>AND('Planilla_General_29-11-2012_10_'!K1838,"AAAAAGtr/wg=")</f>
        <v>#VALUE!</v>
      </c>
      <c r="J123" t="e">
        <f>AND('Planilla_General_29-11-2012_10_'!L1838,"AAAAAGtr/wk=")</f>
        <v>#VALUE!</v>
      </c>
      <c r="K123" t="e">
        <f>AND('Planilla_General_29-11-2012_10_'!M1838,"AAAAAGtr/wo=")</f>
        <v>#VALUE!</v>
      </c>
      <c r="L123" t="e">
        <f>AND('Planilla_General_29-11-2012_10_'!N1838,"AAAAAGtr/ws=")</f>
        <v>#VALUE!</v>
      </c>
      <c r="M123" t="e">
        <f>AND('Planilla_General_29-11-2012_10_'!O1838,"AAAAAGtr/ww=")</f>
        <v>#VALUE!</v>
      </c>
      <c r="N123" t="e">
        <f>AND('Planilla_General_29-11-2012_10_'!P1838,"AAAAAGtr/w0=")</f>
        <v>#VALUE!</v>
      </c>
      <c r="O123" t="str">
        <f>IF('Planilla_General_29-11-2012_10_'!1839:1839,"AAAAAGtr/w4=",0)</f>
        <v>AAAAAGtr/w4=</v>
      </c>
      <c r="P123" t="e">
        <f>AND('Planilla_General_29-11-2012_10_'!A1839,"AAAAAGtr/w8=")</f>
        <v>#VALUE!</v>
      </c>
      <c r="Q123" t="e">
        <f>AND('Planilla_General_29-11-2012_10_'!B1839,"AAAAAGtr/xA=")</f>
        <v>#VALUE!</v>
      </c>
      <c r="R123" t="e">
        <f>AND('Planilla_General_29-11-2012_10_'!C1839,"AAAAAGtr/xE=")</f>
        <v>#VALUE!</v>
      </c>
      <c r="S123" t="e">
        <f>AND('Planilla_General_29-11-2012_10_'!D1839,"AAAAAGtr/xI=")</f>
        <v>#VALUE!</v>
      </c>
      <c r="T123" t="e">
        <f>AND('Planilla_General_29-11-2012_10_'!E1839,"AAAAAGtr/xM=")</f>
        <v>#VALUE!</v>
      </c>
      <c r="U123" t="e">
        <f>AND('Planilla_General_29-11-2012_10_'!F1839,"AAAAAGtr/xQ=")</f>
        <v>#VALUE!</v>
      </c>
      <c r="V123" t="e">
        <f>AND('Planilla_General_29-11-2012_10_'!G1839,"AAAAAGtr/xU=")</f>
        <v>#VALUE!</v>
      </c>
      <c r="W123" t="e">
        <f>AND('Planilla_General_29-11-2012_10_'!H1839,"AAAAAGtr/xY=")</f>
        <v>#VALUE!</v>
      </c>
      <c r="X123" t="e">
        <f>AND('Planilla_General_29-11-2012_10_'!I1839,"AAAAAGtr/xc=")</f>
        <v>#VALUE!</v>
      </c>
      <c r="Y123" t="e">
        <f>AND('Planilla_General_29-11-2012_10_'!J1839,"AAAAAGtr/xg=")</f>
        <v>#VALUE!</v>
      </c>
      <c r="Z123" t="e">
        <f>AND('Planilla_General_29-11-2012_10_'!K1839,"AAAAAGtr/xk=")</f>
        <v>#VALUE!</v>
      </c>
      <c r="AA123" t="e">
        <f>AND('Planilla_General_29-11-2012_10_'!L1839,"AAAAAGtr/xo=")</f>
        <v>#VALUE!</v>
      </c>
      <c r="AB123" t="e">
        <f>AND('Planilla_General_29-11-2012_10_'!M1839,"AAAAAGtr/xs=")</f>
        <v>#VALUE!</v>
      </c>
      <c r="AC123" t="e">
        <f>AND('Planilla_General_29-11-2012_10_'!N1839,"AAAAAGtr/xw=")</f>
        <v>#VALUE!</v>
      </c>
      <c r="AD123" t="e">
        <f>AND('Planilla_General_29-11-2012_10_'!O1839,"AAAAAGtr/x0=")</f>
        <v>#VALUE!</v>
      </c>
      <c r="AE123" t="e">
        <f>AND('Planilla_General_29-11-2012_10_'!P1839,"AAAAAGtr/x4=")</f>
        <v>#VALUE!</v>
      </c>
      <c r="AF123">
        <f>IF('Planilla_General_29-11-2012_10_'!1840:1840,"AAAAAGtr/x8=",0)</f>
        <v>0</v>
      </c>
      <c r="AG123" t="e">
        <f>AND('Planilla_General_29-11-2012_10_'!A1840,"AAAAAGtr/yA=")</f>
        <v>#VALUE!</v>
      </c>
      <c r="AH123" t="e">
        <f>AND('Planilla_General_29-11-2012_10_'!B1840,"AAAAAGtr/yE=")</f>
        <v>#VALUE!</v>
      </c>
      <c r="AI123" t="e">
        <f>AND('Planilla_General_29-11-2012_10_'!C1840,"AAAAAGtr/yI=")</f>
        <v>#VALUE!</v>
      </c>
      <c r="AJ123" t="e">
        <f>AND('Planilla_General_29-11-2012_10_'!D1840,"AAAAAGtr/yM=")</f>
        <v>#VALUE!</v>
      </c>
      <c r="AK123" t="e">
        <f>AND('Planilla_General_29-11-2012_10_'!E1840,"AAAAAGtr/yQ=")</f>
        <v>#VALUE!</v>
      </c>
      <c r="AL123" t="e">
        <f>AND('Planilla_General_29-11-2012_10_'!F1840,"AAAAAGtr/yU=")</f>
        <v>#VALUE!</v>
      </c>
      <c r="AM123" t="e">
        <f>AND('Planilla_General_29-11-2012_10_'!G1840,"AAAAAGtr/yY=")</f>
        <v>#VALUE!</v>
      </c>
      <c r="AN123" t="e">
        <f>AND('Planilla_General_29-11-2012_10_'!H1840,"AAAAAGtr/yc=")</f>
        <v>#VALUE!</v>
      </c>
      <c r="AO123" t="e">
        <f>AND('Planilla_General_29-11-2012_10_'!I1840,"AAAAAGtr/yg=")</f>
        <v>#VALUE!</v>
      </c>
      <c r="AP123" t="e">
        <f>AND('Planilla_General_29-11-2012_10_'!J1840,"AAAAAGtr/yk=")</f>
        <v>#VALUE!</v>
      </c>
      <c r="AQ123" t="e">
        <f>AND('Planilla_General_29-11-2012_10_'!K1840,"AAAAAGtr/yo=")</f>
        <v>#VALUE!</v>
      </c>
      <c r="AR123" t="e">
        <f>AND('Planilla_General_29-11-2012_10_'!L1840,"AAAAAGtr/ys=")</f>
        <v>#VALUE!</v>
      </c>
      <c r="AS123" t="e">
        <f>AND('Planilla_General_29-11-2012_10_'!M1840,"AAAAAGtr/yw=")</f>
        <v>#VALUE!</v>
      </c>
      <c r="AT123" t="e">
        <f>AND('Planilla_General_29-11-2012_10_'!N1840,"AAAAAGtr/y0=")</f>
        <v>#VALUE!</v>
      </c>
      <c r="AU123" t="e">
        <f>AND('Planilla_General_29-11-2012_10_'!O1840,"AAAAAGtr/y4=")</f>
        <v>#VALUE!</v>
      </c>
      <c r="AV123" t="e">
        <f>AND('Planilla_General_29-11-2012_10_'!P1840,"AAAAAGtr/y8=")</f>
        <v>#VALUE!</v>
      </c>
      <c r="AW123">
        <f>IF('Planilla_General_29-11-2012_10_'!1841:1841,"AAAAAGtr/zA=",0)</f>
        <v>0</v>
      </c>
      <c r="AX123" t="e">
        <f>AND('Planilla_General_29-11-2012_10_'!A1841,"AAAAAGtr/zE=")</f>
        <v>#VALUE!</v>
      </c>
      <c r="AY123" t="e">
        <f>AND('Planilla_General_29-11-2012_10_'!B1841,"AAAAAGtr/zI=")</f>
        <v>#VALUE!</v>
      </c>
      <c r="AZ123" t="e">
        <f>AND('Planilla_General_29-11-2012_10_'!C1841,"AAAAAGtr/zM=")</f>
        <v>#VALUE!</v>
      </c>
      <c r="BA123" t="e">
        <f>AND('Planilla_General_29-11-2012_10_'!D1841,"AAAAAGtr/zQ=")</f>
        <v>#VALUE!</v>
      </c>
      <c r="BB123" t="e">
        <f>AND('Planilla_General_29-11-2012_10_'!E1841,"AAAAAGtr/zU=")</f>
        <v>#VALUE!</v>
      </c>
      <c r="BC123" t="e">
        <f>AND('Planilla_General_29-11-2012_10_'!F1841,"AAAAAGtr/zY=")</f>
        <v>#VALUE!</v>
      </c>
      <c r="BD123" t="e">
        <f>AND('Planilla_General_29-11-2012_10_'!G1841,"AAAAAGtr/zc=")</f>
        <v>#VALUE!</v>
      </c>
      <c r="BE123" t="e">
        <f>AND('Planilla_General_29-11-2012_10_'!H1841,"AAAAAGtr/zg=")</f>
        <v>#VALUE!</v>
      </c>
      <c r="BF123" t="e">
        <f>AND('Planilla_General_29-11-2012_10_'!I1841,"AAAAAGtr/zk=")</f>
        <v>#VALUE!</v>
      </c>
      <c r="BG123" t="e">
        <f>AND('Planilla_General_29-11-2012_10_'!J1841,"AAAAAGtr/zo=")</f>
        <v>#VALUE!</v>
      </c>
      <c r="BH123" t="e">
        <f>AND('Planilla_General_29-11-2012_10_'!K1841,"AAAAAGtr/zs=")</f>
        <v>#VALUE!</v>
      </c>
      <c r="BI123" t="e">
        <f>AND('Planilla_General_29-11-2012_10_'!L1841,"AAAAAGtr/zw=")</f>
        <v>#VALUE!</v>
      </c>
      <c r="BJ123" t="e">
        <f>AND('Planilla_General_29-11-2012_10_'!M1841,"AAAAAGtr/z0=")</f>
        <v>#VALUE!</v>
      </c>
      <c r="BK123" t="e">
        <f>AND('Planilla_General_29-11-2012_10_'!N1841,"AAAAAGtr/z4=")</f>
        <v>#VALUE!</v>
      </c>
      <c r="BL123" t="e">
        <f>AND('Planilla_General_29-11-2012_10_'!O1841,"AAAAAGtr/z8=")</f>
        <v>#VALUE!</v>
      </c>
      <c r="BM123" t="e">
        <f>AND('Planilla_General_29-11-2012_10_'!P1841,"AAAAAGtr/0A=")</f>
        <v>#VALUE!</v>
      </c>
      <c r="BN123">
        <f>IF('Planilla_General_29-11-2012_10_'!1842:1842,"AAAAAGtr/0E=",0)</f>
        <v>0</v>
      </c>
      <c r="BO123" t="e">
        <f>AND('Planilla_General_29-11-2012_10_'!A1842,"AAAAAGtr/0I=")</f>
        <v>#VALUE!</v>
      </c>
      <c r="BP123" t="e">
        <f>AND('Planilla_General_29-11-2012_10_'!B1842,"AAAAAGtr/0M=")</f>
        <v>#VALUE!</v>
      </c>
      <c r="BQ123" t="e">
        <f>AND('Planilla_General_29-11-2012_10_'!C1842,"AAAAAGtr/0Q=")</f>
        <v>#VALUE!</v>
      </c>
      <c r="BR123" t="e">
        <f>AND('Planilla_General_29-11-2012_10_'!D1842,"AAAAAGtr/0U=")</f>
        <v>#VALUE!</v>
      </c>
      <c r="BS123" t="e">
        <f>AND('Planilla_General_29-11-2012_10_'!E1842,"AAAAAGtr/0Y=")</f>
        <v>#VALUE!</v>
      </c>
      <c r="BT123" t="e">
        <f>AND('Planilla_General_29-11-2012_10_'!F1842,"AAAAAGtr/0c=")</f>
        <v>#VALUE!</v>
      </c>
      <c r="BU123" t="e">
        <f>AND('Planilla_General_29-11-2012_10_'!G1842,"AAAAAGtr/0g=")</f>
        <v>#VALUE!</v>
      </c>
      <c r="BV123" t="e">
        <f>AND('Planilla_General_29-11-2012_10_'!H1842,"AAAAAGtr/0k=")</f>
        <v>#VALUE!</v>
      </c>
      <c r="BW123" t="e">
        <f>AND('Planilla_General_29-11-2012_10_'!I1842,"AAAAAGtr/0o=")</f>
        <v>#VALUE!</v>
      </c>
      <c r="BX123" t="e">
        <f>AND('Planilla_General_29-11-2012_10_'!J1842,"AAAAAGtr/0s=")</f>
        <v>#VALUE!</v>
      </c>
      <c r="BY123" t="e">
        <f>AND('Planilla_General_29-11-2012_10_'!K1842,"AAAAAGtr/0w=")</f>
        <v>#VALUE!</v>
      </c>
      <c r="BZ123" t="e">
        <f>AND('Planilla_General_29-11-2012_10_'!L1842,"AAAAAGtr/00=")</f>
        <v>#VALUE!</v>
      </c>
      <c r="CA123" t="e">
        <f>AND('Planilla_General_29-11-2012_10_'!M1842,"AAAAAGtr/04=")</f>
        <v>#VALUE!</v>
      </c>
      <c r="CB123" t="e">
        <f>AND('Planilla_General_29-11-2012_10_'!N1842,"AAAAAGtr/08=")</f>
        <v>#VALUE!</v>
      </c>
      <c r="CC123" t="e">
        <f>AND('Planilla_General_29-11-2012_10_'!O1842,"AAAAAGtr/1A=")</f>
        <v>#VALUE!</v>
      </c>
      <c r="CD123" t="e">
        <f>AND('Planilla_General_29-11-2012_10_'!P1842,"AAAAAGtr/1E=")</f>
        <v>#VALUE!</v>
      </c>
      <c r="CE123">
        <f>IF('Planilla_General_29-11-2012_10_'!1843:1843,"AAAAAGtr/1I=",0)</f>
        <v>0</v>
      </c>
      <c r="CF123" t="e">
        <f>AND('Planilla_General_29-11-2012_10_'!A1843,"AAAAAGtr/1M=")</f>
        <v>#VALUE!</v>
      </c>
      <c r="CG123" t="e">
        <f>AND('Planilla_General_29-11-2012_10_'!B1843,"AAAAAGtr/1Q=")</f>
        <v>#VALUE!</v>
      </c>
      <c r="CH123" t="e">
        <f>AND('Planilla_General_29-11-2012_10_'!C1843,"AAAAAGtr/1U=")</f>
        <v>#VALUE!</v>
      </c>
      <c r="CI123" t="e">
        <f>AND('Planilla_General_29-11-2012_10_'!D1843,"AAAAAGtr/1Y=")</f>
        <v>#VALUE!</v>
      </c>
      <c r="CJ123" t="e">
        <f>AND('Planilla_General_29-11-2012_10_'!E1843,"AAAAAGtr/1c=")</f>
        <v>#VALUE!</v>
      </c>
      <c r="CK123" t="e">
        <f>AND('Planilla_General_29-11-2012_10_'!F1843,"AAAAAGtr/1g=")</f>
        <v>#VALUE!</v>
      </c>
      <c r="CL123" t="e">
        <f>AND('Planilla_General_29-11-2012_10_'!G1843,"AAAAAGtr/1k=")</f>
        <v>#VALUE!</v>
      </c>
      <c r="CM123" t="e">
        <f>AND('Planilla_General_29-11-2012_10_'!H1843,"AAAAAGtr/1o=")</f>
        <v>#VALUE!</v>
      </c>
      <c r="CN123" t="e">
        <f>AND('Planilla_General_29-11-2012_10_'!I1843,"AAAAAGtr/1s=")</f>
        <v>#VALUE!</v>
      </c>
      <c r="CO123" t="e">
        <f>AND('Planilla_General_29-11-2012_10_'!J1843,"AAAAAGtr/1w=")</f>
        <v>#VALUE!</v>
      </c>
      <c r="CP123" t="e">
        <f>AND('Planilla_General_29-11-2012_10_'!K1843,"AAAAAGtr/10=")</f>
        <v>#VALUE!</v>
      </c>
      <c r="CQ123" t="e">
        <f>AND('Planilla_General_29-11-2012_10_'!L1843,"AAAAAGtr/14=")</f>
        <v>#VALUE!</v>
      </c>
      <c r="CR123" t="e">
        <f>AND('Planilla_General_29-11-2012_10_'!M1843,"AAAAAGtr/18=")</f>
        <v>#VALUE!</v>
      </c>
      <c r="CS123" t="e">
        <f>AND('Planilla_General_29-11-2012_10_'!N1843,"AAAAAGtr/2A=")</f>
        <v>#VALUE!</v>
      </c>
      <c r="CT123" t="e">
        <f>AND('Planilla_General_29-11-2012_10_'!O1843,"AAAAAGtr/2E=")</f>
        <v>#VALUE!</v>
      </c>
      <c r="CU123" t="e">
        <f>AND('Planilla_General_29-11-2012_10_'!P1843,"AAAAAGtr/2I=")</f>
        <v>#VALUE!</v>
      </c>
      <c r="CV123">
        <f>IF('Planilla_General_29-11-2012_10_'!1844:1844,"AAAAAGtr/2M=",0)</f>
        <v>0</v>
      </c>
      <c r="CW123" t="e">
        <f>AND('Planilla_General_29-11-2012_10_'!A1844,"AAAAAGtr/2Q=")</f>
        <v>#VALUE!</v>
      </c>
      <c r="CX123" t="e">
        <f>AND('Planilla_General_29-11-2012_10_'!B1844,"AAAAAGtr/2U=")</f>
        <v>#VALUE!</v>
      </c>
      <c r="CY123" t="e">
        <f>AND('Planilla_General_29-11-2012_10_'!C1844,"AAAAAGtr/2Y=")</f>
        <v>#VALUE!</v>
      </c>
      <c r="CZ123" t="e">
        <f>AND('Planilla_General_29-11-2012_10_'!D1844,"AAAAAGtr/2c=")</f>
        <v>#VALUE!</v>
      </c>
      <c r="DA123" t="e">
        <f>AND('Planilla_General_29-11-2012_10_'!E1844,"AAAAAGtr/2g=")</f>
        <v>#VALUE!</v>
      </c>
      <c r="DB123" t="e">
        <f>AND('Planilla_General_29-11-2012_10_'!F1844,"AAAAAGtr/2k=")</f>
        <v>#VALUE!</v>
      </c>
      <c r="DC123" t="e">
        <f>AND('Planilla_General_29-11-2012_10_'!G1844,"AAAAAGtr/2o=")</f>
        <v>#VALUE!</v>
      </c>
      <c r="DD123" t="e">
        <f>AND('Planilla_General_29-11-2012_10_'!H1844,"AAAAAGtr/2s=")</f>
        <v>#VALUE!</v>
      </c>
      <c r="DE123" t="e">
        <f>AND('Planilla_General_29-11-2012_10_'!I1844,"AAAAAGtr/2w=")</f>
        <v>#VALUE!</v>
      </c>
      <c r="DF123" t="e">
        <f>AND('Planilla_General_29-11-2012_10_'!J1844,"AAAAAGtr/20=")</f>
        <v>#VALUE!</v>
      </c>
      <c r="DG123" t="e">
        <f>AND('Planilla_General_29-11-2012_10_'!K1844,"AAAAAGtr/24=")</f>
        <v>#VALUE!</v>
      </c>
      <c r="DH123" t="e">
        <f>AND('Planilla_General_29-11-2012_10_'!L1844,"AAAAAGtr/28=")</f>
        <v>#VALUE!</v>
      </c>
      <c r="DI123" t="e">
        <f>AND('Planilla_General_29-11-2012_10_'!M1844,"AAAAAGtr/3A=")</f>
        <v>#VALUE!</v>
      </c>
      <c r="DJ123" t="e">
        <f>AND('Planilla_General_29-11-2012_10_'!N1844,"AAAAAGtr/3E=")</f>
        <v>#VALUE!</v>
      </c>
      <c r="DK123" t="e">
        <f>AND('Planilla_General_29-11-2012_10_'!O1844,"AAAAAGtr/3I=")</f>
        <v>#VALUE!</v>
      </c>
      <c r="DL123" t="e">
        <f>AND('Planilla_General_29-11-2012_10_'!P1844,"AAAAAGtr/3M=")</f>
        <v>#VALUE!</v>
      </c>
      <c r="DM123">
        <f>IF('Planilla_General_29-11-2012_10_'!1845:1845,"AAAAAGtr/3Q=",0)</f>
        <v>0</v>
      </c>
      <c r="DN123" t="e">
        <f>AND('Planilla_General_29-11-2012_10_'!A1845,"AAAAAGtr/3U=")</f>
        <v>#VALUE!</v>
      </c>
      <c r="DO123" t="e">
        <f>AND('Planilla_General_29-11-2012_10_'!B1845,"AAAAAGtr/3Y=")</f>
        <v>#VALUE!</v>
      </c>
      <c r="DP123" t="e">
        <f>AND('Planilla_General_29-11-2012_10_'!C1845,"AAAAAGtr/3c=")</f>
        <v>#VALUE!</v>
      </c>
      <c r="DQ123" t="e">
        <f>AND('Planilla_General_29-11-2012_10_'!D1845,"AAAAAGtr/3g=")</f>
        <v>#VALUE!</v>
      </c>
      <c r="DR123" t="e">
        <f>AND('Planilla_General_29-11-2012_10_'!E1845,"AAAAAGtr/3k=")</f>
        <v>#VALUE!</v>
      </c>
      <c r="DS123" t="e">
        <f>AND('Planilla_General_29-11-2012_10_'!F1845,"AAAAAGtr/3o=")</f>
        <v>#VALUE!</v>
      </c>
      <c r="DT123" t="e">
        <f>AND('Planilla_General_29-11-2012_10_'!G1845,"AAAAAGtr/3s=")</f>
        <v>#VALUE!</v>
      </c>
      <c r="DU123" t="e">
        <f>AND('Planilla_General_29-11-2012_10_'!H1845,"AAAAAGtr/3w=")</f>
        <v>#VALUE!</v>
      </c>
      <c r="DV123" t="e">
        <f>AND('Planilla_General_29-11-2012_10_'!I1845,"AAAAAGtr/30=")</f>
        <v>#VALUE!</v>
      </c>
      <c r="DW123" t="e">
        <f>AND('Planilla_General_29-11-2012_10_'!J1845,"AAAAAGtr/34=")</f>
        <v>#VALUE!</v>
      </c>
      <c r="DX123" t="e">
        <f>AND('Planilla_General_29-11-2012_10_'!K1845,"AAAAAGtr/38=")</f>
        <v>#VALUE!</v>
      </c>
      <c r="DY123" t="e">
        <f>AND('Planilla_General_29-11-2012_10_'!L1845,"AAAAAGtr/4A=")</f>
        <v>#VALUE!</v>
      </c>
      <c r="DZ123" t="e">
        <f>AND('Planilla_General_29-11-2012_10_'!M1845,"AAAAAGtr/4E=")</f>
        <v>#VALUE!</v>
      </c>
      <c r="EA123" t="e">
        <f>AND('Planilla_General_29-11-2012_10_'!N1845,"AAAAAGtr/4I=")</f>
        <v>#VALUE!</v>
      </c>
      <c r="EB123" t="e">
        <f>AND('Planilla_General_29-11-2012_10_'!O1845,"AAAAAGtr/4M=")</f>
        <v>#VALUE!</v>
      </c>
      <c r="EC123" t="e">
        <f>AND('Planilla_General_29-11-2012_10_'!P1845,"AAAAAGtr/4Q=")</f>
        <v>#VALUE!</v>
      </c>
      <c r="ED123">
        <f>IF('Planilla_General_29-11-2012_10_'!1846:1846,"AAAAAGtr/4U=",0)</f>
        <v>0</v>
      </c>
      <c r="EE123" t="e">
        <f>AND('Planilla_General_29-11-2012_10_'!A1846,"AAAAAGtr/4Y=")</f>
        <v>#VALUE!</v>
      </c>
      <c r="EF123" t="e">
        <f>AND('Planilla_General_29-11-2012_10_'!B1846,"AAAAAGtr/4c=")</f>
        <v>#VALUE!</v>
      </c>
      <c r="EG123" t="e">
        <f>AND('Planilla_General_29-11-2012_10_'!C1846,"AAAAAGtr/4g=")</f>
        <v>#VALUE!</v>
      </c>
      <c r="EH123" t="e">
        <f>AND('Planilla_General_29-11-2012_10_'!D1846,"AAAAAGtr/4k=")</f>
        <v>#VALUE!</v>
      </c>
      <c r="EI123" t="e">
        <f>AND('Planilla_General_29-11-2012_10_'!E1846,"AAAAAGtr/4o=")</f>
        <v>#VALUE!</v>
      </c>
      <c r="EJ123" t="e">
        <f>AND('Planilla_General_29-11-2012_10_'!F1846,"AAAAAGtr/4s=")</f>
        <v>#VALUE!</v>
      </c>
      <c r="EK123" t="e">
        <f>AND('Planilla_General_29-11-2012_10_'!G1846,"AAAAAGtr/4w=")</f>
        <v>#VALUE!</v>
      </c>
      <c r="EL123" t="e">
        <f>AND('Planilla_General_29-11-2012_10_'!H1846,"AAAAAGtr/40=")</f>
        <v>#VALUE!</v>
      </c>
      <c r="EM123" t="e">
        <f>AND('Planilla_General_29-11-2012_10_'!I1846,"AAAAAGtr/44=")</f>
        <v>#VALUE!</v>
      </c>
      <c r="EN123" t="e">
        <f>AND('Planilla_General_29-11-2012_10_'!J1846,"AAAAAGtr/48=")</f>
        <v>#VALUE!</v>
      </c>
      <c r="EO123" t="e">
        <f>AND('Planilla_General_29-11-2012_10_'!K1846,"AAAAAGtr/5A=")</f>
        <v>#VALUE!</v>
      </c>
      <c r="EP123" t="e">
        <f>AND('Planilla_General_29-11-2012_10_'!L1846,"AAAAAGtr/5E=")</f>
        <v>#VALUE!</v>
      </c>
      <c r="EQ123" t="e">
        <f>AND('Planilla_General_29-11-2012_10_'!M1846,"AAAAAGtr/5I=")</f>
        <v>#VALUE!</v>
      </c>
      <c r="ER123" t="e">
        <f>AND('Planilla_General_29-11-2012_10_'!N1846,"AAAAAGtr/5M=")</f>
        <v>#VALUE!</v>
      </c>
      <c r="ES123" t="e">
        <f>AND('Planilla_General_29-11-2012_10_'!O1846,"AAAAAGtr/5Q=")</f>
        <v>#VALUE!</v>
      </c>
      <c r="ET123" t="e">
        <f>AND('Planilla_General_29-11-2012_10_'!P1846,"AAAAAGtr/5U=")</f>
        <v>#VALUE!</v>
      </c>
      <c r="EU123">
        <f>IF('Planilla_General_29-11-2012_10_'!1847:1847,"AAAAAGtr/5Y=",0)</f>
        <v>0</v>
      </c>
      <c r="EV123" t="e">
        <f>AND('Planilla_General_29-11-2012_10_'!A1847,"AAAAAGtr/5c=")</f>
        <v>#VALUE!</v>
      </c>
      <c r="EW123" t="e">
        <f>AND('Planilla_General_29-11-2012_10_'!B1847,"AAAAAGtr/5g=")</f>
        <v>#VALUE!</v>
      </c>
      <c r="EX123" t="e">
        <f>AND('Planilla_General_29-11-2012_10_'!C1847,"AAAAAGtr/5k=")</f>
        <v>#VALUE!</v>
      </c>
      <c r="EY123" t="e">
        <f>AND('Planilla_General_29-11-2012_10_'!D1847,"AAAAAGtr/5o=")</f>
        <v>#VALUE!</v>
      </c>
      <c r="EZ123" t="e">
        <f>AND('Planilla_General_29-11-2012_10_'!E1847,"AAAAAGtr/5s=")</f>
        <v>#VALUE!</v>
      </c>
      <c r="FA123" t="e">
        <f>AND('Planilla_General_29-11-2012_10_'!F1847,"AAAAAGtr/5w=")</f>
        <v>#VALUE!</v>
      </c>
      <c r="FB123" t="e">
        <f>AND('Planilla_General_29-11-2012_10_'!G1847,"AAAAAGtr/50=")</f>
        <v>#VALUE!</v>
      </c>
      <c r="FC123" t="e">
        <f>AND('Planilla_General_29-11-2012_10_'!H1847,"AAAAAGtr/54=")</f>
        <v>#VALUE!</v>
      </c>
      <c r="FD123" t="e">
        <f>AND('Planilla_General_29-11-2012_10_'!I1847,"AAAAAGtr/58=")</f>
        <v>#VALUE!</v>
      </c>
      <c r="FE123" t="e">
        <f>AND('Planilla_General_29-11-2012_10_'!J1847,"AAAAAGtr/6A=")</f>
        <v>#VALUE!</v>
      </c>
      <c r="FF123" t="e">
        <f>AND('Planilla_General_29-11-2012_10_'!K1847,"AAAAAGtr/6E=")</f>
        <v>#VALUE!</v>
      </c>
      <c r="FG123" t="e">
        <f>AND('Planilla_General_29-11-2012_10_'!L1847,"AAAAAGtr/6I=")</f>
        <v>#VALUE!</v>
      </c>
      <c r="FH123" t="e">
        <f>AND('Planilla_General_29-11-2012_10_'!M1847,"AAAAAGtr/6M=")</f>
        <v>#VALUE!</v>
      </c>
      <c r="FI123" t="e">
        <f>AND('Planilla_General_29-11-2012_10_'!N1847,"AAAAAGtr/6Q=")</f>
        <v>#VALUE!</v>
      </c>
      <c r="FJ123" t="e">
        <f>AND('Planilla_General_29-11-2012_10_'!O1847,"AAAAAGtr/6U=")</f>
        <v>#VALUE!</v>
      </c>
      <c r="FK123" t="e">
        <f>AND('Planilla_General_29-11-2012_10_'!P1847,"AAAAAGtr/6Y=")</f>
        <v>#VALUE!</v>
      </c>
      <c r="FL123">
        <f>IF('Planilla_General_29-11-2012_10_'!1848:1848,"AAAAAGtr/6c=",0)</f>
        <v>0</v>
      </c>
      <c r="FM123" t="e">
        <f>AND('Planilla_General_29-11-2012_10_'!A1848,"AAAAAGtr/6g=")</f>
        <v>#VALUE!</v>
      </c>
      <c r="FN123" t="e">
        <f>AND('Planilla_General_29-11-2012_10_'!B1848,"AAAAAGtr/6k=")</f>
        <v>#VALUE!</v>
      </c>
      <c r="FO123" t="e">
        <f>AND('Planilla_General_29-11-2012_10_'!C1848,"AAAAAGtr/6o=")</f>
        <v>#VALUE!</v>
      </c>
      <c r="FP123" t="e">
        <f>AND('Planilla_General_29-11-2012_10_'!D1848,"AAAAAGtr/6s=")</f>
        <v>#VALUE!</v>
      </c>
      <c r="FQ123" t="e">
        <f>AND('Planilla_General_29-11-2012_10_'!E1848,"AAAAAGtr/6w=")</f>
        <v>#VALUE!</v>
      </c>
      <c r="FR123" t="e">
        <f>AND('Planilla_General_29-11-2012_10_'!F1848,"AAAAAGtr/60=")</f>
        <v>#VALUE!</v>
      </c>
      <c r="FS123" t="e">
        <f>AND('Planilla_General_29-11-2012_10_'!G1848,"AAAAAGtr/64=")</f>
        <v>#VALUE!</v>
      </c>
      <c r="FT123" t="e">
        <f>AND('Planilla_General_29-11-2012_10_'!H1848,"AAAAAGtr/68=")</f>
        <v>#VALUE!</v>
      </c>
      <c r="FU123" t="e">
        <f>AND('Planilla_General_29-11-2012_10_'!I1848,"AAAAAGtr/7A=")</f>
        <v>#VALUE!</v>
      </c>
      <c r="FV123" t="e">
        <f>AND('Planilla_General_29-11-2012_10_'!J1848,"AAAAAGtr/7E=")</f>
        <v>#VALUE!</v>
      </c>
      <c r="FW123" t="e">
        <f>AND('Planilla_General_29-11-2012_10_'!K1848,"AAAAAGtr/7I=")</f>
        <v>#VALUE!</v>
      </c>
      <c r="FX123" t="e">
        <f>AND('Planilla_General_29-11-2012_10_'!L1848,"AAAAAGtr/7M=")</f>
        <v>#VALUE!</v>
      </c>
      <c r="FY123" t="e">
        <f>AND('Planilla_General_29-11-2012_10_'!M1848,"AAAAAGtr/7Q=")</f>
        <v>#VALUE!</v>
      </c>
      <c r="FZ123" t="e">
        <f>AND('Planilla_General_29-11-2012_10_'!N1848,"AAAAAGtr/7U=")</f>
        <v>#VALUE!</v>
      </c>
      <c r="GA123" t="e">
        <f>AND('Planilla_General_29-11-2012_10_'!O1848,"AAAAAGtr/7Y=")</f>
        <v>#VALUE!</v>
      </c>
      <c r="GB123" t="e">
        <f>AND('Planilla_General_29-11-2012_10_'!P1848,"AAAAAGtr/7c=")</f>
        <v>#VALUE!</v>
      </c>
      <c r="GC123">
        <f>IF('Planilla_General_29-11-2012_10_'!1849:1849,"AAAAAGtr/7g=",0)</f>
        <v>0</v>
      </c>
      <c r="GD123" t="e">
        <f>AND('Planilla_General_29-11-2012_10_'!A1849,"AAAAAGtr/7k=")</f>
        <v>#VALUE!</v>
      </c>
      <c r="GE123" t="e">
        <f>AND('Planilla_General_29-11-2012_10_'!B1849,"AAAAAGtr/7o=")</f>
        <v>#VALUE!</v>
      </c>
      <c r="GF123" t="e">
        <f>AND('Planilla_General_29-11-2012_10_'!C1849,"AAAAAGtr/7s=")</f>
        <v>#VALUE!</v>
      </c>
      <c r="GG123" t="e">
        <f>AND('Planilla_General_29-11-2012_10_'!D1849,"AAAAAGtr/7w=")</f>
        <v>#VALUE!</v>
      </c>
      <c r="GH123" t="e">
        <f>AND('Planilla_General_29-11-2012_10_'!E1849,"AAAAAGtr/70=")</f>
        <v>#VALUE!</v>
      </c>
      <c r="GI123" t="e">
        <f>AND('Planilla_General_29-11-2012_10_'!F1849,"AAAAAGtr/74=")</f>
        <v>#VALUE!</v>
      </c>
      <c r="GJ123" t="e">
        <f>AND('Planilla_General_29-11-2012_10_'!G1849,"AAAAAGtr/78=")</f>
        <v>#VALUE!</v>
      </c>
      <c r="GK123" t="e">
        <f>AND('Planilla_General_29-11-2012_10_'!H1849,"AAAAAGtr/8A=")</f>
        <v>#VALUE!</v>
      </c>
      <c r="GL123" t="e">
        <f>AND('Planilla_General_29-11-2012_10_'!I1849,"AAAAAGtr/8E=")</f>
        <v>#VALUE!</v>
      </c>
      <c r="GM123" t="e">
        <f>AND('Planilla_General_29-11-2012_10_'!J1849,"AAAAAGtr/8I=")</f>
        <v>#VALUE!</v>
      </c>
      <c r="GN123" t="e">
        <f>AND('Planilla_General_29-11-2012_10_'!K1849,"AAAAAGtr/8M=")</f>
        <v>#VALUE!</v>
      </c>
      <c r="GO123" t="e">
        <f>AND('Planilla_General_29-11-2012_10_'!L1849,"AAAAAGtr/8Q=")</f>
        <v>#VALUE!</v>
      </c>
      <c r="GP123" t="e">
        <f>AND('Planilla_General_29-11-2012_10_'!M1849,"AAAAAGtr/8U=")</f>
        <v>#VALUE!</v>
      </c>
      <c r="GQ123" t="e">
        <f>AND('Planilla_General_29-11-2012_10_'!N1849,"AAAAAGtr/8Y=")</f>
        <v>#VALUE!</v>
      </c>
      <c r="GR123" t="e">
        <f>AND('Planilla_General_29-11-2012_10_'!O1849,"AAAAAGtr/8c=")</f>
        <v>#VALUE!</v>
      </c>
      <c r="GS123" t="e">
        <f>AND('Planilla_General_29-11-2012_10_'!P1849,"AAAAAGtr/8g=")</f>
        <v>#VALUE!</v>
      </c>
      <c r="GT123">
        <f>IF('Planilla_General_29-11-2012_10_'!1850:1850,"AAAAAGtr/8k=",0)</f>
        <v>0</v>
      </c>
      <c r="GU123" t="e">
        <f>AND('Planilla_General_29-11-2012_10_'!A1850,"AAAAAGtr/8o=")</f>
        <v>#VALUE!</v>
      </c>
      <c r="GV123" t="e">
        <f>AND('Planilla_General_29-11-2012_10_'!B1850,"AAAAAGtr/8s=")</f>
        <v>#VALUE!</v>
      </c>
      <c r="GW123" t="e">
        <f>AND('Planilla_General_29-11-2012_10_'!C1850,"AAAAAGtr/8w=")</f>
        <v>#VALUE!</v>
      </c>
      <c r="GX123" t="e">
        <f>AND('Planilla_General_29-11-2012_10_'!D1850,"AAAAAGtr/80=")</f>
        <v>#VALUE!</v>
      </c>
      <c r="GY123" t="e">
        <f>AND('Planilla_General_29-11-2012_10_'!E1850,"AAAAAGtr/84=")</f>
        <v>#VALUE!</v>
      </c>
      <c r="GZ123" t="e">
        <f>AND('Planilla_General_29-11-2012_10_'!F1850,"AAAAAGtr/88=")</f>
        <v>#VALUE!</v>
      </c>
      <c r="HA123" t="e">
        <f>AND('Planilla_General_29-11-2012_10_'!G1850,"AAAAAGtr/9A=")</f>
        <v>#VALUE!</v>
      </c>
      <c r="HB123" t="e">
        <f>AND('Planilla_General_29-11-2012_10_'!H1850,"AAAAAGtr/9E=")</f>
        <v>#VALUE!</v>
      </c>
      <c r="HC123" t="e">
        <f>AND('Planilla_General_29-11-2012_10_'!I1850,"AAAAAGtr/9I=")</f>
        <v>#VALUE!</v>
      </c>
      <c r="HD123" t="e">
        <f>AND('Planilla_General_29-11-2012_10_'!J1850,"AAAAAGtr/9M=")</f>
        <v>#VALUE!</v>
      </c>
      <c r="HE123" t="e">
        <f>AND('Planilla_General_29-11-2012_10_'!K1850,"AAAAAGtr/9Q=")</f>
        <v>#VALUE!</v>
      </c>
      <c r="HF123" t="e">
        <f>AND('Planilla_General_29-11-2012_10_'!L1850,"AAAAAGtr/9U=")</f>
        <v>#VALUE!</v>
      </c>
      <c r="HG123" t="e">
        <f>AND('Planilla_General_29-11-2012_10_'!M1850,"AAAAAGtr/9Y=")</f>
        <v>#VALUE!</v>
      </c>
      <c r="HH123" t="e">
        <f>AND('Planilla_General_29-11-2012_10_'!N1850,"AAAAAGtr/9c=")</f>
        <v>#VALUE!</v>
      </c>
      <c r="HI123" t="e">
        <f>AND('Planilla_General_29-11-2012_10_'!O1850,"AAAAAGtr/9g=")</f>
        <v>#VALUE!</v>
      </c>
      <c r="HJ123" t="e">
        <f>AND('Planilla_General_29-11-2012_10_'!P1850,"AAAAAGtr/9k=")</f>
        <v>#VALUE!</v>
      </c>
      <c r="HK123">
        <f>IF('Planilla_General_29-11-2012_10_'!1851:1851,"AAAAAGtr/9o=",0)</f>
        <v>0</v>
      </c>
      <c r="HL123" t="e">
        <f>AND('Planilla_General_29-11-2012_10_'!A1851,"AAAAAGtr/9s=")</f>
        <v>#VALUE!</v>
      </c>
      <c r="HM123" t="e">
        <f>AND('Planilla_General_29-11-2012_10_'!B1851,"AAAAAGtr/9w=")</f>
        <v>#VALUE!</v>
      </c>
      <c r="HN123" t="e">
        <f>AND('Planilla_General_29-11-2012_10_'!C1851,"AAAAAGtr/90=")</f>
        <v>#VALUE!</v>
      </c>
      <c r="HO123" t="e">
        <f>AND('Planilla_General_29-11-2012_10_'!D1851,"AAAAAGtr/94=")</f>
        <v>#VALUE!</v>
      </c>
      <c r="HP123" t="e">
        <f>AND('Planilla_General_29-11-2012_10_'!E1851,"AAAAAGtr/98=")</f>
        <v>#VALUE!</v>
      </c>
      <c r="HQ123" t="e">
        <f>AND('Planilla_General_29-11-2012_10_'!F1851,"AAAAAGtr/+A=")</f>
        <v>#VALUE!</v>
      </c>
      <c r="HR123" t="e">
        <f>AND('Planilla_General_29-11-2012_10_'!G1851,"AAAAAGtr/+E=")</f>
        <v>#VALUE!</v>
      </c>
      <c r="HS123" t="e">
        <f>AND('Planilla_General_29-11-2012_10_'!H1851,"AAAAAGtr/+I=")</f>
        <v>#VALUE!</v>
      </c>
      <c r="HT123" t="e">
        <f>AND('Planilla_General_29-11-2012_10_'!I1851,"AAAAAGtr/+M=")</f>
        <v>#VALUE!</v>
      </c>
      <c r="HU123" t="e">
        <f>AND('Planilla_General_29-11-2012_10_'!J1851,"AAAAAGtr/+Q=")</f>
        <v>#VALUE!</v>
      </c>
      <c r="HV123" t="e">
        <f>AND('Planilla_General_29-11-2012_10_'!K1851,"AAAAAGtr/+U=")</f>
        <v>#VALUE!</v>
      </c>
      <c r="HW123" t="e">
        <f>AND('Planilla_General_29-11-2012_10_'!L1851,"AAAAAGtr/+Y=")</f>
        <v>#VALUE!</v>
      </c>
      <c r="HX123" t="e">
        <f>AND('Planilla_General_29-11-2012_10_'!M1851,"AAAAAGtr/+c=")</f>
        <v>#VALUE!</v>
      </c>
      <c r="HY123" t="e">
        <f>AND('Planilla_General_29-11-2012_10_'!N1851,"AAAAAGtr/+g=")</f>
        <v>#VALUE!</v>
      </c>
      <c r="HZ123" t="e">
        <f>AND('Planilla_General_29-11-2012_10_'!O1851,"AAAAAGtr/+k=")</f>
        <v>#VALUE!</v>
      </c>
      <c r="IA123" t="e">
        <f>AND('Planilla_General_29-11-2012_10_'!P1851,"AAAAAGtr/+o=")</f>
        <v>#VALUE!</v>
      </c>
      <c r="IB123">
        <f>IF('Planilla_General_29-11-2012_10_'!1852:1852,"AAAAAGtr/+s=",0)</f>
        <v>0</v>
      </c>
      <c r="IC123" t="e">
        <f>AND('Planilla_General_29-11-2012_10_'!A1852,"AAAAAGtr/+w=")</f>
        <v>#VALUE!</v>
      </c>
      <c r="ID123" t="e">
        <f>AND('Planilla_General_29-11-2012_10_'!B1852,"AAAAAGtr/+0=")</f>
        <v>#VALUE!</v>
      </c>
      <c r="IE123" t="e">
        <f>AND('Planilla_General_29-11-2012_10_'!C1852,"AAAAAGtr/+4=")</f>
        <v>#VALUE!</v>
      </c>
      <c r="IF123" t="e">
        <f>AND('Planilla_General_29-11-2012_10_'!D1852,"AAAAAGtr/+8=")</f>
        <v>#VALUE!</v>
      </c>
      <c r="IG123" t="e">
        <f>AND('Planilla_General_29-11-2012_10_'!E1852,"AAAAAGtr//A=")</f>
        <v>#VALUE!</v>
      </c>
      <c r="IH123" t="e">
        <f>AND('Planilla_General_29-11-2012_10_'!F1852,"AAAAAGtr//E=")</f>
        <v>#VALUE!</v>
      </c>
      <c r="II123" t="e">
        <f>AND('Planilla_General_29-11-2012_10_'!G1852,"AAAAAGtr//I=")</f>
        <v>#VALUE!</v>
      </c>
      <c r="IJ123" t="e">
        <f>AND('Planilla_General_29-11-2012_10_'!H1852,"AAAAAGtr//M=")</f>
        <v>#VALUE!</v>
      </c>
      <c r="IK123" t="e">
        <f>AND('Planilla_General_29-11-2012_10_'!I1852,"AAAAAGtr//Q=")</f>
        <v>#VALUE!</v>
      </c>
      <c r="IL123" t="e">
        <f>AND('Planilla_General_29-11-2012_10_'!J1852,"AAAAAGtr//U=")</f>
        <v>#VALUE!</v>
      </c>
      <c r="IM123" t="e">
        <f>AND('Planilla_General_29-11-2012_10_'!K1852,"AAAAAGtr//Y=")</f>
        <v>#VALUE!</v>
      </c>
      <c r="IN123" t="e">
        <f>AND('Planilla_General_29-11-2012_10_'!L1852,"AAAAAGtr//c=")</f>
        <v>#VALUE!</v>
      </c>
      <c r="IO123" t="e">
        <f>AND('Planilla_General_29-11-2012_10_'!M1852,"AAAAAGtr//g=")</f>
        <v>#VALUE!</v>
      </c>
      <c r="IP123" t="e">
        <f>AND('Planilla_General_29-11-2012_10_'!N1852,"AAAAAGtr//k=")</f>
        <v>#VALUE!</v>
      </c>
      <c r="IQ123" t="e">
        <f>AND('Planilla_General_29-11-2012_10_'!O1852,"AAAAAGtr//o=")</f>
        <v>#VALUE!</v>
      </c>
      <c r="IR123" t="e">
        <f>AND('Planilla_General_29-11-2012_10_'!P1852,"AAAAAGtr//s=")</f>
        <v>#VALUE!</v>
      </c>
      <c r="IS123">
        <f>IF('Planilla_General_29-11-2012_10_'!1853:1853,"AAAAAGtr//w=",0)</f>
        <v>0</v>
      </c>
      <c r="IT123" t="e">
        <f>AND('Planilla_General_29-11-2012_10_'!A1853,"AAAAAGtr//0=")</f>
        <v>#VALUE!</v>
      </c>
      <c r="IU123" t="e">
        <f>AND('Planilla_General_29-11-2012_10_'!B1853,"AAAAAGtr//4=")</f>
        <v>#VALUE!</v>
      </c>
      <c r="IV123" t="e">
        <f>AND('Planilla_General_29-11-2012_10_'!C1853,"AAAAAGtr//8=")</f>
        <v>#VALUE!</v>
      </c>
    </row>
    <row r="124" spans="1:256" x14ac:dyDescent="0.25">
      <c r="A124" t="e">
        <f>AND('Planilla_General_29-11-2012_10_'!D1853,"AAAAACffGwA=")</f>
        <v>#VALUE!</v>
      </c>
      <c r="B124" t="e">
        <f>AND('Planilla_General_29-11-2012_10_'!E1853,"AAAAACffGwE=")</f>
        <v>#VALUE!</v>
      </c>
      <c r="C124" t="e">
        <f>AND('Planilla_General_29-11-2012_10_'!F1853,"AAAAACffGwI=")</f>
        <v>#VALUE!</v>
      </c>
      <c r="D124" t="e">
        <f>AND('Planilla_General_29-11-2012_10_'!G1853,"AAAAACffGwM=")</f>
        <v>#VALUE!</v>
      </c>
      <c r="E124" t="e">
        <f>AND('Planilla_General_29-11-2012_10_'!H1853,"AAAAACffGwQ=")</f>
        <v>#VALUE!</v>
      </c>
      <c r="F124" t="e">
        <f>AND('Planilla_General_29-11-2012_10_'!I1853,"AAAAACffGwU=")</f>
        <v>#VALUE!</v>
      </c>
      <c r="G124" t="e">
        <f>AND('Planilla_General_29-11-2012_10_'!J1853,"AAAAACffGwY=")</f>
        <v>#VALUE!</v>
      </c>
      <c r="H124" t="e">
        <f>AND('Planilla_General_29-11-2012_10_'!K1853,"AAAAACffGwc=")</f>
        <v>#VALUE!</v>
      </c>
      <c r="I124" t="e">
        <f>AND('Planilla_General_29-11-2012_10_'!L1853,"AAAAACffGwg=")</f>
        <v>#VALUE!</v>
      </c>
      <c r="J124" t="e">
        <f>AND('Planilla_General_29-11-2012_10_'!M1853,"AAAAACffGwk=")</f>
        <v>#VALUE!</v>
      </c>
      <c r="K124" t="e">
        <f>AND('Planilla_General_29-11-2012_10_'!N1853,"AAAAACffGwo=")</f>
        <v>#VALUE!</v>
      </c>
      <c r="L124" t="e">
        <f>AND('Planilla_General_29-11-2012_10_'!O1853,"AAAAACffGws=")</f>
        <v>#VALUE!</v>
      </c>
      <c r="M124" t="e">
        <f>AND('Planilla_General_29-11-2012_10_'!P1853,"AAAAACffGww=")</f>
        <v>#VALUE!</v>
      </c>
      <c r="N124" t="str">
        <f>IF('Planilla_General_29-11-2012_10_'!1854:1854,"AAAAACffGw0=",0)</f>
        <v>AAAAACffGw0=</v>
      </c>
      <c r="O124" t="e">
        <f>AND('Planilla_General_29-11-2012_10_'!A1854,"AAAAACffGw4=")</f>
        <v>#VALUE!</v>
      </c>
      <c r="P124" t="e">
        <f>AND('Planilla_General_29-11-2012_10_'!B1854,"AAAAACffGw8=")</f>
        <v>#VALUE!</v>
      </c>
      <c r="Q124" t="e">
        <f>AND('Planilla_General_29-11-2012_10_'!C1854,"AAAAACffGxA=")</f>
        <v>#VALUE!</v>
      </c>
      <c r="R124" t="e">
        <f>AND('Planilla_General_29-11-2012_10_'!D1854,"AAAAACffGxE=")</f>
        <v>#VALUE!</v>
      </c>
      <c r="S124" t="e">
        <f>AND('Planilla_General_29-11-2012_10_'!E1854,"AAAAACffGxI=")</f>
        <v>#VALUE!</v>
      </c>
      <c r="T124" t="e">
        <f>AND('Planilla_General_29-11-2012_10_'!F1854,"AAAAACffGxM=")</f>
        <v>#VALUE!</v>
      </c>
      <c r="U124" t="e">
        <f>AND('Planilla_General_29-11-2012_10_'!G1854,"AAAAACffGxQ=")</f>
        <v>#VALUE!</v>
      </c>
      <c r="V124" t="e">
        <f>AND('Planilla_General_29-11-2012_10_'!H1854,"AAAAACffGxU=")</f>
        <v>#VALUE!</v>
      </c>
      <c r="W124" t="e">
        <f>AND('Planilla_General_29-11-2012_10_'!I1854,"AAAAACffGxY=")</f>
        <v>#VALUE!</v>
      </c>
      <c r="X124" t="e">
        <f>AND('Planilla_General_29-11-2012_10_'!J1854,"AAAAACffGxc=")</f>
        <v>#VALUE!</v>
      </c>
      <c r="Y124" t="e">
        <f>AND('Planilla_General_29-11-2012_10_'!K1854,"AAAAACffGxg=")</f>
        <v>#VALUE!</v>
      </c>
      <c r="Z124" t="e">
        <f>AND('Planilla_General_29-11-2012_10_'!L1854,"AAAAACffGxk=")</f>
        <v>#VALUE!</v>
      </c>
      <c r="AA124" t="e">
        <f>AND('Planilla_General_29-11-2012_10_'!M1854,"AAAAACffGxo=")</f>
        <v>#VALUE!</v>
      </c>
      <c r="AB124" t="e">
        <f>AND('Planilla_General_29-11-2012_10_'!N1854,"AAAAACffGxs=")</f>
        <v>#VALUE!</v>
      </c>
      <c r="AC124" t="e">
        <f>AND('Planilla_General_29-11-2012_10_'!O1854,"AAAAACffGxw=")</f>
        <v>#VALUE!</v>
      </c>
      <c r="AD124" t="e">
        <f>AND('Planilla_General_29-11-2012_10_'!P1854,"AAAAACffGx0=")</f>
        <v>#VALUE!</v>
      </c>
      <c r="AE124">
        <f>IF('Planilla_General_29-11-2012_10_'!1855:1855,"AAAAACffGx4=",0)</f>
        <v>0</v>
      </c>
      <c r="AF124" t="e">
        <f>AND('Planilla_General_29-11-2012_10_'!A1855,"AAAAACffGx8=")</f>
        <v>#VALUE!</v>
      </c>
      <c r="AG124" t="e">
        <f>AND('Planilla_General_29-11-2012_10_'!B1855,"AAAAACffGyA=")</f>
        <v>#VALUE!</v>
      </c>
      <c r="AH124" t="e">
        <f>AND('Planilla_General_29-11-2012_10_'!C1855,"AAAAACffGyE=")</f>
        <v>#VALUE!</v>
      </c>
      <c r="AI124" t="e">
        <f>AND('Planilla_General_29-11-2012_10_'!D1855,"AAAAACffGyI=")</f>
        <v>#VALUE!</v>
      </c>
      <c r="AJ124" t="e">
        <f>AND('Planilla_General_29-11-2012_10_'!E1855,"AAAAACffGyM=")</f>
        <v>#VALUE!</v>
      </c>
      <c r="AK124" t="e">
        <f>AND('Planilla_General_29-11-2012_10_'!F1855,"AAAAACffGyQ=")</f>
        <v>#VALUE!</v>
      </c>
      <c r="AL124" t="e">
        <f>AND('Planilla_General_29-11-2012_10_'!G1855,"AAAAACffGyU=")</f>
        <v>#VALUE!</v>
      </c>
      <c r="AM124" t="e">
        <f>AND('Planilla_General_29-11-2012_10_'!H1855,"AAAAACffGyY=")</f>
        <v>#VALUE!</v>
      </c>
      <c r="AN124" t="e">
        <f>AND('Planilla_General_29-11-2012_10_'!I1855,"AAAAACffGyc=")</f>
        <v>#VALUE!</v>
      </c>
      <c r="AO124" t="e">
        <f>AND('Planilla_General_29-11-2012_10_'!J1855,"AAAAACffGyg=")</f>
        <v>#VALUE!</v>
      </c>
      <c r="AP124" t="e">
        <f>AND('Planilla_General_29-11-2012_10_'!K1855,"AAAAACffGyk=")</f>
        <v>#VALUE!</v>
      </c>
      <c r="AQ124" t="e">
        <f>AND('Planilla_General_29-11-2012_10_'!L1855,"AAAAACffGyo=")</f>
        <v>#VALUE!</v>
      </c>
      <c r="AR124" t="e">
        <f>AND('Planilla_General_29-11-2012_10_'!M1855,"AAAAACffGys=")</f>
        <v>#VALUE!</v>
      </c>
      <c r="AS124" t="e">
        <f>AND('Planilla_General_29-11-2012_10_'!N1855,"AAAAACffGyw=")</f>
        <v>#VALUE!</v>
      </c>
      <c r="AT124" t="e">
        <f>AND('Planilla_General_29-11-2012_10_'!O1855,"AAAAACffGy0=")</f>
        <v>#VALUE!</v>
      </c>
      <c r="AU124" t="e">
        <f>AND('Planilla_General_29-11-2012_10_'!P1855,"AAAAACffGy4=")</f>
        <v>#VALUE!</v>
      </c>
      <c r="AV124">
        <f>IF('Planilla_General_29-11-2012_10_'!1856:1856,"AAAAACffGy8=",0)</f>
        <v>0</v>
      </c>
      <c r="AW124" t="e">
        <f>AND('Planilla_General_29-11-2012_10_'!A1856,"AAAAACffGzA=")</f>
        <v>#VALUE!</v>
      </c>
      <c r="AX124" t="e">
        <f>AND('Planilla_General_29-11-2012_10_'!B1856,"AAAAACffGzE=")</f>
        <v>#VALUE!</v>
      </c>
      <c r="AY124" t="e">
        <f>AND('Planilla_General_29-11-2012_10_'!C1856,"AAAAACffGzI=")</f>
        <v>#VALUE!</v>
      </c>
      <c r="AZ124" t="e">
        <f>AND('Planilla_General_29-11-2012_10_'!D1856,"AAAAACffGzM=")</f>
        <v>#VALUE!</v>
      </c>
      <c r="BA124" t="e">
        <f>AND('Planilla_General_29-11-2012_10_'!E1856,"AAAAACffGzQ=")</f>
        <v>#VALUE!</v>
      </c>
      <c r="BB124" t="e">
        <f>AND('Planilla_General_29-11-2012_10_'!F1856,"AAAAACffGzU=")</f>
        <v>#VALUE!</v>
      </c>
      <c r="BC124" t="e">
        <f>AND('Planilla_General_29-11-2012_10_'!G1856,"AAAAACffGzY=")</f>
        <v>#VALUE!</v>
      </c>
      <c r="BD124" t="e">
        <f>AND('Planilla_General_29-11-2012_10_'!H1856,"AAAAACffGzc=")</f>
        <v>#VALUE!</v>
      </c>
      <c r="BE124" t="e">
        <f>AND('Planilla_General_29-11-2012_10_'!I1856,"AAAAACffGzg=")</f>
        <v>#VALUE!</v>
      </c>
      <c r="BF124" t="e">
        <f>AND('Planilla_General_29-11-2012_10_'!J1856,"AAAAACffGzk=")</f>
        <v>#VALUE!</v>
      </c>
      <c r="BG124" t="e">
        <f>AND('Planilla_General_29-11-2012_10_'!K1856,"AAAAACffGzo=")</f>
        <v>#VALUE!</v>
      </c>
      <c r="BH124" t="e">
        <f>AND('Planilla_General_29-11-2012_10_'!L1856,"AAAAACffGzs=")</f>
        <v>#VALUE!</v>
      </c>
      <c r="BI124" t="e">
        <f>AND('Planilla_General_29-11-2012_10_'!M1856,"AAAAACffGzw=")</f>
        <v>#VALUE!</v>
      </c>
      <c r="BJ124" t="e">
        <f>AND('Planilla_General_29-11-2012_10_'!N1856,"AAAAACffGz0=")</f>
        <v>#VALUE!</v>
      </c>
      <c r="BK124" t="e">
        <f>AND('Planilla_General_29-11-2012_10_'!O1856,"AAAAACffGz4=")</f>
        <v>#VALUE!</v>
      </c>
      <c r="BL124" t="e">
        <f>AND('Planilla_General_29-11-2012_10_'!P1856,"AAAAACffGz8=")</f>
        <v>#VALUE!</v>
      </c>
      <c r="BM124">
        <f>IF('Planilla_General_29-11-2012_10_'!1857:1857,"AAAAACffG0A=",0)</f>
        <v>0</v>
      </c>
      <c r="BN124" t="e">
        <f>AND('Planilla_General_29-11-2012_10_'!A1857,"AAAAACffG0E=")</f>
        <v>#VALUE!</v>
      </c>
      <c r="BO124" t="e">
        <f>AND('Planilla_General_29-11-2012_10_'!B1857,"AAAAACffG0I=")</f>
        <v>#VALUE!</v>
      </c>
      <c r="BP124" t="e">
        <f>AND('Planilla_General_29-11-2012_10_'!C1857,"AAAAACffG0M=")</f>
        <v>#VALUE!</v>
      </c>
      <c r="BQ124" t="e">
        <f>AND('Planilla_General_29-11-2012_10_'!D1857,"AAAAACffG0Q=")</f>
        <v>#VALUE!</v>
      </c>
      <c r="BR124" t="e">
        <f>AND('Planilla_General_29-11-2012_10_'!E1857,"AAAAACffG0U=")</f>
        <v>#VALUE!</v>
      </c>
      <c r="BS124" t="e">
        <f>AND('Planilla_General_29-11-2012_10_'!F1857,"AAAAACffG0Y=")</f>
        <v>#VALUE!</v>
      </c>
      <c r="BT124" t="e">
        <f>AND('Planilla_General_29-11-2012_10_'!G1857,"AAAAACffG0c=")</f>
        <v>#VALUE!</v>
      </c>
      <c r="BU124" t="e">
        <f>AND('Planilla_General_29-11-2012_10_'!H1857,"AAAAACffG0g=")</f>
        <v>#VALUE!</v>
      </c>
      <c r="BV124" t="e">
        <f>AND('Planilla_General_29-11-2012_10_'!I1857,"AAAAACffG0k=")</f>
        <v>#VALUE!</v>
      </c>
      <c r="BW124" t="e">
        <f>AND('Planilla_General_29-11-2012_10_'!J1857,"AAAAACffG0o=")</f>
        <v>#VALUE!</v>
      </c>
      <c r="BX124" t="e">
        <f>AND('Planilla_General_29-11-2012_10_'!K1857,"AAAAACffG0s=")</f>
        <v>#VALUE!</v>
      </c>
      <c r="BY124" t="e">
        <f>AND('Planilla_General_29-11-2012_10_'!L1857,"AAAAACffG0w=")</f>
        <v>#VALUE!</v>
      </c>
      <c r="BZ124" t="e">
        <f>AND('Planilla_General_29-11-2012_10_'!M1857,"AAAAACffG00=")</f>
        <v>#VALUE!</v>
      </c>
      <c r="CA124" t="e">
        <f>AND('Planilla_General_29-11-2012_10_'!N1857,"AAAAACffG04=")</f>
        <v>#VALUE!</v>
      </c>
      <c r="CB124" t="e">
        <f>AND('Planilla_General_29-11-2012_10_'!O1857,"AAAAACffG08=")</f>
        <v>#VALUE!</v>
      </c>
      <c r="CC124" t="e">
        <f>AND('Planilla_General_29-11-2012_10_'!P1857,"AAAAACffG1A=")</f>
        <v>#VALUE!</v>
      </c>
      <c r="CD124">
        <f>IF('Planilla_General_29-11-2012_10_'!1858:1858,"AAAAACffG1E=",0)</f>
        <v>0</v>
      </c>
      <c r="CE124" t="e">
        <f>AND('Planilla_General_29-11-2012_10_'!A1858,"AAAAACffG1I=")</f>
        <v>#VALUE!</v>
      </c>
      <c r="CF124" t="e">
        <f>AND('Planilla_General_29-11-2012_10_'!B1858,"AAAAACffG1M=")</f>
        <v>#VALUE!</v>
      </c>
      <c r="CG124" t="e">
        <f>AND('Planilla_General_29-11-2012_10_'!C1858,"AAAAACffG1Q=")</f>
        <v>#VALUE!</v>
      </c>
      <c r="CH124" t="e">
        <f>AND('Planilla_General_29-11-2012_10_'!D1858,"AAAAACffG1U=")</f>
        <v>#VALUE!</v>
      </c>
      <c r="CI124" t="e">
        <f>AND('Planilla_General_29-11-2012_10_'!E1858,"AAAAACffG1Y=")</f>
        <v>#VALUE!</v>
      </c>
      <c r="CJ124" t="e">
        <f>AND('Planilla_General_29-11-2012_10_'!F1858,"AAAAACffG1c=")</f>
        <v>#VALUE!</v>
      </c>
      <c r="CK124" t="e">
        <f>AND('Planilla_General_29-11-2012_10_'!G1858,"AAAAACffG1g=")</f>
        <v>#VALUE!</v>
      </c>
      <c r="CL124" t="e">
        <f>AND('Planilla_General_29-11-2012_10_'!H1858,"AAAAACffG1k=")</f>
        <v>#VALUE!</v>
      </c>
      <c r="CM124" t="e">
        <f>AND('Planilla_General_29-11-2012_10_'!I1858,"AAAAACffG1o=")</f>
        <v>#VALUE!</v>
      </c>
      <c r="CN124" t="e">
        <f>AND('Planilla_General_29-11-2012_10_'!J1858,"AAAAACffG1s=")</f>
        <v>#VALUE!</v>
      </c>
      <c r="CO124" t="e">
        <f>AND('Planilla_General_29-11-2012_10_'!K1858,"AAAAACffG1w=")</f>
        <v>#VALUE!</v>
      </c>
      <c r="CP124" t="e">
        <f>AND('Planilla_General_29-11-2012_10_'!L1858,"AAAAACffG10=")</f>
        <v>#VALUE!</v>
      </c>
      <c r="CQ124" t="e">
        <f>AND('Planilla_General_29-11-2012_10_'!M1858,"AAAAACffG14=")</f>
        <v>#VALUE!</v>
      </c>
      <c r="CR124" t="e">
        <f>AND('Planilla_General_29-11-2012_10_'!N1858,"AAAAACffG18=")</f>
        <v>#VALUE!</v>
      </c>
      <c r="CS124" t="e">
        <f>AND('Planilla_General_29-11-2012_10_'!O1858,"AAAAACffG2A=")</f>
        <v>#VALUE!</v>
      </c>
      <c r="CT124" t="e">
        <f>AND('Planilla_General_29-11-2012_10_'!P1858,"AAAAACffG2E=")</f>
        <v>#VALUE!</v>
      </c>
      <c r="CU124">
        <f>IF('Planilla_General_29-11-2012_10_'!1859:1859,"AAAAACffG2I=",0)</f>
        <v>0</v>
      </c>
      <c r="CV124" t="e">
        <f>AND('Planilla_General_29-11-2012_10_'!A1859,"AAAAACffG2M=")</f>
        <v>#VALUE!</v>
      </c>
      <c r="CW124" t="e">
        <f>AND('Planilla_General_29-11-2012_10_'!B1859,"AAAAACffG2Q=")</f>
        <v>#VALUE!</v>
      </c>
      <c r="CX124" t="e">
        <f>AND('Planilla_General_29-11-2012_10_'!C1859,"AAAAACffG2U=")</f>
        <v>#VALUE!</v>
      </c>
      <c r="CY124" t="e">
        <f>AND('Planilla_General_29-11-2012_10_'!D1859,"AAAAACffG2Y=")</f>
        <v>#VALUE!</v>
      </c>
      <c r="CZ124" t="e">
        <f>AND('Planilla_General_29-11-2012_10_'!E1859,"AAAAACffG2c=")</f>
        <v>#VALUE!</v>
      </c>
      <c r="DA124" t="e">
        <f>AND('Planilla_General_29-11-2012_10_'!F1859,"AAAAACffG2g=")</f>
        <v>#VALUE!</v>
      </c>
      <c r="DB124" t="e">
        <f>AND('Planilla_General_29-11-2012_10_'!G1859,"AAAAACffG2k=")</f>
        <v>#VALUE!</v>
      </c>
      <c r="DC124" t="e">
        <f>AND('Planilla_General_29-11-2012_10_'!H1859,"AAAAACffG2o=")</f>
        <v>#VALUE!</v>
      </c>
      <c r="DD124" t="e">
        <f>AND('Planilla_General_29-11-2012_10_'!I1859,"AAAAACffG2s=")</f>
        <v>#VALUE!</v>
      </c>
      <c r="DE124" t="e">
        <f>AND('Planilla_General_29-11-2012_10_'!J1859,"AAAAACffG2w=")</f>
        <v>#VALUE!</v>
      </c>
      <c r="DF124" t="e">
        <f>AND('Planilla_General_29-11-2012_10_'!K1859,"AAAAACffG20=")</f>
        <v>#VALUE!</v>
      </c>
      <c r="DG124" t="e">
        <f>AND('Planilla_General_29-11-2012_10_'!L1859,"AAAAACffG24=")</f>
        <v>#VALUE!</v>
      </c>
      <c r="DH124" t="e">
        <f>AND('Planilla_General_29-11-2012_10_'!M1859,"AAAAACffG28=")</f>
        <v>#VALUE!</v>
      </c>
      <c r="DI124" t="e">
        <f>AND('Planilla_General_29-11-2012_10_'!N1859,"AAAAACffG3A=")</f>
        <v>#VALUE!</v>
      </c>
      <c r="DJ124" t="e">
        <f>AND('Planilla_General_29-11-2012_10_'!O1859,"AAAAACffG3E=")</f>
        <v>#VALUE!</v>
      </c>
      <c r="DK124" t="e">
        <f>AND('Planilla_General_29-11-2012_10_'!P1859,"AAAAACffG3I=")</f>
        <v>#VALUE!</v>
      </c>
      <c r="DL124">
        <f>IF('Planilla_General_29-11-2012_10_'!1860:1860,"AAAAACffG3M=",0)</f>
        <v>0</v>
      </c>
      <c r="DM124" t="e">
        <f>AND('Planilla_General_29-11-2012_10_'!A1860,"AAAAACffG3Q=")</f>
        <v>#VALUE!</v>
      </c>
      <c r="DN124" t="e">
        <f>AND('Planilla_General_29-11-2012_10_'!B1860,"AAAAACffG3U=")</f>
        <v>#VALUE!</v>
      </c>
      <c r="DO124" t="e">
        <f>AND('Planilla_General_29-11-2012_10_'!C1860,"AAAAACffG3Y=")</f>
        <v>#VALUE!</v>
      </c>
      <c r="DP124" t="e">
        <f>AND('Planilla_General_29-11-2012_10_'!D1860,"AAAAACffG3c=")</f>
        <v>#VALUE!</v>
      </c>
      <c r="DQ124" t="e">
        <f>AND('Planilla_General_29-11-2012_10_'!E1860,"AAAAACffG3g=")</f>
        <v>#VALUE!</v>
      </c>
      <c r="DR124" t="e">
        <f>AND('Planilla_General_29-11-2012_10_'!F1860,"AAAAACffG3k=")</f>
        <v>#VALUE!</v>
      </c>
      <c r="DS124" t="e">
        <f>AND('Planilla_General_29-11-2012_10_'!G1860,"AAAAACffG3o=")</f>
        <v>#VALUE!</v>
      </c>
      <c r="DT124" t="e">
        <f>AND('Planilla_General_29-11-2012_10_'!H1860,"AAAAACffG3s=")</f>
        <v>#VALUE!</v>
      </c>
      <c r="DU124" t="e">
        <f>AND('Planilla_General_29-11-2012_10_'!I1860,"AAAAACffG3w=")</f>
        <v>#VALUE!</v>
      </c>
      <c r="DV124" t="e">
        <f>AND('Planilla_General_29-11-2012_10_'!J1860,"AAAAACffG30=")</f>
        <v>#VALUE!</v>
      </c>
      <c r="DW124" t="e">
        <f>AND('Planilla_General_29-11-2012_10_'!K1860,"AAAAACffG34=")</f>
        <v>#VALUE!</v>
      </c>
      <c r="DX124" t="e">
        <f>AND('Planilla_General_29-11-2012_10_'!L1860,"AAAAACffG38=")</f>
        <v>#VALUE!</v>
      </c>
      <c r="DY124" t="e">
        <f>AND('Planilla_General_29-11-2012_10_'!M1860,"AAAAACffG4A=")</f>
        <v>#VALUE!</v>
      </c>
      <c r="DZ124" t="e">
        <f>AND('Planilla_General_29-11-2012_10_'!N1860,"AAAAACffG4E=")</f>
        <v>#VALUE!</v>
      </c>
      <c r="EA124" t="e">
        <f>AND('Planilla_General_29-11-2012_10_'!O1860,"AAAAACffG4I=")</f>
        <v>#VALUE!</v>
      </c>
      <c r="EB124" t="e">
        <f>AND('Planilla_General_29-11-2012_10_'!P1860,"AAAAACffG4M=")</f>
        <v>#VALUE!</v>
      </c>
      <c r="EC124">
        <f>IF('Planilla_General_29-11-2012_10_'!1861:1861,"AAAAACffG4Q=",0)</f>
        <v>0</v>
      </c>
      <c r="ED124" t="e">
        <f>AND('Planilla_General_29-11-2012_10_'!A1861,"AAAAACffG4U=")</f>
        <v>#VALUE!</v>
      </c>
      <c r="EE124" t="e">
        <f>AND('Planilla_General_29-11-2012_10_'!B1861,"AAAAACffG4Y=")</f>
        <v>#VALUE!</v>
      </c>
      <c r="EF124" t="e">
        <f>AND('Planilla_General_29-11-2012_10_'!C1861,"AAAAACffG4c=")</f>
        <v>#VALUE!</v>
      </c>
      <c r="EG124" t="e">
        <f>AND('Planilla_General_29-11-2012_10_'!D1861,"AAAAACffG4g=")</f>
        <v>#VALUE!</v>
      </c>
      <c r="EH124" t="e">
        <f>AND('Planilla_General_29-11-2012_10_'!E1861,"AAAAACffG4k=")</f>
        <v>#VALUE!</v>
      </c>
      <c r="EI124" t="e">
        <f>AND('Planilla_General_29-11-2012_10_'!F1861,"AAAAACffG4o=")</f>
        <v>#VALUE!</v>
      </c>
      <c r="EJ124" t="e">
        <f>AND('Planilla_General_29-11-2012_10_'!G1861,"AAAAACffG4s=")</f>
        <v>#VALUE!</v>
      </c>
      <c r="EK124" t="e">
        <f>AND('Planilla_General_29-11-2012_10_'!H1861,"AAAAACffG4w=")</f>
        <v>#VALUE!</v>
      </c>
      <c r="EL124" t="e">
        <f>AND('Planilla_General_29-11-2012_10_'!I1861,"AAAAACffG40=")</f>
        <v>#VALUE!</v>
      </c>
      <c r="EM124" t="e">
        <f>AND('Planilla_General_29-11-2012_10_'!J1861,"AAAAACffG44=")</f>
        <v>#VALUE!</v>
      </c>
      <c r="EN124" t="e">
        <f>AND('Planilla_General_29-11-2012_10_'!K1861,"AAAAACffG48=")</f>
        <v>#VALUE!</v>
      </c>
      <c r="EO124" t="e">
        <f>AND('Planilla_General_29-11-2012_10_'!L1861,"AAAAACffG5A=")</f>
        <v>#VALUE!</v>
      </c>
      <c r="EP124" t="e">
        <f>AND('Planilla_General_29-11-2012_10_'!M1861,"AAAAACffG5E=")</f>
        <v>#VALUE!</v>
      </c>
      <c r="EQ124" t="e">
        <f>AND('Planilla_General_29-11-2012_10_'!N1861,"AAAAACffG5I=")</f>
        <v>#VALUE!</v>
      </c>
      <c r="ER124" t="e">
        <f>AND('Planilla_General_29-11-2012_10_'!O1861,"AAAAACffG5M=")</f>
        <v>#VALUE!</v>
      </c>
      <c r="ES124" t="e">
        <f>AND('Planilla_General_29-11-2012_10_'!P1861,"AAAAACffG5Q=")</f>
        <v>#VALUE!</v>
      </c>
      <c r="ET124">
        <f>IF('Planilla_General_29-11-2012_10_'!1862:1862,"AAAAACffG5U=",0)</f>
        <v>0</v>
      </c>
      <c r="EU124" t="e">
        <f>AND('Planilla_General_29-11-2012_10_'!A1862,"AAAAACffG5Y=")</f>
        <v>#VALUE!</v>
      </c>
      <c r="EV124" t="e">
        <f>AND('Planilla_General_29-11-2012_10_'!B1862,"AAAAACffG5c=")</f>
        <v>#VALUE!</v>
      </c>
      <c r="EW124" t="e">
        <f>AND('Planilla_General_29-11-2012_10_'!C1862,"AAAAACffG5g=")</f>
        <v>#VALUE!</v>
      </c>
      <c r="EX124" t="e">
        <f>AND('Planilla_General_29-11-2012_10_'!D1862,"AAAAACffG5k=")</f>
        <v>#VALUE!</v>
      </c>
      <c r="EY124" t="e">
        <f>AND('Planilla_General_29-11-2012_10_'!E1862,"AAAAACffG5o=")</f>
        <v>#VALUE!</v>
      </c>
      <c r="EZ124" t="e">
        <f>AND('Planilla_General_29-11-2012_10_'!F1862,"AAAAACffG5s=")</f>
        <v>#VALUE!</v>
      </c>
      <c r="FA124" t="e">
        <f>AND('Planilla_General_29-11-2012_10_'!G1862,"AAAAACffG5w=")</f>
        <v>#VALUE!</v>
      </c>
      <c r="FB124" t="e">
        <f>AND('Planilla_General_29-11-2012_10_'!H1862,"AAAAACffG50=")</f>
        <v>#VALUE!</v>
      </c>
      <c r="FC124" t="e">
        <f>AND('Planilla_General_29-11-2012_10_'!I1862,"AAAAACffG54=")</f>
        <v>#VALUE!</v>
      </c>
      <c r="FD124" t="e">
        <f>AND('Planilla_General_29-11-2012_10_'!J1862,"AAAAACffG58=")</f>
        <v>#VALUE!</v>
      </c>
      <c r="FE124" t="e">
        <f>AND('Planilla_General_29-11-2012_10_'!K1862,"AAAAACffG6A=")</f>
        <v>#VALUE!</v>
      </c>
      <c r="FF124" t="e">
        <f>AND('Planilla_General_29-11-2012_10_'!L1862,"AAAAACffG6E=")</f>
        <v>#VALUE!</v>
      </c>
      <c r="FG124" t="e">
        <f>AND('Planilla_General_29-11-2012_10_'!M1862,"AAAAACffG6I=")</f>
        <v>#VALUE!</v>
      </c>
      <c r="FH124" t="e">
        <f>AND('Planilla_General_29-11-2012_10_'!N1862,"AAAAACffG6M=")</f>
        <v>#VALUE!</v>
      </c>
      <c r="FI124" t="e">
        <f>AND('Planilla_General_29-11-2012_10_'!O1862,"AAAAACffG6Q=")</f>
        <v>#VALUE!</v>
      </c>
      <c r="FJ124" t="e">
        <f>AND('Planilla_General_29-11-2012_10_'!P1862,"AAAAACffG6U=")</f>
        <v>#VALUE!</v>
      </c>
      <c r="FK124">
        <f>IF('Planilla_General_29-11-2012_10_'!1863:1863,"AAAAACffG6Y=",0)</f>
        <v>0</v>
      </c>
      <c r="FL124" t="e">
        <f>AND('Planilla_General_29-11-2012_10_'!A1863,"AAAAACffG6c=")</f>
        <v>#VALUE!</v>
      </c>
      <c r="FM124" t="e">
        <f>AND('Planilla_General_29-11-2012_10_'!B1863,"AAAAACffG6g=")</f>
        <v>#VALUE!</v>
      </c>
      <c r="FN124" t="e">
        <f>AND('Planilla_General_29-11-2012_10_'!C1863,"AAAAACffG6k=")</f>
        <v>#VALUE!</v>
      </c>
      <c r="FO124" t="e">
        <f>AND('Planilla_General_29-11-2012_10_'!D1863,"AAAAACffG6o=")</f>
        <v>#VALUE!</v>
      </c>
      <c r="FP124" t="e">
        <f>AND('Planilla_General_29-11-2012_10_'!E1863,"AAAAACffG6s=")</f>
        <v>#VALUE!</v>
      </c>
      <c r="FQ124" t="e">
        <f>AND('Planilla_General_29-11-2012_10_'!F1863,"AAAAACffG6w=")</f>
        <v>#VALUE!</v>
      </c>
      <c r="FR124" t="e">
        <f>AND('Planilla_General_29-11-2012_10_'!G1863,"AAAAACffG60=")</f>
        <v>#VALUE!</v>
      </c>
      <c r="FS124" t="e">
        <f>AND('Planilla_General_29-11-2012_10_'!H1863,"AAAAACffG64=")</f>
        <v>#VALUE!</v>
      </c>
      <c r="FT124" t="e">
        <f>AND('Planilla_General_29-11-2012_10_'!I1863,"AAAAACffG68=")</f>
        <v>#VALUE!</v>
      </c>
      <c r="FU124" t="e">
        <f>AND('Planilla_General_29-11-2012_10_'!J1863,"AAAAACffG7A=")</f>
        <v>#VALUE!</v>
      </c>
      <c r="FV124" t="e">
        <f>AND('Planilla_General_29-11-2012_10_'!K1863,"AAAAACffG7E=")</f>
        <v>#VALUE!</v>
      </c>
      <c r="FW124" t="e">
        <f>AND('Planilla_General_29-11-2012_10_'!L1863,"AAAAACffG7I=")</f>
        <v>#VALUE!</v>
      </c>
      <c r="FX124" t="e">
        <f>AND('Planilla_General_29-11-2012_10_'!M1863,"AAAAACffG7M=")</f>
        <v>#VALUE!</v>
      </c>
      <c r="FY124" t="e">
        <f>AND('Planilla_General_29-11-2012_10_'!N1863,"AAAAACffG7Q=")</f>
        <v>#VALUE!</v>
      </c>
      <c r="FZ124" t="e">
        <f>AND('Planilla_General_29-11-2012_10_'!O1863,"AAAAACffG7U=")</f>
        <v>#VALUE!</v>
      </c>
      <c r="GA124" t="e">
        <f>AND('Planilla_General_29-11-2012_10_'!P1863,"AAAAACffG7Y=")</f>
        <v>#VALUE!</v>
      </c>
      <c r="GB124">
        <f>IF('Planilla_General_29-11-2012_10_'!1864:1864,"AAAAACffG7c=",0)</f>
        <v>0</v>
      </c>
      <c r="GC124" t="e">
        <f>AND('Planilla_General_29-11-2012_10_'!A1864,"AAAAACffG7g=")</f>
        <v>#VALUE!</v>
      </c>
      <c r="GD124" t="e">
        <f>AND('Planilla_General_29-11-2012_10_'!B1864,"AAAAACffG7k=")</f>
        <v>#VALUE!</v>
      </c>
      <c r="GE124" t="e">
        <f>AND('Planilla_General_29-11-2012_10_'!C1864,"AAAAACffG7o=")</f>
        <v>#VALUE!</v>
      </c>
      <c r="GF124" t="e">
        <f>AND('Planilla_General_29-11-2012_10_'!D1864,"AAAAACffG7s=")</f>
        <v>#VALUE!</v>
      </c>
      <c r="GG124" t="e">
        <f>AND('Planilla_General_29-11-2012_10_'!E1864,"AAAAACffG7w=")</f>
        <v>#VALUE!</v>
      </c>
      <c r="GH124" t="e">
        <f>AND('Planilla_General_29-11-2012_10_'!F1864,"AAAAACffG70=")</f>
        <v>#VALUE!</v>
      </c>
      <c r="GI124" t="e">
        <f>AND('Planilla_General_29-11-2012_10_'!G1864,"AAAAACffG74=")</f>
        <v>#VALUE!</v>
      </c>
      <c r="GJ124" t="e">
        <f>AND('Planilla_General_29-11-2012_10_'!H1864,"AAAAACffG78=")</f>
        <v>#VALUE!</v>
      </c>
      <c r="GK124" t="e">
        <f>AND('Planilla_General_29-11-2012_10_'!I1864,"AAAAACffG8A=")</f>
        <v>#VALUE!</v>
      </c>
      <c r="GL124" t="e">
        <f>AND('Planilla_General_29-11-2012_10_'!J1864,"AAAAACffG8E=")</f>
        <v>#VALUE!</v>
      </c>
      <c r="GM124" t="e">
        <f>AND('Planilla_General_29-11-2012_10_'!K1864,"AAAAACffG8I=")</f>
        <v>#VALUE!</v>
      </c>
      <c r="GN124" t="e">
        <f>AND('Planilla_General_29-11-2012_10_'!L1864,"AAAAACffG8M=")</f>
        <v>#VALUE!</v>
      </c>
      <c r="GO124" t="e">
        <f>AND('Planilla_General_29-11-2012_10_'!M1864,"AAAAACffG8Q=")</f>
        <v>#VALUE!</v>
      </c>
      <c r="GP124" t="e">
        <f>AND('Planilla_General_29-11-2012_10_'!N1864,"AAAAACffG8U=")</f>
        <v>#VALUE!</v>
      </c>
      <c r="GQ124" t="e">
        <f>AND('Planilla_General_29-11-2012_10_'!O1864,"AAAAACffG8Y=")</f>
        <v>#VALUE!</v>
      </c>
      <c r="GR124" t="e">
        <f>AND('Planilla_General_29-11-2012_10_'!P1864,"AAAAACffG8c=")</f>
        <v>#VALUE!</v>
      </c>
      <c r="GS124">
        <f>IF('Planilla_General_29-11-2012_10_'!1865:1865,"AAAAACffG8g=",0)</f>
        <v>0</v>
      </c>
      <c r="GT124" t="e">
        <f>AND('Planilla_General_29-11-2012_10_'!A1865,"AAAAACffG8k=")</f>
        <v>#VALUE!</v>
      </c>
      <c r="GU124" t="e">
        <f>AND('Planilla_General_29-11-2012_10_'!B1865,"AAAAACffG8o=")</f>
        <v>#VALUE!</v>
      </c>
      <c r="GV124" t="e">
        <f>AND('Planilla_General_29-11-2012_10_'!C1865,"AAAAACffG8s=")</f>
        <v>#VALUE!</v>
      </c>
      <c r="GW124" t="e">
        <f>AND('Planilla_General_29-11-2012_10_'!D1865,"AAAAACffG8w=")</f>
        <v>#VALUE!</v>
      </c>
      <c r="GX124" t="e">
        <f>AND('Planilla_General_29-11-2012_10_'!E1865,"AAAAACffG80=")</f>
        <v>#VALUE!</v>
      </c>
      <c r="GY124" t="e">
        <f>AND('Planilla_General_29-11-2012_10_'!F1865,"AAAAACffG84=")</f>
        <v>#VALUE!</v>
      </c>
      <c r="GZ124" t="e">
        <f>AND('Planilla_General_29-11-2012_10_'!G1865,"AAAAACffG88=")</f>
        <v>#VALUE!</v>
      </c>
      <c r="HA124" t="e">
        <f>AND('Planilla_General_29-11-2012_10_'!H1865,"AAAAACffG9A=")</f>
        <v>#VALUE!</v>
      </c>
      <c r="HB124" t="e">
        <f>AND('Planilla_General_29-11-2012_10_'!I1865,"AAAAACffG9E=")</f>
        <v>#VALUE!</v>
      </c>
      <c r="HC124" t="e">
        <f>AND('Planilla_General_29-11-2012_10_'!J1865,"AAAAACffG9I=")</f>
        <v>#VALUE!</v>
      </c>
      <c r="HD124" t="e">
        <f>AND('Planilla_General_29-11-2012_10_'!K1865,"AAAAACffG9M=")</f>
        <v>#VALUE!</v>
      </c>
      <c r="HE124" t="e">
        <f>AND('Planilla_General_29-11-2012_10_'!L1865,"AAAAACffG9Q=")</f>
        <v>#VALUE!</v>
      </c>
      <c r="HF124" t="e">
        <f>AND('Planilla_General_29-11-2012_10_'!M1865,"AAAAACffG9U=")</f>
        <v>#VALUE!</v>
      </c>
      <c r="HG124" t="e">
        <f>AND('Planilla_General_29-11-2012_10_'!N1865,"AAAAACffG9Y=")</f>
        <v>#VALUE!</v>
      </c>
      <c r="HH124" t="e">
        <f>AND('Planilla_General_29-11-2012_10_'!O1865,"AAAAACffG9c=")</f>
        <v>#VALUE!</v>
      </c>
      <c r="HI124" t="e">
        <f>AND('Planilla_General_29-11-2012_10_'!P1865,"AAAAACffG9g=")</f>
        <v>#VALUE!</v>
      </c>
      <c r="HJ124">
        <f>IF('Planilla_General_29-11-2012_10_'!1866:1866,"AAAAACffG9k=",0)</f>
        <v>0</v>
      </c>
      <c r="HK124" t="e">
        <f>AND('Planilla_General_29-11-2012_10_'!A1866,"AAAAACffG9o=")</f>
        <v>#VALUE!</v>
      </c>
      <c r="HL124" t="e">
        <f>AND('Planilla_General_29-11-2012_10_'!B1866,"AAAAACffG9s=")</f>
        <v>#VALUE!</v>
      </c>
      <c r="HM124" t="e">
        <f>AND('Planilla_General_29-11-2012_10_'!C1866,"AAAAACffG9w=")</f>
        <v>#VALUE!</v>
      </c>
      <c r="HN124" t="e">
        <f>AND('Planilla_General_29-11-2012_10_'!D1866,"AAAAACffG90=")</f>
        <v>#VALUE!</v>
      </c>
      <c r="HO124" t="e">
        <f>AND('Planilla_General_29-11-2012_10_'!E1866,"AAAAACffG94=")</f>
        <v>#VALUE!</v>
      </c>
      <c r="HP124" t="e">
        <f>AND('Planilla_General_29-11-2012_10_'!F1866,"AAAAACffG98=")</f>
        <v>#VALUE!</v>
      </c>
      <c r="HQ124" t="e">
        <f>AND('Planilla_General_29-11-2012_10_'!G1866,"AAAAACffG+A=")</f>
        <v>#VALUE!</v>
      </c>
      <c r="HR124" t="e">
        <f>AND('Planilla_General_29-11-2012_10_'!H1866,"AAAAACffG+E=")</f>
        <v>#VALUE!</v>
      </c>
      <c r="HS124" t="e">
        <f>AND('Planilla_General_29-11-2012_10_'!I1866,"AAAAACffG+I=")</f>
        <v>#VALUE!</v>
      </c>
      <c r="HT124" t="e">
        <f>AND('Planilla_General_29-11-2012_10_'!J1866,"AAAAACffG+M=")</f>
        <v>#VALUE!</v>
      </c>
      <c r="HU124" t="e">
        <f>AND('Planilla_General_29-11-2012_10_'!K1866,"AAAAACffG+Q=")</f>
        <v>#VALUE!</v>
      </c>
      <c r="HV124" t="e">
        <f>AND('Planilla_General_29-11-2012_10_'!L1866,"AAAAACffG+U=")</f>
        <v>#VALUE!</v>
      </c>
      <c r="HW124" t="e">
        <f>AND('Planilla_General_29-11-2012_10_'!M1866,"AAAAACffG+Y=")</f>
        <v>#VALUE!</v>
      </c>
      <c r="HX124" t="e">
        <f>AND('Planilla_General_29-11-2012_10_'!N1866,"AAAAACffG+c=")</f>
        <v>#VALUE!</v>
      </c>
      <c r="HY124" t="e">
        <f>AND('Planilla_General_29-11-2012_10_'!O1866,"AAAAACffG+g=")</f>
        <v>#VALUE!</v>
      </c>
      <c r="HZ124" t="e">
        <f>AND('Planilla_General_29-11-2012_10_'!P1866,"AAAAACffG+k=")</f>
        <v>#VALUE!</v>
      </c>
      <c r="IA124">
        <f>IF('Planilla_General_29-11-2012_10_'!1867:1867,"AAAAACffG+o=",0)</f>
        <v>0</v>
      </c>
      <c r="IB124" t="e">
        <f>AND('Planilla_General_29-11-2012_10_'!A1867,"AAAAACffG+s=")</f>
        <v>#VALUE!</v>
      </c>
      <c r="IC124" t="e">
        <f>AND('Planilla_General_29-11-2012_10_'!B1867,"AAAAACffG+w=")</f>
        <v>#VALUE!</v>
      </c>
      <c r="ID124" t="e">
        <f>AND('Planilla_General_29-11-2012_10_'!C1867,"AAAAACffG+0=")</f>
        <v>#VALUE!</v>
      </c>
      <c r="IE124" t="e">
        <f>AND('Planilla_General_29-11-2012_10_'!D1867,"AAAAACffG+4=")</f>
        <v>#VALUE!</v>
      </c>
      <c r="IF124" t="e">
        <f>AND('Planilla_General_29-11-2012_10_'!E1867,"AAAAACffG+8=")</f>
        <v>#VALUE!</v>
      </c>
      <c r="IG124" t="e">
        <f>AND('Planilla_General_29-11-2012_10_'!F1867,"AAAAACffG/A=")</f>
        <v>#VALUE!</v>
      </c>
      <c r="IH124" t="e">
        <f>AND('Planilla_General_29-11-2012_10_'!G1867,"AAAAACffG/E=")</f>
        <v>#VALUE!</v>
      </c>
      <c r="II124" t="e">
        <f>AND('Planilla_General_29-11-2012_10_'!H1867,"AAAAACffG/I=")</f>
        <v>#VALUE!</v>
      </c>
      <c r="IJ124" t="e">
        <f>AND('Planilla_General_29-11-2012_10_'!I1867,"AAAAACffG/M=")</f>
        <v>#VALUE!</v>
      </c>
      <c r="IK124" t="e">
        <f>AND('Planilla_General_29-11-2012_10_'!J1867,"AAAAACffG/Q=")</f>
        <v>#VALUE!</v>
      </c>
      <c r="IL124" t="e">
        <f>AND('Planilla_General_29-11-2012_10_'!K1867,"AAAAACffG/U=")</f>
        <v>#VALUE!</v>
      </c>
      <c r="IM124" t="e">
        <f>AND('Planilla_General_29-11-2012_10_'!L1867,"AAAAACffG/Y=")</f>
        <v>#VALUE!</v>
      </c>
      <c r="IN124" t="e">
        <f>AND('Planilla_General_29-11-2012_10_'!M1867,"AAAAACffG/c=")</f>
        <v>#VALUE!</v>
      </c>
      <c r="IO124" t="e">
        <f>AND('Planilla_General_29-11-2012_10_'!N1867,"AAAAACffG/g=")</f>
        <v>#VALUE!</v>
      </c>
      <c r="IP124" t="e">
        <f>AND('Planilla_General_29-11-2012_10_'!O1867,"AAAAACffG/k=")</f>
        <v>#VALUE!</v>
      </c>
      <c r="IQ124" t="e">
        <f>AND('Planilla_General_29-11-2012_10_'!P1867,"AAAAACffG/o=")</f>
        <v>#VALUE!</v>
      </c>
      <c r="IR124">
        <f>IF('Planilla_General_29-11-2012_10_'!1868:1868,"AAAAACffG/s=",0)</f>
        <v>0</v>
      </c>
      <c r="IS124" t="e">
        <f>AND('Planilla_General_29-11-2012_10_'!A1868,"AAAAACffG/w=")</f>
        <v>#VALUE!</v>
      </c>
      <c r="IT124" t="e">
        <f>AND('Planilla_General_29-11-2012_10_'!B1868,"AAAAACffG/0=")</f>
        <v>#VALUE!</v>
      </c>
      <c r="IU124" t="e">
        <f>AND('Planilla_General_29-11-2012_10_'!C1868,"AAAAACffG/4=")</f>
        <v>#VALUE!</v>
      </c>
      <c r="IV124" t="e">
        <f>AND('Planilla_General_29-11-2012_10_'!D1868,"AAAAACffG/8=")</f>
        <v>#VALUE!</v>
      </c>
    </row>
    <row r="125" spans="1:256" x14ac:dyDescent="0.25">
      <c r="A125" t="e">
        <f>AND('Planilla_General_29-11-2012_10_'!E1868,"AAAAAG/8XwA=")</f>
        <v>#VALUE!</v>
      </c>
      <c r="B125" t="e">
        <f>AND('Planilla_General_29-11-2012_10_'!F1868,"AAAAAG/8XwE=")</f>
        <v>#VALUE!</v>
      </c>
      <c r="C125" t="e">
        <f>AND('Planilla_General_29-11-2012_10_'!G1868,"AAAAAG/8XwI=")</f>
        <v>#VALUE!</v>
      </c>
      <c r="D125" t="e">
        <f>AND('Planilla_General_29-11-2012_10_'!H1868,"AAAAAG/8XwM=")</f>
        <v>#VALUE!</v>
      </c>
      <c r="E125" t="e">
        <f>AND('Planilla_General_29-11-2012_10_'!I1868,"AAAAAG/8XwQ=")</f>
        <v>#VALUE!</v>
      </c>
      <c r="F125" t="e">
        <f>AND('Planilla_General_29-11-2012_10_'!J1868,"AAAAAG/8XwU=")</f>
        <v>#VALUE!</v>
      </c>
      <c r="G125" t="e">
        <f>AND('Planilla_General_29-11-2012_10_'!K1868,"AAAAAG/8XwY=")</f>
        <v>#VALUE!</v>
      </c>
      <c r="H125" t="e">
        <f>AND('Planilla_General_29-11-2012_10_'!L1868,"AAAAAG/8Xwc=")</f>
        <v>#VALUE!</v>
      </c>
      <c r="I125" t="e">
        <f>AND('Planilla_General_29-11-2012_10_'!M1868,"AAAAAG/8Xwg=")</f>
        <v>#VALUE!</v>
      </c>
      <c r="J125" t="e">
        <f>AND('Planilla_General_29-11-2012_10_'!N1868,"AAAAAG/8Xwk=")</f>
        <v>#VALUE!</v>
      </c>
      <c r="K125" t="e">
        <f>AND('Planilla_General_29-11-2012_10_'!O1868,"AAAAAG/8Xwo=")</f>
        <v>#VALUE!</v>
      </c>
      <c r="L125" t="e">
        <f>AND('Planilla_General_29-11-2012_10_'!P1868,"AAAAAG/8Xws=")</f>
        <v>#VALUE!</v>
      </c>
      <c r="M125" t="str">
        <f>IF('Planilla_General_29-11-2012_10_'!1869:1869,"AAAAAG/8Xww=",0)</f>
        <v>AAAAAG/8Xww=</v>
      </c>
      <c r="N125" t="e">
        <f>AND('Planilla_General_29-11-2012_10_'!A1869,"AAAAAG/8Xw0=")</f>
        <v>#VALUE!</v>
      </c>
      <c r="O125" t="e">
        <f>AND('Planilla_General_29-11-2012_10_'!B1869,"AAAAAG/8Xw4=")</f>
        <v>#VALUE!</v>
      </c>
      <c r="P125" t="e">
        <f>AND('Planilla_General_29-11-2012_10_'!C1869,"AAAAAG/8Xw8=")</f>
        <v>#VALUE!</v>
      </c>
      <c r="Q125" t="e">
        <f>AND('Planilla_General_29-11-2012_10_'!D1869,"AAAAAG/8XxA=")</f>
        <v>#VALUE!</v>
      </c>
      <c r="R125" t="e">
        <f>AND('Planilla_General_29-11-2012_10_'!E1869,"AAAAAG/8XxE=")</f>
        <v>#VALUE!</v>
      </c>
      <c r="S125" t="e">
        <f>AND('Planilla_General_29-11-2012_10_'!F1869,"AAAAAG/8XxI=")</f>
        <v>#VALUE!</v>
      </c>
      <c r="T125" t="e">
        <f>AND('Planilla_General_29-11-2012_10_'!G1869,"AAAAAG/8XxM=")</f>
        <v>#VALUE!</v>
      </c>
      <c r="U125" t="e">
        <f>AND('Planilla_General_29-11-2012_10_'!H1869,"AAAAAG/8XxQ=")</f>
        <v>#VALUE!</v>
      </c>
      <c r="V125" t="e">
        <f>AND('Planilla_General_29-11-2012_10_'!I1869,"AAAAAG/8XxU=")</f>
        <v>#VALUE!</v>
      </c>
      <c r="W125" t="e">
        <f>AND('Planilla_General_29-11-2012_10_'!J1869,"AAAAAG/8XxY=")</f>
        <v>#VALUE!</v>
      </c>
      <c r="X125" t="e">
        <f>AND('Planilla_General_29-11-2012_10_'!K1869,"AAAAAG/8Xxc=")</f>
        <v>#VALUE!</v>
      </c>
      <c r="Y125" t="e">
        <f>AND('Planilla_General_29-11-2012_10_'!L1869,"AAAAAG/8Xxg=")</f>
        <v>#VALUE!</v>
      </c>
      <c r="Z125" t="e">
        <f>AND('Planilla_General_29-11-2012_10_'!M1869,"AAAAAG/8Xxk=")</f>
        <v>#VALUE!</v>
      </c>
      <c r="AA125" t="e">
        <f>AND('Planilla_General_29-11-2012_10_'!N1869,"AAAAAG/8Xxo=")</f>
        <v>#VALUE!</v>
      </c>
      <c r="AB125" t="e">
        <f>AND('Planilla_General_29-11-2012_10_'!O1869,"AAAAAG/8Xxs=")</f>
        <v>#VALUE!</v>
      </c>
      <c r="AC125" t="e">
        <f>AND('Planilla_General_29-11-2012_10_'!P1869,"AAAAAG/8Xxw=")</f>
        <v>#VALUE!</v>
      </c>
      <c r="AD125">
        <f>IF('Planilla_General_29-11-2012_10_'!1870:1870,"AAAAAG/8Xx0=",0)</f>
        <v>0</v>
      </c>
      <c r="AE125" t="e">
        <f>AND('Planilla_General_29-11-2012_10_'!A1870,"AAAAAG/8Xx4=")</f>
        <v>#VALUE!</v>
      </c>
      <c r="AF125" t="e">
        <f>AND('Planilla_General_29-11-2012_10_'!B1870,"AAAAAG/8Xx8=")</f>
        <v>#VALUE!</v>
      </c>
      <c r="AG125" t="e">
        <f>AND('Planilla_General_29-11-2012_10_'!C1870,"AAAAAG/8XyA=")</f>
        <v>#VALUE!</v>
      </c>
      <c r="AH125" t="e">
        <f>AND('Planilla_General_29-11-2012_10_'!D1870,"AAAAAG/8XyE=")</f>
        <v>#VALUE!</v>
      </c>
      <c r="AI125" t="e">
        <f>AND('Planilla_General_29-11-2012_10_'!E1870,"AAAAAG/8XyI=")</f>
        <v>#VALUE!</v>
      </c>
      <c r="AJ125" t="e">
        <f>AND('Planilla_General_29-11-2012_10_'!F1870,"AAAAAG/8XyM=")</f>
        <v>#VALUE!</v>
      </c>
      <c r="AK125" t="e">
        <f>AND('Planilla_General_29-11-2012_10_'!G1870,"AAAAAG/8XyQ=")</f>
        <v>#VALUE!</v>
      </c>
      <c r="AL125" t="e">
        <f>AND('Planilla_General_29-11-2012_10_'!H1870,"AAAAAG/8XyU=")</f>
        <v>#VALUE!</v>
      </c>
      <c r="AM125" t="e">
        <f>AND('Planilla_General_29-11-2012_10_'!I1870,"AAAAAG/8XyY=")</f>
        <v>#VALUE!</v>
      </c>
      <c r="AN125" t="e">
        <f>AND('Planilla_General_29-11-2012_10_'!J1870,"AAAAAG/8Xyc=")</f>
        <v>#VALUE!</v>
      </c>
      <c r="AO125" t="e">
        <f>AND('Planilla_General_29-11-2012_10_'!K1870,"AAAAAG/8Xyg=")</f>
        <v>#VALUE!</v>
      </c>
      <c r="AP125" t="e">
        <f>AND('Planilla_General_29-11-2012_10_'!L1870,"AAAAAG/8Xyk=")</f>
        <v>#VALUE!</v>
      </c>
      <c r="AQ125" t="e">
        <f>AND('Planilla_General_29-11-2012_10_'!M1870,"AAAAAG/8Xyo=")</f>
        <v>#VALUE!</v>
      </c>
      <c r="AR125" t="e">
        <f>AND('Planilla_General_29-11-2012_10_'!N1870,"AAAAAG/8Xys=")</f>
        <v>#VALUE!</v>
      </c>
      <c r="AS125" t="e">
        <f>AND('Planilla_General_29-11-2012_10_'!O1870,"AAAAAG/8Xyw=")</f>
        <v>#VALUE!</v>
      </c>
      <c r="AT125" t="e">
        <f>AND('Planilla_General_29-11-2012_10_'!P1870,"AAAAAG/8Xy0=")</f>
        <v>#VALUE!</v>
      </c>
      <c r="AU125">
        <f>IF('Planilla_General_29-11-2012_10_'!1871:1871,"AAAAAG/8Xy4=",0)</f>
        <v>0</v>
      </c>
      <c r="AV125" t="e">
        <f>AND('Planilla_General_29-11-2012_10_'!A1871,"AAAAAG/8Xy8=")</f>
        <v>#VALUE!</v>
      </c>
      <c r="AW125" t="e">
        <f>AND('Planilla_General_29-11-2012_10_'!B1871,"AAAAAG/8XzA=")</f>
        <v>#VALUE!</v>
      </c>
      <c r="AX125" t="e">
        <f>AND('Planilla_General_29-11-2012_10_'!C1871,"AAAAAG/8XzE=")</f>
        <v>#VALUE!</v>
      </c>
      <c r="AY125" t="e">
        <f>AND('Planilla_General_29-11-2012_10_'!D1871,"AAAAAG/8XzI=")</f>
        <v>#VALUE!</v>
      </c>
      <c r="AZ125" t="e">
        <f>AND('Planilla_General_29-11-2012_10_'!E1871,"AAAAAG/8XzM=")</f>
        <v>#VALUE!</v>
      </c>
      <c r="BA125" t="e">
        <f>AND('Planilla_General_29-11-2012_10_'!F1871,"AAAAAG/8XzQ=")</f>
        <v>#VALUE!</v>
      </c>
      <c r="BB125" t="e">
        <f>AND('Planilla_General_29-11-2012_10_'!G1871,"AAAAAG/8XzU=")</f>
        <v>#VALUE!</v>
      </c>
      <c r="BC125" t="e">
        <f>AND('Planilla_General_29-11-2012_10_'!H1871,"AAAAAG/8XzY=")</f>
        <v>#VALUE!</v>
      </c>
      <c r="BD125" t="e">
        <f>AND('Planilla_General_29-11-2012_10_'!I1871,"AAAAAG/8Xzc=")</f>
        <v>#VALUE!</v>
      </c>
      <c r="BE125" t="e">
        <f>AND('Planilla_General_29-11-2012_10_'!J1871,"AAAAAG/8Xzg=")</f>
        <v>#VALUE!</v>
      </c>
      <c r="BF125" t="e">
        <f>AND('Planilla_General_29-11-2012_10_'!K1871,"AAAAAG/8Xzk=")</f>
        <v>#VALUE!</v>
      </c>
      <c r="BG125" t="e">
        <f>AND('Planilla_General_29-11-2012_10_'!L1871,"AAAAAG/8Xzo=")</f>
        <v>#VALUE!</v>
      </c>
      <c r="BH125" t="e">
        <f>AND('Planilla_General_29-11-2012_10_'!M1871,"AAAAAG/8Xzs=")</f>
        <v>#VALUE!</v>
      </c>
      <c r="BI125" t="e">
        <f>AND('Planilla_General_29-11-2012_10_'!N1871,"AAAAAG/8Xzw=")</f>
        <v>#VALUE!</v>
      </c>
      <c r="BJ125" t="e">
        <f>AND('Planilla_General_29-11-2012_10_'!O1871,"AAAAAG/8Xz0=")</f>
        <v>#VALUE!</v>
      </c>
      <c r="BK125" t="e">
        <f>AND('Planilla_General_29-11-2012_10_'!P1871,"AAAAAG/8Xz4=")</f>
        <v>#VALUE!</v>
      </c>
      <c r="BL125">
        <f>IF('Planilla_General_29-11-2012_10_'!1872:1872,"AAAAAG/8Xz8=",0)</f>
        <v>0</v>
      </c>
      <c r="BM125" t="e">
        <f>AND('Planilla_General_29-11-2012_10_'!A1872,"AAAAAG/8X0A=")</f>
        <v>#VALUE!</v>
      </c>
      <c r="BN125" t="e">
        <f>AND('Planilla_General_29-11-2012_10_'!B1872,"AAAAAG/8X0E=")</f>
        <v>#VALUE!</v>
      </c>
      <c r="BO125" t="e">
        <f>AND('Planilla_General_29-11-2012_10_'!C1872,"AAAAAG/8X0I=")</f>
        <v>#VALUE!</v>
      </c>
      <c r="BP125" t="e">
        <f>AND('Planilla_General_29-11-2012_10_'!D1872,"AAAAAG/8X0M=")</f>
        <v>#VALUE!</v>
      </c>
      <c r="BQ125" t="e">
        <f>AND('Planilla_General_29-11-2012_10_'!E1872,"AAAAAG/8X0Q=")</f>
        <v>#VALUE!</v>
      </c>
      <c r="BR125" t="e">
        <f>AND('Planilla_General_29-11-2012_10_'!F1872,"AAAAAG/8X0U=")</f>
        <v>#VALUE!</v>
      </c>
      <c r="BS125" t="e">
        <f>AND('Planilla_General_29-11-2012_10_'!G1872,"AAAAAG/8X0Y=")</f>
        <v>#VALUE!</v>
      </c>
      <c r="BT125" t="e">
        <f>AND('Planilla_General_29-11-2012_10_'!H1872,"AAAAAG/8X0c=")</f>
        <v>#VALUE!</v>
      </c>
      <c r="BU125" t="e">
        <f>AND('Planilla_General_29-11-2012_10_'!I1872,"AAAAAG/8X0g=")</f>
        <v>#VALUE!</v>
      </c>
      <c r="BV125" t="e">
        <f>AND('Planilla_General_29-11-2012_10_'!J1872,"AAAAAG/8X0k=")</f>
        <v>#VALUE!</v>
      </c>
      <c r="BW125" t="e">
        <f>AND('Planilla_General_29-11-2012_10_'!K1872,"AAAAAG/8X0o=")</f>
        <v>#VALUE!</v>
      </c>
      <c r="BX125" t="e">
        <f>AND('Planilla_General_29-11-2012_10_'!L1872,"AAAAAG/8X0s=")</f>
        <v>#VALUE!</v>
      </c>
      <c r="BY125" t="e">
        <f>AND('Planilla_General_29-11-2012_10_'!M1872,"AAAAAG/8X0w=")</f>
        <v>#VALUE!</v>
      </c>
      <c r="BZ125" t="e">
        <f>AND('Planilla_General_29-11-2012_10_'!N1872,"AAAAAG/8X00=")</f>
        <v>#VALUE!</v>
      </c>
      <c r="CA125" t="e">
        <f>AND('Planilla_General_29-11-2012_10_'!O1872,"AAAAAG/8X04=")</f>
        <v>#VALUE!</v>
      </c>
      <c r="CB125" t="e">
        <f>AND('Planilla_General_29-11-2012_10_'!P1872,"AAAAAG/8X08=")</f>
        <v>#VALUE!</v>
      </c>
      <c r="CC125">
        <f>IF('Planilla_General_29-11-2012_10_'!1873:1873,"AAAAAG/8X1A=",0)</f>
        <v>0</v>
      </c>
      <c r="CD125" t="e">
        <f>AND('Planilla_General_29-11-2012_10_'!A1873,"AAAAAG/8X1E=")</f>
        <v>#VALUE!</v>
      </c>
      <c r="CE125" t="e">
        <f>AND('Planilla_General_29-11-2012_10_'!B1873,"AAAAAG/8X1I=")</f>
        <v>#VALUE!</v>
      </c>
      <c r="CF125" t="e">
        <f>AND('Planilla_General_29-11-2012_10_'!C1873,"AAAAAG/8X1M=")</f>
        <v>#VALUE!</v>
      </c>
      <c r="CG125" t="e">
        <f>AND('Planilla_General_29-11-2012_10_'!D1873,"AAAAAG/8X1Q=")</f>
        <v>#VALUE!</v>
      </c>
      <c r="CH125" t="e">
        <f>AND('Planilla_General_29-11-2012_10_'!E1873,"AAAAAG/8X1U=")</f>
        <v>#VALUE!</v>
      </c>
      <c r="CI125" t="e">
        <f>AND('Planilla_General_29-11-2012_10_'!F1873,"AAAAAG/8X1Y=")</f>
        <v>#VALUE!</v>
      </c>
      <c r="CJ125" t="e">
        <f>AND('Planilla_General_29-11-2012_10_'!G1873,"AAAAAG/8X1c=")</f>
        <v>#VALUE!</v>
      </c>
      <c r="CK125" t="e">
        <f>AND('Planilla_General_29-11-2012_10_'!H1873,"AAAAAG/8X1g=")</f>
        <v>#VALUE!</v>
      </c>
      <c r="CL125" t="e">
        <f>AND('Planilla_General_29-11-2012_10_'!I1873,"AAAAAG/8X1k=")</f>
        <v>#VALUE!</v>
      </c>
      <c r="CM125" t="e">
        <f>AND('Planilla_General_29-11-2012_10_'!J1873,"AAAAAG/8X1o=")</f>
        <v>#VALUE!</v>
      </c>
      <c r="CN125" t="e">
        <f>AND('Planilla_General_29-11-2012_10_'!K1873,"AAAAAG/8X1s=")</f>
        <v>#VALUE!</v>
      </c>
      <c r="CO125" t="e">
        <f>AND('Planilla_General_29-11-2012_10_'!L1873,"AAAAAG/8X1w=")</f>
        <v>#VALUE!</v>
      </c>
      <c r="CP125" t="e">
        <f>AND('Planilla_General_29-11-2012_10_'!M1873,"AAAAAG/8X10=")</f>
        <v>#VALUE!</v>
      </c>
      <c r="CQ125" t="e">
        <f>AND('Planilla_General_29-11-2012_10_'!N1873,"AAAAAG/8X14=")</f>
        <v>#VALUE!</v>
      </c>
      <c r="CR125" t="e">
        <f>AND('Planilla_General_29-11-2012_10_'!O1873,"AAAAAG/8X18=")</f>
        <v>#VALUE!</v>
      </c>
      <c r="CS125" t="e">
        <f>AND('Planilla_General_29-11-2012_10_'!P1873,"AAAAAG/8X2A=")</f>
        <v>#VALUE!</v>
      </c>
      <c r="CT125">
        <f>IF('Planilla_General_29-11-2012_10_'!1874:1874,"AAAAAG/8X2E=",0)</f>
        <v>0</v>
      </c>
      <c r="CU125" t="e">
        <f>AND('Planilla_General_29-11-2012_10_'!A1874,"AAAAAG/8X2I=")</f>
        <v>#VALUE!</v>
      </c>
      <c r="CV125" t="e">
        <f>AND('Planilla_General_29-11-2012_10_'!B1874,"AAAAAG/8X2M=")</f>
        <v>#VALUE!</v>
      </c>
      <c r="CW125" t="e">
        <f>AND('Planilla_General_29-11-2012_10_'!C1874,"AAAAAG/8X2Q=")</f>
        <v>#VALUE!</v>
      </c>
      <c r="CX125" t="e">
        <f>AND('Planilla_General_29-11-2012_10_'!D1874,"AAAAAG/8X2U=")</f>
        <v>#VALUE!</v>
      </c>
      <c r="CY125" t="e">
        <f>AND('Planilla_General_29-11-2012_10_'!E1874,"AAAAAG/8X2Y=")</f>
        <v>#VALUE!</v>
      </c>
      <c r="CZ125" t="e">
        <f>AND('Planilla_General_29-11-2012_10_'!F1874,"AAAAAG/8X2c=")</f>
        <v>#VALUE!</v>
      </c>
      <c r="DA125" t="e">
        <f>AND('Planilla_General_29-11-2012_10_'!G1874,"AAAAAG/8X2g=")</f>
        <v>#VALUE!</v>
      </c>
      <c r="DB125" t="e">
        <f>AND('Planilla_General_29-11-2012_10_'!H1874,"AAAAAG/8X2k=")</f>
        <v>#VALUE!</v>
      </c>
      <c r="DC125" t="e">
        <f>AND('Planilla_General_29-11-2012_10_'!I1874,"AAAAAG/8X2o=")</f>
        <v>#VALUE!</v>
      </c>
      <c r="DD125" t="e">
        <f>AND('Planilla_General_29-11-2012_10_'!J1874,"AAAAAG/8X2s=")</f>
        <v>#VALUE!</v>
      </c>
      <c r="DE125" t="e">
        <f>AND('Planilla_General_29-11-2012_10_'!K1874,"AAAAAG/8X2w=")</f>
        <v>#VALUE!</v>
      </c>
      <c r="DF125" t="e">
        <f>AND('Planilla_General_29-11-2012_10_'!L1874,"AAAAAG/8X20=")</f>
        <v>#VALUE!</v>
      </c>
      <c r="DG125" t="e">
        <f>AND('Planilla_General_29-11-2012_10_'!M1874,"AAAAAG/8X24=")</f>
        <v>#VALUE!</v>
      </c>
      <c r="DH125" t="e">
        <f>AND('Planilla_General_29-11-2012_10_'!N1874,"AAAAAG/8X28=")</f>
        <v>#VALUE!</v>
      </c>
      <c r="DI125" t="e">
        <f>AND('Planilla_General_29-11-2012_10_'!O1874,"AAAAAG/8X3A=")</f>
        <v>#VALUE!</v>
      </c>
      <c r="DJ125" t="e">
        <f>AND('Planilla_General_29-11-2012_10_'!P1874,"AAAAAG/8X3E=")</f>
        <v>#VALUE!</v>
      </c>
      <c r="DK125">
        <f>IF('Planilla_General_29-11-2012_10_'!1875:1875,"AAAAAG/8X3I=",0)</f>
        <v>0</v>
      </c>
      <c r="DL125" t="e">
        <f>AND('Planilla_General_29-11-2012_10_'!A1875,"AAAAAG/8X3M=")</f>
        <v>#VALUE!</v>
      </c>
      <c r="DM125" t="e">
        <f>AND('Planilla_General_29-11-2012_10_'!B1875,"AAAAAG/8X3Q=")</f>
        <v>#VALUE!</v>
      </c>
      <c r="DN125" t="e">
        <f>AND('Planilla_General_29-11-2012_10_'!C1875,"AAAAAG/8X3U=")</f>
        <v>#VALUE!</v>
      </c>
      <c r="DO125" t="e">
        <f>AND('Planilla_General_29-11-2012_10_'!D1875,"AAAAAG/8X3Y=")</f>
        <v>#VALUE!</v>
      </c>
      <c r="DP125" t="e">
        <f>AND('Planilla_General_29-11-2012_10_'!E1875,"AAAAAG/8X3c=")</f>
        <v>#VALUE!</v>
      </c>
      <c r="DQ125" t="e">
        <f>AND('Planilla_General_29-11-2012_10_'!F1875,"AAAAAG/8X3g=")</f>
        <v>#VALUE!</v>
      </c>
      <c r="DR125" t="e">
        <f>AND('Planilla_General_29-11-2012_10_'!G1875,"AAAAAG/8X3k=")</f>
        <v>#VALUE!</v>
      </c>
      <c r="DS125" t="e">
        <f>AND('Planilla_General_29-11-2012_10_'!H1875,"AAAAAG/8X3o=")</f>
        <v>#VALUE!</v>
      </c>
      <c r="DT125" t="e">
        <f>AND('Planilla_General_29-11-2012_10_'!I1875,"AAAAAG/8X3s=")</f>
        <v>#VALUE!</v>
      </c>
      <c r="DU125" t="e">
        <f>AND('Planilla_General_29-11-2012_10_'!J1875,"AAAAAG/8X3w=")</f>
        <v>#VALUE!</v>
      </c>
      <c r="DV125" t="e">
        <f>AND('Planilla_General_29-11-2012_10_'!K1875,"AAAAAG/8X30=")</f>
        <v>#VALUE!</v>
      </c>
      <c r="DW125" t="e">
        <f>AND('Planilla_General_29-11-2012_10_'!L1875,"AAAAAG/8X34=")</f>
        <v>#VALUE!</v>
      </c>
      <c r="DX125" t="e">
        <f>AND('Planilla_General_29-11-2012_10_'!M1875,"AAAAAG/8X38=")</f>
        <v>#VALUE!</v>
      </c>
      <c r="DY125" t="e">
        <f>AND('Planilla_General_29-11-2012_10_'!N1875,"AAAAAG/8X4A=")</f>
        <v>#VALUE!</v>
      </c>
      <c r="DZ125" t="e">
        <f>AND('Planilla_General_29-11-2012_10_'!O1875,"AAAAAG/8X4E=")</f>
        <v>#VALUE!</v>
      </c>
      <c r="EA125" t="e">
        <f>AND('Planilla_General_29-11-2012_10_'!P1875,"AAAAAG/8X4I=")</f>
        <v>#VALUE!</v>
      </c>
      <c r="EB125">
        <f>IF('Planilla_General_29-11-2012_10_'!1876:1876,"AAAAAG/8X4M=",0)</f>
        <v>0</v>
      </c>
      <c r="EC125" t="e">
        <f>AND('Planilla_General_29-11-2012_10_'!A1876,"AAAAAG/8X4Q=")</f>
        <v>#VALUE!</v>
      </c>
      <c r="ED125" t="e">
        <f>AND('Planilla_General_29-11-2012_10_'!B1876,"AAAAAG/8X4U=")</f>
        <v>#VALUE!</v>
      </c>
      <c r="EE125" t="e">
        <f>AND('Planilla_General_29-11-2012_10_'!C1876,"AAAAAG/8X4Y=")</f>
        <v>#VALUE!</v>
      </c>
      <c r="EF125" t="e">
        <f>AND('Planilla_General_29-11-2012_10_'!D1876,"AAAAAG/8X4c=")</f>
        <v>#VALUE!</v>
      </c>
      <c r="EG125" t="e">
        <f>AND('Planilla_General_29-11-2012_10_'!E1876,"AAAAAG/8X4g=")</f>
        <v>#VALUE!</v>
      </c>
      <c r="EH125" t="e">
        <f>AND('Planilla_General_29-11-2012_10_'!F1876,"AAAAAG/8X4k=")</f>
        <v>#VALUE!</v>
      </c>
      <c r="EI125" t="e">
        <f>AND('Planilla_General_29-11-2012_10_'!G1876,"AAAAAG/8X4o=")</f>
        <v>#VALUE!</v>
      </c>
      <c r="EJ125" t="e">
        <f>AND('Planilla_General_29-11-2012_10_'!H1876,"AAAAAG/8X4s=")</f>
        <v>#VALUE!</v>
      </c>
      <c r="EK125" t="e">
        <f>AND('Planilla_General_29-11-2012_10_'!I1876,"AAAAAG/8X4w=")</f>
        <v>#VALUE!</v>
      </c>
      <c r="EL125" t="e">
        <f>AND('Planilla_General_29-11-2012_10_'!J1876,"AAAAAG/8X40=")</f>
        <v>#VALUE!</v>
      </c>
      <c r="EM125" t="e">
        <f>AND('Planilla_General_29-11-2012_10_'!K1876,"AAAAAG/8X44=")</f>
        <v>#VALUE!</v>
      </c>
      <c r="EN125" t="e">
        <f>AND('Planilla_General_29-11-2012_10_'!L1876,"AAAAAG/8X48=")</f>
        <v>#VALUE!</v>
      </c>
      <c r="EO125" t="e">
        <f>AND('Planilla_General_29-11-2012_10_'!M1876,"AAAAAG/8X5A=")</f>
        <v>#VALUE!</v>
      </c>
      <c r="EP125" t="e">
        <f>AND('Planilla_General_29-11-2012_10_'!N1876,"AAAAAG/8X5E=")</f>
        <v>#VALUE!</v>
      </c>
      <c r="EQ125" t="e">
        <f>AND('Planilla_General_29-11-2012_10_'!O1876,"AAAAAG/8X5I=")</f>
        <v>#VALUE!</v>
      </c>
      <c r="ER125" t="e">
        <f>AND('Planilla_General_29-11-2012_10_'!P1876,"AAAAAG/8X5M=")</f>
        <v>#VALUE!</v>
      </c>
      <c r="ES125">
        <f>IF('Planilla_General_29-11-2012_10_'!1877:1877,"AAAAAG/8X5Q=",0)</f>
        <v>0</v>
      </c>
      <c r="ET125" t="e">
        <f>AND('Planilla_General_29-11-2012_10_'!A1877,"AAAAAG/8X5U=")</f>
        <v>#VALUE!</v>
      </c>
      <c r="EU125" t="e">
        <f>AND('Planilla_General_29-11-2012_10_'!B1877,"AAAAAG/8X5Y=")</f>
        <v>#VALUE!</v>
      </c>
      <c r="EV125" t="e">
        <f>AND('Planilla_General_29-11-2012_10_'!C1877,"AAAAAG/8X5c=")</f>
        <v>#VALUE!</v>
      </c>
      <c r="EW125" t="e">
        <f>AND('Planilla_General_29-11-2012_10_'!D1877,"AAAAAG/8X5g=")</f>
        <v>#VALUE!</v>
      </c>
      <c r="EX125" t="e">
        <f>AND('Planilla_General_29-11-2012_10_'!E1877,"AAAAAG/8X5k=")</f>
        <v>#VALUE!</v>
      </c>
      <c r="EY125" t="e">
        <f>AND('Planilla_General_29-11-2012_10_'!F1877,"AAAAAG/8X5o=")</f>
        <v>#VALUE!</v>
      </c>
      <c r="EZ125" t="e">
        <f>AND('Planilla_General_29-11-2012_10_'!G1877,"AAAAAG/8X5s=")</f>
        <v>#VALUE!</v>
      </c>
      <c r="FA125" t="e">
        <f>AND('Planilla_General_29-11-2012_10_'!H1877,"AAAAAG/8X5w=")</f>
        <v>#VALUE!</v>
      </c>
      <c r="FB125" t="e">
        <f>AND('Planilla_General_29-11-2012_10_'!I1877,"AAAAAG/8X50=")</f>
        <v>#VALUE!</v>
      </c>
      <c r="FC125" t="e">
        <f>AND('Planilla_General_29-11-2012_10_'!J1877,"AAAAAG/8X54=")</f>
        <v>#VALUE!</v>
      </c>
      <c r="FD125" t="e">
        <f>AND('Planilla_General_29-11-2012_10_'!K1877,"AAAAAG/8X58=")</f>
        <v>#VALUE!</v>
      </c>
      <c r="FE125" t="e">
        <f>AND('Planilla_General_29-11-2012_10_'!L1877,"AAAAAG/8X6A=")</f>
        <v>#VALUE!</v>
      </c>
      <c r="FF125" t="e">
        <f>AND('Planilla_General_29-11-2012_10_'!M1877,"AAAAAG/8X6E=")</f>
        <v>#VALUE!</v>
      </c>
      <c r="FG125" t="e">
        <f>AND('Planilla_General_29-11-2012_10_'!N1877,"AAAAAG/8X6I=")</f>
        <v>#VALUE!</v>
      </c>
      <c r="FH125" t="e">
        <f>AND('Planilla_General_29-11-2012_10_'!O1877,"AAAAAG/8X6M=")</f>
        <v>#VALUE!</v>
      </c>
      <c r="FI125" t="e">
        <f>AND('Planilla_General_29-11-2012_10_'!P1877,"AAAAAG/8X6Q=")</f>
        <v>#VALUE!</v>
      </c>
      <c r="FJ125">
        <f>IF('Planilla_General_29-11-2012_10_'!1878:1878,"AAAAAG/8X6U=",0)</f>
        <v>0</v>
      </c>
      <c r="FK125" t="e">
        <f>AND('Planilla_General_29-11-2012_10_'!A1878,"AAAAAG/8X6Y=")</f>
        <v>#VALUE!</v>
      </c>
      <c r="FL125" t="e">
        <f>AND('Planilla_General_29-11-2012_10_'!B1878,"AAAAAG/8X6c=")</f>
        <v>#VALUE!</v>
      </c>
      <c r="FM125" t="e">
        <f>AND('Planilla_General_29-11-2012_10_'!C1878,"AAAAAG/8X6g=")</f>
        <v>#VALUE!</v>
      </c>
      <c r="FN125" t="e">
        <f>AND('Planilla_General_29-11-2012_10_'!D1878,"AAAAAG/8X6k=")</f>
        <v>#VALUE!</v>
      </c>
      <c r="FO125" t="e">
        <f>AND('Planilla_General_29-11-2012_10_'!E1878,"AAAAAG/8X6o=")</f>
        <v>#VALUE!</v>
      </c>
      <c r="FP125" t="e">
        <f>AND('Planilla_General_29-11-2012_10_'!F1878,"AAAAAG/8X6s=")</f>
        <v>#VALUE!</v>
      </c>
      <c r="FQ125" t="e">
        <f>AND('Planilla_General_29-11-2012_10_'!G1878,"AAAAAG/8X6w=")</f>
        <v>#VALUE!</v>
      </c>
      <c r="FR125" t="e">
        <f>AND('Planilla_General_29-11-2012_10_'!H1878,"AAAAAG/8X60=")</f>
        <v>#VALUE!</v>
      </c>
      <c r="FS125" t="e">
        <f>AND('Planilla_General_29-11-2012_10_'!I1878,"AAAAAG/8X64=")</f>
        <v>#VALUE!</v>
      </c>
      <c r="FT125" t="e">
        <f>AND('Planilla_General_29-11-2012_10_'!J1878,"AAAAAG/8X68=")</f>
        <v>#VALUE!</v>
      </c>
      <c r="FU125" t="e">
        <f>AND('Planilla_General_29-11-2012_10_'!K1878,"AAAAAG/8X7A=")</f>
        <v>#VALUE!</v>
      </c>
      <c r="FV125" t="e">
        <f>AND('Planilla_General_29-11-2012_10_'!L1878,"AAAAAG/8X7E=")</f>
        <v>#VALUE!</v>
      </c>
      <c r="FW125" t="e">
        <f>AND('Planilla_General_29-11-2012_10_'!M1878,"AAAAAG/8X7I=")</f>
        <v>#VALUE!</v>
      </c>
      <c r="FX125" t="e">
        <f>AND('Planilla_General_29-11-2012_10_'!N1878,"AAAAAG/8X7M=")</f>
        <v>#VALUE!</v>
      </c>
      <c r="FY125" t="e">
        <f>AND('Planilla_General_29-11-2012_10_'!O1878,"AAAAAG/8X7Q=")</f>
        <v>#VALUE!</v>
      </c>
      <c r="FZ125" t="e">
        <f>AND('Planilla_General_29-11-2012_10_'!P1878,"AAAAAG/8X7U=")</f>
        <v>#VALUE!</v>
      </c>
      <c r="GA125">
        <f>IF('Planilla_General_29-11-2012_10_'!1879:1879,"AAAAAG/8X7Y=",0)</f>
        <v>0</v>
      </c>
      <c r="GB125" t="e">
        <f>AND('Planilla_General_29-11-2012_10_'!A1879,"AAAAAG/8X7c=")</f>
        <v>#VALUE!</v>
      </c>
      <c r="GC125" t="e">
        <f>AND('Planilla_General_29-11-2012_10_'!B1879,"AAAAAG/8X7g=")</f>
        <v>#VALUE!</v>
      </c>
      <c r="GD125" t="e">
        <f>AND('Planilla_General_29-11-2012_10_'!C1879,"AAAAAG/8X7k=")</f>
        <v>#VALUE!</v>
      </c>
      <c r="GE125" t="e">
        <f>AND('Planilla_General_29-11-2012_10_'!D1879,"AAAAAG/8X7o=")</f>
        <v>#VALUE!</v>
      </c>
      <c r="GF125" t="e">
        <f>AND('Planilla_General_29-11-2012_10_'!E1879,"AAAAAG/8X7s=")</f>
        <v>#VALUE!</v>
      </c>
      <c r="GG125" t="e">
        <f>AND('Planilla_General_29-11-2012_10_'!F1879,"AAAAAG/8X7w=")</f>
        <v>#VALUE!</v>
      </c>
      <c r="GH125" t="e">
        <f>AND('Planilla_General_29-11-2012_10_'!G1879,"AAAAAG/8X70=")</f>
        <v>#VALUE!</v>
      </c>
      <c r="GI125" t="e">
        <f>AND('Planilla_General_29-11-2012_10_'!H1879,"AAAAAG/8X74=")</f>
        <v>#VALUE!</v>
      </c>
      <c r="GJ125" t="e">
        <f>AND('Planilla_General_29-11-2012_10_'!I1879,"AAAAAG/8X78=")</f>
        <v>#VALUE!</v>
      </c>
      <c r="GK125" t="e">
        <f>AND('Planilla_General_29-11-2012_10_'!J1879,"AAAAAG/8X8A=")</f>
        <v>#VALUE!</v>
      </c>
      <c r="GL125" t="e">
        <f>AND('Planilla_General_29-11-2012_10_'!K1879,"AAAAAG/8X8E=")</f>
        <v>#VALUE!</v>
      </c>
      <c r="GM125" t="e">
        <f>AND('Planilla_General_29-11-2012_10_'!L1879,"AAAAAG/8X8I=")</f>
        <v>#VALUE!</v>
      </c>
      <c r="GN125" t="e">
        <f>AND('Planilla_General_29-11-2012_10_'!M1879,"AAAAAG/8X8M=")</f>
        <v>#VALUE!</v>
      </c>
      <c r="GO125" t="e">
        <f>AND('Planilla_General_29-11-2012_10_'!N1879,"AAAAAG/8X8Q=")</f>
        <v>#VALUE!</v>
      </c>
      <c r="GP125" t="e">
        <f>AND('Planilla_General_29-11-2012_10_'!O1879,"AAAAAG/8X8U=")</f>
        <v>#VALUE!</v>
      </c>
      <c r="GQ125" t="e">
        <f>AND('Planilla_General_29-11-2012_10_'!P1879,"AAAAAG/8X8Y=")</f>
        <v>#VALUE!</v>
      </c>
      <c r="GR125">
        <f>IF('Planilla_General_29-11-2012_10_'!1880:1880,"AAAAAG/8X8c=",0)</f>
        <v>0</v>
      </c>
      <c r="GS125" t="e">
        <f>AND('Planilla_General_29-11-2012_10_'!A1880,"AAAAAG/8X8g=")</f>
        <v>#VALUE!</v>
      </c>
      <c r="GT125" t="e">
        <f>AND('Planilla_General_29-11-2012_10_'!B1880,"AAAAAG/8X8k=")</f>
        <v>#VALUE!</v>
      </c>
      <c r="GU125" t="e">
        <f>AND('Planilla_General_29-11-2012_10_'!C1880,"AAAAAG/8X8o=")</f>
        <v>#VALUE!</v>
      </c>
      <c r="GV125" t="e">
        <f>AND('Planilla_General_29-11-2012_10_'!D1880,"AAAAAG/8X8s=")</f>
        <v>#VALUE!</v>
      </c>
      <c r="GW125" t="e">
        <f>AND('Planilla_General_29-11-2012_10_'!E1880,"AAAAAG/8X8w=")</f>
        <v>#VALUE!</v>
      </c>
      <c r="GX125" t="e">
        <f>AND('Planilla_General_29-11-2012_10_'!F1880,"AAAAAG/8X80=")</f>
        <v>#VALUE!</v>
      </c>
      <c r="GY125" t="e">
        <f>AND('Planilla_General_29-11-2012_10_'!G1880,"AAAAAG/8X84=")</f>
        <v>#VALUE!</v>
      </c>
      <c r="GZ125" t="e">
        <f>AND('Planilla_General_29-11-2012_10_'!H1880,"AAAAAG/8X88=")</f>
        <v>#VALUE!</v>
      </c>
      <c r="HA125" t="e">
        <f>AND('Planilla_General_29-11-2012_10_'!I1880,"AAAAAG/8X9A=")</f>
        <v>#VALUE!</v>
      </c>
      <c r="HB125" t="e">
        <f>AND('Planilla_General_29-11-2012_10_'!J1880,"AAAAAG/8X9E=")</f>
        <v>#VALUE!</v>
      </c>
      <c r="HC125" t="e">
        <f>AND('Planilla_General_29-11-2012_10_'!K1880,"AAAAAG/8X9I=")</f>
        <v>#VALUE!</v>
      </c>
      <c r="HD125" t="e">
        <f>AND('Planilla_General_29-11-2012_10_'!L1880,"AAAAAG/8X9M=")</f>
        <v>#VALUE!</v>
      </c>
      <c r="HE125" t="e">
        <f>AND('Planilla_General_29-11-2012_10_'!M1880,"AAAAAG/8X9Q=")</f>
        <v>#VALUE!</v>
      </c>
      <c r="HF125" t="e">
        <f>AND('Planilla_General_29-11-2012_10_'!N1880,"AAAAAG/8X9U=")</f>
        <v>#VALUE!</v>
      </c>
      <c r="HG125" t="e">
        <f>AND('Planilla_General_29-11-2012_10_'!O1880,"AAAAAG/8X9Y=")</f>
        <v>#VALUE!</v>
      </c>
      <c r="HH125" t="e">
        <f>AND('Planilla_General_29-11-2012_10_'!P1880,"AAAAAG/8X9c=")</f>
        <v>#VALUE!</v>
      </c>
      <c r="HI125">
        <f>IF('Planilla_General_29-11-2012_10_'!1881:1881,"AAAAAG/8X9g=",0)</f>
        <v>0</v>
      </c>
      <c r="HJ125" t="e">
        <f>AND('Planilla_General_29-11-2012_10_'!A1881,"AAAAAG/8X9k=")</f>
        <v>#VALUE!</v>
      </c>
      <c r="HK125" t="e">
        <f>AND('Planilla_General_29-11-2012_10_'!B1881,"AAAAAG/8X9o=")</f>
        <v>#VALUE!</v>
      </c>
      <c r="HL125" t="e">
        <f>AND('Planilla_General_29-11-2012_10_'!C1881,"AAAAAG/8X9s=")</f>
        <v>#VALUE!</v>
      </c>
      <c r="HM125" t="e">
        <f>AND('Planilla_General_29-11-2012_10_'!D1881,"AAAAAG/8X9w=")</f>
        <v>#VALUE!</v>
      </c>
      <c r="HN125" t="e">
        <f>AND('Planilla_General_29-11-2012_10_'!E1881,"AAAAAG/8X90=")</f>
        <v>#VALUE!</v>
      </c>
      <c r="HO125" t="e">
        <f>AND('Planilla_General_29-11-2012_10_'!F1881,"AAAAAG/8X94=")</f>
        <v>#VALUE!</v>
      </c>
      <c r="HP125" t="e">
        <f>AND('Planilla_General_29-11-2012_10_'!G1881,"AAAAAG/8X98=")</f>
        <v>#VALUE!</v>
      </c>
      <c r="HQ125" t="e">
        <f>AND('Planilla_General_29-11-2012_10_'!H1881,"AAAAAG/8X+A=")</f>
        <v>#VALUE!</v>
      </c>
      <c r="HR125" t="e">
        <f>AND('Planilla_General_29-11-2012_10_'!I1881,"AAAAAG/8X+E=")</f>
        <v>#VALUE!</v>
      </c>
      <c r="HS125" t="e">
        <f>AND('Planilla_General_29-11-2012_10_'!J1881,"AAAAAG/8X+I=")</f>
        <v>#VALUE!</v>
      </c>
      <c r="HT125" t="e">
        <f>AND('Planilla_General_29-11-2012_10_'!K1881,"AAAAAG/8X+M=")</f>
        <v>#VALUE!</v>
      </c>
      <c r="HU125" t="e">
        <f>AND('Planilla_General_29-11-2012_10_'!L1881,"AAAAAG/8X+Q=")</f>
        <v>#VALUE!</v>
      </c>
      <c r="HV125" t="e">
        <f>AND('Planilla_General_29-11-2012_10_'!M1881,"AAAAAG/8X+U=")</f>
        <v>#VALUE!</v>
      </c>
      <c r="HW125" t="e">
        <f>AND('Planilla_General_29-11-2012_10_'!N1881,"AAAAAG/8X+Y=")</f>
        <v>#VALUE!</v>
      </c>
      <c r="HX125" t="e">
        <f>AND('Planilla_General_29-11-2012_10_'!O1881,"AAAAAG/8X+c=")</f>
        <v>#VALUE!</v>
      </c>
      <c r="HY125" t="e">
        <f>AND('Planilla_General_29-11-2012_10_'!P1881,"AAAAAG/8X+g=")</f>
        <v>#VALUE!</v>
      </c>
      <c r="HZ125">
        <f>IF('Planilla_General_29-11-2012_10_'!1882:1882,"AAAAAG/8X+k=",0)</f>
        <v>0</v>
      </c>
      <c r="IA125" t="e">
        <f>AND('Planilla_General_29-11-2012_10_'!A1882,"AAAAAG/8X+o=")</f>
        <v>#VALUE!</v>
      </c>
      <c r="IB125" t="e">
        <f>AND('Planilla_General_29-11-2012_10_'!B1882,"AAAAAG/8X+s=")</f>
        <v>#VALUE!</v>
      </c>
      <c r="IC125" t="e">
        <f>AND('Planilla_General_29-11-2012_10_'!C1882,"AAAAAG/8X+w=")</f>
        <v>#VALUE!</v>
      </c>
      <c r="ID125" t="e">
        <f>AND('Planilla_General_29-11-2012_10_'!D1882,"AAAAAG/8X+0=")</f>
        <v>#VALUE!</v>
      </c>
      <c r="IE125" t="e">
        <f>AND('Planilla_General_29-11-2012_10_'!E1882,"AAAAAG/8X+4=")</f>
        <v>#VALUE!</v>
      </c>
      <c r="IF125" t="e">
        <f>AND('Planilla_General_29-11-2012_10_'!F1882,"AAAAAG/8X+8=")</f>
        <v>#VALUE!</v>
      </c>
      <c r="IG125" t="e">
        <f>AND('Planilla_General_29-11-2012_10_'!G1882,"AAAAAG/8X/A=")</f>
        <v>#VALUE!</v>
      </c>
      <c r="IH125" t="e">
        <f>AND('Planilla_General_29-11-2012_10_'!H1882,"AAAAAG/8X/E=")</f>
        <v>#VALUE!</v>
      </c>
      <c r="II125" t="e">
        <f>AND('Planilla_General_29-11-2012_10_'!I1882,"AAAAAG/8X/I=")</f>
        <v>#VALUE!</v>
      </c>
      <c r="IJ125" t="e">
        <f>AND('Planilla_General_29-11-2012_10_'!J1882,"AAAAAG/8X/M=")</f>
        <v>#VALUE!</v>
      </c>
      <c r="IK125" t="e">
        <f>AND('Planilla_General_29-11-2012_10_'!K1882,"AAAAAG/8X/Q=")</f>
        <v>#VALUE!</v>
      </c>
      <c r="IL125" t="e">
        <f>AND('Planilla_General_29-11-2012_10_'!L1882,"AAAAAG/8X/U=")</f>
        <v>#VALUE!</v>
      </c>
      <c r="IM125" t="e">
        <f>AND('Planilla_General_29-11-2012_10_'!M1882,"AAAAAG/8X/Y=")</f>
        <v>#VALUE!</v>
      </c>
      <c r="IN125" t="e">
        <f>AND('Planilla_General_29-11-2012_10_'!N1882,"AAAAAG/8X/c=")</f>
        <v>#VALUE!</v>
      </c>
      <c r="IO125" t="e">
        <f>AND('Planilla_General_29-11-2012_10_'!O1882,"AAAAAG/8X/g=")</f>
        <v>#VALUE!</v>
      </c>
      <c r="IP125" t="e">
        <f>AND('Planilla_General_29-11-2012_10_'!P1882,"AAAAAG/8X/k=")</f>
        <v>#VALUE!</v>
      </c>
      <c r="IQ125">
        <f>IF('Planilla_General_29-11-2012_10_'!1883:1883,"AAAAAG/8X/o=",0)</f>
        <v>0</v>
      </c>
      <c r="IR125" t="e">
        <f>AND('Planilla_General_29-11-2012_10_'!A1883,"AAAAAG/8X/s=")</f>
        <v>#VALUE!</v>
      </c>
      <c r="IS125" t="e">
        <f>AND('Planilla_General_29-11-2012_10_'!B1883,"AAAAAG/8X/w=")</f>
        <v>#VALUE!</v>
      </c>
      <c r="IT125" t="e">
        <f>AND('Planilla_General_29-11-2012_10_'!C1883,"AAAAAG/8X/0=")</f>
        <v>#VALUE!</v>
      </c>
      <c r="IU125" t="e">
        <f>AND('Planilla_General_29-11-2012_10_'!D1883,"AAAAAG/8X/4=")</f>
        <v>#VALUE!</v>
      </c>
      <c r="IV125" t="e">
        <f>AND('Planilla_General_29-11-2012_10_'!E1883,"AAAAAG/8X/8=")</f>
        <v>#VALUE!</v>
      </c>
    </row>
    <row r="126" spans="1:256" x14ac:dyDescent="0.25">
      <c r="A126" t="e">
        <f>AND('Planilla_General_29-11-2012_10_'!F1883,"AAAAAGrPowA=")</f>
        <v>#VALUE!</v>
      </c>
      <c r="B126" t="e">
        <f>AND('Planilla_General_29-11-2012_10_'!G1883,"AAAAAGrPowE=")</f>
        <v>#VALUE!</v>
      </c>
      <c r="C126" t="e">
        <f>AND('Planilla_General_29-11-2012_10_'!H1883,"AAAAAGrPowI=")</f>
        <v>#VALUE!</v>
      </c>
      <c r="D126" t="e">
        <f>AND('Planilla_General_29-11-2012_10_'!I1883,"AAAAAGrPowM=")</f>
        <v>#VALUE!</v>
      </c>
      <c r="E126" t="e">
        <f>AND('Planilla_General_29-11-2012_10_'!J1883,"AAAAAGrPowQ=")</f>
        <v>#VALUE!</v>
      </c>
      <c r="F126" t="e">
        <f>AND('Planilla_General_29-11-2012_10_'!K1883,"AAAAAGrPowU=")</f>
        <v>#VALUE!</v>
      </c>
      <c r="G126" t="e">
        <f>AND('Planilla_General_29-11-2012_10_'!L1883,"AAAAAGrPowY=")</f>
        <v>#VALUE!</v>
      </c>
      <c r="H126" t="e">
        <f>AND('Planilla_General_29-11-2012_10_'!M1883,"AAAAAGrPowc=")</f>
        <v>#VALUE!</v>
      </c>
      <c r="I126" t="e">
        <f>AND('Planilla_General_29-11-2012_10_'!N1883,"AAAAAGrPowg=")</f>
        <v>#VALUE!</v>
      </c>
      <c r="J126" t="e">
        <f>AND('Planilla_General_29-11-2012_10_'!O1883,"AAAAAGrPowk=")</f>
        <v>#VALUE!</v>
      </c>
      <c r="K126" t="e">
        <f>AND('Planilla_General_29-11-2012_10_'!P1883,"AAAAAGrPowo=")</f>
        <v>#VALUE!</v>
      </c>
      <c r="L126" t="str">
        <f>IF('Planilla_General_29-11-2012_10_'!1884:1884,"AAAAAGrPows=",0)</f>
        <v>AAAAAGrPows=</v>
      </c>
      <c r="M126" t="e">
        <f>AND('Planilla_General_29-11-2012_10_'!A1884,"AAAAAGrPoww=")</f>
        <v>#VALUE!</v>
      </c>
      <c r="N126" t="e">
        <f>AND('Planilla_General_29-11-2012_10_'!B1884,"AAAAAGrPow0=")</f>
        <v>#VALUE!</v>
      </c>
      <c r="O126" t="e">
        <f>AND('Planilla_General_29-11-2012_10_'!C1884,"AAAAAGrPow4=")</f>
        <v>#VALUE!</v>
      </c>
      <c r="P126" t="e">
        <f>AND('Planilla_General_29-11-2012_10_'!D1884,"AAAAAGrPow8=")</f>
        <v>#VALUE!</v>
      </c>
      <c r="Q126" t="e">
        <f>AND('Planilla_General_29-11-2012_10_'!E1884,"AAAAAGrPoxA=")</f>
        <v>#VALUE!</v>
      </c>
      <c r="R126" t="e">
        <f>AND('Planilla_General_29-11-2012_10_'!F1884,"AAAAAGrPoxE=")</f>
        <v>#VALUE!</v>
      </c>
      <c r="S126" t="e">
        <f>AND('Planilla_General_29-11-2012_10_'!G1884,"AAAAAGrPoxI=")</f>
        <v>#VALUE!</v>
      </c>
      <c r="T126" t="e">
        <f>AND('Planilla_General_29-11-2012_10_'!H1884,"AAAAAGrPoxM=")</f>
        <v>#VALUE!</v>
      </c>
      <c r="U126" t="e">
        <f>AND('Planilla_General_29-11-2012_10_'!I1884,"AAAAAGrPoxQ=")</f>
        <v>#VALUE!</v>
      </c>
      <c r="V126" t="e">
        <f>AND('Planilla_General_29-11-2012_10_'!J1884,"AAAAAGrPoxU=")</f>
        <v>#VALUE!</v>
      </c>
      <c r="W126" t="e">
        <f>AND('Planilla_General_29-11-2012_10_'!K1884,"AAAAAGrPoxY=")</f>
        <v>#VALUE!</v>
      </c>
      <c r="X126" t="e">
        <f>AND('Planilla_General_29-11-2012_10_'!L1884,"AAAAAGrPoxc=")</f>
        <v>#VALUE!</v>
      </c>
      <c r="Y126" t="e">
        <f>AND('Planilla_General_29-11-2012_10_'!M1884,"AAAAAGrPoxg=")</f>
        <v>#VALUE!</v>
      </c>
      <c r="Z126" t="e">
        <f>AND('Planilla_General_29-11-2012_10_'!N1884,"AAAAAGrPoxk=")</f>
        <v>#VALUE!</v>
      </c>
      <c r="AA126" t="e">
        <f>AND('Planilla_General_29-11-2012_10_'!O1884,"AAAAAGrPoxo=")</f>
        <v>#VALUE!</v>
      </c>
      <c r="AB126" t="e">
        <f>AND('Planilla_General_29-11-2012_10_'!P1884,"AAAAAGrPoxs=")</f>
        <v>#VALUE!</v>
      </c>
      <c r="AC126">
        <f>IF('Planilla_General_29-11-2012_10_'!1885:1885,"AAAAAGrPoxw=",0)</f>
        <v>0</v>
      </c>
      <c r="AD126" t="e">
        <f>AND('Planilla_General_29-11-2012_10_'!A1885,"AAAAAGrPox0=")</f>
        <v>#VALUE!</v>
      </c>
      <c r="AE126" t="e">
        <f>AND('Planilla_General_29-11-2012_10_'!B1885,"AAAAAGrPox4=")</f>
        <v>#VALUE!</v>
      </c>
      <c r="AF126" t="e">
        <f>AND('Planilla_General_29-11-2012_10_'!C1885,"AAAAAGrPox8=")</f>
        <v>#VALUE!</v>
      </c>
      <c r="AG126" t="e">
        <f>AND('Planilla_General_29-11-2012_10_'!D1885,"AAAAAGrPoyA=")</f>
        <v>#VALUE!</v>
      </c>
      <c r="AH126" t="e">
        <f>AND('Planilla_General_29-11-2012_10_'!E1885,"AAAAAGrPoyE=")</f>
        <v>#VALUE!</v>
      </c>
      <c r="AI126" t="e">
        <f>AND('Planilla_General_29-11-2012_10_'!F1885,"AAAAAGrPoyI=")</f>
        <v>#VALUE!</v>
      </c>
      <c r="AJ126" t="e">
        <f>AND('Planilla_General_29-11-2012_10_'!G1885,"AAAAAGrPoyM=")</f>
        <v>#VALUE!</v>
      </c>
      <c r="AK126" t="e">
        <f>AND('Planilla_General_29-11-2012_10_'!H1885,"AAAAAGrPoyQ=")</f>
        <v>#VALUE!</v>
      </c>
      <c r="AL126" t="e">
        <f>AND('Planilla_General_29-11-2012_10_'!I1885,"AAAAAGrPoyU=")</f>
        <v>#VALUE!</v>
      </c>
      <c r="AM126" t="e">
        <f>AND('Planilla_General_29-11-2012_10_'!J1885,"AAAAAGrPoyY=")</f>
        <v>#VALUE!</v>
      </c>
      <c r="AN126" t="e">
        <f>AND('Planilla_General_29-11-2012_10_'!K1885,"AAAAAGrPoyc=")</f>
        <v>#VALUE!</v>
      </c>
      <c r="AO126" t="e">
        <f>AND('Planilla_General_29-11-2012_10_'!L1885,"AAAAAGrPoyg=")</f>
        <v>#VALUE!</v>
      </c>
      <c r="AP126" t="e">
        <f>AND('Planilla_General_29-11-2012_10_'!M1885,"AAAAAGrPoyk=")</f>
        <v>#VALUE!</v>
      </c>
      <c r="AQ126" t="e">
        <f>AND('Planilla_General_29-11-2012_10_'!N1885,"AAAAAGrPoyo=")</f>
        <v>#VALUE!</v>
      </c>
      <c r="AR126" t="e">
        <f>AND('Planilla_General_29-11-2012_10_'!O1885,"AAAAAGrPoys=")</f>
        <v>#VALUE!</v>
      </c>
      <c r="AS126" t="e">
        <f>AND('Planilla_General_29-11-2012_10_'!P1885,"AAAAAGrPoyw=")</f>
        <v>#VALUE!</v>
      </c>
      <c r="AT126">
        <f>IF('Planilla_General_29-11-2012_10_'!1886:1886,"AAAAAGrPoy0=",0)</f>
        <v>0</v>
      </c>
      <c r="AU126" t="e">
        <f>AND('Planilla_General_29-11-2012_10_'!A1886,"AAAAAGrPoy4=")</f>
        <v>#VALUE!</v>
      </c>
      <c r="AV126" t="e">
        <f>AND('Planilla_General_29-11-2012_10_'!B1886,"AAAAAGrPoy8=")</f>
        <v>#VALUE!</v>
      </c>
      <c r="AW126" t="e">
        <f>AND('Planilla_General_29-11-2012_10_'!C1886,"AAAAAGrPozA=")</f>
        <v>#VALUE!</v>
      </c>
      <c r="AX126" t="e">
        <f>AND('Planilla_General_29-11-2012_10_'!D1886,"AAAAAGrPozE=")</f>
        <v>#VALUE!</v>
      </c>
      <c r="AY126" t="e">
        <f>AND('Planilla_General_29-11-2012_10_'!E1886,"AAAAAGrPozI=")</f>
        <v>#VALUE!</v>
      </c>
      <c r="AZ126" t="e">
        <f>AND('Planilla_General_29-11-2012_10_'!F1886,"AAAAAGrPozM=")</f>
        <v>#VALUE!</v>
      </c>
      <c r="BA126" t="e">
        <f>AND('Planilla_General_29-11-2012_10_'!G1886,"AAAAAGrPozQ=")</f>
        <v>#VALUE!</v>
      </c>
      <c r="BB126" t="e">
        <f>AND('Planilla_General_29-11-2012_10_'!H1886,"AAAAAGrPozU=")</f>
        <v>#VALUE!</v>
      </c>
      <c r="BC126" t="e">
        <f>AND('Planilla_General_29-11-2012_10_'!I1886,"AAAAAGrPozY=")</f>
        <v>#VALUE!</v>
      </c>
      <c r="BD126" t="e">
        <f>AND('Planilla_General_29-11-2012_10_'!J1886,"AAAAAGrPozc=")</f>
        <v>#VALUE!</v>
      </c>
      <c r="BE126" t="e">
        <f>AND('Planilla_General_29-11-2012_10_'!K1886,"AAAAAGrPozg=")</f>
        <v>#VALUE!</v>
      </c>
      <c r="BF126" t="e">
        <f>AND('Planilla_General_29-11-2012_10_'!L1886,"AAAAAGrPozk=")</f>
        <v>#VALUE!</v>
      </c>
      <c r="BG126" t="e">
        <f>AND('Planilla_General_29-11-2012_10_'!M1886,"AAAAAGrPozo=")</f>
        <v>#VALUE!</v>
      </c>
      <c r="BH126" t="e">
        <f>AND('Planilla_General_29-11-2012_10_'!N1886,"AAAAAGrPozs=")</f>
        <v>#VALUE!</v>
      </c>
      <c r="BI126" t="e">
        <f>AND('Planilla_General_29-11-2012_10_'!O1886,"AAAAAGrPozw=")</f>
        <v>#VALUE!</v>
      </c>
      <c r="BJ126" t="e">
        <f>AND('Planilla_General_29-11-2012_10_'!P1886,"AAAAAGrPoz0=")</f>
        <v>#VALUE!</v>
      </c>
      <c r="BK126">
        <f>IF('Planilla_General_29-11-2012_10_'!1887:1887,"AAAAAGrPoz4=",0)</f>
        <v>0</v>
      </c>
      <c r="BL126" t="e">
        <f>AND('Planilla_General_29-11-2012_10_'!A1887,"AAAAAGrPoz8=")</f>
        <v>#VALUE!</v>
      </c>
      <c r="BM126" t="e">
        <f>AND('Planilla_General_29-11-2012_10_'!B1887,"AAAAAGrPo0A=")</f>
        <v>#VALUE!</v>
      </c>
      <c r="BN126" t="e">
        <f>AND('Planilla_General_29-11-2012_10_'!C1887,"AAAAAGrPo0E=")</f>
        <v>#VALUE!</v>
      </c>
      <c r="BO126" t="e">
        <f>AND('Planilla_General_29-11-2012_10_'!D1887,"AAAAAGrPo0I=")</f>
        <v>#VALUE!</v>
      </c>
      <c r="BP126" t="e">
        <f>AND('Planilla_General_29-11-2012_10_'!E1887,"AAAAAGrPo0M=")</f>
        <v>#VALUE!</v>
      </c>
      <c r="BQ126" t="e">
        <f>AND('Planilla_General_29-11-2012_10_'!F1887,"AAAAAGrPo0Q=")</f>
        <v>#VALUE!</v>
      </c>
      <c r="BR126" t="e">
        <f>AND('Planilla_General_29-11-2012_10_'!G1887,"AAAAAGrPo0U=")</f>
        <v>#VALUE!</v>
      </c>
      <c r="BS126" t="e">
        <f>AND('Planilla_General_29-11-2012_10_'!H1887,"AAAAAGrPo0Y=")</f>
        <v>#VALUE!</v>
      </c>
      <c r="BT126" t="e">
        <f>AND('Planilla_General_29-11-2012_10_'!I1887,"AAAAAGrPo0c=")</f>
        <v>#VALUE!</v>
      </c>
      <c r="BU126" t="e">
        <f>AND('Planilla_General_29-11-2012_10_'!J1887,"AAAAAGrPo0g=")</f>
        <v>#VALUE!</v>
      </c>
      <c r="BV126" t="e">
        <f>AND('Planilla_General_29-11-2012_10_'!K1887,"AAAAAGrPo0k=")</f>
        <v>#VALUE!</v>
      </c>
      <c r="BW126" t="e">
        <f>AND('Planilla_General_29-11-2012_10_'!L1887,"AAAAAGrPo0o=")</f>
        <v>#VALUE!</v>
      </c>
      <c r="BX126" t="e">
        <f>AND('Planilla_General_29-11-2012_10_'!M1887,"AAAAAGrPo0s=")</f>
        <v>#VALUE!</v>
      </c>
      <c r="BY126" t="e">
        <f>AND('Planilla_General_29-11-2012_10_'!N1887,"AAAAAGrPo0w=")</f>
        <v>#VALUE!</v>
      </c>
      <c r="BZ126" t="e">
        <f>AND('Planilla_General_29-11-2012_10_'!O1887,"AAAAAGrPo00=")</f>
        <v>#VALUE!</v>
      </c>
      <c r="CA126" t="e">
        <f>AND('Planilla_General_29-11-2012_10_'!P1887,"AAAAAGrPo04=")</f>
        <v>#VALUE!</v>
      </c>
      <c r="CB126">
        <f>IF('Planilla_General_29-11-2012_10_'!1888:1888,"AAAAAGrPo08=",0)</f>
        <v>0</v>
      </c>
      <c r="CC126" t="e">
        <f>AND('Planilla_General_29-11-2012_10_'!A1888,"AAAAAGrPo1A=")</f>
        <v>#VALUE!</v>
      </c>
      <c r="CD126" t="e">
        <f>AND('Planilla_General_29-11-2012_10_'!B1888,"AAAAAGrPo1E=")</f>
        <v>#VALUE!</v>
      </c>
      <c r="CE126" t="e">
        <f>AND('Planilla_General_29-11-2012_10_'!C1888,"AAAAAGrPo1I=")</f>
        <v>#VALUE!</v>
      </c>
      <c r="CF126" t="e">
        <f>AND('Planilla_General_29-11-2012_10_'!D1888,"AAAAAGrPo1M=")</f>
        <v>#VALUE!</v>
      </c>
      <c r="CG126" t="e">
        <f>AND('Planilla_General_29-11-2012_10_'!E1888,"AAAAAGrPo1Q=")</f>
        <v>#VALUE!</v>
      </c>
      <c r="CH126" t="e">
        <f>AND('Planilla_General_29-11-2012_10_'!F1888,"AAAAAGrPo1U=")</f>
        <v>#VALUE!</v>
      </c>
      <c r="CI126" t="e">
        <f>AND('Planilla_General_29-11-2012_10_'!G1888,"AAAAAGrPo1Y=")</f>
        <v>#VALUE!</v>
      </c>
      <c r="CJ126" t="e">
        <f>AND('Planilla_General_29-11-2012_10_'!H1888,"AAAAAGrPo1c=")</f>
        <v>#VALUE!</v>
      </c>
      <c r="CK126" t="e">
        <f>AND('Planilla_General_29-11-2012_10_'!I1888,"AAAAAGrPo1g=")</f>
        <v>#VALUE!</v>
      </c>
      <c r="CL126" t="e">
        <f>AND('Planilla_General_29-11-2012_10_'!J1888,"AAAAAGrPo1k=")</f>
        <v>#VALUE!</v>
      </c>
      <c r="CM126" t="e">
        <f>AND('Planilla_General_29-11-2012_10_'!K1888,"AAAAAGrPo1o=")</f>
        <v>#VALUE!</v>
      </c>
      <c r="CN126" t="e">
        <f>AND('Planilla_General_29-11-2012_10_'!L1888,"AAAAAGrPo1s=")</f>
        <v>#VALUE!</v>
      </c>
      <c r="CO126" t="e">
        <f>AND('Planilla_General_29-11-2012_10_'!M1888,"AAAAAGrPo1w=")</f>
        <v>#VALUE!</v>
      </c>
      <c r="CP126" t="e">
        <f>AND('Planilla_General_29-11-2012_10_'!N1888,"AAAAAGrPo10=")</f>
        <v>#VALUE!</v>
      </c>
      <c r="CQ126" t="e">
        <f>AND('Planilla_General_29-11-2012_10_'!O1888,"AAAAAGrPo14=")</f>
        <v>#VALUE!</v>
      </c>
      <c r="CR126" t="e">
        <f>AND('Planilla_General_29-11-2012_10_'!P1888,"AAAAAGrPo18=")</f>
        <v>#VALUE!</v>
      </c>
      <c r="CS126">
        <f>IF('Planilla_General_29-11-2012_10_'!1889:1889,"AAAAAGrPo2A=",0)</f>
        <v>0</v>
      </c>
      <c r="CT126" t="e">
        <f>AND('Planilla_General_29-11-2012_10_'!A1889,"AAAAAGrPo2E=")</f>
        <v>#VALUE!</v>
      </c>
      <c r="CU126" t="e">
        <f>AND('Planilla_General_29-11-2012_10_'!B1889,"AAAAAGrPo2I=")</f>
        <v>#VALUE!</v>
      </c>
      <c r="CV126" t="e">
        <f>AND('Planilla_General_29-11-2012_10_'!C1889,"AAAAAGrPo2M=")</f>
        <v>#VALUE!</v>
      </c>
      <c r="CW126" t="e">
        <f>AND('Planilla_General_29-11-2012_10_'!D1889,"AAAAAGrPo2Q=")</f>
        <v>#VALUE!</v>
      </c>
      <c r="CX126" t="e">
        <f>AND('Planilla_General_29-11-2012_10_'!E1889,"AAAAAGrPo2U=")</f>
        <v>#VALUE!</v>
      </c>
      <c r="CY126" t="e">
        <f>AND('Planilla_General_29-11-2012_10_'!F1889,"AAAAAGrPo2Y=")</f>
        <v>#VALUE!</v>
      </c>
      <c r="CZ126" t="e">
        <f>AND('Planilla_General_29-11-2012_10_'!G1889,"AAAAAGrPo2c=")</f>
        <v>#VALUE!</v>
      </c>
      <c r="DA126" t="e">
        <f>AND('Planilla_General_29-11-2012_10_'!H1889,"AAAAAGrPo2g=")</f>
        <v>#VALUE!</v>
      </c>
      <c r="DB126" t="e">
        <f>AND('Planilla_General_29-11-2012_10_'!I1889,"AAAAAGrPo2k=")</f>
        <v>#VALUE!</v>
      </c>
      <c r="DC126" t="e">
        <f>AND('Planilla_General_29-11-2012_10_'!J1889,"AAAAAGrPo2o=")</f>
        <v>#VALUE!</v>
      </c>
      <c r="DD126" t="e">
        <f>AND('Planilla_General_29-11-2012_10_'!K1889,"AAAAAGrPo2s=")</f>
        <v>#VALUE!</v>
      </c>
      <c r="DE126" t="e">
        <f>AND('Planilla_General_29-11-2012_10_'!L1889,"AAAAAGrPo2w=")</f>
        <v>#VALUE!</v>
      </c>
      <c r="DF126" t="e">
        <f>AND('Planilla_General_29-11-2012_10_'!M1889,"AAAAAGrPo20=")</f>
        <v>#VALUE!</v>
      </c>
      <c r="DG126" t="e">
        <f>AND('Planilla_General_29-11-2012_10_'!N1889,"AAAAAGrPo24=")</f>
        <v>#VALUE!</v>
      </c>
      <c r="DH126" t="e">
        <f>AND('Planilla_General_29-11-2012_10_'!O1889,"AAAAAGrPo28=")</f>
        <v>#VALUE!</v>
      </c>
      <c r="DI126" t="e">
        <f>AND('Planilla_General_29-11-2012_10_'!P1889,"AAAAAGrPo3A=")</f>
        <v>#VALUE!</v>
      </c>
      <c r="DJ126">
        <f>IF('Planilla_General_29-11-2012_10_'!1890:1890,"AAAAAGrPo3E=",0)</f>
        <v>0</v>
      </c>
      <c r="DK126" t="e">
        <f>AND('Planilla_General_29-11-2012_10_'!A1890,"AAAAAGrPo3I=")</f>
        <v>#VALUE!</v>
      </c>
      <c r="DL126" t="e">
        <f>AND('Planilla_General_29-11-2012_10_'!B1890,"AAAAAGrPo3M=")</f>
        <v>#VALUE!</v>
      </c>
      <c r="DM126" t="e">
        <f>AND('Planilla_General_29-11-2012_10_'!C1890,"AAAAAGrPo3Q=")</f>
        <v>#VALUE!</v>
      </c>
      <c r="DN126" t="e">
        <f>AND('Planilla_General_29-11-2012_10_'!D1890,"AAAAAGrPo3U=")</f>
        <v>#VALUE!</v>
      </c>
      <c r="DO126" t="e">
        <f>AND('Planilla_General_29-11-2012_10_'!E1890,"AAAAAGrPo3Y=")</f>
        <v>#VALUE!</v>
      </c>
      <c r="DP126" t="e">
        <f>AND('Planilla_General_29-11-2012_10_'!F1890,"AAAAAGrPo3c=")</f>
        <v>#VALUE!</v>
      </c>
      <c r="DQ126" t="e">
        <f>AND('Planilla_General_29-11-2012_10_'!G1890,"AAAAAGrPo3g=")</f>
        <v>#VALUE!</v>
      </c>
      <c r="DR126" t="e">
        <f>AND('Planilla_General_29-11-2012_10_'!H1890,"AAAAAGrPo3k=")</f>
        <v>#VALUE!</v>
      </c>
      <c r="DS126" t="e">
        <f>AND('Planilla_General_29-11-2012_10_'!I1890,"AAAAAGrPo3o=")</f>
        <v>#VALUE!</v>
      </c>
      <c r="DT126" t="e">
        <f>AND('Planilla_General_29-11-2012_10_'!J1890,"AAAAAGrPo3s=")</f>
        <v>#VALUE!</v>
      </c>
      <c r="DU126" t="e">
        <f>AND('Planilla_General_29-11-2012_10_'!K1890,"AAAAAGrPo3w=")</f>
        <v>#VALUE!</v>
      </c>
      <c r="DV126" t="e">
        <f>AND('Planilla_General_29-11-2012_10_'!L1890,"AAAAAGrPo30=")</f>
        <v>#VALUE!</v>
      </c>
      <c r="DW126" t="e">
        <f>AND('Planilla_General_29-11-2012_10_'!M1890,"AAAAAGrPo34=")</f>
        <v>#VALUE!</v>
      </c>
      <c r="DX126" t="e">
        <f>AND('Planilla_General_29-11-2012_10_'!N1890,"AAAAAGrPo38=")</f>
        <v>#VALUE!</v>
      </c>
      <c r="DY126" t="e">
        <f>AND('Planilla_General_29-11-2012_10_'!O1890,"AAAAAGrPo4A=")</f>
        <v>#VALUE!</v>
      </c>
      <c r="DZ126" t="e">
        <f>AND('Planilla_General_29-11-2012_10_'!P1890,"AAAAAGrPo4E=")</f>
        <v>#VALUE!</v>
      </c>
      <c r="EA126">
        <f>IF('Planilla_General_29-11-2012_10_'!1891:1891,"AAAAAGrPo4I=",0)</f>
        <v>0</v>
      </c>
      <c r="EB126" t="e">
        <f>AND('Planilla_General_29-11-2012_10_'!A1891,"AAAAAGrPo4M=")</f>
        <v>#VALUE!</v>
      </c>
      <c r="EC126" t="e">
        <f>AND('Planilla_General_29-11-2012_10_'!B1891,"AAAAAGrPo4Q=")</f>
        <v>#VALUE!</v>
      </c>
      <c r="ED126" t="e">
        <f>AND('Planilla_General_29-11-2012_10_'!C1891,"AAAAAGrPo4U=")</f>
        <v>#VALUE!</v>
      </c>
      <c r="EE126" t="e">
        <f>AND('Planilla_General_29-11-2012_10_'!D1891,"AAAAAGrPo4Y=")</f>
        <v>#VALUE!</v>
      </c>
      <c r="EF126" t="e">
        <f>AND('Planilla_General_29-11-2012_10_'!E1891,"AAAAAGrPo4c=")</f>
        <v>#VALUE!</v>
      </c>
      <c r="EG126" t="e">
        <f>AND('Planilla_General_29-11-2012_10_'!F1891,"AAAAAGrPo4g=")</f>
        <v>#VALUE!</v>
      </c>
      <c r="EH126" t="e">
        <f>AND('Planilla_General_29-11-2012_10_'!G1891,"AAAAAGrPo4k=")</f>
        <v>#VALUE!</v>
      </c>
      <c r="EI126" t="e">
        <f>AND('Planilla_General_29-11-2012_10_'!H1891,"AAAAAGrPo4o=")</f>
        <v>#VALUE!</v>
      </c>
      <c r="EJ126" t="e">
        <f>AND('Planilla_General_29-11-2012_10_'!I1891,"AAAAAGrPo4s=")</f>
        <v>#VALUE!</v>
      </c>
      <c r="EK126" t="e">
        <f>AND('Planilla_General_29-11-2012_10_'!J1891,"AAAAAGrPo4w=")</f>
        <v>#VALUE!</v>
      </c>
      <c r="EL126" t="e">
        <f>AND('Planilla_General_29-11-2012_10_'!K1891,"AAAAAGrPo40=")</f>
        <v>#VALUE!</v>
      </c>
      <c r="EM126" t="e">
        <f>AND('Planilla_General_29-11-2012_10_'!L1891,"AAAAAGrPo44=")</f>
        <v>#VALUE!</v>
      </c>
      <c r="EN126" t="e">
        <f>AND('Planilla_General_29-11-2012_10_'!M1891,"AAAAAGrPo48=")</f>
        <v>#VALUE!</v>
      </c>
      <c r="EO126" t="e">
        <f>AND('Planilla_General_29-11-2012_10_'!N1891,"AAAAAGrPo5A=")</f>
        <v>#VALUE!</v>
      </c>
      <c r="EP126" t="e">
        <f>AND('Planilla_General_29-11-2012_10_'!O1891,"AAAAAGrPo5E=")</f>
        <v>#VALUE!</v>
      </c>
      <c r="EQ126" t="e">
        <f>AND('Planilla_General_29-11-2012_10_'!P1891,"AAAAAGrPo5I=")</f>
        <v>#VALUE!</v>
      </c>
      <c r="ER126">
        <f>IF('Planilla_General_29-11-2012_10_'!1892:1892,"AAAAAGrPo5M=",0)</f>
        <v>0</v>
      </c>
      <c r="ES126" t="e">
        <f>AND('Planilla_General_29-11-2012_10_'!A1892,"AAAAAGrPo5Q=")</f>
        <v>#VALUE!</v>
      </c>
      <c r="ET126" t="e">
        <f>AND('Planilla_General_29-11-2012_10_'!B1892,"AAAAAGrPo5U=")</f>
        <v>#VALUE!</v>
      </c>
      <c r="EU126" t="e">
        <f>AND('Planilla_General_29-11-2012_10_'!C1892,"AAAAAGrPo5Y=")</f>
        <v>#VALUE!</v>
      </c>
      <c r="EV126" t="e">
        <f>AND('Planilla_General_29-11-2012_10_'!D1892,"AAAAAGrPo5c=")</f>
        <v>#VALUE!</v>
      </c>
      <c r="EW126" t="e">
        <f>AND('Planilla_General_29-11-2012_10_'!E1892,"AAAAAGrPo5g=")</f>
        <v>#VALUE!</v>
      </c>
      <c r="EX126" t="e">
        <f>AND('Planilla_General_29-11-2012_10_'!F1892,"AAAAAGrPo5k=")</f>
        <v>#VALUE!</v>
      </c>
      <c r="EY126" t="e">
        <f>AND('Planilla_General_29-11-2012_10_'!G1892,"AAAAAGrPo5o=")</f>
        <v>#VALUE!</v>
      </c>
      <c r="EZ126" t="e">
        <f>AND('Planilla_General_29-11-2012_10_'!H1892,"AAAAAGrPo5s=")</f>
        <v>#VALUE!</v>
      </c>
      <c r="FA126" t="e">
        <f>AND('Planilla_General_29-11-2012_10_'!I1892,"AAAAAGrPo5w=")</f>
        <v>#VALUE!</v>
      </c>
      <c r="FB126" t="e">
        <f>AND('Planilla_General_29-11-2012_10_'!J1892,"AAAAAGrPo50=")</f>
        <v>#VALUE!</v>
      </c>
      <c r="FC126" t="e">
        <f>AND('Planilla_General_29-11-2012_10_'!K1892,"AAAAAGrPo54=")</f>
        <v>#VALUE!</v>
      </c>
      <c r="FD126" t="e">
        <f>AND('Planilla_General_29-11-2012_10_'!L1892,"AAAAAGrPo58=")</f>
        <v>#VALUE!</v>
      </c>
      <c r="FE126" t="e">
        <f>AND('Planilla_General_29-11-2012_10_'!M1892,"AAAAAGrPo6A=")</f>
        <v>#VALUE!</v>
      </c>
      <c r="FF126" t="e">
        <f>AND('Planilla_General_29-11-2012_10_'!N1892,"AAAAAGrPo6E=")</f>
        <v>#VALUE!</v>
      </c>
      <c r="FG126" t="e">
        <f>AND('Planilla_General_29-11-2012_10_'!O1892,"AAAAAGrPo6I=")</f>
        <v>#VALUE!</v>
      </c>
      <c r="FH126" t="e">
        <f>AND('Planilla_General_29-11-2012_10_'!P1892,"AAAAAGrPo6M=")</f>
        <v>#VALUE!</v>
      </c>
      <c r="FI126">
        <f>IF('Planilla_General_29-11-2012_10_'!1893:1893,"AAAAAGrPo6Q=",0)</f>
        <v>0</v>
      </c>
      <c r="FJ126" t="e">
        <f>AND('Planilla_General_29-11-2012_10_'!A1893,"AAAAAGrPo6U=")</f>
        <v>#VALUE!</v>
      </c>
      <c r="FK126" t="e">
        <f>AND('Planilla_General_29-11-2012_10_'!B1893,"AAAAAGrPo6Y=")</f>
        <v>#VALUE!</v>
      </c>
      <c r="FL126" t="e">
        <f>AND('Planilla_General_29-11-2012_10_'!C1893,"AAAAAGrPo6c=")</f>
        <v>#VALUE!</v>
      </c>
      <c r="FM126" t="e">
        <f>AND('Planilla_General_29-11-2012_10_'!D1893,"AAAAAGrPo6g=")</f>
        <v>#VALUE!</v>
      </c>
      <c r="FN126" t="e">
        <f>AND('Planilla_General_29-11-2012_10_'!E1893,"AAAAAGrPo6k=")</f>
        <v>#VALUE!</v>
      </c>
      <c r="FO126" t="e">
        <f>AND('Planilla_General_29-11-2012_10_'!F1893,"AAAAAGrPo6o=")</f>
        <v>#VALUE!</v>
      </c>
      <c r="FP126" t="e">
        <f>AND('Planilla_General_29-11-2012_10_'!G1893,"AAAAAGrPo6s=")</f>
        <v>#VALUE!</v>
      </c>
      <c r="FQ126" t="e">
        <f>AND('Planilla_General_29-11-2012_10_'!H1893,"AAAAAGrPo6w=")</f>
        <v>#VALUE!</v>
      </c>
      <c r="FR126" t="e">
        <f>AND('Planilla_General_29-11-2012_10_'!I1893,"AAAAAGrPo60=")</f>
        <v>#VALUE!</v>
      </c>
      <c r="FS126" t="e">
        <f>AND('Planilla_General_29-11-2012_10_'!J1893,"AAAAAGrPo64=")</f>
        <v>#VALUE!</v>
      </c>
      <c r="FT126" t="e">
        <f>AND('Planilla_General_29-11-2012_10_'!K1893,"AAAAAGrPo68=")</f>
        <v>#VALUE!</v>
      </c>
      <c r="FU126" t="e">
        <f>AND('Planilla_General_29-11-2012_10_'!L1893,"AAAAAGrPo7A=")</f>
        <v>#VALUE!</v>
      </c>
      <c r="FV126" t="e">
        <f>AND('Planilla_General_29-11-2012_10_'!M1893,"AAAAAGrPo7E=")</f>
        <v>#VALUE!</v>
      </c>
      <c r="FW126" t="e">
        <f>AND('Planilla_General_29-11-2012_10_'!N1893,"AAAAAGrPo7I=")</f>
        <v>#VALUE!</v>
      </c>
      <c r="FX126" t="e">
        <f>AND('Planilla_General_29-11-2012_10_'!O1893,"AAAAAGrPo7M=")</f>
        <v>#VALUE!</v>
      </c>
      <c r="FY126" t="e">
        <f>AND('Planilla_General_29-11-2012_10_'!P1893,"AAAAAGrPo7Q=")</f>
        <v>#VALUE!</v>
      </c>
      <c r="FZ126">
        <f>IF('Planilla_General_29-11-2012_10_'!1894:1894,"AAAAAGrPo7U=",0)</f>
        <v>0</v>
      </c>
      <c r="GA126" t="e">
        <f>AND('Planilla_General_29-11-2012_10_'!A1894,"AAAAAGrPo7Y=")</f>
        <v>#VALUE!</v>
      </c>
      <c r="GB126" t="e">
        <f>AND('Planilla_General_29-11-2012_10_'!B1894,"AAAAAGrPo7c=")</f>
        <v>#VALUE!</v>
      </c>
      <c r="GC126" t="e">
        <f>AND('Planilla_General_29-11-2012_10_'!C1894,"AAAAAGrPo7g=")</f>
        <v>#VALUE!</v>
      </c>
      <c r="GD126" t="e">
        <f>AND('Planilla_General_29-11-2012_10_'!D1894,"AAAAAGrPo7k=")</f>
        <v>#VALUE!</v>
      </c>
      <c r="GE126" t="e">
        <f>AND('Planilla_General_29-11-2012_10_'!E1894,"AAAAAGrPo7o=")</f>
        <v>#VALUE!</v>
      </c>
      <c r="GF126" t="e">
        <f>AND('Planilla_General_29-11-2012_10_'!F1894,"AAAAAGrPo7s=")</f>
        <v>#VALUE!</v>
      </c>
      <c r="GG126" t="e">
        <f>AND('Planilla_General_29-11-2012_10_'!G1894,"AAAAAGrPo7w=")</f>
        <v>#VALUE!</v>
      </c>
      <c r="GH126" t="e">
        <f>AND('Planilla_General_29-11-2012_10_'!H1894,"AAAAAGrPo70=")</f>
        <v>#VALUE!</v>
      </c>
      <c r="GI126" t="e">
        <f>AND('Planilla_General_29-11-2012_10_'!I1894,"AAAAAGrPo74=")</f>
        <v>#VALUE!</v>
      </c>
      <c r="GJ126" t="e">
        <f>AND('Planilla_General_29-11-2012_10_'!J1894,"AAAAAGrPo78=")</f>
        <v>#VALUE!</v>
      </c>
      <c r="GK126" t="e">
        <f>AND('Planilla_General_29-11-2012_10_'!K1894,"AAAAAGrPo8A=")</f>
        <v>#VALUE!</v>
      </c>
      <c r="GL126" t="e">
        <f>AND('Planilla_General_29-11-2012_10_'!L1894,"AAAAAGrPo8E=")</f>
        <v>#VALUE!</v>
      </c>
      <c r="GM126" t="e">
        <f>AND('Planilla_General_29-11-2012_10_'!M1894,"AAAAAGrPo8I=")</f>
        <v>#VALUE!</v>
      </c>
      <c r="GN126" t="e">
        <f>AND('Planilla_General_29-11-2012_10_'!N1894,"AAAAAGrPo8M=")</f>
        <v>#VALUE!</v>
      </c>
      <c r="GO126" t="e">
        <f>AND('Planilla_General_29-11-2012_10_'!O1894,"AAAAAGrPo8Q=")</f>
        <v>#VALUE!</v>
      </c>
      <c r="GP126" t="e">
        <f>AND('Planilla_General_29-11-2012_10_'!P1894,"AAAAAGrPo8U=")</f>
        <v>#VALUE!</v>
      </c>
      <c r="GQ126">
        <f>IF('Planilla_General_29-11-2012_10_'!1895:1895,"AAAAAGrPo8Y=",0)</f>
        <v>0</v>
      </c>
      <c r="GR126" t="e">
        <f>AND('Planilla_General_29-11-2012_10_'!A1895,"AAAAAGrPo8c=")</f>
        <v>#VALUE!</v>
      </c>
      <c r="GS126" t="e">
        <f>AND('Planilla_General_29-11-2012_10_'!B1895,"AAAAAGrPo8g=")</f>
        <v>#VALUE!</v>
      </c>
      <c r="GT126" t="e">
        <f>AND('Planilla_General_29-11-2012_10_'!C1895,"AAAAAGrPo8k=")</f>
        <v>#VALUE!</v>
      </c>
      <c r="GU126" t="e">
        <f>AND('Planilla_General_29-11-2012_10_'!D1895,"AAAAAGrPo8o=")</f>
        <v>#VALUE!</v>
      </c>
      <c r="GV126" t="e">
        <f>AND('Planilla_General_29-11-2012_10_'!E1895,"AAAAAGrPo8s=")</f>
        <v>#VALUE!</v>
      </c>
      <c r="GW126" t="e">
        <f>AND('Planilla_General_29-11-2012_10_'!F1895,"AAAAAGrPo8w=")</f>
        <v>#VALUE!</v>
      </c>
      <c r="GX126" t="e">
        <f>AND('Planilla_General_29-11-2012_10_'!G1895,"AAAAAGrPo80=")</f>
        <v>#VALUE!</v>
      </c>
      <c r="GY126" t="e">
        <f>AND('Planilla_General_29-11-2012_10_'!H1895,"AAAAAGrPo84=")</f>
        <v>#VALUE!</v>
      </c>
      <c r="GZ126" t="e">
        <f>AND('Planilla_General_29-11-2012_10_'!I1895,"AAAAAGrPo88=")</f>
        <v>#VALUE!</v>
      </c>
      <c r="HA126" t="e">
        <f>AND('Planilla_General_29-11-2012_10_'!J1895,"AAAAAGrPo9A=")</f>
        <v>#VALUE!</v>
      </c>
      <c r="HB126" t="e">
        <f>AND('Planilla_General_29-11-2012_10_'!K1895,"AAAAAGrPo9E=")</f>
        <v>#VALUE!</v>
      </c>
      <c r="HC126" t="e">
        <f>AND('Planilla_General_29-11-2012_10_'!L1895,"AAAAAGrPo9I=")</f>
        <v>#VALUE!</v>
      </c>
      <c r="HD126" t="e">
        <f>AND('Planilla_General_29-11-2012_10_'!M1895,"AAAAAGrPo9M=")</f>
        <v>#VALUE!</v>
      </c>
      <c r="HE126" t="e">
        <f>AND('Planilla_General_29-11-2012_10_'!N1895,"AAAAAGrPo9Q=")</f>
        <v>#VALUE!</v>
      </c>
      <c r="HF126" t="e">
        <f>AND('Planilla_General_29-11-2012_10_'!O1895,"AAAAAGrPo9U=")</f>
        <v>#VALUE!</v>
      </c>
      <c r="HG126" t="e">
        <f>AND('Planilla_General_29-11-2012_10_'!P1895,"AAAAAGrPo9Y=")</f>
        <v>#VALUE!</v>
      </c>
      <c r="HH126">
        <f>IF('Planilla_General_29-11-2012_10_'!1896:1896,"AAAAAGrPo9c=",0)</f>
        <v>0</v>
      </c>
      <c r="HI126" t="e">
        <f>AND('Planilla_General_29-11-2012_10_'!A1896,"AAAAAGrPo9g=")</f>
        <v>#VALUE!</v>
      </c>
      <c r="HJ126" t="e">
        <f>AND('Planilla_General_29-11-2012_10_'!B1896,"AAAAAGrPo9k=")</f>
        <v>#VALUE!</v>
      </c>
      <c r="HK126" t="e">
        <f>AND('Planilla_General_29-11-2012_10_'!C1896,"AAAAAGrPo9o=")</f>
        <v>#VALUE!</v>
      </c>
      <c r="HL126" t="e">
        <f>AND('Planilla_General_29-11-2012_10_'!D1896,"AAAAAGrPo9s=")</f>
        <v>#VALUE!</v>
      </c>
      <c r="HM126" t="e">
        <f>AND('Planilla_General_29-11-2012_10_'!E1896,"AAAAAGrPo9w=")</f>
        <v>#VALUE!</v>
      </c>
      <c r="HN126" t="e">
        <f>AND('Planilla_General_29-11-2012_10_'!F1896,"AAAAAGrPo90=")</f>
        <v>#VALUE!</v>
      </c>
      <c r="HO126" t="e">
        <f>AND('Planilla_General_29-11-2012_10_'!G1896,"AAAAAGrPo94=")</f>
        <v>#VALUE!</v>
      </c>
      <c r="HP126" t="e">
        <f>AND('Planilla_General_29-11-2012_10_'!H1896,"AAAAAGrPo98=")</f>
        <v>#VALUE!</v>
      </c>
      <c r="HQ126" t="e">
        <f>AND('Planilla_General_29-11-2012_10_'!I1896,"AAAAAGrPo+A=")</f>
        <v>#VALUE!</v>
      </c>
      <c r="HR126" t="e">
        <f>AND('Planilla_General_29-11-2012_10_'!J1896,"AAAAAGrPo+E=")</f>
        <v>#VALUE!</v>
      </c>
      <c r="HS126" t="e">
        <f>AND('Planilla_General_29-11-2012_10_'!K1896,"AAAAAGrPo+I=")</f>
        <v>#VALUE!</v>
      </c>
      <c r="HT126" t="e">
        <f>AND('Planilla_General_29-11-2012_10_'!L1896,"AAAAAGrPo+M=")</f>
        <v>#VALUE!</v>
      </c>
      <c r="HU126" t="e">
        <f>AND('Planilla_General_29-11-2012_10_'!M1896,"AAAAAGrPo+Q=")</f>
        <v>#VALUE!</v>
      </c>
      <c r="HV126" t="e">
        <f>AND('Planilla_General_29-11-2012_10_'!N1896,"AAAAAGrPo+U=")</f>
        <v>#VALUE!</v>
      </c>
      <c r="HW126" t="e">
        <f>AND('Planilla_General_29-11-2012_10_'!O1896,"AAAAAGrPo+Y=")</f>
        <v>#VALUE!</v>
      </c>
      <c r="HX126" t="e">
        <f>AND('Planilla_General_29-11-2012_10_'!P1896,"AAAAAGrPo+c=")</f>
        <v>#VALUE!</v>
      </c>
      <c r="HY126">
        <f>IF('Planilla_General_29-11-2012_10_'!1897:1897,"AAAAAGrPo+g=",0)</f>
        <v>0</v>
      </c>
      <c r="HZ126" t="e">
        <f>AND('Planilla_General_29-11-2012_10_'!A1897,"AAAAAGrPo+k=")</f>
        <v>#VALUE!</v>
      </c>
      <c r="IA126" t="e">
        <f>AND('Planilla_General_29-11-2012_10_'!B1897,"AAAAAGrPo+o=")</f>
        <v>#VALUE!</v>
      </c>
      <c r="IB126" t="e">
        <f>AND('Planilla_General_29-11-2012_10_'!C1897,"AAAAAGrPo+s=")</f>
        <v>#VALUE!</v>
      </c>
      <c r="IC126" t="e">
        <f>AND('Planilla_General_29-11-2012_10_'!D1897,"AAAAAGrPo+w=")</f>
        <v>#VALUE!</v>
      </c>
      <c r="ID126" t="e">
        <f>AND('Planilla_General_29-11-2012_10_'!E1897,"AAAAAGrPo+0=")</f>
        <v>#VALUE!</v>
      </c>
      <c r="IE126" t="e">
        <f>AND('Planilla_General_29-11-2012_10_'!F1897,"AAAAAGrPo+4=")</f>
        <v>#VALUE!</v>
      </c>
      <c r="IF126" t="e">
        <f>AND('Planilla_General_29-11-2012_10_'!G1897,"AAAAAGrPo+8=")</f>
        <v>#VALUE!</v>
      </c>
      <c r="IG126" t="e">
        <f>AND('Planilla_General_29-11-2012_10_'!H1897,"AAAAAGrPo/A=")</f>
        <v>#VALUE!</v>
      </c>
      <c r="IH126" t="e">
        <f>AND('Planilla_General_29-11-2012_10_'!I1897,"AAAAAGrPo/E=")</f>
        <v>#VALUE!</v>
      </c>
      <c r="II126" t="e">
        <f>AND('Planilla_General_29-11-2012_10_'!J1897,"AAAAAGrPo/I=")</f>
        <v>#VALUE!</v>
      </c>
      <c r="IJ126" t="e">
        <f>AND('Planilla_General_29-11-2012_10_'!K1897,"AAAAAGrPo/M=")</f>
        <v>#VALUE!</v>
      </c>
      <c r="IK126" t="e">
        <f>AND('Planilla_General_29-11-2012_10_'!L1897,"AAAAAGrPo/Q=")</f>
        <v>#VALUE!</v>
      </c>
      <c r="IL126" t="e">
        <f>AND('Planilla_General_29-11-2012_10_'!M1897,"AAAAAGrPo/U=")</f>
        <v>#VALUE!</v>
      </c>
      <c r="IM126" t="e">
        <f>AND('Planilla_General_29-11-2012_10_'!N1897,"AAAAAGrPo/Y=")</f>
        <v>#VALUE!</v>
      </c>
      <c r="IN126" t="e">
        <f>AND('Planilla_General_29-11-2012_10_'!O1897,"AAAAAGrPo/c=")</f>
        <v>#VALUE!</v>
      </c>
      <c r="IO126" t="e">
        <f>AND('Planilla_General_29-11-2012_10_'!P1897,"AAAAAGrPo/g=")</f>
        <v>#VALUE!</v>
      </c>
      <c r="IP126">
        <f>IF('Planilla_General_29-11-2012_10_'!1898:1898,"AAAAAGrPo/k=",0)</f>
        <v>0</v>
      </c>
      <c r="IQ126" t="e">
        <f>AND('Planilla_General_29-11-2012_10_'!A1898,"AAAAAGrPo/o=")</f>
        <v>#VALUE!</v>
      </c>
      <c r="IR126" t="e">
        <f>AND('Planilla_General_29-11-2012_10_'!B1898,"AAAAAGrPo/s=")</f>
        <v>#VALUE!</v>
      </c>
      <c r="IS126" t="e">
        <f>AND('Planilla_General_29-11-2012_10_'!C1898,"AAAAAGrPo/w=")</f>
        <v>#VALUE!</v>
      </c>
      <c r="IT126" t="e">
        <f>AND('Planilla_General_29-11-2012_10_'!D1898,"AAAAAGrPo/0=")</f>
        <v>#VALUE!</v>
      </c>
      <c r="IU126" t="e">
        <f>AND('Planilla_General_29-11-2012_10_'!E1898,"AAAAAGrPo/4=")</f>
        <v>#VALUE!</v>
      </c>
      <c r="IV126" t="e">
        <f>AND('Planilla_General_29-11-2012_10_'!F1898,"AAAAAGrPo/8=")</f>
        <v>#VALUE!</v>
      </c>
    </row>
    <row r="127" spans="1:256" x14ac:dyDescent="0.25">
      <c r="A127" t="e">
        <f>AND('Planilla_General_29-11-2012_10_'!G1898,"AAAAAFezywA=")</f>
        <v>#VALUE!</v>
      </c>
      <c r="B127" t="e">
        <f>AND('Planilla_General_29-11-2012_10_'!H1898,"AAAAAFezywE=")</f>
        <v>#VALUE!</v>
      </c>
      <c r="C127" t="e">
        <f>AND('Planilla_General_29-11-2012_10_'!I1898,"AAAAAFezywI=")</f>
        <v>#VALUE!</v>
      </c>
      <c r="D127" t="e">
        <f>AND('Planilla_General_29-11-2012_10_'!J1898,"AAAAAFezywM=")</f>
        <v>#VALUE!</v>
      </c>
      <c r="E127" t="e">
        <f>AND('Planilla_General_29-11-2012_10_'!K1898,"AAAAAFezywQ=")</f>
        <v>#VALUE!</v>
      </c>
      <c r="F127" t="e">
        <f>AND('Planilla_General_29-11-2012_10_'!L1898,"AAAAAFezywU=")</f>
        <v>#VALUE!</v>
      </c>
      <c r="G127" t="e">
        <f>AND('Planilla_General_29-11-2012_10_'!M1898,"AAAAAFezywY=")</f>
        <v>#VALUE!</v>
      </c>
      <c r="H127" t="e">
        <f>AND('Planilla_General_29-11-2012_10_'!N1898,"AAAAAFezywc=")</f>
        <v>#VALUE!</v>
      </c>
      <c r="I127" t="e">
        <f>AND('Planilla_General_29-11-2012_10_'!O1898,"AAAAAFezywg=")</f>
        <v>#VALUE!</v>
      </c>
      <c r="J127" t="e">
        <f>AND('Planilla_General_29-11-2012_10_'!P1898,"AAAAAFezywk=")</f>
        <v>#VALUE!</v>
      </c>
      <c r="K127" t="str">
        <f>IF('Planilla_General_29-11-2012_10_'!1899:1899,"AAAAAFezywo=",0)</f>
        <v>AAAAAFezywo=</v>
      </c>
      <c r="L127" t="e">
        <f>AND('Planilla_General_29-11-2012_10_'!A1899,"AAAAAFezyws=")</f>
        <v>#VALUE!</v>
      </c>
      <c r="M127" t="e">
        <f>AND('Planilla_General_29-11-2012_10_'!B1899,"AAAAAFezyww=")</f>
        <v>#VALUE!</v>
      </c>
      <c r="N127" t="e">
        <f>AND('Planilla_General_29-11-2012_10_'!C1899,"AAAAAFezyw0=")</f>
        <v>#VALUE!</v>
      </c>
      <c r="O127" t="e">
        <f>AND('Planilla_General_29-11-2012_10_'!D1899,"AAAAAFezyw4=")</f>
        <v>#VALUE!</v>
      </c>
      <c r="P127" t="e">
        <f>AND('Planilla_General_29-11-2012_10_'!E1899,"AAAAAFezyw8=")</f>
        <v>#VALUE!</v>
      </c>
      <c r="Q127" t="e">
        <f>AND('Planilla_General_29-11-2012_10_'!F1899,"AAAAAFezyxA=")</f>
        <v>#VALUE!</v>
      </c>
      <c r="R127" t="e">
        <f>AND('Planilla_General_29-11-2012_10_'!G1899,"AAAAAFezyxE=")</f>
        <v>#VALUE!</v>
      </c>
      <c r="S127" t="e">
        <f>AND('Planilla_General_29-11-2012_10_'!H1899,"AAAAAFezyxI=")</f>
        <v>#VALUE!</v>
      </c>
      <c r="T127" t="e">
        <f>AND('Planilla_General_29-11-2012_10_'!I1899,"AAAAAFezyxM=")</f>
        <v>#VALUE!</v>
      </c>
      <c r="U127" t="e">
        <f>AND('Planilla_General_29-11-2012_10_'!J1899,"AAAAAFezyxQ=")</f>
        <v>#VALUE!</v>
      </c>
      <c r="V127" t="e">
        <f>AND('Planilla_General_29-11-2012_10_'!K1899,"AAAAAFezyxU=")</f>
        <v>#VALUE!</v>
      </c>
      <c r="W127" t="e">
        <f>AND('Planilla_General_29-11-2012_10_'!L1899,"AAAAAFezyxY=")</f>
        <v>#VALUE!</v>
      </c>
      <c r="X127" t="e">
        <f>AND('Planilla_General_29-11-2012_10_'!M1899,"AAAAAFezyxc=")</f>
        <v>#VALUE!</v>
      </c>
      <c r="Y127" t="e">
        <f>AND('Planilla_General_29-11-2012_10_'!N1899,"AAAAAFezyxg=")</f>
        <v>#VALUE!</v>
      </c>
      <c r="Z127" t="e">
        <f>AND('Planilla_General_29-11-2012_10_'!O1899,"AAAAAFezyxk=")</f>
        <v>#VALUE!</v>
      </c>
      <c r="AA127" t="e">
        <f>AND('Planilla_General_29-11-2012_10_'!P1899,"AAAAAFezyxo=")</f>
        <v>#VALUE!</v>
      </c>
      <c r="AB127">
        <f>IF('Planilla_General_29-11-2012_10_'!1900:1900,"AAAAAFezyxs=",0)</f>
        <v>0</v>
      </c>
      <c r="AC127" t="e">
        <f>AND('Planilla_General_29-11-2012_10_'!A1900,"AAAAAFezyxw=")</f>
        <v>#VALUE!</v>
      </c>
      <c r="AD127" t="e">
        <f>AND('Planilla_General_29-11-2012_10_'!B1900,"AAAAAFezyx0=")</f>
        <v>#VALUE!</v>
      </c>
      <c r="AE127" t="e">
        <f>AND('Planilla_General_29-11-2012_10_'!C1900,"AAAAAFezyx4=")</f>
        <v>#VALUE!</v>
      </c>
      <c r="AF127" t="e">
        <f>AND('Planilla_General_29-11-2012_10_'!D1900,"AAAAAFezyx8=")</f>
        <v>#VALUE!</v>
      </c>
      <c r="AG127" t="e">
        <f>AND('Planilla_General_29-11-2012_10_'!E1900,"AAAAAFezyyA=")</f>
        <v>#VALUE!</v>
      </c>
      <c r="AH127" t="e">
        <f>AND('Planilla_General_29-11-2012_10_'!F1900,"AAAAAFezyyE=")</f>
        <v>#VALUE!</v>
      </c>
      <c r="AI127" t="e">
        <f>AND('Planilla_General_29-11-2012_10_'!G1900,"AAAAAFezyyI=")</f>
        <v>#VALUE!</v>
      </c>
      <c r="AJ127" t="e">
        <f>AND('Planilla_General_29-11-2012_10_'!H1900,"AAAAAFezyyM=")</f>
        <v>#VALUE!</v>
      </c>
      <c r="AK127" t="e">
        <f>AND('Planilla_General_29-11-2012_10_'!I1900,"AAAAAFezyyQ=")</f>
        <v>#VALUE!</v>
      </c>
      <c r="AL127" t="e">
        <f>AND('Planilla_General_29-11-2012_10_'!J1900,"AAAAAFezyyU=")</f>
        <v>#VALUE!</v>
      </c>
      <c r="AM127" t="e">
        <f>AND('Planilla_General_29-11-2012_10_'!K1900,"AAAAAFezyyY=")</f>
        <v>#VALUE!</v>
      </c>
      <c r="AN127" t="e">
        <f>AND('Planilla_General_29-11-2012_10_'!L1900,"AAAAAFezyyc=")</f>
        <v>#VALUE!</v>
      </c>
      <c r="AO127" t="e">
        <f>AND('Planilla_General_29-11-2012_10_'!M1900,"AAAAAFezyyg=")</f>
        <v>#VALUE!</v>
      </c>
      <c r="AP127" t="e">
        <f>AND('Planilla_General_29-11-2012_10_'!N1900,"AAAAAFezyyk=")</f>
        <v>#VALUE!</v>
      </c>
      <c r="AQ127" t="e">
        <f>AND('Planilla_General_29-11-2012_10_'!O1900,"AAAAAFezyyo=")</f>
        <v>#VALUE!</v>
      </c>
      <c r="AR127" t="e">
        <f>AND('Planilla_General_29-11-2012_10_'!P1900,"AAAAAFezyys=")</f>
        <v>#VALUE!</v>
      </c>
      <c r="AS127">
        <f>IF('Planilla_General_29-11-2012_10_'!1901:1901,"AAAAAFezyyw=",0)</f>
        <v>0</v>
      </c>
      <c r="AT127" t="e">
        <f>AND('Planilla_General_29-11-2012_10_'!A1901,"AAAAAFezyy0=")</f>
        <v>#VALUE!</v>
      </c>
      <c r="AU127" t="e">
        <f>AND('Planilla_General_29-11-2012_10_'!B1901,"AAAAAFezyy4=")</f>
        <v>#VALUE!</v>
      </c>
      <c r="AV127" t="e">
        <f>AND('Planilla_General_29-11-2012_10_'!C1901,"AAAAAFezyy8=")</f>
        <v>#VALUE!</v>
      </c>
      <c r="AW127" t="e">
        <f>AND('Planilla_General_29-11-2012_10_'!D1901,"AAAAAFezyzA=")</f>
        <v>#VALUE!</v>
      </c>
      <c r="AX127" t="e">
        <f>AND('Planilla_General_29-11-2012_10_'!E1901,"AAAAAFezyzE=")</f>
        <v>#VALUE!</v>
      </c>
      <c r="AY127" t="e">
        <f>AND('Planilla_General_29-11-2012_10_'!F1901,"AAAAAFezyzI=")</f>
        <v>#VALUE!</v>
      </c>
      <c r="AZ127" t="e">
        <f>AND('Planilla_General_29-11-2012_10_'!G1901,"AAAAAFezyzM=")</f>
        <v>#VALUE!</v>
      </c>
      <c r="BA127" t="e">
        <f>AND('Planilla_General_29-11-2012_10_'!H1901,"AAAAAFezyzQ=")</f>
        <v>#VALUE!</v>
      </c>
      <c r="BB127" t="e">
        <f>AND('Planilla_General_29-11-2012_10_'!I1901,"AAAAAFezyzU=")</f>
        <v>#VALUE!</v>
      </c>
      <c r="BC127" t="e">
        <f>AND('Planilla_General_29-11-2012_10_'!J1901,"AAAAAFezyzY=")</f>
        <v>#VALUE!</v>
      </c>
      <c r="BD127" t="e">
        <f>AND('Planilla_General_29-11-2012_10_'!K1901,"AAAAAFezyzc=")</f>
        <v>#VALUE!</v>
      </c>
      <c r="BE127" t="e">
        <f>AND('Planilla_General_29-11-2012_10_'!L1901,"AAAAAFezyzg=")</f>
        <v>#VALUE!</v>
      </c>
      <c r="BF127" t="e">
        <f>AND('Planilla_General_29-11-2012_10_'!M1901,"AAAAAFezyzk=")</f>
        <v>#VALUE!</v>
      </c>
      <c r="BG127" t="e">
        <f>AND('Planilla_General_29-11-2012_10_'!N1901,"AAAAAFezyzo=")</f>
        <v>#VALUE!</v>
      </c>
      <c r="BH127" t="e">
        <f>AND('Planilla_General_29-11-2012_10_'!O1901,"AAAAAFezyzs=")</f>
        <v>#VALUE!</v>
      </c>
      <c r="BI127" t="e">
        <f>AND('Planilla_General_29-11-2012_10_'!P1901,"AAAAAFezyzw=")</f>
        <v>#VALUE!</v>
      </c>
      <c r="BJ127">
        <f>IF('Planilla_General_29-11-2012_10_'!1902:1902,"AAAAAFezyz0=",0)</f>
        <v>0</v>
      </c>
      <c r="BK127" t="e">
        <f>AND('Planilla_General_29-11-2012_10_'!A1902,"AAAAAFezyz4=")</f>
        <v>#VALUE!</v>
      </c>
      <c r="BL127" t="e">
        <f>AND('Planilla_General_29-11-2012_10_'!B1902,"AAAAAFezyz8=")</f>
        <v>#VALUE!</v>
      </c>
      <c r="BM127" t="e">
        <f>AND('Planilla_General_29-11-2012_10_'!C1902,"AAAAAFezy0A=")</f>
        <v>#VALUE!</v>
      </c>
      <c r="BN127" t="e">
        <f>AND('Planilla_General_29-11-2012_10_'!D1902,"AAAAAFezy0E=")</f>
        <v>#VALUE!</v>
      </c>
      <c r="BO127" t="e">
        <f>AND('Planilla_General_29-11-2012_10_'!E1902,"AAAAAFezy0I=")</f>
        <v>#VALUE!</v>
      </c>
      <c r="BP127" t="e">
        <f>AND('Planilla_General_29-11-2012_10_'!F1902,"AAAAAFezy0M=")</f>
        <v>#VALUE!</v>
      </c>
      <c r="BQ127" t="e">
        <f>AND('Planilla_General_29-11-2012_10_'!G1902,"AAAAAFezy0Q=")</f>
        <v>#VALUE!</v>
      </c>
      <c r="BR127" t="e">
        <f>AND('Planilla_General_29-11-2012_10_'!H1902,"AAAAAFezy0U=")</f>
        <v>#VALUE!</v>
      </c>
      <c r="BS127" t="e">
        <f>AND('Planilla_General_29-11-2012_10_'!I1902,"AAAAAFezy0Y=")</f>
        <v>#VALUE!</v>
      </c>
      <c r="BT127" t="e">
        <f>AND('Planilla_General_29-11-2012_10_'!J1902,"AAAAAFezy0c=")</f>
        <v>#VALUE!</v>
      </c>
      <c r="BU127" t="e">
        <f>AND('Planilla_General_29-11-2012_10_'!K1902,"AAAAAFezy0g=")</f>
        <v>#VALUE!</v>
      </c>
      <c r="BV127" t="e">
        <f>AND('Planilla_General_29-11-2012_10_'!L1902,"AAAAAFezy0k=")</f>
        <v>#VALUE!</v>
      </c>
      <c r="BW127" t="e">
        <f>AND('Planilla_General_29-11-2012_10_'!M1902,"AAAAAFezy0o=")</f>
        <v>#VALUE!</v>
      </c>
      <c r="BX127" t="e">
        <f>AND('Planilla_General_29-11-2012_10_'!N1902,"AAAAAFezy0s=")</f>
        <v>#VALUE!</v>
      </c>
      <c r="BY127" t="e">
        <f>AND('Planilla_General_29-11-2012_10_'!O1902,"AAAAAFezy0w=")</f>
        <v>#VALUE!</v>
      </c>
      <c r="BZ127" t="e">
        <f>AND('Planilla_General_29-11-2012_10_'!P1902,"AAAAAFezy00=")</f>
        <v>#VALUE!</v>
      </c>
      <c r="CA127">
        <f>IF('Planilla_General_29-11-2012_10_'!1903:1903,"AAAAAFezy04=",0)</f>
        <v>0</v>
      </c>
      <c r="CB127" t="e">
        <f>AND('Planilla_General_29-11-2012_10_'!A1903,"AAAAAFezy08=")</f>
        <v>#VALUE!</v>
      </c>
      <c r="CC127" t="e">
        <f>AND('Planilla_General_29-11-2012_10_'!B1903,"AAAAAFezy1A=")</f>
        <v>#VALUE!</v>
      </c>
      <c r="CD127" t="e">
        <f>AND('Planilla_General_29-11-2012_10_'!C1903,"AAAAAFezy1E=")</f>
        <v>#VALUE!</v>
      </c>
      <c r="CE127" t="e">
        <f>AND('Planilla_General_29-11-2012_10_'!D1903,"AAAAAFezy1I=")</f>
        <v>#VALUE!</v>
      </c>
      <c r="CF127" t="e">
        <f>AND('Planilla_General_29-11-2012_10_'!E1903,"AAAAAFezy1M=")</f>
        <v>#VALUE!</v>
      </c>
      <c r="CG127" t="e">
        <f>AND('Planilla_General_29-11-2012_10_'!F1903,"AAAAAFezy1Q=")</f>
        <v>#VALUE!</v>
      </c>
      <c r="CH127" t="e">
        <f>AND('Planilla_General_29-11-2012_10_'!G1903,"AAAAAFezy1U=")</f>
        <v>#VALUE!</v>
      </c>
      <c r="CI127" t="e">
        <f>AND('Planilla_General_29-11-2012_10_'!H1903,"AAAAAFezy1Y=")</f>
        <v>#VALUE!</v>
      </c>
      <c r="CJ127" t="e">
        <f>AND('Planilla_General_29-11-2012_10_'!I1903,"AAAAAFezy1c=")</f>
        <v>#VALUE!</v>
      </c>
      <c r="CK127" t="e">
        <f>AND('Planilla_General_29-11-2012_10_'!J1903,"AAAAAFezy1g=")</f>
        <v>#VALUE!</v>
      </c>
      <c r="CL127" t="e">
        <f>AND('Planilla_General_29-11-2012_10_'!K1903,"AAAAAFezy1k=")</f>
        <v>#VALUE!</v>
      </c>
      <c r="CM127" t="e">
        <f>AND('Planilla_General_29-11-2012_10_'!L1903,"AAAAAFezy1o=")</f>
        <v>#VALUE!</v>
      </c>
      <c r="CN127" t="e">
        <f>AND('Planilla_General_29-11-2012_10_'!M1903,"AAAAAFezy1s=")</f>
        <v>#VALUE!</v>
      </c>
      <c r="CO127" t="e">
        <f>AND('Planilla_General_29-11-2012_10_'!N1903,"AAAAAFezy1w=")</f>
        <v>#VALUE!</v>
      </c>
      <c r="CP127" t="e">
        <f>AND('Planilla_General_29-11-2012_10_'!O1903,"AAAAAFezy10=")</f>
        <v>#VALUE!</v>
      </c>
      <c r="CQ127" t="e">
        <f>AND('Planilla_General_29-11-2012_10_'!P1903,"AAAAAFezy14=")</f>
        <v>#VALUE!</v>
      </c>
      <c r="CR127">
        <f>IF('Planilla_General_29-11-2012_10_'!1904:1904,"AAAAAFezy18=",0)</f>
        <v>0</v>
      </c>
      <c r="CS127" t="e">
        <f>AND('Planilla_General_29-11-2012_10_'!A1904,"AAAAAFezy2A=")</f>
        <v>#VALUE!</v>
      </c>
      <c r="CT127" t="e">
        <f>AND('Planilla_General_29-11-2012_10_'!B1904,"AAAAAFezy2E=")</f>
        <v>#VALUE!</v>
      </c>
      <c r="CU127" t="e">
        <f>AND('Planilla_General_29-11-2012_10_'!C1904,"AAAAAFezy2I=")</f>
        <v>#VALUE!</v>
      </c>
      <c r="CV127" t="e">
        <f>AND('Planilla_General_29-11-2012_10_'!D1904,"AAAAAFezy2M=")</f>
        <v>#VALUE!</v>
      </c>
      <c r="CW127" t="e">
        <f>AND('Planilla_General_29-11-2012_10_'!E1904,"AAAAAFezy2Q=")</f>
        <v>#VALUE!</v>
      </c>
      <c r="CX127" t="e">
        <f>AND('Planilla_General_29-11-2012_10_'!F1904,"AAAAAFezy2U=")</f>
        <v>#VALUE!</v>
      </c>
      <c r="CY127" t="e">
        <f>AND('Planilla_General_29-11-2012_10_'!G1904,"AAAAAFezy2Y=")</f>
        <v>#VALUE!</v>
      </c>
      <c r="CZ127" t="e">
        <f>AND('Planilla_General_29-11-2012_10_'!H1904,"AAAAAFezy2c=")</f>
        <v>#VALUE!</v>
      </c>
      <c r="DA127" t="e">
        <f>AND('Planilla_General_29-11-2012_10_'!I1904,"AAAAAFezy2g=")</f>
        <v>#VALUE!</v>
      </c>
      <c r="DB127" t="e">
        <f>AND('Planilla_General_29-11-2012_10_'!J1904,"AAAAAFezy2k=")</f>
        <v>#VALUE!</v>
      </c>
      <c r="DC127" t="e">
        <f>AND('Planilla_General_29-11-2012_10_'!K1904,"AAAAAFezy2o=")</f>
        <v>#VALUE!</v>
      </c>
      <c r="DD127" t="e">
        <f>AND('Planilla_General_29-11-2012_10_'!L1904,"AAAAAFezy2s=")</f>
        <v>#VALUE!</v>
      </c>
      <c r="DE127" t="e">
        <f>AND('Planilla_General_29-11-2012_10_'!M1904,"AAAAAFezy2w=")</f>
        <v>#VALUE!</v>
      </c>
      <c r="DF127" t="e">
        <f>AND('Planilla_General_29-11-2012_10_'!N1904,"AAAAAFezy20=")</f>
        <v>#VALUE!</v>
      </c>
      <c r="DG127" t="e">
        <f>AND('Planilla_General_29-11-2012_10_'!O1904,"AAAAAFezy24=")</f>
        <v>#VALUE!</v>
      </c>
      <c r="DH127" t="e">
        <f>AND('Planilla_General_29-11-2012_10_'!P1904,"AAAAAFezy28=")</f>
        <v>#VALUE!</v>
      </c>
      <c r="DI127">
        <f>IF('Planilla_General_29-11-2012_10_'!1905:1905,"AAAAAFezy3A=",0)</f>
        <v>0</v>
      </c>
      <c r="DJ127" t="e">
        <f>AND('Planilla_General_29-11-2012_10_'!A1905,"AAAAAFezy3E=")</f>
        <v>#VALUE!</v>
      </c>
      <c r="DK127" t="e">
        <f>AND('Planilla_General_29-11-2012_10_'!B1905,"AAAAAFezy3I=")</f>
        <v>#VALUE!</v>
      </c>
      <c r="DL127" t="e">
        <f>AND('Planilla_General_29-11-2012_10_'!C1905,"AAAAAFezy3M=")</f>
        <v>#VALUE!</v>
      </c>
      <c r="DM127" t="e">
        <f>AND('Planilla_General_29-11-2012_10_'!D1905,"AAAAAFezy3Q=")</f>
        <v>#VALUE!</v>
      </c>
      <c r="DN127" t="e">
        <f>AND('Planilla_General_29-11-2012_10_'!E1905,"AAAAAFezy3U=")</f>
        <v>#VALUE!</v>
      </c>
      <c r="DO127" t="e">
        <f>AND('Planilla_General_29-11-2012_10_'!F1905,"AAAAAFezy3Y=")</f>
        <v>#VALUE!</v>
      </c>
      <c r="DP127" t="e">
        <f>AND('Planilla_General_29-11-2012_10_'!G1905,"AAAAAFezy3c=")</f>
        <v>#VALUE!</v>
      </c>
      <c r="DQ127" t="e">
        <f>AND('Planilla_General_29-11-2012_10_'!H1905,"AAAAAFezy3g=")</f>
        <v>#VALUE!</v>
      </c>
      <c r="DR127" t="e">
        <f>AND('Planilla_General_29-11-2012_10_'!I1905,"AAAAAFezy3k=")</f>
        <v>#VALUE!</v>
      </c>
      <c r="DS127" t="e">
        <f>AND('Planilla_General_29-11-2012_10_'!J1905,"AAAAAFezy3o=")</f>
        <v>#VALUE!</v>
      </c>
      <c r="DT127" t="e">
        <f>AND('Planilla_General_29-11-2012_10_'!K1905,"AAAAAFezy3s=")</f>
        <v>#VALUE!</v>
      </c>
      <c r="DU127" t="e">
        <f>AND('Planilla_General_29-11-2012_10_'!L1905,"AAAAAFezy3w=")</f>
        <v>#VALUE!</v>
      </c>
      <c r="DV127" t="e">
        <f>AND('Planilla_General_29-11-2012_10_'!M1905,"AAAAAFezy30=")</f>
        <v>#VALUE!</v>
      </c>
      <c r="DW127" t="e">
        <f>AND('Planilla_General_29-11-2012_10_'!N1905,"AAAAAFezy34=")</f>
        <v>#VALUE!</v>
      </c>
      <c r="DX127" t="e">
        <f>AND('Planilla_General_29-11-2012_10_'!O1905,"AAAAAFezy38=")</f>
        <v>#VALUE!</v>
      </c>
      <c r="DY127" t="e">
        <f>AND('Planilla_General_29-11-2012_10_'!P1905,"AAAAAFezy4A=")</f>
        <v>#VALUE!</v>
      </c>
      <c r="DZ127">
        <f>IF('Planilla_General_29-11-2012_10_'!1906:1906,"AAAAAFezy4E=",0)</f>
        <v>0</v>
      </c>
      <c r="EA127" t="e">
        <f>AND('Planilla_General_29-11-2012_10_'!A1906,"AAAAAFezy4I=")</f>
        <v>#VALUE!</v>
      </c>
      <c r="EB127" t="e">
        <f>AND('Planilla_General_29-11-2012_10_'!B1906,"AAAAAFezy4M=")</f>
        <v>#VALUE!</v>
      </c>
      <c r="EC127" t="e">
        <f>AND('Planilla_General_29-11-2012_10_'!C1906,"AAAAAFezy4Q=")</f>
        <v>#VALUE!</v>
      </c>
      <c r="ED127" t="e">
        <f>AND('Planilla_General_29-11-2012_10_'!D1906,"AAAAAFezy4U=")</f>
        <v>#VALUE!</v>
      </c>
      <c r="EE127" t="e">
        <f>AND('Planilla_General_29-11-2012_10_'!E1906,"AAAAAFezy4Y=")</f>
        <v>#VALUE!</v>
      </c>
      <c r="EF127" t="e">
        <f>AND('Planilla_General_29-11-2012_10_'!F1906,"AAAAAFezy4c=")</f>
        <v>#VALUE!</v>
      </c>
      <c r="EG127" t="e">
        <f>AND('Planilla_General_29-11-2012_10_'!G1906,"AAAAAFezy4g=")</f>
        <v>#VALUE!</v>
      </c>
      <c r="EH127" t="e">
        <f>AND('Planilla_General_29-11-2012_10_'!H1906,"AAAAAFezy4k=")</f>
        <v>#VALUE!</v>
      </c>
      <c r="EI127" t="e">
        <f>AND('Planilla_General_29-11-2012_10_'!I1906,"AAAAAFezy4o=")</f>
        <v>#VALUE!</v>
      </c>
      <c r="EJ127" t="e">
        <f>AND('Planilla_General_29-11-2012_10_'!J1906,"AAAAAFezy4s=")</f>
        <v>#VALUE!</v>
      </c>
      <c r="EK127" t="e">
        <f>AND('Planilla_General_29-11-2012_10_'!K1906,"AAAAAFezy4w=")</f>
        <v>#VALUE!</v>
      </c>
      <c r="EL127" t="e">
        <f>AND('Planilla_General_29-11-2012_10_'!L1906,"AAAAAFezy40=")</f>
        <v>#VALUE!</v>
      </c>
      <c r="EM127" t="e">
        <f>AND('Planilla_General_29-11-2012_10_'!M1906,"AAAAAFezy44=")</f>
        <v>#VALUE!</v>
      </c>
      <c r="EN127" t="e">
        <f>AND('Planilla_General_29-11-2012_10_'!N1906,"AAAAAFezy48=")</f>
        <v>#VALUE!</v>
      </c>
      <c r="EO127" t="e">
        <f>AND('Planilla_General_29-11-2012_10_'!O1906,"AAAAAFezy5A=")</f>
        <v>#VALUE!</v>
      </c>
      <c r="EP127" t="e">
        <f>AND('Planilla_General_29-11-2012_10_'!P1906,"AAAAAFezy5E=")</f>
        <v>#VALUE!</v>
      </c>
      <c r="EQ127">
        <f>IF('Planilla_General_29-11-2012_10_'!1907:1907,"AAAAAFezy5I=",0)</f>
        <v>0</v>
      </c>
      <c r="ER127" t="e">
        <f>AND('Planilla_General_29-11-2012_10_'!A1907,"AAAAAFezy5M=")</f>
        <v>#VALUE!</v>
      </c>
      <c r="ES127" t="e">
        <f>AND('Planilla_General_29-11-2012_10_'!B1907,"AAAAAFezy5Q=")</f>
        <v>#VALUE!</v>
      </c>
      <c r="ET127" t="e">
        <f>AND('Planilla_General_29-11-2012_10_'!C1907,"AAAAAFezy5U=")</f>
        <v>#VALUE!</v>
      </c>
      <c r="EU127" t="e">
        <f>AND('Planilla_General_29-11-2012_10_'!D1907,"AAAAAFezy5Y=")</f>
        <v>#VALUE!</v>
      </c>
      <c r="EV127" t="e">
        <f>AND('Planilla_General_29-11-2012_10_'!E1907,"AAAAAFezy5c=")</f>
        <v>#VALUE!</v>
      </c>
      <c r="EW127" t="e">
        <f>AND('Planilla_General_29-11-2012_10_'!F1907,"AAAAAFezy5g=")</f>
        <v>#VALUE!</v>
      </c>
      <c r="EX127" t="e">
        <f>AND('Planilla_General_29-11-2012_10_'!G1907,"AAAAAFezy5k=")</f>
        <v>#VALUE!</v>
      </c>
      <c r="EY127" t="e">
        <f>AND('Planilla_General_29-11-2012_10_'!H1907,"AAAAAFezy5o=")</f>
        <v>#VALUE!</v>
      </c>
      <c r="EZ127" t="e">
        <f>AND('Planilla_General_29-11-2012_10_'!I1907,"AAAAAFezy5s=")</f>
        <v>#VALUE!</v>
      </c>
      <c r="FA127" t="e">
        <f>AND('Planilla_General_29-11-2012_10_'!J1907,"AAAAAFezy5w=")</f>
        <v>#VALUE!</v>
      </c>
      <c r="FB127" t="e">
        <f>AND('Planilla_General_29-11-2012_10_'!K1907,"AAAAAFezy50=")</f>
        <v>#VALUE!</v>
      </c>
      <c r="FC127" t="e">
        <f>AND('Planilla_General_29-11-2012_10_'!L1907,"AAAAAFezy54=")</f>
        <v>#VALUE!</v>
      </c>
      <c r="FD127" t="e">
        <f>AND('Planilla_General_29-11-2012_10_'!M1907,"AAAAAFezy58=")</f>
        <v>#VALUE!</v>
      </c>
      <c r="FE127" t="e">
        <f>AND('Planilla_General_29-11-2012_10_'!N1907,"AAAAAFezy6A=")</f>
        <v>#VALUE!</v>
      </c>
      <c r="FF127" t="e">
        <f>AND('Planilla_General_29-11-2012_10_'!O1907,"AAAAAFezy6E=")</f>
        <v>#VALUE!</v>
      </c>
      <c r="FG127" t="e">
        <f>AND('Planilla_General_29-11-2012_10_'!P1907,"AAAAAFezy6I=")</f>
        <v>#VALUE!</v>
      </c>
      <c r="FH127">
        <f>IF('Planilla_General_29-11-2012_10_'!1908:1908,"AAAAAFezy6M=",0)</f>
        <v>0</v>
      </c>
      <c r="FI127" t="e">
        <f>AND('Planilla_General_29-11-2012_10_'!A1908,"AAAAAFezy6Q=")</f>
        <v>#VALUE!</v>
      </c>
      <c r="FJ127" t="e">
        <f>AND('Planilla_General_29-11-2012_10_'!B1908,"AAAAAFezy6U=")</f>
        <v>#VALUE!</v>
      </c>
      <c r="FK127" t="e">
        <f>AND('Planilla_General_29-11-2012_10_'!C1908,"AAAAAFezy6Y=")</f>
        <v>#VALUE!</v>
      </c>
      <c r="FL127" t="e">
        <f>AND('Planilla_General_29-11-2012_10_'!D1908,"AAAAAFezy6c=")</f>
        <v>#VALUE!</v>
      </c>
      <c r="FM127" t="e">
        <f>AND('Planilla_General_29-11-2012_10_'!E1908,"AAAAAFezy6g=")</f>
        <v>#VALUE!</v>
      </c>
      <c r="FN127" t="e">
        <f>AND('Planilla_General_29-11-2012_10_'!F1908,"AAAAAFezy6k=")</f>
        <v>#VALUE!</v>
      </c>
      <c r="FO127" t="e">
        <f>AND('Planilla_General_29-11-2012_10_'!G1908,"AAAAAFezy6o=")</f>
        <v>#VALUE!</v>
      </c>
      <c r="FP127" t="e">
        <f>AND('Planilla_General_29-11-2012_10_'!H1908,"AAAAAFezy6s=")</f>
        <v>#VALUE!</v>
      </c>
      <c r="FQ127" t="e">
        <f>AND('Planilla_General_29-11-2012_10_'!I1908,"AAAAAFezy6w=")</f>
        <v>#VALUE!</v>
      </c>
      <c r="FR127" t="e">
        <f>AND('Planilla_General_29-11-2012_10_'!J1908,"AAAAAFezy60=")</f>
        <v>#VALUE!</v>
      </c>
      <c r="FS127" t="e">
        <f>AND('Planilla_General_29-11-2012_10_'!K1908,"AAAAAFezy64=")</f>
        <v>#VALUE!</v>
      </c>
      <c r="FT127" t="e">
        <f>AND('Planilla_General_29-11-2012_10_'!L1908,"AAAAAFezy68=")</f>
        <v>#VALUE!</v>
      </c>
      <c r="FU127" t="e">
        <f>AND('Planilla_General_29-11-2012_10_'!M1908,"AAAAAFezy7A=")</f>
        <v>#VALUE!</v>
      </c>
      <c r="FV127" t="e">
        <f>AND('Planilla_General_29-11-2012_10_'!N1908,"AAAAAFezy7E=")</f>
        <v>#VALUE!</v>
      </c>
      <c r="FW127" t="e">
        <f>AND('Planilla_General_29-11-2012_10_'!O1908,"AAAAAFezy7I=")</f>
        <v>#VALUE!</v>
      </c>
      <c r="FX127" t="e">
        <f>AND('Planilla_General_29-11-2012_10_'!P1908,"AAAAAFezy7M=")</f>
        <v>#VALUE!</v>
      </c>
      <c r="FY127">
        <f>IF('Planilla_General_29-11-2012_10_'!1909:1909,"AAAAAFezy7Q=",0)</f>
        <v>0</v>
      </c>
      <c r="FZ127" t="e">
        <f>AND('Planilla_General_29-11-2012_10_'!A1909,"AAAAAFezy7U=")</f>
        <v>#VALUE!</v>
      </c>
      <c r="GA127" t="e">
        <f>AND('Planilla_General_29-11-2012_10_'!B1909,"AAAAAFezy7Y=")</f>
        <v>#VALUE!</v>
      </c>
      <c r="GB127" t="e">
        <f>AND('Planilla_General_29-11-2012_10_'!C1909,"AAAAAFezy7c=")</f>
        <v>#VALUE!</v>
      </c>
      <c r="GC127" t="e">
        <f>AND('Planilla_General_29-11-2012_10_'!D1909,"AAAAAFezy7g=")</f>
        <v>#VALUE!</v>
      </c>
      <c r="GD127" t="e">
        <f>AND('Planilla_General_29-11-2012_10_'!E1909,"AAAAAFezy7k=")</f>
        <v>#VALUE!</v>
      </c>
      <c r="GE127" t="e">
        <f>AND('Planilla_General_29-11-2012_10_'!F1909,"AAAAAFezy7o=")</f>
        <v>#VALUE!</v>
      </c>
      <c r="GF127" t="e">
        <f>AND('Planilla_General_29-11-2012_10_'!G1909,"AAAAAFezy7s=")</f>
        <v>#VALUE!</v>
      </c>
      <c r="GG127" t="e">
        <f>AND('Planilla_General_29-11-2012_10_'!H1909,"AAAAAFezy7w=")</f>
        <v>#VALUE!</v>
      </c>
      <c r="GH127" t="e">
        <f>AND('Planilla_General_29-11-2012_10_'!I1909,"AAAAAFezy70=")</f>
        <v>#VALUE!</v>
      </c>
      <c r="GI127" t="e">
        <f>AND('Planilla_General_29-11-2012_10_'!J1909,"AAAAAFezy74=")</f>
        <v>#VALUE!</v>
      </c>
      <c r="GJ127" t="e">
        <f>AND('Planilla_General_29-11-2012_10_'!K1909,"AAAAAFezy78=")</f>
        <v>#VALUE!</v>
      </c>
      <c r="GK127" t="e">
        <f>AND('Planilla_General_29-11-2012_10_'!L1909,"AAAAAFezy8A=")</f>
        <v>#VALUE!</v>
      </c>
      <c r="GL127" t="e">
        <f>AND('Planilla_General_29-11-2012_10_'!M1909,"AAAAAFezy8E=")</f>
        <v>#VALUE!</v>
      </c>
      <c r="GM127" t="e">
        <f>AND('Planilla_General_29-11-2012_10_'!N1909,"AAAAAFezy8I=")</f>
        <v>#VALUE!</v>
      </c>
      <c r="GN127" t="e">
        <f>AND('Planilla_General_29-11-2012_10_'!O1909,"AAAAAFezy8M=")</f>
        <v>#VALUE!</v>
      </c>
      <c r="GO127" t="e">
        <f>AND('Planilla_General_29-11-2012_10_'!P1909,"AAAAAFezy8Q=")</f>
        <v>#VALUE!</v>
      </c>
      <c r="GP127">
        <f>IF('Planilla_General_29-11-2012_10_'!1910:1910,"AAAAAFezy8U=",0)</f>
        <v>0</v>
      </c>
      <c r="GQ127" t="e">
        <f>AND('Planilla_General_29-11-2012_10_'!A1910,"AAAAAFezy8Y=")</f>
        <v>#VALUE!</v>
      </c>
      <c r="GR127" t="e">
        <f>AND('Planilla_General_29-11-2012_10_'!B1910,"AAAAAFezy8c=")</f>
        <v>#VALUE!</v>
      </c>
      <c r="GS127" t="e">
        <f>AND('Planilla_General_29-11-2012_10_'!C1910,"AAAAAFezy8g=")</f>
        <v>#VALUE!</v>
      </c>
      <c r="GT127" t="e">
        <f>AND('Planilla_General_29-11-2012_10_'!D1910,"AAAAAFezy8k=")</f>
        <v>#VALUE!</v>
      </c>
      <c r="GU127" t="e">
        <f>AND('Planilla_General_29-11-2012_10_'!E1910,"AAAAAFezy8o=")</f>
        <v>#VALUE!</v>
      </c>
      <c r="GV127" t="e">
        <f>AND('Planilla_General_29-11-2012_10_'!F1910,"AAAAAFezy8s=")</f>
        <v>#VALUE!</v>
      </c>
      <c r="GW127" t="e">
        <f>AND('Planilla_General_29-11-2012_10_'!G1910,"AAAAAFezy8w=")</f>
        <v>#VALUE!</v>
      </c>
      <c r="GX127" t="e">
        <f>AND('Planilla_General_29-11-2012_10_'!H1910,"AAAAAFezy80=")</f>
        <v>#VALUE!</v>
      </c>
      <c r="GY127" t="e">
        <f>AND('Planilla_General_29-11-2012_10_'!I1910,"AAAAAFezy84=")</f>
        <v>#VALUE!</v>
      </c>
      <c r="GZ127" t="e">
        <f>AND('Planilla_General_29-11-2012_10_'!J1910,"AAAAAFezy88=")</f>
        <v>#VALUE!</v>
      </c>
      <c r="HA127" t="e">
        <f>AND('Planilla_General_29-11-2012_10_'!K1910,"AAAAAFezy9A=")</f>
        <v>#VALUE!</v>
      </c>
      <c r="HB127" t="e">
        <f>AND('Planilla_General_29-11-2012_10_'!L1910,"AAAAAFezy9E=")</f>
        <v>#VALUE!</v>
      </c>
      <c r="HC127" t="e">
        <f>AND('Planilla_General_29-11-2012_10_'!M1910,"AAAAAFezy9I=")</f>
        <v>#VALUE!</v>
      </c>
      <c r="HD127" t="e">
        <f>AND('Planilla_General_29-11-2012_10_'!N1910,"AAAAAFezy9M=")</f>
        <v>#VALUE!</v>
      </c>
      <c r="HE127" t="e">
        <f>AND('Planilla_General_29-11-2012_10_'!O1910,"AAAAAFezy9Q=")</f>
        <v>#VALUE!</v>
      </c>
      <c r="HF127" t="e">
        <f>AND('Planilla_General_29-11-2012_10_'!P1910,"AAAAAFezy9U=")</f>
        <v>#VALUE!</v>
      </c>
      <c r="HG127">
        <f>IF('Planilla_General_29-11-2012_10_'!1911:1911,"AAAAAFezy9Y=",0)</f>
        <v>0</v>
      </c>
      <c r="HH127" t="e">
        <f>AND('Planilla_General_29-11-2012_10_'!A1911,"AAAAAFezy9c=")</f>
        <v>#VALUE!</v>
      </c>
      <c r="HI127" t="e">
        <f>AND('Planilla_General_29-11-2012_10_'!B1911,"AAAAAFezy9g=")</f>
        <v>#VALUE!</v>
      </c>
      <c r="HJ127" t="e">
        <f>AND('Planilla_General_29-11-2012_10_'!C1911,"AAAAAFezy9k=")</f>
        <v>#VALUE!</v>
      </c>
      <c r="HK127" t="e">
        <f>AND('Planilla_General_29-11-2012_10_'!D1911,"AAAAAFezy9o=")</f>
        <v>#VALUE!</v>
      </c>
      <c r="HL127" t="e">
        <f>AND('Planilla_General_29-11-2012_10_'!E1911,"AAAAAFezy9s=")</f>
        <v>#VALUE!</v>
      </c>
      <c r="HM127" t="e">
        <f>AND('Planilla_General_29-11-2012_10_'!F1911,"AAAAAFezy9w=")</f>
        <v>#VALUE!</v>
      </c>
      <c r="HN127" t="e">
        <f>AND('Planilla_General_29-11-2012_10_'!G1911,"AAAAAFezy90=")</f>
        <v>#VALUE!</v>
      </c>
      <c r="HO127" t="e">
        <f>AND('Planilla_General_29-11-2012_10_'!H1911,"AAAAAFezy94=")</f>
        <v>#VALUE!</v>
      </c>
      <c r="HP127" t="e">
        <f>AND('Planilla_General_29-11-2012_10_'!I1911,"AAAAAFezy98=")</f>
        <v>#VALUE!</v>
      </c>
      <c r="HQ127" t="e">
        <f>AND('Planilla_General_29-11-2012_10_'!J1911,"AAAAAFezy+A=")</f>
        <v>#VALUE!</v>
      </c>
      <c r="HR127" t="e">
        <f>AND('Planilla_General_29-11-2012_10_'!K1911,"AAAAAFezy+E=")</f>
        <v>#VALUE!</v>
      </c>
      <c r="HS127" t="e">
        <f>AND('Planilla_General_29-11-2012_10_'!L1911,"AAAAAFezy+I=")</f>
        <v>#VALUE!</v>
      </c>
      <c r="HT127" t="e">
        <f>AND('Planilla_General_29-11-2012_10_'!M1911,"AAAAAFezy+M=")</f>
        <v>#VALUE!</v>
      </c>
      <c r="HU127" t="e">
        <f>AND('Planilla_General_29-11-2012_10_'!N1911,"AAAAAFezy+Q=")</f>
        <v>#VALUE!</v>
      </c>
      <c r="HV127" t="e">
        <f>AND('Planilla_General_29-11-2012_10_'!O1911,"AAAAAFezy+U=")</f>
        <v>#VALUE!</v>
      </c>
      <c r="HW127" t="e">
        <f>AND('Planilla_General_29-11-2012_10_'!P1911,"AAAAAFezy+Y=")</f>
        <v>#VALUE!</v>
      </c>
      <c r="HX127">
        <f>IF('Planilla_General_29-11-2012_10_'!1912:1912,"AAAAAFezy+c=",0)</f>
        <v>0</v>
      </c>
      <c r="HY127" t="e">
        <f>AND('Planilla_General_29-11-2012_10_'!A1912,"AAAAAFezy+g=")</f>
        <v>#VALUE!</v>
      </c>
      <c r="HZ127" t="e">
        <f>AND('Planilla_General_29-11-2012_10_'!B1912,"AAAAAFezy+k=")</f>
        <v>#VALUE!</v>
      </c>
      <c r="IA127" t="e">
        <f>AND('Planilla_General_29-11-2012_10_'!C1912,"AAAAAFezy+o=")</f>
        <v>#VALUE!</v>
      </c>
      <c r="IB127" t="e">
        <f>AND('Planilla_General_29-11-2012_10_'!D1912,"AAAAAFezy+s=")</f>
        <v>#VALUE!</v>
      </c>
      <c r="IC127" t="e">
        <f>AND('Planilla_General_29-11-2012_10_'!E1912,"AAAAAFezy+w=")</f>
        <v>#VALUE!</v>
      </c>
      <c r="ID127" t="e">
        <f>AND('Planilla_General_29-11-2012_10_'!F1912,"AAAAAFezy+0=")</f>
        <v>#VALUE!</v>
      </c>
      <c r="IE127" t="e">
        <f>AND('Planilla_General_29-11-2012_10_'!G1912,"AAAAAFezy+4=")</f>
        <v>#VALUE!</v>
      </c>
      <c r="IF127" t="e">
        <f>AND('Planilla_General_29-11-2012_10_'!H1912,"AAAAAFezy+8=")</f>
        <v>#VALUE!</v>
      </c>
      <c r="IG127" t="e">
        <f>AND('Planilla_General_29-11-2012_10_'!I1912,"AAAAAFezy/A=")</f>
        <v>#VALUE!</v>
      </c>
      <c r="IH127" t="e">
        <f>AND('Planilla_General_29-11-2012_10_'!J1912,"AAAAAFezy/E=")</f>
        <v>#VALUE!</v>
      </c>
      <c r="II127" t="e">
        <f>AND('Planilla_General_29-11-2012_10_'!K1912,"AAAAAFezy/I=")</f>
        <v>#VALUE!</v>
      </c>
      <c r="IJ127" t="e">
        <f>AND('Planilla_General_29-11-2012_10_'!L1912,"AAAAAFezy/M=")</f>
        <v>#VALUE!</v>
      </c>
      <c r="IK127" t="e">
        <f>AND('Planilla_General_29-11-2012_10_'!M1912,"AAAAAFezy/Q=")</f>
        <v>#VALUE!</v>
      </c>
      <c r="IL127" t="e">
        <f>AND('Planilla_General_29-11-2012_10_'!N1912,"AAAAAFezy/U=")</f>
        <v>#VALUE!</v>
      </c>
      <c r="IM127" t="e">
        <f>AND('Planilla_General_29-11-2012_10_'!O1912,"AAAAAFezy/Y=")</f>
        <v>#VALUE!</v>
      </c>
      <c r="IN127" t="e">
        <f>AND('Planilla_General_29-11-2012_10_'!P1912,"AAAAAFezy/c=")</f>
        <v>#VALUE!</v>
      </c>
      <c r="IO127">
        <f>IF('Planilla_General_29-11-2012_10_'!1913:1913,"AAAAAFezy/g=",0)</f>
        <v>0</v>
      </c>
      <c r="IP127" t="e">
        <f>AND('Planilla_General_29-11-2012_10_'!A1913,"AAAAAFezy/k=")</f>
        <v>#VALUE!</v>
      </c>
      <c r="IQ127" t="e">
        <f>AND('Planilla_General_29-11-2012_10_'!B1913,"AAAAAFezy/o=")</f>
        <v>#VALUE!</v>
      </c>
      <c r="IR127" t="e">
        <f>AND('Planilla_General_29-11-2012_10_'!C1913,"AAAAAFezy/s=")</f>
        <v>#VALUE!</v>
      </c>
      <c r="IS127" t="e">
        <f>AND('Planilla_General_29-11-2012_10_'!D1913,"AAAAAFezy/w=")</f>
        <v>#VALUE!</v>
      </c>
      <c r="IT127" t="e">
        <f>AND('Planilla_General_29-11-2012_10_'!E1913,"AAAAAFezy/0=")</f>
        <v>#VALUE!</v>
      </c>
      <c r="IU127" t="e">
        <f>AND('Planilla_General_29-11-2012_10_'!F1913,"AAAAAFezy/4=")</f>
        <v>#VALUE!</v>
      </c>
      <c r="IV127" t="e">
        <f>AND('Planilla_General_29-11-2012_10_'!G1913,"AAAAAFezy/8=")</f>
        <v>#VALUE!</v>
      </c>
    </row>
    <row r="128" spans="1:256" x14ac:dyDescent="0.25">
      <c r="A128" t="e">
        <f>AND('Planilla_General_29-11-2012_10_'!H1913,"AAAAAFv9cwA=")</f>
        <v>#VALUE!</v>
      </c>
      <c r="B128" t="e">
        <f>AND('Planilla_General_29-11-2012_10_'!I1913,"AAAAAFv9cwE=")</f>
        <v>#VALUE!</v>
      </c>
      <c r="C128" t="e">
        <f>AND('Planilla_General_29-11-2012_10_'!J1913,"AAAAAFv9cwI=")</f>
        <v>#VALUE!</v>
      </c>
      <c r="D128" t="e">
        <f>AND('Planilla_General_29-11-2012_10_'!K1913,"AAAAAFv9cwM=")</f>
        <v>#VALUE!</v>
      </c>
      <c r="E128" t="e">
        <f>AND('Planilla_General_29-11-2012_10_'!L1913,"AAAAAFv9cwQ=")</f>
        <v>#VALUE!</v>
      </c>
      <c r="F128" t="e">
        <f>AND('Planilla_General_29-11-2012_10_'!M1913,"AAAAAFv9cwU=")</f>
        <v>#VALUE!</v>
      </c>
      <c r="G128" t="e">
        <f>AND('Planilla_General_29-11-2012_10_'!N1913,"AAAAAFv9cwY=")</f>
        <v>#VALUE!</v>
      </c>
      <c r="H128" t="e">
        <f>AND('Planilla_General_29-11-2012_10_'!O1913,"AAAAAFv9cwc=")</f>
        <v>#VALUE!</v>
      </c>
      <c r="I128" t="e">
        <f>AND('Planilla_General_29-11-2012_10_'!P1913,"AAAAAFv9cwg=")</f>
        <v>#VALUE!</v>
      </c>
      <c r="J128" t="e">
        <f>IF('Planilla_General_29-11-2012_10_'!1914:1914,"AAAAAFv9cwk=",0)</f>
        <v>#VALUE!</v>
      </c>
      <c r="K128" t="e">
        <f>AND('Planilla_General_29-11-2012_10_'!A1914,"AAAAAFv9cwo=")</f>
        <v>#VALUE!</v>
      </c>
      <c r="L128" t="e">
        <f>AND('Planilla_General_29-11-2012_10_'!B1914,"AAAAAFv9cws=")</f>
        <v>#VALUE!</v>
      </c>
      <c r="M128" t="e">
        <f>AND('Planilla_General_29-11-2012_10_'!C1914,"AAAAAFv9cww=")</f>
        <v>#VALUE!</v>
      </c>
      <c r="N128" t="e">
        <f>AND('Planilla_General_29-11-2012_10_'!D1914,"AAAAAFv9cw0=")</f>
        <v>#VALUE!</v>
      </c>
      <c r="O128" t="e">
        <f>AND('Planilla_General_29-11-2012_10_'!E1914,"AAAAAFv9cw4=")</f>
        <v>#VALUE!</v>
      </c>
      <c r="P128" t="e">
        <f>AND('Planilla_General_29-11-2012_10_'!F1914,"AAAAAFv9cw8=")</f>
        <v>#VALUE!</v>
      </c>
      <c r="Q128" t="e">
        <f>AND('Planilla_General_29-11-2012_10_'!G1914,"AAAAAFv9cxA=")</f>
        <v>#VALUE!</v>
      </c>
      <c r="R128" t="e">
        <f>AND('Planilla_General_29-11-2012_10_'!H1914,"AAAAAFv9cxE=")</f>
        <v>#VALUE!</v>
      </c>
      <c r="S128" t="e">
        <f>AND('Planilla_General_29-11-2012_10_'!I1914,"AAAAAFv9cxI=")</f>
        <v>#VALUE!</v>
      </c>
      <c r="T128" t="e">
        <f>AND('Planilla_General_29-11-2012_10_'!J1914,"AAAAAFv9cxM=")</f>
        <v>#VALUE!</v>
      </c>
      <c r="U128" t="e">
        <f>AND('Planilla_General_29-11-2012_10_'!K1914,"AAAAAFv9cxQ=")</f>
        <v>#VALUE!</v>
      </c>
      <c r="V128" t="e">
        <f>AND('Planilla_General_29-11-2012_10_'!L1914,"AAAAAFv9cxU=")</f>
        <v>#VALUE!</v>
      </c>
      <c r="W128" t="e">
        <f>AND('Planilla_General_29-11-2012_10_'!M1914,"AAAAAFv9cxY=")</f>
        <v>#VALUE!</v>
      </c>
      <c r="X128" t="e">
        <f>AND('Planilla_General_29-11-2012_10_'!N1914,"AAAAAFv9cxc=")</f>
        <v>#VALUE!</v>
      </c>
      <c r="Y128" t="e">
        <f>AND('Planilla_General_29-11-2012_10_'!O1914,"AAAAAFv9cxg=")</f>
        <v>#VALUE!</v>
      </c>
      <c r="Z128" t="e">
        <f>AND('Planilla_General_29-11-2012_10_'!P1914,"AAAAAFv9cxk=")</f>
        <v>#VALUE!</v>
      </c>
      <c r="AA128">
        <f>IF('Planilla_General_29-11-2012_10_'!1915:1915,"AAAAAFv9cxo=",0)</f>
        <v>0</v>
      </c>
      <c r="AB128" t="e">
        <f>AND('Planilla_General_29-11-2012_10_'!A1915,"AAAAAFv9cxs=")</f>
        <v>#VALUE!</v>
      </c>
      <c r="AC128" t="e">
        <f>AND('Planilla_General_29-11-2012_10_'!B1915,"AAAAAFv9cxw=")</f>
        <v>#VALUE!</v>
      </c>
      <c r="AD128" t="e">
        <f>AND('Planilla_General_29-11-2012_10_'!C1915,"AAAAAFv9cx0=")</f>
        <v>#VALUE!</v>
      </c>
      <c r="AE128" t="e">
        <f>AND('Planilla_General_29-11-2012_10_'!D1915,"AAAAAFv9cx4=")</f>
        <v>#VALUE!</v>
      </c>
      <c r="AF128" t="e">
        <f>AND('Planilla_General_29-11-2012_10_'!E1915,"AAAAAFv9cx8=")</f>
        <v>#VALUE!</v>
      </c>
      <c r="AG128" t="e">
        <f>AND('Planilla_General_29-11-2012_10_'!F1915,"AAAAAFv9cyA=")</f>
        <v>#VALUE!</v>
      </c>
      <c r="AH128" t="e">
        <f>AND('Planilla_General_29-11-2012_10_'!G1915,"AAAAAFv9cyE=")</f>
        <v>#VALUE!</v>
      </c>
      <c r="AI128" t="e">
        <f>AND('Planilla_General_29-11-2012_10_'!H1915,"AAAAAFv9cyI=")</f>
        <v>#VALUE!</v>
      </c>
      <c r="AJ128" t="e">
        <f>AND('Planilla_General_29-11-2012_10_'!I1915,"AAAAAFv9cyM=")</f>
        <v>#VALUE!</v>
      </c>
      <c r="AK128" t="e">
        <f>AND('Planilla_General_29-11-2012_10_'!J1915,"AAAAAFv9cyQ=")</f>
        <v>#VALUE!</v>
      </c>
      <c r="AL128" t="e">
        <f>AND('Planilla_General_29-11-2012_10_'!K1915,"AAAAAFv9cyU=")</f>
        <v>#VALUE!</v>
      </c>
      <c r="AM128" t="e">
        <f>AND('Planilla_General_29-11-2012_10_'!L1915,"AAAAAFv9cyY=")</f>
        <v>#VALUE!</v>
      </c>
      <c r="AN128" t="e">
        <f>AND('Planilla_General_29-11-2012_10_'!M1915,"AAAAAFv9cyc=")</f>
        <v>#VALUE!</v>
      </c>
      <c r="AO128" t="e">
        <f>AND('Planilla_General_29-11-2012_10_'!N1915,"AAAAAFv9cyg=")</f>
        <v>#VALUE!</v>
      </c>
      <c r="AP128" t="e">
        <f>AND('Planilla_General_29-11-2012_10_'!O1915,"AAAAAFv9cyk=")</f>
        <v>#VALUE!</v>
      </c>
      <c r="AQ128" t="e">
        <f>AND('Planilla_General_29-11-2012_10_'!P1915,"AAAAAFv9cyo=")</f>
        <v>#VALUE!</v>
      </c>
      <c r="AR128">
        <f>IF('Planilla_General_29-11-2012_10_'!1916:1916,"AAAAAFv9cys=",0)</f>
        <v>0</v>
      </c>
      <c r="AS128" t="e">
        <f>AND('Planilla_General_29-11-2012_10_'!A1916,"AAAAAFv9cyw=")</f>
        <v>#VALUE!</v>
      </c>
      <c r="AT128" t="e">
        <f>AND('Planilla_General_29-11-2012_10_'!B1916,"AAAAAFv9cy0=")</f>
        <v>#VALUE!</v>
      </c>
      <c r="AU128" t="e">
        <f>AND('Planilla_General_29-11-2012_10_'!C1916,"AAAAAFv9cy4=")</f>
        <v>#VALUE!</v>
      </c>
      <c r="AV128" t="e">
        <f>AND('Planilla_General_29-11-2012_10_'!D1916,"AAAAAFv9cy8=")</f>
        <v>#VALUE!</v>
      </c>
      <c r="AW128" t="e">
        <f>AND('Planilla_General_29-11-2012_10_'!E1916,"AAAAAFv9czA=")</f>
        <v>#VALUE!</v>
      </c>
      <c r="AX128" t="e">
        <f>AND('Planilla_General_29-11-2012_10_'!F1916,"AAAAAFv9czE=")</f>
        <v>#VALUE!</v>
      </c>
      <c r="AY128" t="e">
        <f>AND('Planilla_General_29-11-2012_10_'!G1916,"AAAAAFv9czI=")</f>
        <v>#VALUE!</v>
      </c>
      <c r="AZ128" t="e">
        <f>AND('Planilla_General_29-11-2012_10_'!H1916,"AAAAAFv9czM=")</f>
        <v>#VALUE!</v>
      </c>
      <c r="BA128" t="e">
        <f>AND('Planilla_General_29-11-2012_10_'!I1916,"AAAAAFv9czQ=")</f>
        <v>#VALUE!</v>
      </c>
      <c r="BB128" t="e">
        <f>AND('Planilla_General_29-11-2012_10_'!J1916,"AAAAAFv9czU=")</f>
        <v>#VALUE!</v>
      </c>
      <c r="BC128" t="e">
        <f>AND('Planilla_General_29-11-2012_10_'!K1916,"AAAAAFv9czY=")</f>
        <v>#VALUE!</v>
      </c>
      <c r="BD128" t="e">
        <f>AND('Planilla_General_29-11-2012_10_'!L1916,"AAAAAFv9czc=")</f>
        <v>#VALUE!</v>
      </c>
      <c r="BE128" t="e">
        <f>AND('Planilla_General_29-11-2012_10_'!M1916,"AAAAAFv9czg=")</f>
        <v>#VALUE!</v>
      </c>
      <c r="BF128" t="e">
        <f>AND('Planilla_General_29-11-2012_10_'!N1916,"AAAAAFv9czk=")</f>
        <v>#VALUE!</v>
      </c>
      <c r="BG128" t="e">
        <f>AND('Planilla_General_29-11-2012_10_'!O1916,"AAAAAFv9czo=")</f>
        <v>#VALUE!</v>
      </c>
      <c r="BH128" t="e">
        <f>AND('Planilla_General_29-11-2012_10_'!P1916,"AAAAAFv9czs=")</f>
        <v>#VALUE!</v>
      </c>
      <c r="BI128">
        <f>IF('Planilla_General_29-11-2012_10_'!1917:1917,"AAAAAFv9czw=",0)</f>
        <v>0</v>
      </c>
      <c r="BJ128" t="e">
        <f>AND('Planilla_General_29-11-2012_10_'!A1917,"AAAAAFv9cz0=")</f>
        <v>#VALUE!</v>
      </c>
      <c r="BK128" t="e">
        <f>AND('Planilla_General_29-11-2012_10_'!B1917,"AAAAAFv9cz4=")</f>
        <v>#VALUE!</v>
      </c>
      <c r="BL128" t="e">
        <f>AND('Planilla_General_29-11-2012_10_'!C1917,"AAAAAFv9cz8=")</f>
        <v>#VALUE!</v>
      </c>
      <c r="BM128" t="e">
        <f>AND('Planilla_General_29-11-2012_10_'!D1917,"AAAAAFv9c0A=")</f>
        <v>#VALUE!</v>
      </c>
      <c r="BN128" t="e">
        <f>AND('Planilla_General_29-11-2012_10_'!E1917,"AAAAAFv9c0E=")</f>
        <v>#VALUE!</v>
      </c>
      <c r="BO128" t="e">
        <f>AND('Planilla_General_29-11-2012_10_'!F1917,"AAAAAFv9c0I=")</f>
        <v>#VALUE!</v>
      </c>
      <c r="BP128" t="e">
        <f>AND('Planilla_General_29-11-2012_10_'!G1917,"AAAAAFv9c0M=")</f>
        <v>#VALUE!</v>
      </c>
      <c r="BQ128" t="e">
        <f>AND('Planilla_General_29-11-2012_10_'!H1917,"AAAAAFv9c0Q=")</f>
        <v>#VALUE!</v>
      </c>
      <c r="BR128" t="e">
        <f>AND('Planilla_General_29-11-2012_10_'!I1917,"AAAAAFv9c0U=")</f>
        <v>#VALUE!</v>
      </c>
      <c r="BS128" t="e">
        <f>AND('Planilla_General_29-11-2012_10_'!J1917,"AAAAAFv9c0Y=")</f>
        <v>#VALUE!</v>
      </c>
      <c r="BT128" t="e">
        <f>AND('Planilla_General_29-11-2012_10_'!K1917,"AAAAAFv9c0c=")</f>
        <v>#VALUE!</v>
      </c>
      <c r="BU128" t="e">
        <f>AND('Planilla_General_29-11-2012_10_'!L1917,"AAAAAFv9c0g=")</f>
        <v>#VALUE!</v>
      </c>
      <c r="BV128" t="e">
        <f>AND('Planilla_General_29-11-2012_10_'!M1917,"AAAAAFv9c0k=")</f>
        <v>#VALUE!</v>
      </c>
      <c r="BW128" t="e">
        <f>AND('Planilla_General_29-11-2012_10_'!N1917,"AAAAAFv9c0o=")</f>
        <v>#VALUE!</v>
      </c>
      <c r="BX128" t="e">
        <f>AND('Planilla_General_29-11-2012_10_'!O1917,"AAAAAFv9c0s=")</f>
        <v>#VALUE!</v>
      </c>
      <c r="BY128" t="e">
        <f>AND('Planilla_General_29-11-2012_10_'!P1917,"AAAAAFv9c0w=")</f>
        <v>#VALUE!</v>
      </c>
      <c r="BZ128">
        <f>IF('Planilla_General_29-11-2012_10_'!1918:1918,"AAAAAFv9c00=",0)</f>
        <v>0</v>
      </c>
      <c r="CA128" t="e">
        <f>AND('Planilla_General_29-11-2012_10_'!A1918,"AAAAAFv9c04=")</f>
        <v>#VALUE!</v>
      </c>
      <c r="CB128" t="e">
        <f>AND('Planilla_General_29-11-2012_10_'!B1918,"AAAAAFv9c08=")</f>
        <v>#VALUE!</v>
      </c>
      <c r="CC128" t="e">
        <f>AND('Planilla_General_29-11-2012_10_'!C1918,"AAAAAFv9c1A=")</f>
        <v>#VALUE!</v>
      </c>
      <c r="CD128" t="e">
        <f>AND('Planilla_General_29-11-2012_10_'!D1918,"AAAAAFv9c1E=")</f>
        <v>#VALUE!</v>
      </c>
      <c r="CE128" t="e">
        <f>AND('Planilla_General_29-11-2012_10_'!E1918,"AAAAAFv9c1I=")</f>
        <v>#VALUE!</v>
      </c>
      <c r="CF128" t="e">
        <f>AND('Planilla_General_29-11-2012_10_'!F1918,"AAAAAFv9c1M=")</f>
        <v>#VALUE!</v>
      </c>
      <c r="CG128" t="e">
        <f>AND('Planilla_General_29-11-2012_10_'!G1918,"AAAAAFv9c1Q=")</f>
        <v>#VALUE!</v>
      </c>
      <c r="CH128" t="e">
        <f>AND('Planilla_General_29-11-2012_10_'!H1918,"AAAAAFv9c1U=")</f>
        <v>#VALUE!</v>
      </c>
      <c r="CI128" t="e">
        <f>AND('Planilla_General_29-11-2012_10_'!I1918,"AAAAAFv9c1Y=")</f>
        <v>#VALUE!</v>
      </c>
      <c r="CJ128" t="e">
        <f>AND('Planilla_General_29-11-2012_10_'!J1918,"AAAAAFv9c1c=")</f>
        <v>#VALUE!</v>
      </c>
      <c r="CK128" t="e">
        <f>AND('Planilla_General_29-11-2012_10_'!K1918,"AAAAAFv9c1g=")</f>
        <v>#VALUE!</v>
      </c>
      <c r="CL128" t="e">
        <f>AND('Planilla_General_29-11-2012_10_'!L1918,"AAAAAFv9c1k=")</f>
        <v>#VALUE!</v>
      </c>
      <c r="CM128" t="e">
        <f>AND('Planilla_General_29-11-2012_10_'!M1918,"AAAAAFv9c1o=")</f>
        <v>#VALUE!</v>
      </c>
      <c r="CN128" t="e">
        <f>AND('Planilla_General_29-11-2012_10_'!N1918,"AAAAAFv9c1s=")</f>
        <v>#VALUE!</v>
      </c>
      <c r="CO128" t="e">
        <f>AND('Planilla_General_29-11-2012_10_'!O1918,"AAAAAFv9c1w=")</f>
        <v>#VALUE!</v>
      </c>
      <c r="CP128" t="e">
        <f>AND('Planilla_General_29-11-2012_10_'!P1918,"AAAAAFv9c10=")</f>
        <v>#VALUE!</v>
      </c>
      <c r="CQ128">
        <f>IF('Planilla_General_29-11-2012_10_'!1919:1919,"AAAAAFv9c14=",0)</f>
        <v>0</v>
      </c>
      <c r="CR128" t="e">
        <f>AND('Planilla_General_29-11-2012_10_'!A1919,"AAAAAFv9c18=")</f>
        <v>#VALUE!</v>
      </c>
      <c r="CS128" t="e">
        <f>AND('Planilla_General_29-11-2012_10_'!B1919,"AAAAAFv9c2A=")</f>
        <v>#VALUE!</v>
      </c>
      <c r="CT128" t="e">
        <f>AND('Planilla_General_29-11-2012_10_'!C1919,"AAAAAFv9c2E=")</f>
        <v>#VALUE!</v>
      </c>
      <c r="CU128" t="e">
        <f>AND('Planilla_General_29-11-2012_10_'!D1919,"AAAAAFv9c2I=")</f>
        <v>#VALUE!</v>
      </c>
      <c r="CV128" t="e">
        <f>AND('Planilla_General_29-11-2012_10_'!E1919,"AAAAAFv9c2M=")</f>
        <v>#VALUE!</v>
      </c>
      <c r="CW128" t="e">
        <f>AND('Planilla_General_29-11-2012_10_'!F1919,"AAAAAFv9c2Q=")</f>
        <v>#VALUE!</v>
      </c>
      <c r="CX128" t="e">
        <f>AND('Planilla_General_29-11-2012_10_'!G1919,"AAAAAFv9c2U=")</f>
        <v>#VALUE!</v>
      </c>
      <c r="CY128" t="e">
        <f>AND('Planilla_General_29-11-2012_10_'!H1919,"AAAAAFv9c2Y=")</f>
        <v>#VALUE!</v>
      </c>
      <c r="CZ128" t="e">
        <f>AND('Planilla_General_29-11-2012_10_'!I1919,"AAAAAFv9c2c=")</f>
        <v>#VALUE!</v>
      </c>
      <c r="DA128" t="e">
        <f>AND('Planilla_General_29-11-2012_10_'!J1919,"AAAAAFv9c2g=")</f>
        <v>#VALUE!</v>
      </c>
      <c r="DB128" t="e">
        <f>AND('Planilla_General_29-11-2012_10_'!K1919,"AAAAAFv9c2k=")</f>
        <v>#VALUE!</v>
      </c>
      <c r="DC128" t="e">
        <f>AND('Planilla_General_29-11-2012_10_'!L1919,"AAAAAFv9c2o=")</f>
        <v>#VALUE!</v>
      </c>
      <c r="DD128" t="e">
        <f>AND('Planilla_General_29-11-2012_10_'!M1919,"AAAAAFv9c2s=")</f>
        <v>#VALUE!</v>
      </c>
      <c r="DE128" t="e">
        <f>AND('Planilla_General_29-11-2012_10_'!N1919,"AAAAAFv9c2w=")</f>
        <v>#VALUE!</v>
      </c>
      <c r="DF128" t="e">
        <f>AND('Planilla_General_29-11-2012_10_'!O1919,"AAAAAFv9c20=")</f>
        <v>#VALUE!</v>
      </c>
      <c r="DG128" t="e">
        <f>AND('Planilla_General_29-11-2012_10_'!P1919,"AAAAAFv9c24=")</f>
        <v>#VALUE!</v>
      </c>
      <c r="DH128">
        <f>IF('Planilla_General_29-11-2012_10_'!1920:1920,"AAAAAFv9c28=",0)</f>
        <v>0</v>
      </c>
      <c r="DI128" t="e">
        <f>AND('Planilla_General_29-11-2012_10_'!A1920,"AAAAAFv9c3A=")</f>
        <v>#VALUE!</v>
      </c>
      <c r="DJ128" t="e">
        <f>AND('Planilla_General_29-11-2012_10_'!B1920,"AAAAAFv9c3E=")</f>
        <v>#VALUE!</v>
      </c>
      <c r="DK128" t="e">
        <f>AND('Planilla_General_29-11-2012_10_'!C1920,"AAAAAFv9c3I=")</f>
        <v>#VALUE!</v>
      </c>
      <c r="DL128" t="e">
        <f>AND('Planilla_General_29-11-2012_10_'!D1920,"AAAAAFv9c3M=")</f>
        <v>#VALUE!</v>
      </c>
      <c r="DM128" t="e">
        <f>AND('Planilla_General_29-11-2012_10_'!E1920,"AAAAAFv9c3Q=")</f>
        <v>#VALUE!</v>
      </c>
      <c r="DN128" t="e">
        <f>AND('Planilla_General_29-11-2012_10_'!F1920,"AAAAAFv9c3U=")</f>
        <v>#VALUE!</v>
      </c>
      <c r="DO128" t="e">
        <f>AND('Planilla_General_29-11-2012_10_'!G1920,"AAAAAFv9c3Y=")</f>
        <v>#VALUE!</v>
      </c>
      <c r="DP128" t="e">
        <f>AND('Planilla_General_29-11-2012_10_'!H1920,"AAAAAFv9c3c=")</f>
        <v>#VALUE!</v>
      </c>
      <c r="DQ128" t="e">
        <f>AND('Planilla_General_29-11-2012_10_'!I1920,"AAAAAFv9c3g=")</f>
        <v>#VALUE!</v>
      </c>
      <c r="DR128" t="e">
        <f>AND('Planilla_General_29-11-2012_10_'!J1920,"AAAAAFv9c3k=")</f>
        <v>#VALUE!</v>
      </c>
      <c r="DS128" t="e">
        <f>AND('Planilla_General_29-11-2012_10_'!K1920,"AAAAAFv9c3o=")</f>
        <v>#VALUE!</v>
      </c>
      <c r="DT128" t="e">
        <f>AND('Planilla_General_29-11-2012_10_'!L1920,"AAAAAFv9c3s=")</f>
        <v>#VALUE!</v>
      </c>
      <c r="DU128" t="e">
        <f>AND('Planilla_General_29-11-2012_10_'!M1920,"AAAAAFv9c3w=")</f>
        <v>#VALUE!</v>
      </c>
      <c r="DV128" t="e">
        <f>AND('Planilla_General_29-11-2012_10_'!N1920,"AAAAAFv9c30=")</f>
        <v>#VALUE!</v>
      </c>
      <c r="DW128" t="e">
        <f>AND('Planilla_General_29-11-2012_10_'!O1920,"AAAAAFv9c34=")</f>
        <v>#VALUE!</v>
      </c>
      <c r="DX128" t="e">
        <f>AND('Planilla_General_29-11-2012_10_'!P1920,"AAAAAFv9c38=")</f>
        <v>#VALUE!</v>
      </c>
      <c r="DY128">
        <f>IF('Planilla_General_29-11-2012_10_'!1921:1921,"AAAAAFv9c4A=",0)</f>
        <v>0</v>
      </c>
      <c r="DZ128" t="e">
        <f>AND('Planilla_General_29-11-2012_10_'!A1921,"AAAAAFv9c4E=")</f>
        <v>#VALUE!</v>
      </c>
      <c r="EA128" t="e">
        <f>AND('Planilla_General_29-11-2012_10_'!B1921,"AAAAAFv9c4I=")</f>
        <v>#VALUE!</v>
      </c>
      <c r="EB128" t="e">
        <f>AND('Planilla_General_29-11-2012_10_'!C1921,"AAAAAFv9c4M=")</f>
        <v>#VALUE!</v>
      </c>
      <c r="EC128" t="e">
        <f>AND('Planilla_General_29-11-2012_10_'!D1921,"AAAAAFv9c4Q=")</f>
        <v>#VALUE!</v>
      </c>
      <c r="ED128" t="e">
        <f>AND('Planilla_General_29-11-2012_10_'!E1921,"AAAAAFv9c4U=")</f>
        <v>#VALUE!</v>
      </c>
      <c r="EE128" t="e">
        <f>AND('Planilla_General_29-11-2012_10_'!F1921,"AAAAAFv9c4Y=")</f>
        <v>#VALUE!</v>
      </c>
      <c r="EF128" t="e">
        <f>AND('Planilla_General_29-11-2012_10_'!G1921,"AAAAAFv9c4c=")</f>
        <v>#VALUE!</v>
      </c>
      <c r="EG128" t="e">
        <f>AND('Planilla_General_29-11-2012_10_'!H1921,"AAAAAFv9c4g=")</f>
        <v>#VALUE!</v>
      </c>
      <c r="EH128" t="e">
        <f>AND('Planilla_General_29-11-2012_10_'!I1921,"AAAAAFv9c4k=")</f>
        <v>#VALUE!</v>
      </c>
      <c r="EI128" t="e">
        <f>AND('Planilla_General_29-11-2012_10_'!J1921,"AAAAAFv9c4o=")</f>
        <v>#VALUE!</v>
      </c>
      <c r="EJ128" t="e">
        <f>AND('Planilla_General_29-11-2012_10_'!K1921,"AAAAAFv9c4s=")</f>
        <v>#VALUE!</v>
      </c>
      <c r="EK128" t="e">
        <f>AND('Planilla_General_29-11-2012_10_'!L1921,"AAAAAFv9c4w=")</f>
        <v>#VALUE!</v>
      </c>
      <c r="EL128" t="e">
        <f>AND('Planilla_General_29-11-2012_10_'!M1921,"AAAAAFv9c40=")</f>
        <v>#VALUE!</v>
      </c>
      <c r="EM128" t="e">
        <f>AND('Planilla_General_29-11-2012_10_'!N1921,"AAAAAFv9c44=")</f>
        <v>#VALUE!</v>
      </c>
      <c r="EN128" t="e">
        <f>AND('Planilla_General_29-11-2012_10_'!O1921,"AAAAAFv9c48=")</f>
        <v>#VALUE!</v>
      </c>
      <c r="EO128" t="e">
        <f>AND('Planilla_General_29-11-2012_10_'!P1921,"AAAAAFv9c5A=")</f>
        <v>#VALUE!</v>
      </c>
      <c r="EP128">
        <f>IF('Planilla_General_29-11-2012_10_'!1922:1922,"AAAAAFv9c5E=",0)</f>
        <v>0</v>
      </c>
      <c r="EQ128" t="e">
        <f>AND('Planilla_General_29-11-2012_10_'!A1922,"AAAAAFv9c5I=")</f>
        <v>#VALUE!</v>
      </c>
      <c r="ER128" t="e">
        <f>AND('Planilla_General_29-11-2012_10_'!B1922,"AAAAAFv9c5M=")</f>
        <v>#VALUE!</v>
      </c>
      <c r="ES128" t="e">
        <f>AND('Planilla_General_29-11-2012_10_'!C1922,"AAAAAFv9c5Q=")</f>
        <v>#VALUE!</v>
      </c>
      <c r="ET128" t="e">
        <f>AND('Planilla_General_29-11-2012_10_'!D1922,"AAAAAFv9c5U=")</f>
        <v>#VALUE!</v>
      </c>
      <c r="EU128" t="e">
        <f>AND('Planilla_General_29-11-2012_10_'!E1922,"AAAAAFv9c5Y=")</f>
        <v>#VALUE!</v>
      </c>
      <c r="EV128" t="e">
        <f>AND('Planilla_General_29-11-2012_10_'!F1922,"AAAAAFv9c5c=")</f>
        <v>#VALUE!</v>
      </c>
      <c r="EW128" t="e">
        <f>AND('Planilla_General_29-11-2012_10_'!G1922,"AAAAAFv9c5g=")</f>
        <v>#VALUE!</v>
      </c>
      <c r="EX128" t="e">
        <f>AND('Planilla_General_29-11-2012_10_'!H1922,"AAAAAFv9c5k=")</f>
        <v>#VALUE!</v>
      </c>
      <c r="EY128" t="e">
        <f>AND('Planilla_General_29-11-2012_10_'!I1922,"AAAAAFv9c5o=")</f>
        <v>#VALUE!</v>
      </c>
      <c r="EZ128" t="e">
        <f>AND('Planilla_General_29-11-2012_10_'!J1922,"AAAAAFv9c5s=")</f>
        <v>#VALUE!</v>
      </c>
      <c r="FA128" t="e">
        <f>AND('Planilla_General_29-11-2012_10_'!K1922,"AAAAAFv9c5w=")</f>
        <v>#VALUE!</v>
      </c>
      <c r="FB128" t="e">
        <f>AND('Planilla_General_29-11-2012_10_'!L1922,"AAAAAFv9c50=")</f>
        <v>#VALUE!</v>
      </c>
      <c r="FC128" t="e">
        <f>AND('Planilla_General_29-11-2012_10_'!M1922,"AAAAAFv9c54=")</f>
        <v>#VALUE!</v>
      </c>
      <c r="FD128" t="e">
        <f>AND('Planilla_General_29-11-2012_10_'!N1922,"AAAAAFv9c58=")</f>
        <v>#VALUE!</v>
      </c>
      <c r="FE128" t="e">
        <f>AND('Planilla_General_29-11-2012_10_'!O1922,"AAAAAFv9c6A=")</f>
        <v>#VALUE!</v>
      </c>
      <c r="FF128" t="e">
        <f>AND('Planilla_General_29-11-2012_10_'!P1922,"AAAAAFv9c6E=")</f>
        <v>#VALUE!</v>
      </c>
      <c r="FG128">
        <f>IF('Planilla_General_29-11-2012_10_'!1923:1923,"AAAAAFv9c6I=",0)</f>
        <v>0</v>
      </c>
      <c r="FH128" t="e">
        <f>AND('Planilla_General_29-11-2012_10_'!A1923,"AAAAAFv9c6M=")</f>
        <v>#VALUE!</v>
      </c>
      <c r="FI128" t="e">
        <f>AND('Planilla_General_29-11-2012_10_'!B1923,"AAAAAFv9c6Q=")</f>
        <v>#VALUE!</v>
      </c>
      <c r="FJ128" t="e">
        <f>AND('Planilla_General_29-11-2012_10_'!C1923,"AAAAAFv9c6U=")</f>
        <v>#VALUE!</v>
      </c>
      <c r="FK128" t="e">
        <f>AND('Planilla_General_29-11-2012_10_'!D1923,"AAAAAFv9c6Y=")</f>
        <v>#VALUE!</v>
      </c>
      <c r="FL128" t="e">
        <f>AND('Planilla_General_29-11-2012_10_'!E1923,"AAAAAFv9c6c=")</f>
        <v>#VALUE!</v>
      </c>
      <c r="FM128" t="e">
        <f>AND('Planilla_General_29-11-2012_10_'!F1923,"AAAAAFv9c6g=")</f>
        <v>#VALUE!</v>
      </c>
      <c r="FN128" t="e">
        <f>AND('Planilla_General_29-11-2012_10_'!G1923,"AAAAAFv9c6k=")</f>
        <v>#VALUE!</v>
      </c>
      <c r="FO128" t="e">
        <f>AND('Planilla_General_29-11-2012_10_'!H1923,"AAAAAFv9c6o=")</f>
        <v>#VALUE!</v>
      </c>
      <c r="FP128" t="e">
        <f>AND('Planilla_General_29-11-2012_10_'!I1923,"AAAAAFv9c6s=")</f>
        <v>#VALUE!</v>
      </c>
      <c r="FQ128" t="e">
        <f>AND('Planilla_General_29-11-2012_10_'!J1923,"AAAAAFv9c6w=")</f>
        <v>#VALUE!</v>
      </c>
      <c r="FR128" t="e">
        <f>AND('Planilla_General_29-11-2012_10_'!K1923,"AAAAAFv9c60=")</f>
        <v>#VALUE!</v>
      </c>
      <c r="FS128" t="e">
        <f>AND('Planilla_General_29-11-2012_10_'!L1923,"AAAAAFv9c64=")</f>
        <v>#VALUE!</v>
      </c>
      <c r="FT128" t="e">
        <f>AND('Planilla_General_29-11-2012_10_'!M1923,"AAAAAFv9c68=")</f>
        <v>#VALUE!</v>
      </c>
      <c r="FU128" t="e">
        <f>AND('Planilla_General_29-11-2012_10_'!N1923,"AAAAAFv9c7A=")</f>
        <v>#VALUE!</v>
      </c>
      <c r="FV128" t="e">
        <f>AND('Planilla_General_29-11-2012_10_'!O1923,"AAAAAFv9c7E=")</f>
        <v>#VALUE!</v>
      </c>
      <c r="FW128" t="e">
        <f>AND('Planilla_General_29-11-2012_10_'!P1923,"AAAAAFv9c7I=")</f>
        <v>#VALUE!</v>
      </c>
      <c r="FX128">
        <f>IF('Planilla_General_29-11-2012_10_'!1924:1924,"AAAAAFv9c7M=",0)</f>
        <v>0</v>
      </c>
      <c r="FY128" t="e">
        <f>AND('Planilla_General_29-11-2012_10_'!A1924,"AAAAAFv9c7Q=")</f>
        <v>#VALUE!</v>
      </c>
      <c r="FZ128" t="e">
        <f>AND('Planilla_General_29-11-2012_10_'!B1924,"AAAAAFv9c7U=")</f>
        <v>#VALUE!</v>
      </c>
      <c r="GA128" t="e">
        <f>AND('Planilla_General_29-11-2012_10_'!C1924,"AAAAAFv9c7Y=")</f>
        <v>#VALUE!</v>
      </c>
      <c r="GB128" t="e">
        <f>AND('Planilla_General_29-11-2012_10_'!D1924,"AAAAAFv9c7c=")</f>
        <v>#VALUE!</v>
      </c>
      <c r="GC128" t="e">
        <f>AND('Planilla_General_29-11-2012_10_'!E1924,"AAAAAFv9c7g=")</f>
        <v>#VALUE!</v>
      </c>
      <c r="GD128" t="e">
        <f>AND('Planilla_General_29-11-2012_10_'!F1924,"AAAAAFv9c7k=")</f>
        <v>#VALUE!</v>
      </c>
      <c r="GE128" t="e">
        <f>AND('Planilla_General_29-11-2012_10_'!G1924,"AAAAAFv9c7o=")</f>
        <v>#VALUE!</v>
      </c>
      <c r="GF128" t="e">
        <f>AND('Planilla_General_29-11-2012_10_'!H1924,"AAAAAFv9c7s=")</f>
        <v>#VALUE!</v>
      </c>
      <c r="GG128" t="e">
        <f>AND('Planilla_General_29-11-2012_10_'!I1924,"AAAAAFv9c7w=")</f>
        <v>#VALUE!</v>
      </c>
      <c r="GH128" t="e">
        <f>AND('Planilla_General_29-11-2012_10_'!J1924,"AAAAAFv9c70=")</f>
        <v>#VALUE!</v>
      </c>
      <c r="GI128" t="e">
        <f>AND('Planilla_General_29-11-2012_10_'!K1924,"AAAAAFv9c74=")</f>
        <v>#VALUE!</v>
      </c>
      <c r="GJ128" t="e">
        <f>AND('Planilla_General_29-11-2012_10_'!L1924,"AAAAAFv9c78=")</f>
        <v>#VALUE!</v>
      </c>
      <c r="GK128" t="e">
        <f>AND('Planilla_General_29-11-2012_10_'!M1924,"AAAAAFv9c8A=")</f>
        <v>#VALUE!</v>
      </c>
      <c r="GL128" t="e">
        <f>AND('Planilla_General_29-11-2012_10_'!N1924,"AAAAAFv9c8E=")</f>
        <v>#VALUE!</v>
      </c>
      <c r="GM128" t="e">
        <f>AND('Planilla_General_29-11-2012_10_'!O1924,"AAAAAFv9c8I=")</f>
        <v>#VALUE!</v>
      </c>
      <c r="GN128" t="e">
        <f>AND('Planilla_General_29-11-2012_10_'!P1924,"AAAAAFv9c8M=")</f>
        <v>#VALUE!</v>
      </c>
      <c r="GO128">
        <f>IF('Planilla_General_29-11-2012_10_'!1925:1925,"AAAAAFv9c8Q=",0)</f>
        <v>0</v>
      </c>
      <c r="GP128" t="e">
        <f>AND('Planilla_General_29-11-2012_10_'!A1925,"AAAAAFv9c8U=")</f>
        <v>#VALUE!</v>
      </c>
      <c r="GQ128" t="e">
        <f>AND('Planilla_General_29-11-2012_10_'!B1925,"AAAAAFv9c8Y=")</f>
        <v>#VALUE!</v>
      </c>
      <c r="GR128" t="e">
        <f>AND('Planilla_General_29-11-2012_10_'!C1925,"AAAAAFv9c8c=")</f>
        <v>#VALUE!</v>
      </c>
      <c r="GS128" t="e">
        <f>AND('Planilla_General_29-11-2012_10_'!D1925,"AAAAAFv9c8g=")</f>
        <v>#VALUE!</v>
      </c>
      <c r="GT128" t="e">
        <f>AND('Planilla_General_29-11-2012_10_'!E1925,"AAAAAFv9c8k=")</f>
        <v>#VALUE!</v>
      </c>
      <c r="GU128" t="e">
        <f>AND('Planilla_General_29-11-2012_10_'!F1925,"AAAAAFv9c8o=")</f>
        <v>#VALUE!</v>
      </c>
      <c r="GV128" t="e">
        <f>AND('Planilla_General_29-11-2012_10_'!G1925,"AAAAAFv9c8s=")</f>
        <v>#VALUE!</v>
      </c>
      <c r="GW128" t="e">
        <f>AND('Planilla_General_29-11-2012_10_'!H1925,"AAAAAFv9c8w=")</f>
        <v>#VALUE!</v>
      </c>
      <c r="GX128" t="e">
        <f>AND('Planilla_General_29-11-2012_10_'!I1925,"AAAAAFv9c80=")</f>
        <v>#VALUE!</v>
      </c>
      <c r="GY128" t="e">
        <f>AND('Planilla_General_29-11-2012_10_'!J1925,"AAAAAFv9c84=")</f>
        <v>#VALUE!</v>
      </c>
      <c r="GZ128" t="e">
        <f>AND('Planilla_General_29-11-2012_10_'!K1925,"AAAAAFv9c88=")</f>
        <v>#VALUE!</v>
      </c>
      <c r="HA128" t="e">
        <f>AND('Planilla_General_29-11-2012_10_'!L1925,"AAAAAFv9c9A=")</f>
        <v>#VALUE!</v>
      </c>
      <c r="HB128" t="e">
        <f>AND('Planilla_General_29-11-2012_10_'!M1925,"AAAAAFv9c9E=")</f>
        <v>#VALUE!</v>
      </c>
      <c r="HC128" t="e">
        <f>AND('Planilla_General_29-11-2012_10_'!N1925,"AAAAAFv9c9I=")</f>
        <v>#VALUE!</v>
      </c>
      <c r="HD128" t="e">
        <f>AND('Planilla_General_29-11-2012_10_'!O1925,"AAAAAFv9c9M=")</f>
        <v>#VALUE!</v>
      </c>
      <c r="HE128" t="e">
        <f>AND('Planilla_General_29-11-2012_10_'!P1925,"AAAAAFv9c9Q=")</f>
        <v>#VALUE!</v>
      </c>
      <c r="HF128">
        <f>IF('Planilla_General_29-11-2012_10_'!1926:1926,"AAAAAFv9c9U=",0)</f>
        <v>0</v>
      </c>
      <c r="HG128" t="e">
        <f>AND('Planilla_General_29-11-2012_10_'!A1926,"AAAAAFv9c9Y=")</f>
        <v>#VALUE!</v>
      </c>
      <c r="HH128" t="e">
        <f>AND('Planilla_General_29-11-2012_10_'!B1926,"AAAAAFv9c9c=")</f>
        <v>#VALUE!</v>
      </c>
      <c r="HI128" t="e">
        <f>AND('Planilla_General_29-11-2012_10_'!C1926,"AAAAAFv9c9g=")</f>
        <v>#VALUE!</v>
      </c>
      <c r="HJ128" t="e">
        <f>AND('Planilla_General_29-11-2012_10_'!D1926,"AAAAAFv9c9k=")</f>
        <v>#VALUE!</v>
      </c>
      <c r="HK128" t="e">
        <f>AND('Planilla_General_29-11-2012_10_'!E1926,"AAAAAFv9c9o=")</f>
        <v>#VALUE!</v>
      </c>
      <c r="HL128" t="e">
        <f>AND('Planilla_General_29-11-2012_10_'!F1926,"AAAAAFv9c9s=")</f>
        <v>#VALUE!</v>
      </c>
      <c r="HM128" t="e">
        <f>AND('Planilla_General_29-11-2012_10_'!G1926,"AAAAAFv9c9w=")</f>
        <v>#VALUE!</v>
      </c>
      <c r="HN128" t="e">
        <f>AND('Planilla_General_29-11-2012_10_'!H1926,"AAAAAFv9c90=")</f>
        <v>#VALUE!</v>
      </c>
      <c r="HO128" t="e">
        <f>AND('Planilla_General_29-11-2012_10_'!I1926,"AAAAAFv9c94=")</f>
        <v>#VALUE!</v>
      </c>
      <c r="HP128" t="e">
        <f>AND('Planilla_General_29-11-2012_10_'!J1926,"AAAAAFv9c98=")</f>
        <v>#VALUE!</v>
      </c>
      <c r="HQ128" t="e">
        <f>AND('Planilla_General_29-11-2012_10_'!K1926,"AAAAAFv9c+A=")</f>
        <v>#VALUE!</v>
      </c>
      <c r="HR128" t="e">
        <f>AND('Planilla_General_29-11-2012_10_'!L1926,"AAAAAFv9c+E=")</f>
        <v>#VALUE!</v>
      </c>
      <c r="HS128" t="e">
        <f>AND('Planilla_General_29-11-2012_10_'!M1926,"AAAAAFv9c+I=")</f>
        <v>#VALUE!</v>
      </c>
      <c r="HT128" t="e">
        <f>AND('Planilla_General_29-11-2012_10_'!N1926,"AAAAAFv9c+M=")</f>
        <v>#VALUE!</v>
      </c>
      <c r="HU128" t="e">
        <f>AND('Planilla_General_29-11-2012_10_'!O1926,"AAAAAFv9c+Q=")</f>
        <v>#VALUE!</v>
      </c>
      <c r="HV128" t="e">
        <f>AND('Planilla_General_29-11-2012_10_'!P1926,"AAAAAFv9c+U=")</f>
        <v>#VALUE!</v>
      </c>
      <c r="HW128">
        <f>IF('Planilla_General_29-11-2012_10_'!1927:1927,"AAAAAFv9c+Y=",0)</f>
        <v>0</v>
      </c>
      <c r="HX128" t="e">
        <f>AND('Planilla_General_29-11-2012_10_'!A1927,"AAAAAFv9c+c=")</f>
        <v>#VALUE!</v>
      </c>
      <c r="HY128" t="e">
        <f>AND('Planilla_General_29-11-2012_10_'!B1927,"AAAAAFv9c+g=")</f>
        <v>#VALUE!</v>
      </c>
      <c r="HZ128" t="e">
        <f>AND('Planilla_General_29-11-2012_10_'!C1927,"AAAAAFv9c+k=")</f>
        <v>#VALUE!</v>
      </c>
      <c r="IA128" t="e">
        <f>AND('Planilla_General_29-11-2012_10_'!D1927,"AAAAAFv9c+o=")</f>
        <v>#VALUE!</v>
      </c>
      <c r="IB128" t="e">
        <f>AND('Planilla_General_29-11-2012_10_'!E1927,"AAAAAFv9c+s=")</f>
        <v>#VALUE!</v>
      </c>
      <c r="IC128" t="e">
        <f>AND('Planilla_General_29-11-2012_10_'!F1927,"AAAAAFv9c+w=")</f>
        <v>#VALUE!</v>
      </c>
      <c r="ID128" t="e">
        <f>AND('Planilla_General_29-11-2012_10_'!G1927,"AAAAAFv9c+0=")</f>
        <v>#VALUE!</v>
      </c>
      <c r="IE128" t="e">
        <f>AND('Planilla_General_29-11-2012_10_'!H1927,"AAAAAFv9c+4=")</f>
        <v>#VALUE!</v>
      </c>
      <c r="IF128" t="e">
        <f>AND('Planilla_General_29-11-2012_10_'!I1927,"AAAAAFv9c+8=")</f>
        <v>#VALUE!</v>
      </c>
      <c r="IG128" t="e">
        <f>AND('Planilla_General_29-11-2012_10_'!J1927,"AAAAAFv9c/A=")</f>
        <v>#VALUE!</v>
      </c>
      <c r="IH128" t="e">
        <f>AND('Planilla_General_29-11-2012_10_'!K1927,"AAAAAFv9c/E=")</f>
        <v>#VALUE!</v>
      </c>
      <c r="II128" t="e">
        <f>AND('Planilla_General_29-11-2012_10_'!L1927,"AAAAAFv9c/I=")</f>
        <v>#VALUE!</v>
      </c>
      <c r="IJ128" t="e">
        <f>AND('Planilla_General_29-11-2012_10_'!M1927,"AAAAAFv9c/M=")</f>
        <v>#VALUE!</v>
      </c>
      <c r="IK128" t="e">
        <f>AND('Planilla_General_29-11-2012_10_'!N1927,"AAAAAFv9c/Q=")</f>
        <v>#VALUE!</v>
      </c>
      <c r="IL128" t="e">
        <f>AND('Planilla_General_29-11-2012_10_'!O1927,"AAAAAFv9c/U=")</f>
        <v>#VALUE!</v>
      </c>
      <c r="IM128" t="e">
        <f>AND('Planilla_General_29-11-2012_10_'!P1927,"AAAAAFv9c/Y=")</f>
        <v>#VALUE!</v>
      </c>
      <c r="IN128">
        <f>IF('Planilla_General_29-11-2012_10_'!1928:1928,"AAAAAFv9c/c=",0)</f>
        <v>0</v>
      </c>
      <c r="IO128" t="e">
        <f>AND('Planilla_General_29-11-2012_10_'!A1928,"AAAAAFv9c/g=")</f>
        <v>#VALUE!</v>
      </c>
      <c r="IP128" t="e">
        <f>AND('Planilla_General_29-11-2012_10_'!B1928,"AAAAAFv9c/k=")</f>
        <v>#VALUE!</v>
      </c>
      <c r="IQ128" t="e">
        <f>AND('Planilla_General_29-11-2012_10_'!C1928,"AAAAAFv9c/o=")</f>
        <v>#VALUE!</v>
      </c>
      <c r="IR128" t="e">
        <f>AND('Planilla_General_29-11-2012_10_'!D1928,"AAAAAFv9c/s=")</f>
        <v>#VALUE!</v>
      </c>
      <c r="IS128" t="e">
        <f>AND('Planilla_General_29-11-2012_10_'!E1928,"AAAAAFv9c/w=")</f>
        <v>#VALUE!</v>
      </c>
      <c r="IT128" t="e">
        <f>AND('Planilla_General_29-11-2012_10_'!F1928,"AAAAAFv9c/0=")</f>
        <v>#VALUE!</v>
      </c>
      <c r="IU128" t="e">
        <f>AND('Planilla_General_29-11-2012_10_'!G1928,"AAAAAFv9c/4=")</f>
        <v>#VALUE!</v>
      </c>
      <c r="IV128" t="e">
        <f>AND('Planilla_General_29-11-2012_10_'!H1928,"AAAAAFv9c/8=")</f>
        <v>#VALUE!</v>
      </c>
    </row>
    <row r="129" spans="1:256" x14ac:dyDescent="0.25">
      <c r="A129" t="e">
        <f>AND('Planilla_General_29-11-2012_10_'!I1928,"AAAAADe7fwA=")</f>
        <v>#VALUE!</v>
      </c>
      <c r="B129" t="e">
        <f>AND('Planilla_General_29-11-2012_10_'!J1928,"AAAAADe7fwE=")</f>
        <v>#VALUE!</v>
      </c>
      <c r="C129" t="e">
        <f>AND('Planilla_General_29-11-2012_10_'!K1928,"AAAAADe7fwI=")</f>
        <v>#VALUE!</v>
      </c>
      <c r="D129" t="e">
        <f>AND('Planilla_General_29-11-2012_10_'!L1928,"AAAAADe7fwM=")</f>
        <v>#VALUE!</v>
      </c>
      <c r="E129" t="e">
        <f>AND('Planilla_General_29-11-2012_10_'!M1928,"AAAAADe7fwQ=")</f>
        <v>#VALUE!</v>
      </c>
      <c r="F129" t="e">
        <f>AND('Planilla_General_29-11-2012_10_'!N1928,"AAAAADe7fwU=")</f>
        <v>#VALUE!</v>
      </c>
      <c r="G129" t="e">
        <f>AND('Planilla_General_29-11-2012_10_'!O1928,"AAAAADe7fwY=")</f>
        <v>#VALUE!</v>
      </c>
      <c r="H129" t="e">
        <f>AND('Planilla_General_29-11-2012_10_'!P1928,"AAAAADe7fwc=")</f>
        <v>#VALUE!</v>
      </c>
      <c r="I129" t="e">
        <f>IF('Planilla_General_29-11-2012_10_'!1929:1929,"AAAAADe7fwg=",0)</f>
        <v>#VALUE!</v>
      </c>
      <c r="J129" t="e">
        <f>AND('Planilla_General_29-11-2012_10_'!A1929,"AAAAADe7fwk=")</f>
        <v>#VALUE!</v>
      </c>
      <c r="K129" t="e">
        <f>AND('Planilla_General_29-11-2012_10_'!B1929,"AAAAADe7fwo=")</f>
        <v>#VALUE!</v>
      </c>
      <c r="L129" t="e">
        <f>AND('Planilla_General_29-11-2012_10_'!C1929,"AAAAADe7fws=")</f>
        <v>#VALUE!</v>
      </c>
      <c r="M129" t="e">
        <f>AND('Planilla_General_29-11-2012_10_'!D1929,"AAAAADe7fww=")</f>
        <v>#VALUE!</v>
      </c>
      <c r="N129" t="e">
        <f>AND('Planilla_General_29-11-2012_10_'!E1929,"AAAAADe7fw0=")</f>
        <v>#VALUE!</v>
      </c>
      <c r="O129" t="e">
        <f>AND('Planilla_General_29-11-2012_10_'!F1929,"AAAAADe7fw4=")</f>
        <v>#VALUE!</v>
      </c>
      <c r="P129" t="e">
        <f>AND('Planilla_General_29-11-2012_10_'!G1929,"AAAAADe7fw8=")</f>
        <v>#VALUE!</v>
      </c>
      <c r="Q129" t="e">
        <f>AND('Planilla_General_29-11-2012_10_'!H1929,"AAAAADe7fxA=")</f>
        <v>#VALUE!</v>
      </c>
      <c r="R129" t="e">
        <f>AND('Planilla_General_29-11-2012_10_'!I1929,"AAAAADe7fxE=")</f>
        <v>#VALUE!</v>
      </c>
      <c r="S129" t="e">
        <f>AND('Planilla_General_29-11-2012_10_'!J1929,"AAAAADe7fxI=")</f>
        <v>#VALUE!</v>
      </c>
      <c r="T129" t="e">
        <f>AND('Planilla_General_29-11-2012_10_'!K1929,"AAAAADe7fxM=")</f>
        <v>#VALUE!</v>
      </c>
      <c r="U129" t="e">
        <f>AND('Planilla_General_29-11-2012_10_'!L1929,"AAAAADe7fxQ=")</f>
        <v>#VALUE!</v>
      </c>
      <c r="V129" t="e">
        <f>AND('Planilla_General_29-11-2012_10_'!M1929,"AAAAADe7fxU=")</f>
        <v>#VALUE!</v>
      </c>
      <c r="W129" t="e">
        <f>AND('Planilla_General_29-11-2012_10_'!N1929,"AAAAADe7fxY=")</f>
        <v>#VALUE!</v>
      </c>
      <c r="X129" t="e">
        <f>AND('Planilla_General_29-11-2012_10_'!O1929,"AAAAADe7fxc=")</f>
        <v>#VALUE!</v>
      </c>
      <c r="Y129" t="e">
        <f>AND('Planilla_General_29-11-2012_10_'!P1929,"AAAAADe7fxg=")</f>
        <v>#VALUE!</v>
      </c>
      <c r="Z129">
        <f>IF('Planilla_General_29-11-2012_10_'!1930:1930,"AAAAADe7fxk=",0)</f>
        <v>0</v>
      </c>
      <c r="AA129" t="e">
        <f>AND('Planilla_General_29-11-2012_10_'!A1930,"AAAAADe7fxo=")</f>
        <v>#VALUE!</v>
      </c>
      <c r="AB129" t="e">
        <f>AND('Planilla_General_29-11-2012_10_'!B1930,"AAAAADe7fxs=")</f>
        <v>#VALUE!</v>
      </c>
      <c r="AC129" t="e">
        <f>AND('Planilla_General_29-11-2012_10_'!C1930,"AAAAADe7fxw=")</f>
        <v>#VALUE!</v>
      </c>
      <c r="AD129" t="e">
        <f>AND('Planilla_General_29-11-2012_10_'!D1930,"AAAAADe7fx0=")</f>
        <v>#VALUE!</v>
      </c>
      <c r="AE129" t="e">
        <f>AND('Planilla_General_29-11-2012_10_'!E1930,"AAAAADe7fx4=")</f>
        <v>#VALUE!</v>
      </c>
      <c r="AF129" t="e">
        <f>AND('Planilla_General_29-11-2012_10_'!F1930,"AAAAADe7fx8=")</f>
        <v>#VALUE!</v>
      </c>
      <c r="AG129" t="e">
        <f>AND('Planilla_General_29-11-2012_10_'!G1930,"AAAAADe7fyA=")</f>
        <v>#VALUE!</v>
      </c>
      <c r="AH129" t="e">
        <f>AND('Planilla_General_29-11-2012_10_'!H1930,"AAAAADe7fyE=")</f>
        <v>#VALUE!</v>
      </c>
      <c r="AI129" t="e">
        <f>AND('Planilla_General_29-11-2012_10_'!I1930,"AAAAADe7fyI=")</f>
        <v>#VALUE!</v>
      </c>
      <c r="AJ129" t="e">
        <f>AND('Planilla_General_29-11-2012_10_'!J1930,"AAAAADe7fyM=")</f>
        <v>#VALUE!</v>
      </c>
      <c r="AK129" t="e">
        <f>AND('Planilla_General_29-11-2012_10_'!K1930,"AAAAADe7fyQ=")</f>
        <v>#VALUE!</v>
      </c>
      <c r="AL129" t="e">
        <f>AND('Planilla_General_29-11-2012_10_'!L1930,"AAAAADe7fyU=")</f>
        <v>#VALUE!</v>
      </c>
      <c r="AM129" t="e">
        <f>AND('Planilla_General_29-11-2012_10_'!M1930,"AAAAADe7fyY=")</f>
        <v>#VALUE!</v>
      </c>
      <c r="AN129" t="e">
        <f>AND('Planilla_General_29-11-2012_10_'!N1930,"AAAAADe7fyc=")</f>
        <v>#VALUE!</v>
      </c>
      <c r="AO129" t="e">
        <f>AND('Planilla_General_29-11-2012_10_'!O1930,"AAAAADe7fyg=")</f>
        <v>#VALUE!</v>
      </c>
      <c r="AP129" t="e">
        <f>AND('Planilla_General_29-11-2012_10_'!P1930,"AAAAADe7fyk=")</f>
        <v>#VALUE!</v>
      </c>
      <c r="AQ129">
        <f>IF('Planilla_General_29-11-2012_10_'!1931:1931,"AAAAADe7fyo=",0)</f>
        <v>0</v>
      </c>
      <c r="AR129" t="e">
        <f>AND('Planilla_General_29-11-2012_10_'!A1931,"AAAAADe7fys=")</f>
        <v>#VALUE!</v>
      </c>
      <c r="AS129" t="e">
        <f>AND('Planilla_General_29-11-2012_10_'!B1931,"AAAAADe7fyw=")</f>
        <v>#VALUE!</v>
      </c>
      <c r="AT129" t="e">
        <f>AND('Planilla_General_29-11-2012_10_'!C1931,"AAAAADe7fy0=")</f>
        <v>#VALUE!</v>
      </c>
      <c r="AU129" t="e">
        <f>AND('Planilla_General_29-11-2012_10_'!D1931,"AAAAADe7fy4=")</f>
        <v>#VALUE!</v>
      </c>
      <c r="AV129" t="e">
        <f>AND('Planilla_General_29-11-2012_10_'!E1931,"AAAAADe7fy8=")</f>
        <v>#VALUE!</v>
      </c>
      <c r="AW129" t="e">
        <f>AND('Planilla_General_29-11-2012_10_'!F1931,"AAAAADe7fzA=")</f>
        <v>#VALUE!</v>
      </c>
      <c r="AX129" t="e">
        <f>AND('Planilla_General_29-11-2012_10_'!G1931,"AAAAADe7fzE=")</f>
        <v>#VALUE!</v>
      </c>
      <c r="AY129" t="e">
        <f>AND('Planilla_General_29-11-2012_10_'!H1931,"AAAAADe7fzI=")</f>
        <v>#VALUE!</v>
      </c>
      <c r="AZ129" t="e">
        <f>AND('Planilla_General_29-11-2012_10_'!I1931,"AAAAADe7fzM=")</f>
        <v>#VALUE!</v>
      </c>
      <c r="BA129" t="e">
        <f>AND('Planilla_General_29-11-2012_10_'!J1931,"AAAAADe7fzQ=")</f>
        <v>#VALUE!</v>
      </c>
      <c r="BB129" t="e">
        <f>AND('Planilla_General_29-11-2012_10_'!K1931,"AAAAADe7fzU=")</f>
        <v>#VALUE!</v>
      </c>
      <c r="BC129" t="e">
        <f>AND('Planilla_General_29-11-2012_10_'!L1931,"AAAAADe7fzY=")</f>
        <v>#VALUE!</v>
      </c>
      <c r="BD129" t="e">
        <f>AND('Planilla_General_29-11-2012_10_'!M1931,"AAAAADe7fzc=")</f>
        <v>#VALUE!</v>
      </c>
      <c r="BE129" t="e">
        <f>AND('Planilla_General_29-11-2012_10_'!N1931,"AAAAADe7fzg=")</f>
        <v>#VALUE!</v>
      </c>
      <c r="BF129" t="e">
        <f>AND('Planilla_General_29-11-2012_10_'!O1931,"AAAAADe7fzk=")</f>
        <v>#VALUE!</v>
      </c>
      <c r="BG129" t="e">
        <f>AND('Planilla_General_29-11-2012_10_'!P1931,"AAAAADe7fzo=")</f>
        <v>#VALUE!</v>
      </c>
      <c r="BH129">
        <f>IF('Planilla_General_29-11-2012_10_'!1932:1932,"AAAAADe7fzs=",0)</f>
        <v>0</v>
      </c>
      <c r="BI129" t="e">
        <f>AND('Planilla_General_29-11-2012_10_'!A1932,"AAAAADe7fzw=")</f>
        <v>#VALUE!</v>
      </c>
      <c r="BJ129" t="e">
        <f>AND('Planilla_General_29-11-2012_10_'!B1932,"AAAAADe7fz0=")</f>
        <v>#VALUE!</v>
      </c>
      <c r="BK129" t="e">
        <f>AND('Planilla_General_29-11-2012_10_'!C1932,"AAAAADe7fz4=")</f>
        <v>#VALUE!</v>
      </c>
      <c r="BL129" t="e">
        <f>AND('Planilla_General_29-11-2012_10_'!D1932,"AAAAADe7fz8=")</f>
        <v>#VALUE!</v>
      </c>
      <c r="BM129" t="e">
        <f>AND('Planilla_General_29-11-2012_10_'!E1932,"AAAAADe7f0A=")</f>
        <v>#VALUE!</v>
      </c>
      <c r="BN129" t="e">
        <f>AND('Planilla_General_29-11-2012_10_'!F1932,"AAAAADe7f0E=")</f>
        <v>#VALUE!</v>
      </c>
      <c r="BO129" t="e">
        <f>AND('Planilla_General_29-11-2012_10_'!G1932,"AAAAADe7f0I=")</f>
        <v>#VALUE!</v>
      </c>
      <c r="BP129" t="e">
        <f>AND('Planilla_General_29-11-2012_10_'!H1932,"AAAAADe7f0M=")</f>
        <v>#VALUE!</v>
      </c>
      <c r="BQ129" t="e">
        <f>AND('Planilla_General_29-11-2012_10_'!I1932,"AAAAADe7f0Q=")</f>
        <v>#VALUE!</v>
      </c>
      <c r="BR129" t="e">
        <f>AND('Planilla_General_29-11-2012_10_'!J1932,"AAAAADe7f0U=")</f>
        <v>#VALUE!</v>
      </c>
      <c r="BS129" t="e">
        <f>AND('Planilla_General_29-11-2012_10_'!K1932,"AAAAADe7f0Y=")</f>
        <v>#VALUE!</v>
      </c>
      <c r="BT129" t="e">
        <f>AND('Planilla_General_29-11-2012_10_'!L1932,"AAAAADe7f0c=")</f>
        <v>#VALUE!</v>
      </c>
      <c r="BU129" t="e">
        <f>AND('Planilla_General_29-11-2012_10_'!M1932,"AAAAADe7f0g=")</f>
        <v>#VALUE!</v>
      </c>
      <c r="BV129" t="e">
        <f>AND('Planilla_General_29-11-2012_10_'!N1932,"AAAAADe7f0k=")</f>
        <v>#VALUE!</v>
      </c>
      <c r="BW129" t="e">
        <f>AND('Planilla_General_29-11-2012_10_'!O1932,"AAAAADe7f0o=")</f>
        <v>#VALUE!</v>
      </c>
      <c r="BX129" t="e">
        <f>AND('Planilla_General_29-11-2012_10_'!P1932,"AAAAADe7f0s=")</f>
        <v>#VALUE!</v>
      </c>
      <c r="BY129">
        <f>IF('Planilla_General_29-11-2012_10_'!1933:1933,"AAAAADe7f0w=",0)</f>
        <v>0</v>
      </c>
      <c r="BZ129" t="e">
        <f>AND('Planilla_General_29-11-2012_10_'!A1933,"AAAAADe7f00=")</f>
        <v>#VALUE!</v>
      </c>
      <c r="CA129" t="e">
        <f>AND('Planilla_General_29-11-2012_10_'!B1933,"AAAAADe7f04=")</f>
        <v>#VALUE!</v>
      </c>
      <c r="CB129" t="e">
        <f>AND('Planilla_General_29-11-2012_10_'!C1933,"AAAAADe7f08=")</f>
        <v>#VALUE!</v>
      </c>
      <c r="CC129" t="e">
        <f>AND('Planilla_General_29-11-2012_10_'!D1933,"AAAAADe7f1A=")</f>
        <v>#VALUE!</v>
      </c>
      <c r="CD129" t="e">
        <f>AND('Planilla_General_29-11-2012_10_'!E1933,"AAAAADe7f1E=")</f>
        <v>#VALUE!</v>
      </c>
      <c r="CE129" t="e">
        <f>AND('Planilla_General_29-11-2012_10_'!F1933,"AAAAADe7f1I=")</f>
        <v>#VALUE!</v>
      </c>
      <c r="CF129" t="e">
        <f>AND('Planilla_General_29-11-2012_10_'!G1933,"AAAAADe7f1M=")</f>
        <v>#VALUE!</v>
      </c>
      <c r="CG129" t="e">
        <f>AND('Planilla_General_29-11-2012_10_'!H1933,"AAAAADe7f1Q=")</f>
        <v>#VALUE!</v>
      </c>
      <c r="CH129" t="e">
        <f>AND('Planilla_General_29-11-2012_10_'!I1933,"AAAAADe7f1U=")</f>
        <v>#VALUE!</v>
      </c>
      <c r="CI129" t="e">
        <f>AND('Planilla_General_29-11-2012_10_'!J1933,"AAAAADe7f1Y=")</f>
        <v>#VALUE!</v>
      </c>
      <c r="CJ129" t="e">
        <f>AND('Planilla_General_29-11-2012_10_'!K1933,"AAAAADe7f1c=")</f>
        <v>#VALUE!</v>
      </c>
      <c r="CK129" t="e">
        <f>AND('Planilla_General_29-11-2012_10_'!L1933,"AAAAADe7f1g=")</f>
        <v>#VALUE!</v>
      </c>
      <c r="CL129" t="e">
        <f>AND('Planilla_General_29-11-2012_10_'!M1933,"AAAAADe7f1k=")</f>
        <v>#VALUE!</v>
      </c>
      <c r="CM129" t="e">
        <f>AND('Planilla_General_29-11-2012_10_'!N1933,"AAAAADe7f1o=")</f>
        <v>#VALUE!</v>
      </c>
      <c r="CN129" t="e">
        <f>AND('Planilla_General_29-11-2012_10_'!O1933,"AAAAADe7f1s=")</f>
        <v>#VALUE!</v>
      </c>
      <c r="CO129" t="e">
        <f>AND('Planilla_General_29-11-2012_10_'!P1933,"AAAAADe7f1w=")</f>
        <v>#VALUE!</v>
      </c>
      <c r="CP129">
        <f>IF('Planilla_General_29-11-2012_10_'!1934:1934,"AAAAADe7f10=",0)</f>
        <v>0</v>
      </c>
      <c r="CQ129" t="e">
        <f>AND('Planilla_General_29-11-2012_10_'!A1934,"AAAAADe7f14=")</f>
        <v>#VALUE!</v>
      </c>
      <c r="CR129" t="e">
        <f>AND('Planilla_General_29-11-2012_10_'!B1934,"AAAAADe7f18=")</f>
        <v>#VALUE!</v>
      </c>
      <c r="CS129" t="e">
        <f>AND('Planilla_General_29-11-2012_10_'!C1934,"AAAAADe7f2A=")</f>
        <v>#VALUE!</v>
      </c>
      <c r="CT129" t="e">
        <f>AND('Planilla_General_29-11-2012_10_'!D1934,"AAAAADe7f2E=")</f>
        <v>#VALUE!</v>
      </c>
      <c r="CU129" t="e">
        <f>AND('Planilla_General_29-11-2012_10_'!E1934,"AAAAADe7f2I=")</f>
        <v>#VALUE!</v>
      </c>
      <c r="CV129" t="e">
        <f>AND('Planilla_General_29-11-2012_10_'!F1934,"AAAAADe7f2M=")</f>
        <v>#VALUE!</v>
      </c>
      <c r="CW129" t="e">
        <f>AND('Planilla_General_29-11-2012_10_'!G1934,"AAAAADe7f2Q=")</f>
        <v>#VALUE!</v>
      </c>
      <c r="CX129" t="e">
        <f>AND('Planilla_General_29-11-2012_10_'!H1934,"AAAAADe7f2U=")</f>
        <v>#VALUE!</v>
      </c>
      <c r="CY129" t="e">
        <f>AND('Planilla_General_29-11-2012_10_'!I1934,"AAAAADe7f2Y=")</f>
        <v>#VALUE!</v>
      </c>
      <c r="CZ129" t="e">
        <f>AND('Planilla_General_29-11-2012_10_'!J1934,"AAAAADe7f2c=")</f>
        <v>#VALUE!</v>
      </c>
      <c r="DA129" t="e">
        <f>AND('Planilla_General_29-11-2012_10_'!K1934,"AAAAADe7f2g=")</f>
        <v>#VALUE!</v>
      </c>
      <c r="DB129" t="e">
        <f>AND('Planilla_General_29-11-2012_10_'!L1934,"AAAAADe7f2k=")</f>
        <v>#VALUE!</v>
      </c>
      <c r="DC129" t="e">
        <f>AND('Planilla_General_29-11-2012_10_'!M1934,"AAAAADe7f2o=")</f>
        <v>#VALUE!</v>
      </c>
      <c r="DD129" t="e">
        <f>AND('Planilla_General_29-11-2012_10_'!N1934,"AAAAADe7f2s=")</f>
        <v>#VALUE!</v>
      </c>
      <c r="DE129" t="e">
        <f>AND('Planilla_General_29-11-2012_10_'!O1934,"AAAAADe7f2w=")</f>
        <v>#VALUE!</v>
      </c>
      <c r="DF129" t="e">
        <f>AND('Planilla_General_29-11-2012_10_'!P1934,"AAAAADe7f20=")</f>
        <v>#VALUE!</v>
      </c>
      <c r="DG129">
        <f>IF('Planilla_General_29-11-2012_10_'!1935:1935,"AAAAADe7f24=",0)</f>
        <v>0</v>
      </c>
      <c r="DH129" t="e">
        <f>AND('Planilla_General_29-11-2012_10_'!A1935,"AAAAADe7f28=")</f>
        <v>#VALUE!</v>
      </c>
      <c r="DI129" t="e">
        <f>AND('Planilla_General_29-11-2012_10_'!B1935,"AAAAADe7f3A=")</f>
        <v>#VALUE!</v>
      </c>
      <c r="DJ129" t="e">
        <f>AND('Planilla_General_29-11-2012_10_'!C1935,"AAAAADe7f3E=")</f>
        <v>#VALUE!</v>
      </c>
      <c r="DK129" t="e">
        <f>AND('Planilla_General_29-11-2012_10_'!D1935,"AAAAADe7f3I=")</f>
        <v>#VALUE!</v>
      </c>
      <c r="DL129" t="e">
        <f>AND('Planilla_General_29-11-2012_10_'!E1935,"AAAAADe7f3M=")</f>
        <v>#VALUE!</v>
      </c>
      <c r="DM129" t="e">
        <f>AND('Planilla_General_29-11-2012_10_'!F1935,"AAAAADe7f3Q=")</f>
        <v>#VALUE!</v>
      </c>
      <c r="DN129" t="e">
        <f>AND('Planilla_General_29-11-2012_10_'!G1935,"AAAAADe7f3U=")</f>
        <v>#VALUE!</v>
      </c>
      <c r="DO129" t="e">
        <f>AND('Planilla_General_29-11-2012_10_'!H1935,"AAAAADe7f3Y=")</f>
        <v>#VALUE!</v>
      </c>
      <c r="DP129" t="e">
        <f>AND('Planilla_General_29-11-2012_10_'!I1935,"AAAAADe7f3c=")</f>
        <v>#VALUE!</v>
      </c>
      <c r="DQ129" t="e">
        <f>AND('Planilla_General_29-11-2012_10_'!J1935,"AAAAADe7f3g=")</f>
        <v>#VALUE!</v>
      </c>
      <c r="DR129" t="e">
        <f>AND('Planilla_General_29-11-2012_10_'!K1935,"AAAAADe7f3k=")</f>
        <v>#VALUE!</v>
      </c>
      <c r="DS129" t="e">
        <f>AND('Planilla_General_29-11-2012_10_'!L1935,"AAAAADe7f3o=")</f>
        <v>#VALUE!</v>
      </c>
      <c r="DT129" t="e">
        <f>AND('Planilla_General_29-11-2012_10_'!M1935,"AAAAADe7f3s=")</f>
        <v>#VALUE!</v>
      </c>
      <c r="DU129" t="e">
        <f>AND('Planilla_General_29-11-2012_10_'!N1935,"AAAAADe7f3w=")</f>
        <v>#VALUE!</v>
      </c>
      <c r="DV129" t="e">
        <f>AND('Planilla_General_29-11-2012_10_'!O1935,"AAAAADe7f30=")</f>
        <v>#VALUE!</v>
      </c>
      <c r="DW129" t="e">
        <f>AND('Planilla_General_29-11-2012_10_'!P1935,"AAAAADe7f34=")</f>
        <v>#VALUE!</v>
      </c>
      <c r="DX129">
        <f>IF('Planilla_General_29-11-2012_10_'!1936:1936,"AAAAADe7f38=",0)</f>
        <v>0</v>
      </c>
      <c r="DY129" t="e">
        <f>AND('Planilla_General_29-11-2012_10_'!A1936,"AAAAADe7f4A=")</f>
        <v>#VALUE!</v>
      </c>
      <c r="DZ129" t="e">
        <f>AND('Planilla_General_29-11-2012_10_'!B1936,"AAAAADe7f4E=")</f>
        <v>#VALUE!</v>
      </c>
      <c r="EA129" t="e">
        <f>AND('Planilla_General_29-11-2012_10_'!C1936,"AAAAADe7f4I=")</f>
        <v>#VALUE!</v>
      </c>
      <c r="EB129" t="e">
        <f>AND('Planilla_General_29-11-2012_10_'!D1936,"AAAAADe7f4M=")</f>
        <v>#VALUE!</v>
      </c>
      <c r="EC129" t="e">
        <f>AND('Planilla_General_29-11-2012_10_'!E1936,"AAAAADe7f4Q=")</f>
        <v>#VALUE!</v>
      </c>
      <c r="ED129" t="e">
        <f>AND('Planilla_General_29-11-2012_10_'!F1936,"AAAAADe7f4U=")</f>
        <v>#VALUE!</v>
      </c>
      <c r="EE129" t="e">
        <f>AND('Planilla_General_29-11-2012_10_'!G1936,"AAAAADe7f4Y=")</f>
        <v>#VALUE!</v>
      </c>
      <c r="EF129" t="e">
        <f>AND('Planilla_General_29-11-2012_10_'!H1936,"AAAAADe7f4c=")</f>
        <v>#VALUE!</v>
      </c>
      <c r="EG129" t="e">
        <f>AND('Planilla_General_29-11-2012_10_'!I1936,"AAAAADe7f4g=")</f>
        <v>#VALUE!</v>
      </c>
      <c r="EH129" t="e">
        <f>AND('Planilla_General_29-11-2012_10_'!J1936,"AAAAADe7f4k=")</f>
        <v>#VALUE!</v>
      </c>
      <c r="EI129" t="e">
        <f>AND('Planilla_General_29-11-2012_10_'!K1936,"AAAAADe7f4o=")</f>
        <v>#VALUE!</v>
      </c>
      <c r="EJ129" t="e">
        <f>AND('Planilla_General_29-11-2012_10_'!L1936,"AAAAADe7f4s=")</f>
        <v>#VALUE!</v>
      </c>
      <c r="EK129" t="e">
        <f>AND('Planilla_General_29-11-2012_10_'!M1936,"AAAAADe7f4w=")</f>
        <v>#VALUE!</v>
      </c>
      <c r="EL129" t="e">
        <f>AND('Planilla_General_29-11-2012_10_'!N1936,"AAAAADe7f40=")</f>
        <v>#VALUE!</v>
      </c>
      <c r="EM129" t="e">
        <f>AND('Planilla_General_29-11-2012_10_'!O1936,"AAAAADe7f44=")</f>
        <v>#VALUE!</v>
      </c>
      <c r="EN129" t="e">
        <f>AND('Planilla_General_29-11-2012_10_'!P1936,"AAAAADe7f48=")</f>
        <v>#VALUE!</v>
      </c>
      <c r="EO129">
        <f>IF('Planilla_General_29-11-2012_10_'!1937:1937,"AAAAADe7f5A=",0)</f>
        <v>0</v>
      </c>
      <c r="EP129" t="e">
        <f>AND('Planilla_General_29-11-2012_10_'!A1937,"AAAAADe7f5E=")</f>
        <v>#VALUE!</v>
      </c>
      <c r="EQ129" t="e">
        <f>AND('Planilla_General_29-11-2012_10_'!B1937,"AAAAADe7f5I=")</f>
        <v>#VALUE!</v>
      </c>
      <c r="ER129" t="e">
        <f>AND('Planilla_General_29-11-2012_10_'!C1937,"AAAAADe7f5M=")</f>
        <v>#VALUE!</v>
      </c>
      <c r="ES129" t="e">
        <f>AND('Planilla_General_29-11-2012_10_'!D1937,"AAAAADe7f5Q=")</f>
        <v>#VALUE!</v>
      </c>
      <c r="ET129" t="e">
        <f>AND('Planilla_General_29-11-2012_10_'!E1937,"AAAAADe7f5U=")</f>
        <v>#VALUE!</v>
      </c>
      <c r="EU129" t="e">
        <f>AND('Planilla_General_29-11-2012_10_'!F1937,"AAAAADe7f5Y=")</f>
        <v>#VALUE!</v>
      </c>
      <c r="EV129" t="e">
        <f>AND('Planilla_General_29-11-2012_10_'!G1937,"AAAAADe7f5c=")</f>
        <v>#VALUE!</v>
      </c>
      <c r="EW129" t="e">
        <f>AND('Planilla_General_29-11-2012_10_'!H1937,"AAAAADe7f5g=")</f>
        <v>#VALUE!</v>
      </c>
      <c r="EX129" t="e">
        <f>AND('Planilla_General_29-11-2012_10_'!I1937,"AAAAADe7f5k=")</f>
        <v>#VALUE!</v>
      </c>
      <c r="EY129" t="e">
        <f>AND('Planilla_General_29-11-2012_10_'!J1937,"AAAAADe7f5o=")</f>
        <v>#VALUE!</v>
      </c>
      <c r="EZ129" t="e">
        <f>AND('Planilla_General_29-11-2012_10_'!K1937,"AAAAADe7f5s=")</f>
        <v>#VALUE!</v>
      </c>
      <c r="FA129" t="e">
        <f>AND('Planilla_General_29-11-2012_10_'!L1937,"AAAAADe7f5w=")</f>
        <v>#VALUE!</v>
      </c>
      <c r="FB129" t="e">
        <f>AND('Planilla_General_29-11-2012_10_'!M1937,"AAAAADe7f50=")</f>
        <v>#VALUE!</v>
      </c>
      <c r="FC129" t="e">
        <f>AND('Planilla_General_29-11-2012_10_'!N1937,"AAAAADe7f54=")</f>
        <v>#VALUE!</v>
      </c>
      <c r="FD129" t="e">
        <f>AND('Planilla_General_29-11-2012_10_'!O1937,"AAAAADe7f58=")</f>
        <v>#VALUE!</v>
      </c>
      <c r="FE129" t="e">
        <f>AND('Planilla_General_29-11-2012_10_'!P1937,"AAAAADe7f6A=")</f>
        <v>#VALUE!</v>
      </c>
      <c r="FF129">
        <f>IF('Planilla_General_29-11-2012_10_'!1938:1938,"AAAAADe7f6E=",0)</f>
        <v>0</v>
      </c>
      <c r="FG129" t="e">
        <f>AND('Planilla_General_29-11-2012_10_'!A1938,"AAAAADe7f6I=")</f>
        <v>#VALUE!</v>
      </c>
      <c r="FH129" t="e">
        <f>AND('Planilla_General_29-11-2012_10_'!B1938,"AAAAADe7f6M=")</f>
        <v>#VALUE!</v>
      </c>
      <c r="FI129" t="e">
        <f>AND('Planilla_General_29-11-2012_10_'!C1938,"AAAAADe7f6Q=")</f>
        <v>#VALUE!</v>
      </c>
      <c r="FJ129" t="e">
        <f>AND('Planilla_General_29-11-2012_10_'!D1938,"AAAAADe7f6U=")</f>
        <v>#VALUE!</v>
      </c>
      <c r="FK129" t="e">
        <f>AND('Planilla_General_29-11-2012_10_'!E1938,"AAAAADe7f6Y=")</f>
        <v>#VALUE!</v>
      </c>
      <c r="FL129" t="e">
        <f>AND('Planilla_General_29-11-2012_10_'!F1938,"AAAAADe7f6c=")</f>
        <v>#VALUE!</v>
      </c>
      <c r="FM129" t="e">
        <f>AND('Planilla_General_29-11-2012_10_'!G1938,"AAAAADe7f6g=")</f>
        <v>#VALUE!</v>
      </c>
      <c r="FN129" t="e">
        <f>AND('Planilla_General_29-11-2012_10_'!H1938,"AAAAADe7f6k=")</f>
        <v>#VALUE!</v>
      </c>
      <c r="FO129" t="e">
        <f>AND('Planilla_General_29-11-2012_10_'!I1938,"AAAAADe7f6o=")</f>
        <v>#VALUE!</v>
      </c>
      <c r="FP129" t="e">
        <f>AND('Planilla_General_29-11-2012_10_'!J1938,"AAAAADe7f6s=")</f>
        <v>#VALUE!</v>
      </c>
      <c r="FQ129" t="e">
        <f>AND('Planilla_General_29-11-2012_10_'!K1938,"AAAAADe7f6w=")</f>
        <v>#VALUE!</v>
      </c>
      <c r="FR129" t="e">
        <f>AND('Planilla_General_29-11-2012_10_'!L1938,"AAAAADe7f60=")</f>
        <v>#VALUE!</v>
      </c>
      <c r="FS129" t="e">
        <f>AND('Planilla_General_29-11-2012_10_'!M1938,"AAAAADe7f64=")</f>
        <v>#VALUE!</v>
      </c>
      <c r="FT129" t="e">
        <f>AND('Planilla_General_29-11-2012_10_'!N1938,"AAAAADe7f68=")</f>
        <v>#VALUE!</v>
      </c>
      <c r="FU129" t="e">
        <f>AND('Planilla_General_29-11-2012_10_'!O1938,"AAAAADe7f7A=")</f>
        <v>#VALUE!</v>
      </c>
      <c r="FV129" t="e">
        <f>AND('Planilla_General_29-11-2012_10_'!P1938,"AAAAADe7f7E=")</f>
        <v>#VALUE!</v>
      </c>
      <c r="FW129">
        <f>IF('Planilla_General_29-11-2012_10_'!1939:1939,"AAAAADe7f7I=",0)</f>
        <v>0</v>
      </c>
      <c r="FX129" t="e">
        <f>AND('Planilla_General_29-11-2012_10_'!A1939,"AAAAADe7f7M=")</f>
        <v>#VALUE!</v>
      </c>
      <c r="FY129" t="e">
        <f>AND('Planilla_General_29-11-2012_10_'!B1939,"AAAAADe7f7Q=")</f>
        <v>#VALUE!</v>
      </c>
      <c r="FZ129" t="e">
        <f>AND('Planilla_General_29-11-2012_10_'!C1939,"AAAAADe7f7U=")</f>
        <v>#VALUE!</v>
      </c>
      <c r="GA129" t="e">
        <f>AND('Planilla_General_29-11-2012_10_'!D1939,"AAAAADe7f7Y=")</f>
        <v>#VALUE!</v>
      </c>
      <c r="GB129" t="e">
        <f>AND('Planilla_General_29-11-2012_10_'!E1939,"AAAAADe7f7c=")</f>
        <v>#VALUE!</v>
      </c>
      <c r="GC129" t="e">
        <f>AND('Planilla_General_29-11-2012_10_'!F1939,"AAAAADe7f7g=")</f>
        <v>#VALUE!</v>
      </c>
      <c r="GD129" t="e">
        <f>AND('Planilla_General_29-11-2012_10_'!G1939,"AAAAADe7f7k=")</f>
        <v>#VALUE!</v>
      </c>
      <c r="GE129" t="e">
        <f>AND('Planilla_General_29-11-2012_10_'!H1939,"AAAAADe7f7o=")</f>
        <v>#VALUE!</v>
      </c>
      <c r="GF129" t="e">
        <f>AND('Planilla_General_29-11-2012_10_'!I1939,"AAAAADe7f7s=")</f>
        <v>#VALUE!</v>
      </c>
      <c r="GG129" t="e">
        <f>AND('Planilla_General_29-11-2012_10_'!J1939,"AAAAADe7f7w=")</f>
        <v>#VALUE!</v>
      </c>
      <c r="GH129" t="e">
        <f>AND('Planilla_General_29-11-2012_10_'!K1939,"AAAAADe7f70=")</f>
        <v>#VALUE!</v>
      </c>
      <c r="GI129" t="e">
        <f>AND('Planilla_General_29-11-2012_10_'!L1939,"AAAAADe7f74=")</f>
        <v>#VALUE!</v>
      </c>
      <c r="GJ129" t="e">
        <f>AND('Planilla_General_29-11-2012_10_'!M1939,"AAAAADe7f78=")</f>
        <v>#VALUE!</v>
      </c>
      <c r="GK129" t="e">
        <f>AND('Planilla_General_29-11-2012_10_'!N1939,"AAAAADe7f8A=")</f>
        <v>#VALUE!</v>
      </c>
      <c r="GL129" t="e">
        <f>AND('Planilla_General_29-11-2012_10_'!O1939,"AAAAADe7f8E=")</f>
        <v>#VALUE!</v>
      </c>
      <c r="GM129" t="e">
        <f>AND('Planilla_General_29-11-2012_10_'!P1939,"AAAAADe7f8I=")</f>
        <v>#VALUE!</v>
      </c>
      <c r="GN129">
        <f>IF('Planilla_General_29-11-2012_10_'!1940:1940,"AAAAADe7f8M=",0)</f>
        <v>0</v>
      </c>
      <c r="GO129" t="e">
        <f>AND('Planilla_General_29-11-2012_10_'!A1940,"AAAAADe7f8Q=")</f>
        <v>#VALUE!</v>
      </c>
      <c r="GP129" t="e">
        <f>AND('Planilla_General_29-11-2012_10_'!B1940,"AAAAADe7f8U=")</f>
        <v>#VALUE!</v>
      </c>
      <c r="GQ129" t="e">
        <f>AND('Planilla_General_29-11-2012_10_'!C1940,"AAAAADe7f8Y=")</f>
        <v>#VALUE!</v>
      </c>
      <c r="GR129" t="e">
        <f>AND('Planilla_General_29-11-2012_10_'!D1940,"AAAAADe7f8c=")</f>
        <v>#VALUE!</v>
      </c>
      <c r="GS129" t="e">
        <f>AND('Planilla_General_29-11-2012_10_'!E1940,"AAAAADe7f8g=")</f>
        <v>#VALUE!</v>
      </c>
      <c r="GT129" t="e">
        <f>AND('Planilla_General_29-11-2012_10_'!F1940,"AAAAADe7f8k=")</f>
        <v>#VALUE!</v>
      </c>
      <c r="GU129" t="e">
        <f>AND('Planilla_General_29-11-2012_10_'!G1940,"AAAAADe7f8o=")</f>
        <v>#VALUE!</v>
      </c>
      <c r="GV129" t="e">
        <f>AND('Planilla_General_29-11-2012_10_'!H1940,"AAAAADe7f8s=")</f>
        <v>#VALUE!</v>
      </c>
      <c r="GW129" t="e">
        <f>AND('Planilla_General_29-11-2012_10_'!I1940,"AAAAADe7f8w=")</f>
        <v>#VALUE!</v>
      </c>
      <c r="GX129" t="e">
        <f>AND('Planilla_General_29-11-2012_10_'!J1940,"AAAAADe7f80=")</f>
        <v>#VALUE!</v>
      </c>
      <c r="GY129" t="e">
        <f>AND('Planilla_General_29-11-2012_10_'!K1940,"AAAAADe7f84=")</f>
        <v>#VALUE!</v>
      </c>
      <c r="GZ129" t="e">
        <f>AND('Planilla_General_29-11-2012_10_'!L1940,"AAAAADe7f88=")</f>
        <v>#VALUE!</v>
      </c>
      <c r="HA129" t="e">
        <f>AND('Planilla_General_29-11-2012_10_'!M1940,"AAAAADe7f9A=")</f>
        <v>#VALUE!</v>
      </c>
      <c r="HB129" t="e">
        <f>AND('Planilla_General_29-11-2012_10_'!N1940,"AAAAADe7f9E=")</f>
        <v>#VALUE!</v>
      </c>
      <c r="HC129" t="e">
        <f>AND('Planilla_General_29-11-2012_10_'!O1940,"AAAAADe7f9I=")</f>
        <v>#VALUE!</v>
      </c>
      <c r="HD129" t="e">
        <f>AND('Planilla_General_29-11-2012_10_'!P1940,"AAAAADe7f9M=")</f>
        <v>#VALUE!</v>
      </c>
      <c r="HE129">
        <f>IF('Planilla_General_29-11-2012_10_'!1941:1941,"AAAAADe7f9Q=",0)</f>
        <v>0</v>
      </c>
      <c r="HF129" t="e">
        <f>AND('Planilla_General_29-11-2012_10_'!A1941,"AAAAADe7f9U=")</f>
        <v>#VALUE!</v>
      </c>
      <c r="HG129" t="e">
        <f>AND('Planilla_General_29-11-2012_10_'!B1941,"AAAAADe7f9Y=")</f>
        <v>#VALUE!</v>
      </c>
      <c r="HH129" t="e">
        <f>AND('Planilla_General_29-11-2012_10_'!C1941,"AAAAADe7f9c=")</f>
        <v>#VALUE!</v>
      </c>
      <c r="HI129" t="e">
        <f>AND('Planilla_General_29-11-2012_10_'!D1941,"AAAAADe7f9g=")</f>
        <v>#VALUE!</v>
      </c>
      <c r="HJ129" t="e">
        <f>AND('Planilla_General_29-11-2012_10_'!E1941,"AAAAADe7f9k=")</f>
        <v>#VALUE!</v>
      </c>
      <c r="HK129" t="e">
        <f>AND('Planilla_General_29-11-2012_10_'!F1941,"AAAAADe7f9o=")</f>
        <v>#VALUE!</v>
      </c>
      <c r="HL129" t="e">
        <f>AND('Planilla_General_29-11-2012_10_'!G1941,"AAAAADe7f9s=")</f>
        <v>#VALUE!</v>
      </c>
      <c r="HM129" t="e">
        <f>AND('Planilla_General_29-11-2012_10_'!H1941,"AAAAADe7f9w=")</f>
        <v>#VALUE!</v>
      </c>
      <c r="HN129" t="e">
        <f>AND('Planilla_General_29-11-2012_10_'!I1941,"AAAAADe7f90=")</f>
        <v>#VALUE!</v>
      </c>
      <c r="HO129" t="e">
        <f>AND('Planilla_General_29-11-2012_10_'!J1941,"AAAAADe7f94=")</f>
        <v>#VALUE!</v>
      </c>
      <c r="HP129" t="e">
        <f>AND('Planilla_General_29-11-2012_10_'!K1941,"AAAAADe7f98=")</f>
        <v>#VALUE!</v>
      </c>
      <c r="HQ129" t="e">
        <f>AND('Planilla_General_29-11-2012_10_'!L1941,"AAAAADe7f+A=")</f>
        <v>#VALUE!</v>
      </c>
      <c r="HR129" t="e">
        <f>AND('Planilla_General_29-11-2012_10_'!M1941,"AAAAADe7f+E=")</f>
        <v>#VALUE!</v>
      </c>
      <c r="HS129" t="e">
        <f>AND('Planilla_General_29-11-2012_10_'!N1941,"AAAAADe7f+I=")</f>
        <v>#VALUE!</v>
      </c>
      <c r="HT129" t="e">
        <f>AND('Planilla_General_29-11-2012_10_'!O1941,"AAAAADe7f+M=")</f>
        <v>#VALUE!</v>
      </c>
      <c r="HU129" t="e">
        <f>AND('Planilla_General_29-11-2012_10_'!P1941,"AAAAADe7f+Q=")</f>
        <v>#VALUE!</v>
      </c>
      <c r="HV129">
        <f>IF('Planilla_General_29-11-2012_10_'!1942:1942,"AAAAADe7f+U=",0)</f>
        <v>0</v>
      </c>
      <c r="HW129" t="e">
        <f>AND('Planilla_General_29-11-2012_10_'!A1942,"AAAAADe7f+Y=")</f>
        <v>#VALUE!</v>
      </c>
      <c r="HX129" t="e">
        <f>AND('Planilla_General_29-11-2012_10_'!B1942,"AAAAADe7f+c=")</f>
        <v>#VALUE!</v>
      </c>
      <c r="HY129" t="e">
        <f>AND('Planilla_General_29-11-2012_10_'!C1942,"AAAAADe7f+g=")</f>
        <v>#VALUE!</v>
      </c>
      <c r="HZ129" t="e">
        <f>AND('Planilla_General_29-11-2012_10_'!D1942,"AAAAADe7f+k=")</f>
        <v>#VALUE!</v>
      </c>
      <c r="IA129" t="e">
        <f>AND('Planilla_General_29-11-2012_10_'!E1942,"AAAAADe7f+o=")</f>
        <v>#VALUE!</v>
      </c>
      <c r="IB129" t="e">
        <f>AND('Planilla_General_29-11-2012_10_'!F1942,"AAAAADe7f+s=")</f>
        <v>#VALUE!</v>
      </c>
      <c r="IC129" t="e">
        <f>AND('Planilla_General_29-11-2012_10_'!G1942,"AAAAADe7f+w=")</f>
        <v>#VALUE!</v>
      </c>
      <c r="ID129" t="e">
        <f>AND('Planilla_General_29-11-2012_10_'!H1942,"AAAAADe7f+0=")</f>
        <v>#VALUE!</v>
      </c>
      <c r="IE129" t="e">
        <f>AND('Planilla_General_29-11-2012_10_'!I1942,"AAAAADe7f+4=")</f>
        <v>#VALUE!</v>
      </c>
      <c r="IF129" t="e">
        <f>AND('Planilla_General_29-11-2012_10_'!J1942,"AAAAADe7f+8=")</f>
        <v>#VALUE!</v>
      </c>
      <c r="IG129" t="e">
        <f>AND('Planilla_General_29-11-2012_10_'!K1942,"AAAAADe7f/A=")</f>
        <v>#VALUE!</v>
      </c>
      <c r="IH129" t="e">
        <f>AND('Planilla_General_29-11-2012_10_'!L1942,"AAAAADe7f/E=")</f>
        <v>#VALUE!</v>
      </c>
      <c r="II129" t="e">
        <f>AND('Planilla_General_29-11-2012_10_'!M1942,"AAAAADe7f/I=")</f>
        <v>#VALUE!</v>
      </c>
      <c r="IJ129" t="e">
        <f>AND('Planilla_General_29-11-2012_10_'!N1942,"AAAAADe7f/M=")</f>
        <v>#VALUE!</v>
      </c>
      <c r="IK129" t="e">
        <f>AND('Planilla_General_29-11-2012_10_'!O1942,"AAAAADe7f/Q=")</f>
        <v>#VALUE!</v>
      </c>
      <c r="IL129" t="e">
        <f>AND('Planilla_General_29-11-2012_10_'!P1942,"AAAAADe7f/U=")</f>
        <v>#VALUE!</v>
      </c>
      <c r="IM129">
        <f>IF('Planilla_General_29-11-2012_10_'!1943:1943,"AAAAADe7f/Y=",0)</f>
        <v>0</v>
      </c>
      <c r="IN129" t="e">
        <f>AND('Planilla_General_29-11-2012_10_'!A1943,"AAAAADe7f/c=")</f>
        <v>#VALUE!</v>
      </c>
      <c r="IO129" t="e">
        <f>AND('Planilla_General_29-11-2012_10_'!B1943,"AAAAADe7f/g=")</f>
        <v>#VALUE!</v>
      </c>
      <c r="IP129" t="e">
        <f>AND('Planilla_General_29-11-2012_10_'!C1943,"AAAAADe7f/k=")</f>
        <v>#VALUE!</v>
      </c>
      <c r="IQ129" t="e">
        <f>AND('Planilla_General_29-11-2012_10_'!D1943,"AAAAADe7f/o=")</f>
        <v>#VALUE!</v>
      </c>
      <c r="IR129" t="e">
        <f>AND('Planilla_General_29-11-2012_10_'!E1943,"AAAAADe7f/s=")</f>
        <v>#VALUE!</v>
      </c>
      <c r="IS129" t="e">
        <f>AND('Planilla_General_29-11-2012_10_'!F1943,"AAAAADe7f/w=")</f>
        <v>#VALUE!</v>
      </c>
      <c r="IT129" t="e">
        <f>AND('Planilla_General_29-11-2012_10_'!G1943,"AAAAADe7f/0=")</f>
        <v>#VALUE!</v>
      </c>
      <c r="IU129" t="e">
        <f>AND('Planilla_General_29-11-2012_10_'!H1943,"AAAAADe7f/4=")</f>
        <v>#VALUE!</v>
      </c>
      <c r="IV129" t="e">
        <f>AND('Planilla_General_29-11-2012_10_'!I1943,"AAAAADe7f/8=")</f>
        <v>#VALUE!</v>
      </c>
    </row>
    <row r="130" spans="1:256" x14ac:dyDescent="0.25">
      <c r="A130" t="e">
        <f>AND('Planilla_General_29-11-2012_10_'!J1943,"AAAAAHtNPgA=")</f>
        <v>#VALUE!</v>
      </c>
      <c r="B130" t="e">
        <f>AND('Planilla_General_29-11-2012_10_'!K1943,"AAAAAHtNPgE=")</f>
        <v>#VALUE!</v>
      </c>
      <c r="C130" t="e">
        <f>AND('Planilla_General_29-11-2012_10_'!L1943,"AAAAAHtNPgI=")</f>
        <v>#VALUE!</v>
      </c>
      <c r="D130" t="e">
        <f>AND('Planilla_General_29-11-2012_10_'!M1943,"AAAAAHtNPgM=")</f>
        <v>#VALUE!</v>
      </c>
      <c r="E130" t="e">
        <f>AND('Planilla_General_29-11-2012_10_'!N1943,"AAAAAHtNPgQ=")</f>
        <v>#VALUE!</v>
      </c>
      <c r="F130" t="e">
        <f>AND('Planilla_General_29-11-2012_10_'!O1943,"AAAAAHtNPgU=")</f>
        <v>#VALUE!</v>
      </c>
      <c r="G130" t="e">
        <f>AND('Planilla_General_29-11-2012_10_'!P1943,"AAAAAHtNPgY=")</f>
        <v>#VALUE!</v>
      </c>
      <c r="H130" t="e">
        <f>IF('Planilla_General_29-11-2012_10_'!1944:1944,"AAAAAHtNPgc=",0)</f>
        <v>#VALUE!</v>
      </c>
      <c r="I130" t="e">
        <f>AND('Planilla_General_29-11-2012_10_'!A1944,"AAAAAHtNPgg=")</f>
        <v>#VALUE!</v>
      </c>
      <c r="J130" t="e">
        <f>AND('Planilla_General_29-11-2012_10_'!B1944,"AAAAAHtNPgk=")</f>
        <v>#VALUE!</v>
      </c>
      <c r="K130" t="e">
        <f>AND('Planilla_General_29-11-2012_10_'!C1944,"AAAAAHtNPgo=")</f>
        <v>#VALUE!</v>
      </c>
      <c r="L130" t="e">
        <f>AND('Planilla_General_29-11-2012_10_'!D1944,"AAAAAHtNPgs=")</f>
        <v>#VALUE!</v>
      </c>
      <c r="M130" t="e">
        <f>AND('Planilla_General_29-11-2012_10_'!E1944,"AAAAAHtNPgw=")</f>
        <v>#VALUE!</v>
      </c>
      <c r="N130" t="e">
        <f>AND('Planilla_General_29-11-2012_10_'!F1944,"AAAAAHtNPg0=")</f>
        <v>#VALUE!</v>
      </c>
      <c r="O130" t="e">
        <f>AND('Planilla_General_29-11-2012_10_'!G1944,"AAAAAHtNPg4=")</f>
        <v>#VALUE!</v>
      </c>
      <c r="P130" t="e">
        <f>AND('Planilla_General_29-11-2012_10_'!H1944,"AAAAAHtNPg8=")</f>
        <v>#VALUE!</v>
      </c>
      <c r="Q130" t="e">
        <f>AND('Planilla_General_29-11-2012_10_'!I1944,"AAAAAHtNPhA=")</f>
        <v>#VALUE!</v>
      </c>
      <c r="R130" t="e">
        <f>AND('Planilla_General_29-11-2012_10_'!J1944,"AAAAAHtNPhE=")</f>
        <v>#VALUE!</v>
      </c>
      <c r="S130" t="e">
        <f>AND('Planilla_General_29-11-2012_10_'!K1944,"AAAAAHtNPhI=")</f>
        <v>#VALUE!</v>
      </c>
      <c r="T130" t="e">
        <f>AND('Planilla_General_29-11-2012_10_'!L1944,"AAAAAHtNPhM=")</f>
        <v>#VALUE!</v>
      </c>
      <c r="U130" t="e">
        <f>AND('Planilla_General_29-11-2012_10_'!M1944,"AAAAAHtNPhQ=")</f>
        <v>#VALUE!</v>
      </c>
      <c r="V130" t="e">
        <f>AND('Planilla_General_29-11-2012_10_'!N1944,"AAAAAHtNPhU=")</f>
        <v>#VALUE!</v>
      </c>
      <c r="W130" t="e">
        <f>AND('Planilla_General_29-11-2012_10_'!O1944,"AAAAAHtNPhY=")</f>
        <v>#VALUE!</v>
      </c>
      <c r="X130" t="e">
        <f>AND('Planilla_General_29-11-2012_10_'!P1944,"AAAAAHtNPhc=")</f>
        <v>#VALUE!</v>
      </c>
      <c r="Y130">
        <f>IF('Planilla_General_29-11-2012_10_'!1945:1945,"AAAAAHtNPhg=",0)</f>
        <v>0</v>
      </c>
      <c r="Z130" t="e">
        <f>AND('Planilla_General_29-11-2012_10_'!A1945,"AAAAAHtNPhk=")</f>
        <v>#VALUE!</v>
      </c>
      <c r="AA130" t="e">
        <f>AND('Planilla_General_29-11-2012_10_'!B1945,"AAAAAHtNPho=")</f>
        <v>#VALUE!</v>
      </c>
      <c r="AB130" t="e">
        <f>AND('Planilla_General_29-11-2012_10_'!C1945,"AAAAAHtNPhs=")</f>
        <v>#VALUE!</v>
      </c>
      <c r="AC130" t="e">
        <f>AND('Planilla_General_29-11-2012_10_'!D1945,"AAAAAHtNPhw=")</f>
        <v>#VALUE!</v>
      </c>
      <c r="AD130" t="e">
        <f>AND('Planilla_General_29-11-2012_10_'!E1945,"AAAAAHtNPh0=")</f>
        <v>#VALUE!</v>
      </c>
      <c r="AE130" t="e">
        <f>AND('Planilla_General_29-11-2012_10_'!F1945,"AAAAAHtNPh4=")</f>
        <v>#VALUE!</v>
      </c>
      <c r="AF130" t="e">
        <f>AND('Planilla_General_29-11-2012_10_'!G1945,"AAAAAHtNPh8=")</f>
        <v>#VALUE!</v>
      </c>
      <c r="AG130" t="e">
        <f>AND('Planilla_General_29-11-2012_10_'!H1945,"AAAAAHtNPiA=")</f>
        <v>#VALUE!</v>
      </c>
      <c r="AH130" t="e">
        <f>AND('Planilla_General_29-11-2012_10_'!I1945,"AAAAAHtNPiE=")</f>
        <v>#VALUE!</v>
      </c>
      <c r="AI130" t="e">
        <f>AND('Planilla_General_29-11-2012_10_'!J1945,"AAAAAHtNPiI=")</f>
        <v>#VALUE!</v>
      </c>
      <c r="AJ130" t="e">
        <f>AND('Planilla_General_29-11-2012_10_'!K1945,"AAAAAHtNPiM=")</f>
        <v>#VALUE!</v>
      </c>
      <c r="AK130" t="e">
        <f>AND('Planilla_General_29-11-2012_10_'!L1945,"AAAAAHtNPiQ=")</f>
        <v>#VALUE!</v>
      </c>
      <c r="AL130" t="e">
        <f>AND('Planilla_General_29-11-2012_10_'!M1945,"AAAAAHtNPiU=")</f>
        <v>#VALUE!</v>
      </c>
      <c r="AM130" t="e">
        <f>AND('Planilla_General_29-11-2012_10_'!N1945,"AAAAAHtNPiY=")</f>
        <v>#VALUE!</v>
      </c>
      <c r="AN130" t="e">
        <f>AND('Planilla_General_29-11-2012_10_'!O1945,"AAAAAHtNPic=")</f>
        <v>#VALUE!</v>
      </c>
      <c r="AO130" t="e">
        <f>AND('Planilla_General_29-11-2012_10_'!P1945,"AAAAAHtNPig=")</f>
        <v>#VALUE!</v>
      </c>
      <c r="AP130">
        <f>IF('Planilla_General_29-11-2012_10_'!1946:1946,"AAAAAHtNPik=",0)</f>
        <v>0</v>
      </c>
      <c r="AQ130" t="e">
        <f>AND('Planilla_General_29-11-2012_10_'!A1946,"AAAAAHtNPio=")</f>
        <v>#VALUE!</v>
      </c>
      <c r="AR130" t="e">
        <f>AND('Planilla_General_29-11-2012_10_'!B1946,"AAAAAHtNPis=")</f>
        <v>#VALUE!</v>
      </c>
      <c r="AS130" t="e">
        <f>AND('Planilla_General_29-11-2012_10_'!C1946,"AAAAAHtNPiw=")</f>
        <v>#VALUE!</v>
      </c>
      <c r="AT130" t="e">
        <f>AND('Planilla_General_29-11-2012_10_'!D1946,"AAAAAHtNPi0=")</f>
        <v>#VALUE!</v>
      </c>
      <c r="AU130" t="e">
        <f>AND('Planilla_General_29-11-2012_10_'!E1946,"AAAAAHtNPi4=")</f>
        <v>#VALUE!</v>
      </c>
      <c r="AV130" t="e">
        <f>AND('Planilla_General_29-11-2012_10_'!F1946,"AAAAAHtNPi8=")</f>
        <v>#VALUE!</v>
      </c>
      <c r="AW130" t="e">
        <f>AND('Planilla_General_29-11-2012_10_'!G1946,"AAAAAHtNPjA=")</f>
        <v>#VALUE!</v>
      </c>
      <c r="AX130" t="e">
        <f>AND('Planilla_General_29-11-2012_10_'!H1946,"AAAAAHtNPjE=")</f>
        <v>#VALUE!</v>
      </c>
      <c r="AY130" t="e">
        <f>AND('Planilla_General_29-11-2012_10_'!I1946,"AAAAAHtNPjI=")</f>
        <v>#VALUE!</v>
      </c>
      <c r="AZ130" t="e">
        <f>AND('Planilla_General_29-11-2012_10_'!J1946,"AAAAAHtNPjM=")</f>
        <v>#VALUE!</v>
      </c>
      <c r="BA130" t="e">
        <f>AND('Planilla_General_29-11-2012_10_'!K1946,"AAAAAHtNPjQ=")</f>
        <v>#VALUE!</v>
      </c>
      <c r="BB130" t="e">
        <f>AND('Planilla_General_29-11-2012_10_'!L1946,"AAAAAHtNPjU=")</f>
        <v>#VALUE!</v>
      </c>
      <c r="BC130" t="e">
        <f>AND('Planilla_General_29-11-2012_10_'!M1946,"AAAAAHtNPjY=")</f>
        <v>#VALUE!</v>
      </c>
      <c r="BD130" t="e">
        <f>AND('Planilla_General_29-11-2012_10_'!N1946,"AAAAAHtNPjc=")</f>
        <v>#VALUE!</v>
      </c>
      <c r="BE130" t="e">
        <f>AND('Planilla_General_29-11-2012_10_'!O1946,"AAAAAHtNPjg=")</f>
        <v>#VALUE!</v>
      </c>
      <c r="BF130" t="e">
        <f>AND('Planilla_General_29-11-2012_10_'!P1946,"AAAAAHtNPjk=")</f>
        <v>#VALUE!</v>
      </c>
      <c r="BG130">
        <f>IF('Planilla_General_29-11-2012_10_'!1947:1947,"AAAAAHtNPjo=",0)</f>
        <v>0</v>
      </c>
      <c r="BH130" t="e">
        <f>AND('Planilla_General_29-11-2012_10_'!A1947,"AAAAAHtNPjs=")</f>
        <v>#VALUE!</v>
      </c>
      <c r="BI130" t="e">
        <f>AND('Planilla_General_29-11-2012_10_'!B1947,"AAAAAHtNPjw=")</f>
        <v>#VALUE!</v>
      </c>
      <c r="BJ130" t="e">
        <f>AND('Planilla_General_29-11-2012_10_'!C1947,"AAAAAHtNPj0=")</f>
        <v>#VALUE!</v>
      </c>
      <c r="BK130" t="e">
        <f>AND('Planilla_General_29-11-2012_10_'!D1947,"AAAAAHtNPj4=")</f>
        <v>#VALUE!</v>
      </c>
      <c r="BL130" t="e">
        <f>AND('Planilla_General_29-11-2012_10_'!E1947,"AAAAAHtNPj8=")</f>
        <v>#VALUE!</v>
      </c>
      <c r="BM130" t="e">
        <f>AND('Planilla_General_29-11-2012_10_'!F1947,"AAAAAHtNPkA=")</f>
        <v>#VALUE!</v>
      </c>
      <c r="BN130" t="e">
        <f>AND('Planilla_General_29-11-2012_10_'!G1947,"AAAAAHtNPkE=")</f>
        <v>#VALUE!</v>
      </c>
      <c r="BO130" t="e">
        <f>AND('Planilla_General_29-11-2012_10_'!H1947,"AAAAAHtNPkI=")</f>
        <v>#VALUE!</v>
      </c>
      <c r="BP130" t="e">
        <f>AND('Planilla_General_29-11-2012_10_'!I1947,"AAAAAHtNPkM=")</f>
        <v>#VALUE!</v>
      </c>
      <c r="BQ130" t="e">
        <f>AND('Planilla_General_29-11-2012_10_'!J1947,"AAAAAHtNPkQ=")</f>
        <v>#VALUE!</v>
      </c>
      <c r="BR130" t="e">
        <f>AND('Planilla_General_29-11-2012_10_'!K1947,"AAAAAHtNPkU=")</f>
        <v>#VALUE!</v>
      </c>
      <c r="BS130" t="e">
        <f>AND('Planilla_General_29-11-2012_10_'!L1947,"AAAAAHtNPkY=")</f>
        <v>#VALUE!</v>
      </c>
      <c r="BT130" t="e">
        <f>AND('Planilla_General_29-11-2012_10_'!M1947,"AAAAAHtNPkc=")</f>
        <v>#VALUE!</v>
      </c>
      <c r="BU130" t="e">
        <f>AND('Planilla_General_29-11-2012_10_'!N1947,"AAAAAHtNPkg=")</f>
        <v>#VALUE!</v>
      </c>
      <c r="BV130" t="e">
        <f>AND('Planilla_General_29-11-2012_10_'!O1947,"AAAAAHtNPkk=")</f>
        <v>#VALUE!</v>
      </c>
      <c r="BW130" t="e">
        <f>AND('Planilla_General_29-11-2012_10_'!P1947,"AAAAAHtNPko=")</f>
        <v>#VALUE!</v>
      </c>
      <c r="BX130">
        <f>IF('Planilla_General_29-11-2012_10_'!1948:1948,"AAAAAHtNPks=",0)</f>
        <v>0</v>
      </c>
      <c r="BY130" t="e">
        <f>AND('Planilla_General_29-11-2012_10_'!A1948,"AAAAAHtNPkw=")</f>
        <v>#VALUE!</v>
      </c>
      <c r="BZ130" t="e">
        <f>AND('Planilla_General_29-11-2012_10_'!B1948,"AAAAAHtNPk0=")</f>
        <v>#VALUE!</v>
      </c>
      <c r="CA130" t="e">
        <f>AND('Planilla_General_29-11-2012_10_'!C1948,"AAAAAHtNPk4=")</f>
        <v>#VALUE!</v>
      </c>
      <c r="CB130" t="e">
        <f>AND('Planilla_General_29-11-2012_10_'!D1948,"AAAAAHtNPk8=")</f>
        <v>#VALUE!</v>
      </c>
      <c r="CC130" t="e">
        <f>AND('Planilla_General_29-11-2012_10_'!E1948,"AAAAAHtNPlA=")</f>
        <v>#VALUE!</v>
      </c>
      <c r="CD130" t="e">
        <f>AND('Planilla_General_29-11-2012_10_'!F1948,"AAAAAHtNPlE=")</f>
        <v>#VALUE!</v>
      </c>
      <c r="CE130" t="e">
        <f>AND('Planilla_General_29-11-2012_10_'!G1948,"AAAAAHtNPlI=")</f>
        <v>#VALUE!</v>
      </c>
      <c r="CF130" t="e">
        <f>AND('Planilla_General_29-11-2012_10_'!H1948,"AAAAAHtNPlM=")</f>
        <v>#VALUE!</v>
      </c>
      <c r="CG130" t="e">
        <f>AND('Planilla_General_29-11-2012_10_'!I1948,"AAAAAHtNPlQ=")</f>
        <v>#VALUE!</v>
      </c>
      <c r="CH130" t="e">
        <f>AND('Planilla_General_29-11-2012_10_'!J1948,"AAAAAHtNPlU=")</f>
        <v>#VALUE!</v>
      </c>
      <c r="CI130" t="e">
        <f>AND('Planilla_General_29-11-2012_10_'!K1948,"AAAAAHtNPlY=")</f>
        <v>#VALUE!</v>
      </c>
      <c r="CJ130" t="e">
        <f>AND('Planilla_General_29-11-2012_10_'!L1948,"AAAAAHtNPlc=")</f>
        <v>#VALUE!</v>
      </c>
      <c r="CK130" t="e">
        <f>AND('Planilla_General_29-11-2012_10_'!M1948,"AAAAAHtNPlg=")</f>
        <v>#VALUE!</v>
      </c>
      <c r="CL130" t="e">
        <f>AND('Planilla_General_29-11-2012_10_'!N1948,"AAAAAHtNPlk=")</f>
        <v>#VALUE!</v>
      </c>
      <c r="CM130" t="e">
        <f>AND('Planilla_General_29-11-2012_10_'!O1948,"AAAAAHtNPlo=")</f>
        <v>#VALUE!</v>
      </c>
      <c r="CN130" t="e">
        <f>AND('Planilla_General_29-11-2012_10_'!P1948,"AAAAAHtNPls=")</f>
        <v>#VALUE!</v>
      </c>
      <c r="CO130">
        <f>IF('Planilla_General_29-11-2012_10_'!1949:1949,"AAAAAHtNPlw=",0)</f>
        <v>0</v>
      </c>
      <c r="CP130" t="e">
        <f>AND('Planilla_General_29-11-2012_10_'!A1949,"AAAAAHtNPl0=")</f>
        <v>#VALUE!</v>
      </c>
      <c r="CQ130" t="e">
        <f>AND('Planilla_General_29-11-2012_10_'!B1949,"AAAAAHtNPl4=")</f>
        <v>#VALUE!</v>
      </c>
      <c r="CR130" t="e">
        <f>AND('Planilla_General_29-11-2012_10_'!C1949,"AAAAAHtNPl8=")</f>
        <v>#VALUE!</v>
      </c>
      <c r="CS130" t="e">
        <f>AND('Planilla_General_29-11-2012_10_'!D1949,"AAAAAHtNPmA=")</f>
        <v>#VALUE!</v>
      </c>
      <c r="CT130" t="e">
        <f>AND('Planilla_General_29-11-2012_10_'!E1949,"AAAAAHtNPmE=")</f>
        <v>#VALUE!</v>
      </c>
      <c r="CU130" t="e">
        <f>AND('Planilla_General_29-11-2012_10_'!F1949,"AAAAAHtNPmI=")</f>
        <v>#VALUE!</v>
      </c>
      <c r="CV130" t="e">
        <f>AND('Planilla_General_29-11-2012_10_'!G1949,"AAAAAHtNPmM=")</f>
        <v>#VALUE!</v>
      </c>
      <c r="CW130" t="e">
        <f>AND('Planilla_General_29-11-2012_10_'!H1949,"AAAAAHtNPmQ=")</f>
        <v>#VALUE!</v>
      </c>
      <c r="CX130" t="e">
        <f>AND('Planilla_General_29-11-2012_10_'!I1949,"AAAAAHtNPmU=")</f>
        <v>#VALUE!</v>
      </c>
      <c r="CY130" t="e">
        <f>AND('Planilla_General_29-11-2012_10_'!J1949,"AAAAAHtNPmY=")</f>
        <v>#VALUE!</v>
      </c>
      <c r="CZ130" t="e">
        <f>AND('Planilla_General_29-11-2012_10_'!K1949,"AAAAAHtNPmc=")</f>
        <v>#VALUE!</v>
      </c>
      <c r="DA130" t="e">
        <f>AND('Planilla_General_29-11-2012_10_'!L1949,"AAAAAHtNPmg=")</f>
        <v>#VALUE!</v>
      </c>
      <c r="DB130" t="e">
        <f>AND('Planilla_General_29-11-2012_10_'!M1949,"AAAAAHtNPmk=")</f>
        <v>#VALUE!</v>
      </c>
      <c r="DC130" t="e">
        <f>AND('Planilla_General_29-11-2012_10_'!N1949,"AAAAAHtNPmo=")</f>
        <v>#VALUE!</v>
      </c>
      <c r="DD130" t="e">
        <f>AND('Planilla_General_29-11-2012_10_'!O1949,"AAAAAHtNPms=")</f>
        <v>#VALUE!</v>
      </c>
      <c r="DE130" t="e">
        <f>AND('Planilla_General_29-11-2012_10_'!P1949,"AAAAAHtNPmw=")</f>
        <v>#VALUE!</v>
      </c>
      <c r="DF130">
        <f>IF('Planilla_General_29-11-2012_10_'!1950:1950,"AAAAAHtNPm0=",0)</f>
        <v>0</v>
      </c>
      <c r="DG130" t="e">
        <f>AND('Planilla_General_29-11-2012_10_'!A1950,"AAAAAHtNPm4=")</f>
        <v>#VALUE!</v>
      </c>
      <c r="DH130" t="e">
        <f>AND('Planilla_General_29-11-2012_10_'!B1950,"AAAAAHtNPm8=")</f>
        <v>#VALUE!</v>
      </c>
      <c r="DI130" t="e">
        <f>AND('Planilla_General_29-11-2012_10_'!C1950,"AAAAAHtNPnA=")</f>
        <v>#VALUE!</v>
      </c>
      <c r="DJ130" t="e">
        <f>AND('Planilla_General_29-11-2012_10_'!D1950,"AAAAAHtNPnE=")</f>
        <v>#VALUE!</v>
      </c>
      <c r="DK130" t="e">
        <f>AND('Planilla_General_29-11-2012_10_'!E1950,"AAAAAHtNPnI=")</f>
        <v>#VALUE!</v>
      </c>
      <c r="DL130" t="e">
        <f>AND('Planilla_General_29-11-2012_10_'!F1950,"AAAAAHtNPnM=")</f>
        <v>#VALUE!</v>
      </c>
      <c r="DM130" t="e">
        <f>AND('Planilla_General_29-11-2012_10_'!G1950,"AAAAAHtNPnQ=")</f>
        <v>#VALUE!</v>
      </c>
      <c r="DN130" t="e">
        <f>AND('Planilla_General_29-11-2012_10_'!H1950,"AAAAAHtNPnU=")</f>
        <v>#VALUE!</v>
      </c>
      <c r="DO130" t="e">
        <f>AND('Planilla_General_29-11-2012_10_'!I1950,"AAAAAHtNPnY=")</f>
        <v>#VALUE!</v>
      </c>
      <c r="DP130" t="e">
        <f>AND('Planilla_General_29-11-2012_10_'!J1950,"AAAAAHtNPnc=")</f>
        <v>#VALUE!</v>
      </c>
      <c r="DQ130" t="e">
        <f>AND('Planilla_General_29-11-2012_10_'!K1950,"AAAAAHtNPng=")</f>
        <v>#VALUE!</v>
      </c>
      <c r="DR130" t="e">
        <f>AND('Planilla_General_29-11-2012_10_'!L1950,"AAAAAHtNPnk=")</f>
        <v>#VALUE!</v>
      </c>
      <c r="DS130" t="e">
        <f>AND('Planilla_General_29-11-2012_10_'!M1950,"AAAAAHtNPno=")</f>
        <v>#VALUE!</v>
      </c>
      <c r="DT130" t="e">
        <f>AND('Planilla_General_29-11-2012_10_'!N1950,"AAAAAHtNPns=")</f>
        <v>#VALUE!</v>
      </c>
      <c r="DU130" t="e">
        <f>AND('Planilla_General_29-11-2012_10_'!O1950,"AAAAAHtNPnw=")</f>
        <v>#VALUE!</v>
      </c>
      <c r="DV130" t="e">
        <f>AND('Planilla_General_29-11-2012_10_'!P1950,"AAAAAHtNPn0=")</f>
        <v>#VALUE!</v>
      </c>
      <c r="DW130">
        <f>IF('Planilla_General_29-11-2012_10_'!1951:1951,"AAAAAHtNPn4=",0)</f>
        <v>0</v>
      </c>
      <c r="DX130" t="e">
        <f>AND('Planilla_General_29-11-2012_10_'!A1951,"AAAAAHtNPn8=")</f>
        <v>#VALUE!</v>
      </c>
      <c r="DY130" t="e">
        <f>AND('Planilla_General_29-11-2012_10_'!B1951,"AAAAAHtNPoA=")</f>
        <v>#VALUE!</v>
      </c>
      <c r="DZ130" t="e">
        <f>AND('Planilla_General_29-11-2012_10_'!C1951,"AAAAAHtNPoE=")</f>
        <v>#VALUE!</v>
      </c>
      <c r="EA130" t="e">
        <f>AND('Planilla_General_29-11-2012_10_'!D1951,"AAAAAHtNPoI=")</f>
        <v>#VALUE!</v>
      </c>
      <c r="EB130" t="e">
        <f>AND('Planilla_General_29-11-2012_10_'!E1951,"AAAAAHtNPoM=")</f>
        <v>#VALUE!</v>
      </c>
      <c r="EC130" t="e">
        <f>AND('Planilla_General_29-11-2012_10_'!F1951,"AAAAAHtNPoQ=")</f>
        <v>#VALUE!</v>
      </c>
      <c r="ED130" t="e">
        <f>AND('Planilla_General_29-11-2012_10_'!G1951,"AAAAAHtNPoU=")</f>
        <v>#VALUE!</v>
      </c>
      <c r="EE130" t="e">
        <f>AND('Planilla_General_29-11-2012_10_'!H1951,"AAAAAHtNPoY=")</f>
        <v>#VALUE!</v>
      </c>
      <c r="EF130" t="e">
        <f>AND('Planilla_General_29-11-2012_10_'!I1951,"AAAAAHtNPoc=")</f>
        <v>#VALUE!</v>
      </c>
      <c r="EG130" t="e">
        <f>AND('Planilla_General_29-11-2012_10_'!J1951,"AAAAAHtNPog=")</f>
        <v>#VALUE!</v>
      </c>
      <c r="EH130" t="e">
        <f>AND('Planilla_General_29-11-2012_10_'!K1951,"AAAAAHtNPok=")</f>
        <v>#VALUE!</v>
      </c>
      <c r="EI130" t="e">
        <f>AND('Planilla_General_29-11-2012_10_'!L1951,"AAAAAHtNPoo=")</f>
        <v>#VALUE!</v>
      </c>
      <c r="EJ130" t="e">
        <f>AND('Planilla_General_29-11-2012_10_'!M1951,"AAAAAHtNPos=")</f>
        <v>#VALUE!</v>
      </c>
      <c r="EK130" t="e">
        <f>AND('Planilla_General_29-11-2012_10_'!N1951,"AAAAAHtNPow=")</f>
        <v>#VALUE!</v>
      </c>
      <c r="EL130" t="e">
        <f>AND('Planilla_General_29-11-2012_10_'!O1951,"AAAAAHtNPo0=")</f>
        <v>#VALUE!</v>
      </c>
      <c r="EM130" t="e">
        <f>AND('Planilla_General_29-11-2012_10_'!P1951,"AAAAAHtNPo4=")</f>
        <v>#VALUE!</v>
      </c>
      <c r="EN130">
        <f>IF('Planilla_General_29-11-2012_10_'!1952:1952,"AAAAAHtNPo8=",0)</f>
        <v>0</v>
      </c>
      <c r="EO130" t="e">
        <f>AND('Planilla_General_29-11-2012_10_'!A1952,"AAAAAHtNPpA=")</f>
        <v>#VALUE!</v>
      </c>
      <c r="EP130" t="e">
        <f>AND('Planilla_General_29-11-2012_10_'!B1952,"AAAAAHtNPpE=")</f>
        <v>#VALUE!</v>
      </c>
      <c r="EQ130" t="e">
        <f>AND('Planilla_General_29-11-2012_10_'!C1952,"AAAAAHtNPpI=")</f>
        <v>#VALUE!</v>
      </c>
      <c r="ER130" t="e">
        <f>AND('Planilla_General_29-11-2012_10_'!D1952,"AAAAAHtNPpM=")</f>
        <v>#VALUE!</v>
      </c>
      <c r="ES130" t="e">
        <f>AND('Planilla_General_29-11-2012_10_'!E1952,"AAAAAHtNPpQ=")</f>
        <v>#VALUE!</v>
      </c>
      <c r="ET130" t="e">
        <f>AND('Planilla_General_29-11-2012_10_'!F1952,"AAAAAHtNPpU=")</f>
        <v>#VALUE!</v>
      </c>
      <c r="EU130" t="e">
        <f>AND('Planilla_General_29-11-2012_10_'!G1952,"AAAAAHtNPpY=")</f>
        <v>#VALUE!</v>
      </c>
      <c r="EV130" t="e">
        <f>AND('Planilla_General_29-11-2012_10_'!H1952,"AAAAAHtNPpc=")</f>
        <v>#VALUE!</v>
      </c>
      <c r="EW130" t="e">
        <f>AND('Planilla_General_29-11-2012_10_'!I1952,"AAAAAHtNPpg=")</f>
        <v>#VALUE!</v>
      </c>
      <c r="EX130" t="e">
        <f>AND('Planilla_General_29-11-2012_10_'!J1952,"AAAAAHtNPpk=")</f>
        <v>#VALUE!</v>
      </c>
      <c r="EY130" t="e">
        <f>AND('Planilla_General_29-11-2012_10_'!K1952,"AAAAAHtNPpo=")</f>
        <v>#VALUE!</v>
      </c>
      <c r="EZ130" t="e">
        <f>AND('Planilla_General_29-11-2012_10_'!L1952,"AAAAAHtNPps=")</f>
        <v>#VALUE!</v>
      </c>
      <c r="FA130" t="e">
        <f>AND('Planilla_General_29-11-2012_10_'!M1952,"AAAAAHtNPpw=")</f>
        <v>#VALUE!</v>
      </c>
      <c r="FB130" t="e">
        <f>AND('Planilla_General_29-11-2012_10_'!N1952,"AAAAAHtNPp0=")</f>
        <v>#VALUE!</v>
      </c>
      <c r="FC130" t="e">
        <f>AND('Planilla_General_29-11-2012_10_'!O1952,"AAAAAHtNPp4=")</f>
        <v>#VALUE!</v>
      </c>
      <c r="FD130" t="e">
        <f>AND('Planilla_General_29-11-2012_10_'!P1952,"AAAAAHtNPp8=")</f>
        <v>#VALUE!</v>
      </c>
      <c r="FE130">
        <f>IF('Planilla_General_29-11-2012_10_'!1953:1953,"AAAAAHtNPqA=",0)</f>
        <v>0</v>
      </c>
      <c r="FF130" t="e">
        <f>AND('Planilla_General_29-11-2012_10_'!A1953,"AAAAAHtNPqE=")</f>
        <v>#VALUE!</v>
      </c>
      <c r="FG130" t="e">
        <f>AND('Planilla_General_29-11-2012_10_'!B1953,"AAAAAHtNPqI=")</f>
        <v>#VALUE!</v>
      </c>
      <c r="FH130" t="e">
        <f>AND('Planilla_General_29-11-2012_10_'!C1953,"AAAAAHtNPqM=")</f>
        <v>#VALUE!</v>
      </c>
      <c r="FI130" t="e">
        <f>AND('Planilla_General_29-11-2012_10_'!D1953,"AAAAAHtNPqQ=")</f>
        <v>#VALUE!</v>
      </c>
      <c r="FJ130" t="e">
        <f>AND('Planilla_General_29-11-2012_10_'!E1953,"AAAAAHtNPqU=")</f>
        <v>#VALUE!</v>
      </c>
      <c r="FK130" t="e">
        <f>AND('Planilla_General_29-11-2012_10_'!F1953,"AAAAAHtNPqY=")</f>
        <v>#VALUE!</v>
      </c>
      <c r="FL130" t="e">
        <f>AND('Planilla_General_29-11-2012_10_'!G1953,"AAAAAHtNPqc=")</f>
        <v>#VALUE!</v>
      </c>
      <c r="FM130" t="e">
        <f>AND('Planilla_General_29-11-2012_10_'!H1953,"AAAAAHtNPqg=")</f>
        <v>#VALUE!</v>
      </c>
      <c r="FN130" t="e">
        <f>AND('Planilla_General_29-11-2012_10_'!I1953,"AAAAAHtNPqk=")</f>
        <v>#VALUE!</v>
      </c>
      <c r="FO130" t="e">
        <f>AND('Planilla_General_29-11-2012_10_'!J1953,"AAAAAHtNPqo=")</f>
        <v>#VALUE!</v>
      </c>
      <c r="FP130" t="e">
        <f>AND('Planilla_General_29-11-2012_10_'!K1953,"AAAAAHtNPqs=")</f>
        <v>#VALUE!</v>
      </c>
      <c r="FQ130" t="e">
        <f>AND('Planilla_General_29-11-2012_10_'!L1953,"AAAAAHtNPqw=")</f>
        <v>#VALUE!</v>
      </c>
      <c r="FR130" t="e">
        <f>AND('Planilla_General_29-11-2012_10_'!M1953,"AAAAAHtNPq0=")</f>
        <v>#VALUE!</v>
      </c>
      <c r="FS130" t="e">
        <f>AND('Planilla_General_29-11-2012_10_'!N1953,"AAAAAHtNPq4=")</f>
        <v>#VALUE!</v>
      </c>
      <c r="FT130" t="e">
        <f>AND('Planilla_General_29-11-2012_10_'!O1953,"AAAAAHtNPq8=")</f>
        <v>#VALUE!</v>
      </c>
      <c r="FU130" t="e">
        <f>AND('Planilla_General_29-11-2012_10_'!P1953,"AAAAAHtNPrA=")</f>
        <v>#VALUE!</v>
      </c>
      <c r="FV130">
        <f>IF('Planilla_General_29-11-2012_10_'!1954:1954,"AAAAAHtNPrE=",0)</f>
        <v>0</v>
      </c>
      <c r="FW130" t="e">
        <f>AND('Planilla_General_29-11-2012_10_'!A1954,"AAAAAHtNPrI=")</f>
        <v>#VALUE!</v>
      </c>
      <c r="FX130" t="e">
        <f>AND('Planilla_General_29-11-2012_10_'!B1954,"AAAAAHtNPrM=")</f>
        <v>#VALUE!</v>
      </c>
      <c r="FY130" t="e">
        <f>AND('Planilla_General_29-11-2012_10_'!C1954,"AAAAAHtNPrQ=")</f>
        <v>#VALUE!</v>
      </c>
      <c r="FZ130" t="e">
        <f>AND('Planilla_General_29-11-2012_10_'!D1954,"AAAAAHtNPrU=")</f>
        <v>#VALUE!</v>
      </c>
      <c r="GA130" t="e">
        <f>AND('Planilla_General_29-11-2012_10_'!E1954,"AAAAAHtNPrY=")</f>
        <v>#VALUE!</v>
      </c>
      <c r="GB130" t="e">
        <f>AND('Planilla_General_29-11-2012_10_'!F1954,"AAAAAHtNPrc=")</f>
        <v>#VALUE!</v>
      </c>
      <c r="GC130" t="e">
        <f>AND('Planilla_General_29-11-2012_10_'!G1954,"AAAAAHtNPrg=")</f>
        <v>#VALUE!</v>
      </c>
      <c r="GD130" t="e">
        <f>AND('Planilla_General_29-11-2012_10_'!H1954,"AAAAAHtNPrk=")</f>
        <v>#VALUE!</v>
      </c>
      <c r="GE130" t="e">
        <f>AND('Planilla_General_29-11-2012_10_'!I1954,"AAAAAHtNPro=")</f>
        <v>#VALUE!</v>
      </c>
      <c r="GF130" t="e">
        <f>AND('Planilla_General_29-11-2012_10_'!J1954,"AAAAAHtNPrs=")</f>
        <v>#VALUE!</v>
      </c>
      <c r="GG130" t="e">
        <f>AND('Planilla_General_29-11-2012_10_'!K1954,"AAAAAHtNPrw=")</f>
        <v>#VALUE!</v>
      </c>
      <c r="GH130" t="e">
        <f>AND('Planilla_General_29-11-2012_10_'!L1954,"AAAAAHtNPr0=")</f>
        <v>#VALUE!</v>
      </c>
      <c r="GI130" t="e">
        <f>AND('Planilla_General_29-11-2012_10_'!M1954,"AAAAAHtNPr4=")</f>
        <v>#VALUE!</v>
      </c>
      <c r="GJ130" t="e">
        <f>AND('Planilla_General_29-11-2012_10_'!N1954,"AAAAAHtNPr8=")</f>
        <v>#VALUE!</v>
      </c>
      <c r="GK130" t="e">
        <f>AND('Planilla_General_29-11-2012_10_'!O1954,"AAAAAHtNPsA=")</f>
        <v>#VALUE!</v>
      </c>
      <c r="GL130" t="e">
        <f>AND('Planilla_General_29-11-2012_10_'!P1954,"AAAAAHtNPsE=")</f>
        <v>#VALUE!</v>
      </c>
      <c r="GM130">
        <f>IF('Planilla_General_29-11-2012_10_'!1955:1955,"AAAAAHtNPsI=",0)</f>
        <v>0</v>
      </c>
      <c r="GN130" t="e">
        <f>AND('Planilla_General_29-11-2012_10_'!A1955,"AAAAAHtNPsM=")</f>
        <v>#VALUE!</v>
      </c>
      <c r="GO130" t="e">
        <f>AND('Planilla_General_29-11-2012_10_'!B1955,"AAAAAHtNPsQ=")</f>
        <v>#VALUE!</v>
      </c>
      <c r="GP130" t="e">
        <f>AND('Planilla_General_29-11-2012_10_'!C1955,"AAAAAHtNPsU=")</f>
        <v>#VALUE!</v>
      </c>
      <c r="GQ130" t="e">
        <f>AND('Planilla_General_29-11-2012_10_'!D1955,"AAAAAHtNPsY=")</f>
        <v>#VALUE!</v>
      </c>
      <c r="GR130" t="e">
        <f>AND('Planilla_General_29-11-2012_10_'!E1955,"AAAAAHtNPsc=")</f>
        <v>#VALUE!</v>
      </c>
      <c r="GS130" t="e">
        <f>AND('Planilla_General_29-11-2012_10_'!F1955,"AAAAAHtNPsg=")</f>
        <v>#VALUE!</v>
      </c>
      <c r="GT130" t="e">
        <f>AND('Planilla_General_29-11-2012_10_'!G1955,"AAAAAHtNPsk=")</f>
        <v>#VALUE!</v>
      </c>
      <c r="GU130" t="e">
        <f>AND('Planilla_General_29-11-2012_10_'!H1955,"AAAAAHtNPso=")</f>
        <v>#VALUE!</v>
      </c>
      <c r="GV130" t="e">
        <f>AND('Planilla_General_29-11-2012_10_'!I1955,"AAAAAHtNPss=")</f>
        <v>#VALUE!</v>
      </c>
      <c r="GW130" t="e">
        <f>AND('Planilla_General_29-11-2012_10_'!J1955,"AAAAAHtNPsw=")</f>
        <v>#VALUE!</v>
      </c>
      <c r="GX130" t="e">
        <f>AND('Planilla_General_29-11-2012_10_'!K1955,"AAAAAHtNPs0=")</f>
        <v>#VALUE!</v>
      </c>
      <c r="GY130" t="e">
        <f>AND('Planilla_General_29-11-2012_10_'!L1955,"AAAAAHtNPs4=")</f>
        <v>#VALUE!</v>
      </c>
      <c r="GZ130" t="e">
        <f>AND('Planilla_General_29-11-2012_10_'!M1955,"AAAAAHtNPs8=")</f>
        <v>#VALUE!</v>
      </c>
      <c r="HA130" t="e">
        <f>AND('Planilla_General_29-11-2012_10_'!N1955,"AAAAAHtNPtA=")</f>
        <v>#VALUE!</v>
      </c>
      <c r="HB130" t="e">
        <f>AND('Planilla_General_29-11-2012_10_'!O1955,"AAAAAHtNPtE=")</f>
        <v>#VALUE!</v>
      </c>
      <c r="HC130" t="e">
        <f>AND('Planilla_General_29-11-2012_10_'!P1955,"AAAAAHtNPtI=")</f>
        <v>#VALUE!</v>
      </c>
      <c r="HD130">
        <f>IF('Planilla_General_29-11-2012_10_'!1956:1956,"AAAAAHtNPtM=",0)</f>
        <v>0</v>
      </c>
      <c r="HE130" t="e">
        <f>AND('Planilla_General_29-11-2012_10_'!A1956,"AAAAAHtNPtQ=")</f>
        <v>#VALUE!</v>
      </c>
      <c r="HF130" t="e">
        <f>AND('Planilla_General_29-11-2012_10_'!B1956,"AAAAAHtNPtU=")</f>
        <v>#VALUE!</v>
      </c>
      <c r="HG130" t="e">
        <f>AND('Planilla_General_29-11-2012_10_'!C1956,"AAAAAHtNPtY=")</f>
        <v>#VALUE!</v>
      </c>
      <c r="HH130" t="e">
        <f>AND('Planilla_General_29-11-2012_10_'!D1956,"AAAAAHtNPtc=")</f>
        <v>#VALUE!</v>
      </c>
      <c r="HI130" t="e">
        <f>AND('Planilla_General_29-11-2012_10_'!E1956,"AAAAAHtNPtg=")</f>
        <v>#VALUE!</v>
      </c>
      <c r="HJ130" t="e">
        <f>AND('Planilla_General_29-11-2012_10_'!F1956,"AAAAAHtNPtk=")</f>
        <v>#VALUE!</v>
      </c>
      <c r="HK130" t="e">
        <f>AND('Planilla_General_29-11-2012_10_'!G1956,"AAAAAHtNPto=")</f>
        <v>#VALUE!</v>
      </c>
      <c r="HL130" t="e">
        <f>AND('Planilla_General_29-11-2012_10_'!H1956,"AAAAAHtNPts=")</f>
        <v>#VALUE!</v>
      </c>
      <c r="HM130" t="e">
        <f>AND('Planilla_General_29-11-2012_10_'!I1956,"AAAAAHtNPtw=")</f>
        <v>#VALUE!</v>
      </c>
      <c r="HN130" t="e">
        <f>AND('Planilla_General_29-11-2012_10_'!J1956,"AAAAAHtNPt0=")</f>
        <v>#VALUE!</v>
      </c>
      <c r="HO130" t="e">
        <f>AND('Planilla_General_29-11-2012_10_'!K1956,"AAAAAHtNPt4=")</f>
        <v>#VALUE!</v>
      </c>
      <c r="HP130" t="e">
        <f>AND('Planilla_General_29-11-2012_10_'!L1956,"AAAAAHtNPt8=")</f>
        <v>#VALUE!</v>
      </c>
      <c r="HQ130" t="e">
        <f>AND('Planilla_General_29-11-2012_10_'!M1956,"AAAAAHtNPuA=")</f>
        <v>#VALUE!</v>
      </c>
      <c r="HR130" t="e">
        <f>AND('Planilla_General_29-11-2012_10_'!N1956,"AAAAAHtNPuE=")</f>
        <v>#VALUE!</v>
      </c>
      <c r="HS130" t="e">
        <f>AND('Planilla_General_29-11-2012_10_'!O1956,"AAAAAHtNPuI=")</f>
        <v>#VALUE!</v>
      </c>
      <c r="HT130" t="e">
        <f>AND('Planilla_General_29-11-2012_10_'!P1956,"AAAAAHtNPuM=")</f>
        <v>#VALUE!</v>
      </c>
      <c r="HU130">
        <f>IF('Planilla_General_29-11-2012_10_'!1957:1957,"AAAAAHtNPuQ=",0)</f>
        <v>0</v>
      </c>
      <c r="HV130" t="e">
        <f>AND('Planilla_General_29-11-2012_10_'!A1957,"AAAAAHtNPuU=")</f>
        <v>#VALUE!</v>
      </c>
      <c r="HW130" t="e">
        <f>AND('Planilla_General_29-11-2012_10_'!B1957,"AAAAAHtNPuY=")</f>
        <v>#VALUE!</v>
      </c>
      <c r="HX130" t="e">
        <f>AND('Planilla_General_29-11-2012_10_'!C1957,"AAAAAHtNPuc=")</f>
        <v>#VALUE!</v>
      </c>
      <c r="HY130" t="e">
        <f>AND('Planilla_General_29-11-2012_10_'!D1957,"AAAAAHtNPug=")</f>
        <v>#VALUE!</v>
      </c>
      <c r="HZ130" t="e">
        <f>AND('Planilla_General_29-11-2012_10_'!E1957,"AAAAAHtNPuk=")</f>
        <v>#VALUE!</v>
      </c>
      <c r="IA130" t="e">
        <f>AND('Planilla_General_29-11-2012_10_'!F1957,"AAAAAHtNPuo=")</f>
        <v>#VALUE!</v>
      </c>
      <c r="IB130" t="e">
        <f>AND('Planilla_General_29-11-2012_10_'!G1957,"AAAAAHtNPus=")</f>
        <v>#VALUE!</v>
      </c>
      <c r="IC130" t="e">
        <f>AND('Planilla_General_29-11-2012_10_'!H1957,"AAAAAHtNPuw=")</f>
        <v>#VALUE!</v>
      </c>
      <c r="ID130" t="e">
        <f>AND('Planilla_General_29-11-2012_10_'!I1957,"AAAAAHtNPu0=")</f>
        <v>#VALUE!</v>
      </c>
      <c r="IE130" t="e">
        <f>AND('Planilla_General_29-11-2012_10_'!J1957,"AAAAAHtNPu4=")</f>
        <v>#VALUE!</v>
      </c>
      <c r="IF130" t="e">
        <f>AND('Planilla_General_29-11-2012_10_'!K1957,"AAAAAHtNPu8=")</f>
        <v>#VALUE!</v>
      </c>
      <c r="IG130" t="e">
        <f>AND('Planilla_General_29-11-2012_10_'!L1957,"AAAAAHtNPvA=")</f>
        <v>#VALUE!</v>
      </c>
      <c r="IH130" t="e">
        <f>AND('Planilla_General_29-11-2012_10_'!M1957,"AAAAAHtNPvE=")</f>
        <v>#VALUE!</v>
      </c>
      <c r="II130" t="e">
        <f>AND('Planilla_General_29-11-2012_10_'!N1957,"AAAAAHtNPvI=")</f>
        <v>#VALUE!</v>
      </c>
      <c r="IJ130" t="e">
        <f>AND('Planilla_General_29-11-2012_10_'!O1957,"AAAAAHtNPvM=")</f>
        <v>#VALUE!</v>
      </c>
      <c r="IK130" t="e">
        <f>AND('Planilla_General_29-11-2012_10_'!P1957,"AAAAAHtNPvQ=")</f>
        <v>#VALUE!</v>
      </c>
      <c r="IL130">
        <f>IF('Planilla_General_29-11-2012_10_'!1958:1958,"AAAAAHtNPvU=",0)</f>
        <v>0</v>
      </c>
      <c r="IM130" t="e">
        <f>AND('Planilla_General_29-11-2012_10_'!A1958,"AAAAAHtNPvY=")</f>
        <v>#VALUE!</v>
      </c>
      <c r="IN130" t="e">
        <f>AND('Planilla_General_29-11-2012_10_'!B1958,"AAAAAHtNPvc=")</f>
        <v>#VALUE!</v>
      </c>
      <c r="IO130" t="e">
        <f>AND('Planilla_General_29-11-2012_10_'!C1958,"AAAAAHtNPvg=")</f>
        <v>#VALUE!</v>
      </c>
      <c r="IP130" t="e">
        <f>AND('Planilla_General_29-11-2012_10_'!D1958,"AAAAAHtNPvk=")</f>
        <v>#VALUE!</v>
      </c>
      <c r="IQ130" t="e">
        <f>AND('Planilla_General_29-11-2012_10_'!E1958,"AAAAAHtNPvo=")</f>
        <v>#VALUE!</v>
      </c>
      <c r="IR130" t="e">
        <f>AND('Planilla_General_29-11-2012_10_'!F1958,"AAAAAHtNPvs=")</f>
        <v>#VALUE!</v>
      </c>
      <c r="IS130" t="e">
        <f>AND('Planilla_General_29-11-2012_10_'!G1958,"AAAAAHtNPvw=")</f>
        <v>#VALUE!</v>
      </c>
      <c r="IT130" t="e">
        <f>AND('Planilla_General_29-11-2012_10_'!H1958,"AAAAAHtNPv0=")</f>
        <v>#VALUE!</v>
      </c>
      <c r="IU130" t="e">
        <f>AND('Planilla_General_29-11-2012_10_'!I1958,"AAAAAHtNPv4=")</f>
        <v>#VALUE!</v>
      </c>
      <c r="IV130" t="e">
        <f>AND('Planilla_General_29-11-2012_10_'!J1958,"AAAAAHtNPv8=")</f>
        <v>#VALUE!</v>
      </c>
    </row>
    <row r="131" spans="1:256" x14ac:dyDescent="0.25">
      <c r="A131" t="e">
        <f>AND('Planilla_General_29-11-2012_10_'!K1958,"AAAAAFv//wA=")</f>
        <v>#VALUE!</v>
      </c>
      <c r="B131" t="e">
        <f>AND('Planilla_General_29-11-2012_10_'!L1958,"AAAAAFv//wE=")</f>
        <v>#VALUE!</v>
      </c>
      <c r="C131" t="e">
        <f>AND('Planilla_General_29-11-2012_10_'!M1958,"AAAAAFv//wI=")</f>
        <v>#VALUE!</v>
      </c>
      <c r="D131" t="e">
        <f>AND('Planilla_General_29-11-2012_10_'!N1958,"AAAAAFv//wM=")</f>
        <v>#VALUE!</v>
      </c>
      <c r="E131" t="e">
        <f>AND('Planilla_General_29-11-2012_10_'!O1958,"AAAAAFv//wQ=")</f>
        <v>#VALUE!</v>
      </c>
      <c r="F131" t="e">
        <f>AND('Planilla_General_29-11-2012_10_'!P1958,"AAAAAFv//wU=")</f>
        <v>#VALUE!</v>
      </c>
      <c r="G131" t="e">
        <f>IF('Planilla_General_29-11-2012_10_'!1959:1959,"AAAAAFv//wY=",0)</f>
        <v>#VALUE!</v>
      </c>
      <c r="H131" t="e">
        <f>AND('Planilla_General_29-11-2012_10_'!A1959,"AAAAAFv//wc=")</f>
        <v>#VALUE!</v>
      </c>
      <c r="I131" t="e">
        <f>AND('Planilla_General_29-11-2012_10_'!B1959,"AAAAAFv//wg=")</f>
        <v>#VALUE!</v>
      </c>
      <c r="J131" t="e">
        <f>AND('Planilla_General_29-11-2012_10_'!C1959,"AAAAAFv//wk=")</f>
        <v>#VALUE!</v>
      </c>
      <c r="K131" t="e">
        <f>AND('Planilla_General_29-11-2012_10_'!D1959,"AAAAAFv//wo=")</f>
        <v>#VALUE!</v>
      </c>
      <c r="L131" t="e">
        <f>AND('Planilla_General_29-11-2012_10_'!E1959,"AAAAAFv//ws=")</f>
        <v>#VALUE!</v>
      </c>
      <c r="M131" t="e">
        <f>AND('Planilla_General_29-11-2012_10_'!F1959,"AAAAAFv//ww=")</f>
        <v>#VALUE!</v>
      </c>
      <c r="N131" t="e">
        <f>AND('Planilla_General_29-11-2012_10_'!G1959,"AAAAAFv//w0=")</f>
        <v>#VALUE!</v>
      </c>
      <c r="O131" t="e">
        <f>AND('Planilla_General_29-11-2012_10_'!H1959,"AAAAAFv//w4=")</f>
        <v>#VALUE!</v>
      </c>
      <c r="P131" t="e">
        <f>AND('Planilla_General_29-11-2012_10_'!I1959,"AAAAAFv//w8=")</f>
        <v>#VALUE!</v>
      </c>
      <c r="Q131" t="e">
        <f>AND('Planilla_General_29-11-2012_10_'!J1959,"AAAAAFv//xA=")</f>
        <v>#VALUE!</v>
      </c>
      <c r="R131" t="e">
        <f>AND('Planilla_General_29-11-2012_10_'!K1959,"AAAAAFv//xE=")</f>
        <v>#VALUE!</v>
      </c>
      <c r="S131" t="e">
        <f>AND('Planilla_General_29-11-2012_10_'!L1959,"AAAAAFv//xI=")</f>
        <v>#VALUE!</v>
      </c>
      <c r="T131" t="e">
        <f>AND('Planilla_General_29-11-2012_10_'!M1959,"AAAAAFv//xM=")</f>
        <v>#VALUE!</v>
      </c>
      <c r="U131" t="e">
        <f>AND('Planilla_General_29-11-2012_10_'!N1959,"AAAAAFv//xQ=")</f>
        <v>#VALUE!</v>
      </c>
      <c r="V131" t="e">
        <f>AND('Planilla_General_29-11-2012_10_'!O1959,"AAAAAFv//xU=")</f>
        <v>#VALUE!</v>
      </c>
      <c r="W131" t="e">
        <f>AND('Planilla_General_29-11-2012_10_'!P1959,"AAAAAFv//xY=")</f>
        <v>#VALUE!</v>
      </c>
      <c r="X131">
        <f>IF('Planilla_General_29-11-2012_10_'!1960:1960,"AAAAAFv//xc=",0)</f>
        <v>0</v>
      </c>
      <c r="Y131" t="e">
        <f>AND('Planilla_General_29-11-2012_10_'!A1960,"AAAAAFv//xg=")</f>
        <v>#VALUE!</v>
      </c>
      <c r="Z131" t="e">
        <f>AND('Planilla_General_29-11-2012_10_'!B1960,"AAAAAFv//xk=")</f>
        <v>#VALUE!</v>
      </c>
      <c r="AA131" t="e">
        <f>AND('Planilla_General_29-11-2012_10_'!C1960,"AAAAAFv//xo=")</f>
        <v>#VALUE!</v>
      </c>
      <c r="AB131" t="e">
        <f>AND('Planilla_General_29-11-2012_10_'!D1960,"AAAAAFv//xs=")</f>
        <v>#VALUE!</v>
      </c>
      <c r="AC131" t="e">
        <f>AND('Planilla_General_29-11-2012_10_'!E1960,"AAAAAFv//xw=")</f>
        <v>#VALUE!</v>
      </c>
      <c r="AD131" t="e">
        <f>AND('Planilla_General_29-11-2012_10_'!F1960,"AAAAAFv//x0=")</f>
        <v>#VALUE!</v>
      </c>
      <c r="AE131" t="e">
        <f>AND('Planilla_General_29-11-2012_10_'!G1960,"AAAAAFv//x4=")</f>
        <v>#VALUE!</v>
      </c>
      <c r="AF131" t="e">
        <f>AND('Planilla_General_29-11-2012_10_'!H1960,"AAAAAFv//x8=")</f>
        <v>#VALUE!</v>
      </c>
      <c r="AG131" t="e">
        <f>AND('Planilla_General_29-11-2012_10_'!I1960,"AAAAAFv//yA=")</f>
        <v>#VALUE!</v>
      </c>
      <c r="AH131" t="e">
        <f>AND('Planilla_General_29-11-2012_10_'!J1960,"AAAAAFv//yE=")</f>
        <v>#VALUE!</v>
      </c>
      <c r="AI131" t="e">
        <f>AND('Planilla_General_29-11-2012_10_'!K1960,"AAAAAFv//yI=")</f>
        <v>#VALUE!</v>
      </c>
      <c r="AJ131" t="e">
        <f>AND('Planilla_General_29-11-2012_10_'!L1960,"AAAAAFv//yM=")</f>
        <v>#VALUE!</v>
      </c>
      <c r="AK131" t="e">
        <f>AND('Planilla_General_29-11-2012_10_'!M1960,"AAAAAFv//yQ=")</f>
        <v>#VALUE!</v>
      </c>
      <c r="AL131" t="e">
        <f>AND('Planilla_General_29-11-2012_10_'!N1960,"AAAAAFv//yU=")</f>
        <v>#VALUE!</v>
      </c>
      <c r="AM131" t="e">
        <f>AND('Planilla_General_29-11-2012_10_'!O1960,"AAAAAFv//yY=")</f>
        <v>#VALUE!</v>
      </c>
      <c r="AN131" t="e">
        <f>AND('Planilla_General_29-11-2012_10_'!P1960,"AAAAAFv//yc=")</f>
        <v>#VALUE!</v>
      </c>
      <c r="AO131">
        <f>IF('Planilla_General_29-11-2012_10_'!1961:1961,"AAAAAFv//yg=",0)</f>
        <v>0</v>
      </c>
      <c r="AP131" t="e">
        <f>AND('Planilla_General_29-11-2012_10_'!A1961,"AAAAAFv//yk=")</f>
        <v>#VALUE!</v>
      </c>
      <c r="AQ131" t="e">
        <f>AND('Planilla_General_29-11-2012_10_'!B1961,"AAAAAFv//yo=")</f>
        <v>#VALUE!</v>
      </c>
      <c r="AR131" t="e">
        <f>AND('Planilla_General_29-11-2012_10_'!C1961,"AAAAAFv//ys=")</f>
        <v>#VALUE!</v>
      </c>
      <c r="AS131" t="e">
        <f>AND('Planilla_General_29-11-2012_10_'!D1961,"AAAAAFv//yw=")</f>
        <v>#VALUE!</v>
      </c>
      <c r="AT131" t="e">
        <f>AND('Planilla_General_29-11-2012_10_'!E1961,"AAAAAFv//y0=")</f>
        <v>#VALUE!</v>
      </c>
      <c r="AU131" t="e">
        <f>AND('Planilla_General_29-11-2012_10_'!F1961,"AAAAAFv//y4=")</f>
        <v>#VALUE!</v>
      </c>
      <c r="AV131" t="e">
        <f>AND('Planilla_General_29-11-2012_10_'!G1961,"AAAAAFv//y8=")</f>
        <v>#VALUE!</v>
      </c>
      <c r="AW131" t="e">
        <f>AND('Planilla_General_29-11-2012_10_'!H1961,"AAAAAFv//zA=")</f>
        <v>#VALUE!</v>
      </c>
      <c r="AX131" t="e">
        <f>AND('Planilla_General_29-11-2012_10_'!I1961,"AAAAAFv//zE=")</f>
        <v>#VALUE!</v>
      </c>
      <c r="AY131" t="e">
        <f>AND('Planilla_General_29-11-2012_10_'!J1961,"AAAAAFv//zI=")</f>
        <v>#VALUE!</v>
      </c>
      <c r="AZ131" t="e">
        <f>AND('Planilla_General_29-11-2012_10_'!K1961,"AAAAAFv//zM=")</f>
        <v>#VALUE!</v>
      </c>
      <c r="BA131" t="e">
        <f>AND('Planilla_General_29-11-2012_10_'!L1961,"AAAAAFv//zQ=")</f>
        <v>#VALUE!</v>
      </c>
      <c r="BB131" t="e">
        <f>AND('Planilla_General_29-11-2012_10_'!M1961,"AAAAAFv//zU=")</f>
        <v>#VALUE!</v>
      </c>
      <c r="BC131" t="e">
        <f>AND('Planilla_General_29-11-2012_10_'!N1961,"AAAAAFv//zY=")</f>
        <v>#VALUE!</v>
      </c>
      <c r="BD131" t="e">
        <f>AND('Planilla_General_29-11-2012_10_'!O1961,"AAAAAFv//zc=")</f>
        <v>#VALUE!</v>
      </c>
      <c r="BE131" t="e">
        <f>AND('Planilla_General_29-11-2012_10_'!P1961,"AAAAAFv//zg=")</f>
        <v>#VALUE!</v>
      </c>
      <c r="BF131">
        <f>IF('Planilla_General_29-11-2012_10_'!1962:1962,"AAAAAFv//zk=",0)</f>
        <v>0</v>
      </c>
      <c r="BG131" t="e">
        <f>AND('Planilla_General_29-11-2012_10_'!A1962,"AAAAAFv//zo=")</f>
        <v>#VALUE!</v>
      </c>
      <c r="BH131" t="e">
        <f>AND('Planilla_General_29-11-2012_10_'!B1962,"AAAAAFv//zs=")</f>
        <v>#VALUE!</v>
      </c>
      <c r="BI131" t="e">
        <f>AND('Planilla_General_29-11-2012_10_'!C1962,"AAAAAFv//zw=")</f>
        <v>#VALUE!</v>
      </c>
      <c r="BJ131" t="e">
        <f>AND('Planilla_General_29-11-2012_10_'!D1962,"AAAAAFv//z0=")</f>
        <v>#VALUE!</v>
      </c>
      <c r="BK131" t="e">
        <f>AND('Planilla_General_29-11-2012_10_'!E1962,"AAAAAFv//z4=")</f>
        <v>#VALUE!</v>
      </c>
      <c r="BL131" t="e">
        <f>AND('Planilla_General_29-11-2012_10_'!F1962,"AAAAAFv//z8=")</f>
        <v>#VALUE!</v>
      </c>
      <c r="BM131" t="e">
        <f>AND('Planilla_General_29-11-2012_10_'!G1962,"AAAAAFv//0A=")</f>
        <v>#VALUE!</v>
      </c>
      <c r="BN131" t="e">
        <f>AND('Planilla_General_29-11-2012_10_'!H1962,"AAAAAFv//0E=")</f>
        <v>#VALUE!</v>
      </c>
      <c r="BO131" t="e">
        <f>AND('Planilla_General_29-11-2012_10_'!I1962,"AAAAAFv//0I=")</f>
        <v>#VALUE!</v>
      </c>
      <c r="BP131" t="e">
        <f>AND('Planilla_General_29-11-2012_10_'!J1962,"AAAAAFv//0M=")</f>
        <v>#VALUE!</v>
      </c>
      <c r="BQ131" t="e">
        <f>AND('Planilla_General_29-11-2012_10_'!K1962,"AAAAAFv//0Q=")</f>
        <v>#VALUE!</v>
      </c>
      <c r="BR131" t="e">
        <f>AND('Planilla_General_29-11-2012_10_'!L1962,"AAAAAFv//0U=")</f>
        <v>#VALUE!</v>
      </c>
      <c r="BS131" t="e">
        <f>AND('Planilla_General_29-11-2012_10_'!M1962,"AAAAAFv//0Y=")</f>
        <v>#VALUE!</v>
      </c>
      <c r="BT131" t="e">
        <f>AND('Planilla_General_29-11-2012_10_'!N1962,"AAAAAFv//0c=")</f>
        <v>#VALUE!</v>
      </c>
      <c r="BU131" t="e">
        <f>AND('Planilla_General_29-11-2012_10_'!O1962,"AAAAAFv//0g=")</f>
        <v>#VALUE!</v>
      </c>
      <c r="BV131" t="e">
        <f>AND('Planilla_General_29-11-2012_10_'!P1962,"AAAAAFv//0k=")</f>
        <v>#VALUE!</v>
      </c>
      <c r="BW131">
        <f>IF('Planilla_General_29-11-2012_10_'!1963:1963,"AAAAAFv//0o=",0)</f>
        <v>0</v>
      </c>
      <c r="BX131" t="e">
        <f>AND('Planilla_General_29-11-2012_10_'!A1963,"AAAAAFv//0s=")</f>
        <v>#VALUE!</v>
      </c>
      <c r="BY131" t="e">
        <f>AND('Planilla_General_29-11-2012_10_'!B1963,"AAAAAFv//0w=")</f>
        <v>#VALUE!</v>
      </c>
      <c r="BZ131" t="e">
        <f>AND('Planilla_General_29-11-2012_10_'!C1963,"AAAAAFv//00=")</f>
        <v>#VALUE!</v>
      </c>
      <c r="CA131" t="e">
        <f>AND('Planilla_General_29-11-2012_10_'!D1963,"AAAAAFv//04=")</f>
        <v>#VALUE!</v>
      </c>
      <c r="CB131" t="e">
        <f>AND('Planilla_General_29-11-2012_10_'!E1963,"AAAAAFv//08=")</f>
        <v>#VALUE!</v>
      </c>
      <c r="CC131" t="e">
        <f>AND('Planilla_General_29-11-2012_10_'!F1963,"AAAAAFv//1A=")</f>
        <v>#VALUE!</v>
      </c>
      <c r="CD131" t="e">
        <f>AND('Planilla_General_29-11-2012_10_'!G1963,"AAAAAFv//1E=")</f>
        <v>#VALUE!</v>
      </c>
      <c r="CE131" t="e">
        <f>AND('Planilla_General_29-11-2012_10_'!H1963,"AAAAAFv//1I=")</f>
        <v>#VALUE!</v>
      </c>
      <c r="CF131" t="e">
        <f>AND('Planilla_General_29-11-2012_10_'!I1963,"AAAAAFv//1M=")</f>
        <v>#VALUE!</v>
      </c>
      <c r="CG131" t="e">
        <f>AND('Planilla_General_29-11-2012_10_'!J1963,"AAAAAFv//1Q=")</f>
        <v>#VALUE!</v>
      </c>
      <c r="CH131" t="e">
        <f>AND('Planilla_General_29-11-2012_10_'!K1963,"AAAAAFv//1U=")</f>
        <v>#VALUE!</v>
      </c>
      <c r="CI131" t="e">
        <f>AND('Planilla_General_29-11-2012_10_'!L1963,"AAAAAFv//1Y=")</f>
        <v>#VALUE!</v>
      </c>
      <c r="CJ131" t="e">
        <f>AND('Planilla_General_29-11-2012_10_'!M1963,"AAAAAFv//1c=")</f>
        <v>#VALUE!</v>
      </c>
      <c r="CK131" t="e">
        <f>AND('Planilla_General_29-11-2012_10_'!N1963,"AAAAAFv//1g=")</f>
        <v>#VALUE!</v>
      </c>
      <c r="CL131" t="e">
        <f>AND('Planilla_General_29-11-2012_10_'!O1963,"AAAAAFv//1k=")</f>
        <v>#VALUE!</v>
      </c>
      <c r="CM131" t="e">
        <f>AND('Planilla_General_29-11-2012_10_'!P1963,"AAAAAFv//1o=")</f>
        <v>#VALUE!</v>
      </c>
      <c r="CN131">
        <f>IF('Planilla_General_29-11-2012_10_'!1964:1964,"AAAAAFv//1s=",0)</f>
        <v>0</v>
      </c>
      <c r="CO131" t="e">
        <f>AND('Planilla_General_29-11-2012_10_'!A1964,"AAAAAFv//1w=")</f>
        <v>#VALUE!</v>
      </c>
      <c r="CP131" t="e">
        <f>AND('Planilla_General_29-11-2012_10_'!B1964,"AAAAAFv//10=")</f>
        <v>#VALUE!</v>
      </c>
      <c r="CQ131" t="e">
        <f>AND('Planilla_General_29-11-2012_10_'!C1964,"AAAAAFv//14=")</f>
        <v>#VALUE!</v>
      </c>
      <c r="CR131" t="e">
        <f>AND('Planilla_General_29-11-2012_10_'!D1964,"AAAAAFv//18=")</f>
        <v>#VALUE!</v>
      </c>
      <c r="CS131" t="e">
        <f>AND('Planilla_General_29-11-2012_10_'!E1964,"AAAAAFv//2A=")</f>
        <v>#VALUE!</v>
      </c>
      <c r="CT131" t="e">
        <f>AND('Planilla_General_29-11-2012_10_'!F1964,"AAAAAFv//2E=")</f>
        <v>#VALUE!</v>
      </c>
      <c r="CU131" t="e">
        <f>AND('Planilla_General_29-11-2012_10_'!G1964,"AAAAAFv//2I=")</f>
        <v>#VALUE!</v>
      </c>
      <c r="CV131" t="e">
        <f>AND('Planilla_General_29-11-2012_10_'!H1964,"AAAAAFv//2M=")</f>
        <v>#VALUE!</v>
      </c>
      <c r="CW131" t="e">
        <f>AND('Planilla_General_29-11-2012_10_'!I1964,"AAAAAFv//2Q=")</f>
        <v>#VALUE!</v>
      </c>
      <c r="CX131" t="e">
        <f>AND('Planilla_General_29-11-2012_10_'!J1964,"AAAAAFv//2U=")</f>
        <v>#VALUE!</v>
      </c>
      <c r="CY131" t="e">
        <f>AND('Planilla_General_29-11-2012_10_'!K1964,"AAAAAFv//2Y=")</f>
        <v>#VALUE!</v>
      </c>
      <c r="CZ131" t="e">
        <f>AND('Planilla_General_29-11-2012_10_'!L1964,"AAAAAFv//2c=")</f>
        <v>#VALUE!</v>
      </c>
      <c r="DA131" t="e">
        <f>AND('Planilla_General_29-11-2012_10_'!M1964,"AAAAAFv//2g=")</f>
        <v>#VALUE!</v>
      </c>
      <c r="DB131" t="e">
        <f>AND('Planilla_General_29-11-2012_10_'!N1964,"AAAAAFv//2k=")</f>
        <v>#VALUE!</v>
      </c>
      <c r="DC131" t="e">
        <f>AND('Planilla_General_29-11-2012_10_'!O1964,"AAAAAFv//2o=")</f>
        <v>#VALUE!</v>
      </c>
      <c r="DD131" t="e">
        <f>AND('Planilla_General_29-11-2012_10_'!P1964,"AAAAAFv//2s=")</f>
        <v>#VALUE!</v>
      </c>
      <c r="DE131">
        <f>IF('Planilla_General_29-11-2012_10_'!1965:1965,"AAAAAFv//2w=",0)</f>
        <v>0</v>
      </c>
      <c r="DF131" t="e">
        <f>AND('Planilla_General_29-11-2012_10_'!A1965,"AAAAAFv//20=")</f>
        <v>#VALUE!</v>
      </c>
      <c r="DG131" t="e">
        <f>AND('Planilla_General_29-11-2012_10_'!B1965,"AAAAAFv//24=")</f>
        <v>#VALUE!</v>
      </c>
      <c r="DH131" t="e">
        <f>AND('Planilla_General_29-11-2012_10_'!C1965,"AAAAAFv//28=")</f>
        <v>#VALUE!</v>
      </c>
      <c r="DI131" t="e">
        <f>AND('Planilla_General_29-11-2012_10_'!D1965,"AAAAAFv//3A=")</f>
        <v>#VALUE!</v>
      </c>
      <c r="DJ131" t="e">
        <f>AND('Planilla_General_29-11-2012_10_'!E1965,"AAAAAFv//3E=")</f>
        <v>#VALUE!</v>
      </c>
      <c r="DK131" t="e">
        <f>AND('Planilla_General_29-11-2012_10_'!F1965,"AAAAAFv//3I=")</f>
        <v>#VALUE!</v>
      </c>
      <c r="DL131" t="e">
        <f>AND('Planilla_General_29-11-2012_10_'!G1965,"AAAAAFv//3M=")</f>
        <v>#VALUE!</v>
      </c>
      <c r="DM131" t="e">
        <f>AND('Planilla_General_29-11-2012_10_'!H1965,"AAAAAFv//3Q=")</f>
        <v>#VALUE!</v>
      </c>
      <c r="DN131" t="e">
        <f>AND('Planilla_General_29-11-2012_10_'!I1965,"AAAAAFv//3U=")</f>
        <v>#VALUE!</v>
      </c>
      <c r="DO131" t="e">
        <f>AND('Planilla_General_29-11-2012_10_'!J1965,"AAAAAFv//3Y=")</f>
        <v>#VALUE!</v>
      </c>
      <c r="DP131" t="e">
        <f>AND('Planilla_General_29-11-2012_10_'!K1965,"AAAAAFv//3c=")</f>
        <v>#VALUE!</v>
      </c>
      <c r="DQ131" t="e">
        <f>AND('Planilla_General_29-11-2012_10_'!L1965,"AAAAAFv//3g=")</f>
        <v>#VALUE!</v>
      </c>
      <c r="DR131" t="e">
        <f>AND('Planilla_General_29-11-2012_10_'!M1965,"AAAAAFv//3k=")</f>
        <v>#VALUE!</v>
      </c>
      <c r="DS131" t="e">
        <f>AND('Planilla_General_29-11-2012_10_'!N1965,"AAAAAFv//3o=")</f>
        <v>#VALUE!</v>
      </c>
      <c r="DT131" t="e">
        <f>AND('Planilla_General_29-11-2012_10_'!O1965,"AAAAAFv//3s=")</f>
        <v>#VALUE!</v>
      </c>
      <c r="DU131" t="e">
        <f>AND('Planilla_General_29-11-2012_10_'!P1965,"AAAAAFv//3w=")</f>
        <v>#VALUE!</v>
      </c>
      <c r="DV131">
        <f>IF('Planilla_General_29-11-2012_10_'!1966:1966,"AAAAAFv//30=",0)</f>
        <v>0</v>
      </c>
      <c r="DW131" t="e">
        <f>AND('Planilla_General_29-11-2012_10_'!A1966,"AAAAAFv//34=")</f>
        <v>#VALUE!</v>
      </c>
      <c r="DX131" t="e">
        <f>AND('Planilla_General_29-11-2012_10_'!B1966,"AAAAAFv//38=")</f>
        <v>#VALUE!</v>
      </c>
      <c r="DY131" t="e">
        <f>AND('Planilla_General_29-11-2012_10_'!C1966,"AAAAAFv//4A=")</f>
        <v>#VALUE!</v>
      </c>
      <c r="DZ131" t="e">
        <f>AND('Planilla_General_29-11-2012_10_'!D1966,"AAAAAFv//4E=")</f>
        <v>#VALUE!</v>
      </c>
      <c r="EA131" t="e">
        <f>AND('Planilla_General_29-11-2012_10_'!E1966,"AAAAAFv//4I=")</f>
        <v>#VALUE!</v>
      </c>
      <c r="EB131" t="e">
        <f>AND('Planilla_General_29-11-2012_10_'!F1966,"AAAAAFv//4M=")</f>
        <v>#VALUE!</v>
      </c>
      <c r="EC131" t="e">
        <f>AND('Planilla_General_29-11-2012_10_'!G1966,"AAAAAFv//4Q=")</f>
        <v>#VALUE!</v>
      </c>
      <c r="ED131" t="e">
        <f>AND('Planilla_General_29-11-2012_10_'!H1966,"AAAAAFv//4U=")</f>
        <v>#VALUE!</v>
      </c>
      <c r="EE131" t="e">
        <f>AND('Planilla_General_29-11-2012_10_'!I1966,"AAAAAFv//4Y=")</f>
        <v>#VALUE!</v>
      </c>
      <c r="EF131" t="e">
        <f>AND('Planilla_General_29-11-2012_10_'!J1966,"AAAAAFv//4c=")</f>
        <v>#VALUE!</v>
      </c>
      <c r="EG131" t="e">
        <f>AND('Planilla_General_29-11-2012_10_'!K1966,"AAAAAFv//4g=")</f>
        <v>#VALUE!</v>
      </c>
      <c r="EH131" t="e">
        <f>AND('Planilla_General_29-11-2012_10_'!L1966,"AAAAAFv//4k=")</f>
        <v>#VALUE!</v>
      </c>
      <c r="EI131" t="e">
        <f>AND('Planilla_General_29-11-2012_10_'!M1966,"AAAAAFv//4o=")</f>
        <v>#VALUE!</v>
      </c>
      <c r="EJ131" t="e">
        <f>AND('Planilla_General_29-11-2012_10_'!N1966,"AAAAAFv//4s=")</f>
        <v>#VALUE!</v>
      </c>
      <c r="EK131" t="e">
        <f>AND('Planilla_General_29-11-2012_10_'!O1966,"AAAAAFv//4w=")</f>
        <v>#VALUE!</v>
      </c>
      <c r="EL131" t="e">
        <f>AND('Planilla_General_29-11-2012_10_'!P1966,"AAAAAFv//40=")</f>
        <v>#VALUE!</v>
      </c>
      <c r="EM131">
        <f>IF('Planilla_General_29-11-2012_10_'!1967:1967,"AAAAAFv//44=",0)</f>
        <v>0</v>
      </c>
      <c r="EN131" t="e">
        <f>AND('Planilla_General_29-11-2012_10_'!A1967,"AAAAAFv//48=")</f>
        <v>#VALUE!</v>
      </c>
      <c r="EO131" t="e">
        <f>AND('Planilla_General_29-11-2012_10_'!B1967,"AAAAAFv//5A=")</f>
        <v>#VALUE!</v>
      </c>
      <c r="EP131" t="e">
        <f>AND('Planilla_General_29-11-2012_10_'!C1967,"AAAAAFv//5E=")</f>
        <v>#VALUE!</v>
      </c>
      <c r="EQ131" t="e">
        <f>AND('Planilla_General_29-11-2012_10_'!D1967,"AAAAAFv//5I=")</f>
        <v>#VALUE!</v>
      </c>
      <c r="ER131" t="e">
        <f>AND('Planilla_General_29-11-2012_10_'!E1967,"AAAAAFv//5M=")</f>
        <v>#VALUE!</v>
      </c>
      <c r="ES131" t="e">
        <f>AND('Planilla_General_29-11-2012_10_'!F1967,"AAAAAFv//5Q=")</f>
        <v>#VALUE!</v>
      </c>
      <c r="ET131" t="e">
        <f>AND('Planilla_General_29-11-2012_10_'!G1967,"AAAAAFv//5U=")</f>
        <v>#VALUE!</v>
      </c>
      <c r="EU131" t="e">
        <f>AND('Planilla_General_29-11-2012_10_'!H1967,"AAAAAFv//5Y=")</f>
        <v>#VALUE!</v>
      </c>
      <c r="EV131" t="e">
        <f>AND('Planilla_General_29-11-2012_10_'!I1967,"AAAAAFv//5c=")</f>
        <v>#VALUE!</v>
      </c>
      <c r="EW131" t="e">
        <f>AND('Planilla_General_29-11-2012_10_'!J1967,"AAAAAFv//5g=")</f>
        <v>#VALUE!</v>
      </c>
      <c r="EX131" t="e">
        <f>AND('Planilla_General_29-11-2012_10_'!K1967,"AAAAAFv//5k=")</f>
        <v>#VALUE!</v>
      </c>
      <c r="EY131" t="e">
        <f>AND('Planilla_General_29-11-2012_10_'!L1967,"AAAAAFv//5o=")</f>
        <v>#VALUE!</v>
      </c>
      <c r="EZ131" t="e">
        <f>AND('Planilla_General_29-11-2012_10_'!M1967,"AAAAAFv//5s=")</f>
        <v>#VALUE!</v>
      </c>
      <c r="FA131" t="e">
        <f>AND('Planilla_General_29-11-2012_10_'!N1967,"AAAAAFv//5w=")</f>
        <v>#VALUE!</v>
      </c>
      <c r="FB131" t="e">
        <f>AND('Planilla_General_29-11-2012_10_'!O1967,"AAAAAFv//50=")</f>
        <v>#VALUE!</v>
      </c>
      <c r="FC131" t="e">
        <f>AND('Planilla_General_29-11-2012_10_'!P1967,"AAAAAFv//54=")</f>
        <v>#VALUE!</v>
      </c>
      <c r="FD131">
        <f>IF('Planilla_General_29-11-2012_10_'!1968:1968,"AAAAAFv//58=",0)</f>
        <v>0</v>
      </c>
      <c r="FE131" t="e">
        <f>AND('Planilla_General_29-11-2012_10_'!A1968,"AAAAAFv//6A=")</f>
        <v>#VALUE!</v>
      </c>
      <c r="FF131" t="e">
        <f>AND('Planilla_General_29-11-2012_10_'!B1968,"AAAAAFv//6E=")</f>
        <v>#VALUE!</v>
      </c>
      <c r="FG131" t="e">
        <f>AND('Planilla_General_29-11-2012_10_'!C1968,"AAAAAFv//6I=")</f>
        <v>#VALUE!</v>
      </c>
      <c r="FH131" t="e">
        <f>AND('Planilla_General_29-11-2012_10_'!D1968,"AAAAAFv//6M=")</f>
        <v>#VALUE!</v>
      </c>
      <c r="FI131" t="e">
        <f>AND('Planilla_General_29-11-2012_10_'!E1968,"AAAAAFv//6Q=")</f>
        <v>#VALUE!</v>
      </c>
      <c r="FJ131" t="e">
        <f>AND('Planilla_General_29-11-2012_10_'!F1968,"AAAAAFv//6U=")</f>
        <v>#VALUE!</v>
      </c>
      <c r="FK131" t="e">
        <f>AND('Planilla_General_29-11-2012_10_'!G1968,"AAAAAFv//6Y=")</f>
        <v>#VALUE!</v>
      </c>
      <c r="FL131" t="e">
        <f>AND('Planilla_General_29-11-2012_10_'!H1968,"AAAAAFv//6c=")</f>
        <v>#VALUE!</v>
      </c>
      <c r="FM131" t="e">
        <f>AND('Planilla_General_29-11-2012_10_'!I1968,"AAAAAFv//6g=")</f>
        <v>#VALUE!</v>
      </c>
      <c r="FN131" t="e">
        <f>AND('Planilla_General_29-11-2012_10_'!J1968,"AAAAAFv//6k=")</f>
        <v>#VALUE!</v>
      </c>
      <c r="FO131" t="e">
        <f>AND('Planilla_General_29-11-2012_10_'!K1968,"AAAAAFv//6o=")</f>
        <v>#VALUE!</v>
      </c>
      <c r="FP131" t="e">
        <f>AND('Planilla_General_29-11-2012_10_'!L1968,"AAAAAFv//6s=")</f>
        <v>#VALUE!</v>
      </c>
      <c r="FQ131" t="e">
        <f>AND('Planilla_General_29-11-2012_10_'!M1968,"AAAAAFv//6w=")</f>
        <v>#VALUE!</v>
      </c>
      <c r="FR131" t="e">
        <f>AND('Planilla_General_29-11-2012_10_'!N1968,"AAAAAFv//60=")</f>
        <v>#VALUE!</v>
      </c>
      <c r="FS131" t="e">
        <f>AND('Planilla_General_29-11-2012_10_'!O1968,"AAAAAFv//64=")</f>
        <v>#VALUE!</v>
      </c>
      <c r="FT131" t="e">
        <f>AND('Planilla_General_29-11-2012_10_'!P1968,"AAAAAFv//68=")</f>
        <v>#VALUE!</v>
      </c>
      <c r="FU131">
        <f>IF('Planilla_General_29-11-2012_10_'!1969:1969,"AAAAAFv//7A=",0)</f>
        <v>0</v>
      </c>
      <c r="FV131" t="e">
        <f>AND('Planilla_General_29-11-2012_10_'!A1969,"AAAAAFv//7E=")</f>
        <v>#VALUE!</v>
      </c>
      <c r="FW131" t="e">
        <f>AND('Planilla_General_29-11-2012_10_'!B1969,"AAAAAFv//7I=")</f>
        <v>#VALUE!</v>
      </c>
      <c r="FX131" t="e">
        <f>AND('Planilla_General_29-11-2012_10_'!C1969,"AAAAAFv//7M=")</f>
        <v>#VALUE!</v>
      </c>
      <c r="FY131" t="e">
        <f>AND('Planilla_General_29-11-2012_10_'!D1969,"AAAAAFv//7Q=")</f>
        <v>#VALUE!</v>
      </c>
      <c r="FZ131" t="e">
        <f>AND('Planilla_General_29-11-2012_10_'!E1969,"AAAAAFv//7U=")</f>
        <v>#VALUE!</v>
      </c>
      <c r="GA131" t="e">
        <f>AND('Planilla_General_29-11-2012_10_'!F1969,"AAAAAFv//7Y=")</f>
        <v>#VALUE!</v>
      </c>
      <c r="GB131" t="e">
        <f>AND('Planilla_General_29-11-2012_10_'!G1969,"AAAAAFv//7c=")</f>
        <v>#VALUE!</v>
      </c>
      <c r="GC131" t="e">
        <f>AND('Planilla_General_29-11-2012_10_'!H1969,"AAAAAFv//7g=")</f>
        <v>#VALUE!</v>
      </c>
      <c r="GD131" t="e">
        <f>AND('Planilla_General_29-11-2012_10_'!I1969,"AAAAAFv//7k=")</f>
        <v>#VALUE!</v>
      </c>
      <c r="GE131" t="e">
        <f>AND('Planilla_General_29-11-2012_10_'!J1969,"AAAAAFv//7o=")</f>
        <v>#VALUE!</v>
      </c>
      <c r="GF131" t="e">
        <f>AND('Planilla_General_29-11-2012_10_'!K1969,"AAAAAFv//7s=")</f>
        <v>#VALUE!</v>
      </c>
      <c r="GG131" t="e">
        <f>AND('Planilla_General_29-11-2012_10_'!L1969,"AAAAAFv//7w=")</f>
        <v>#VALUE!</v>
      </c>
      <c r="GH131" t="e">
        <f>AND('Planilla_General_29-11-2012_10_'!M1969,"AAAAAFv//70=")</f>
        <v>#VALUE!</v>
      </c>
      <c r="GI131" t="e">
        <f>AND('Planilla_General_29-11-2012_10_'!N1969,"AAAAAFv//74=")</f>
        <v>#VALUE!</v>
      </c>
      <c r="GJ131" t="e">
        <f>AND('Planilla_General_29-11-2012_10_'!O1969,"AAAAAFv//78=")</f>
        <v>#VALUE!</v>
      </c>
      <c r="GK131" t="e">
        <f>AND('Planilla_General_29-11-2012_10_'!P1969,"AAAAAFv//8A=")</f>
        <v>#VALUE!</v>
      </c>
      <c r="GL131">
        <f>IF('Planilla_General_29-11-2012_10_'!1970:1970,"AAAAAFv//8E=",0)</f>
        <v>0</v>
      </c>
      <c r="GM131" t="e">
        <f>AND('Planilla_General_29-11-2012_10_'!A1970,"AAAAAFv//8I=")</f>
        <v>#VALUE!</v>
      </c>
      <c r="GN131" t="e">
        <f>AND('Planilla_General_29-11-2012_10_'!B1970,"AAAAAFv//8M=")</f>
        <v>#VALUE!</v>
      </c>
      <c r="GO131" t="e">
        <f>AND('Planilla_General_29-11-2012_10_'!C1970,"AAAAAFv//8Q=")</f>
        <v>#VALUE!</v>
      </c>
      <c r="GP131" t="e">
        <f>AND('Planilla_General_29-11-2012_10_'!D1970,"AAAAAFv//8U=")</f>
        <v>#VALUE!</v>
      </c>
      <c r="GQ131" t="e">
        <f>AND('Planilla_General_29-11-2012_10_'!E1970,"AAAAAFv//8Y=")</f>
        <v>#VALUE!</v>
      </c>
      <c r="GR131" t="e">
        <f>AND('Planilla_General_29-11-2012_10_'!F1970,"AAAAAFv//8c=")</f>
        <v>#VALUE!</v>
      </c>
      <c r="GS131" t="e">
        <f>AND('Planilla_General_29-11-2012_10_'!G1970,"AAAAAFv//8g=")</f>
        <v>#VALUE!</v>
      </c>
      <c r="GT131" t="e">
        <f>AND('Planilla_General_29-11-2012_10_'!H1970,"AAAAAFv//8k=")</f>
        <v>#VALUE!</v>
      </c>
      <c r="GU131" t="e">
        <f>AND('Planilla_General_29-11-2012_10_'!I1970,"AAAAAFv//8o=")</f>
        <v>#VALUE!</v>
      </c>
      <c r="GV131" t="e">
        <f>AND('Planilla_General_29-11-2012_10_'!J1970,"AAAAAFv//8s=")</f>
        <v>#VALUE!</v>
      </c>
      <c r="GW131" t="e">
        <f>AND('Planilla_General_29-11-2012_10_'!K1970,"AAAAAFv//8w=")</f>
        <v>#VALUE!</v>
      </c>
      <c r="GX131" t="e">
        <f>AND('Planilla_General_29-11-2012_10_'!L1970,"AAAAAFv//80=")</f>
        <v>#VALUE!</v>
      </c>
      <c r="GY131" t="e">
        <f>AND('Planilla_General_29-11-2012_10_'!M1970,"AAAAAFv//84=")</f>
        <v>#VALUE!</v>
      </c>
      <c r="GZ131" t="e">
        <f>AND('Planilla_General_29-11-2012_10_'!N1970,"AAAAAFv//88=")</f>
        <v>#VALUE!</v>
      </c>
      <c r="HA131" t="e">
        <f>AND('Planilla_General_29-11-2012_10_'!O1970,"AAAAAFv//9A=")</f>
        <v>#VALUE!</v>
      </c>
      <c r="HB131" t="e">
        <f>AND('Planilla_General_29-11-2012_10_'!P1970,"AAAAAFv//9E=")</f>
        <v>#VALUE!</v>
      </c>
      <c r="HC131">
        <f>IF('Planilla_General_29-11-2012_10_'!1971:1971,"AAAAAFv//9I=",0)</f>
        <v>0</v>
      </c>
      <c r="HD131" t="e">
        <f>AND('Planilla_General_29-11-2012_10_'!A1971,"AAAAAFv//9M=")</f>
        <v>#VALUE!</v>
      </c>
      <c r="HE131" t="e">
        <f>AND('Planilla_General_29-11-2012_10_'!B1971,"AAAAAFv//9Q=")</f>
        <v>#VALUE!</v>
      </c>
      <c r="HF131" t="e">
        <f>AND('Planilla_General_29-11-2012_10_'!C1971,"AAAAAFv//9U=")</f>
        <v>#VALUE!</v>
      </c>
      <c r="HG131" t="e">
        <f>AND('Planilla_General_29-11-2012_10_'!D1971,"AAAAAFv//9Y=")</f>
        <v>#VALUE!</v>
      </c>
      <c r="HH131" t="e">
        <f>AND('Planilla_General_29-11-2012_10_'!E1971,"AAAAAFv//9c=")</f>
        <v>#VALUE!</v>
      </c>
      <c r="HI131" t="e">
        <f>AND('Planilla_General_29-11-2012_10_'!F1971,"AAAAAFv//9g=")</f>
        <v>#VALUE!</v>
      </c>
      <c r="HJ131" t="e">
        <f>AND('Planilla_General_29-11-2012_10_'!G1971,"AAAAAFv//9k=")</f>
        <v>#VALUE!</v>
      </c>
      <c r="HK131" t="e">
        <f>AND('Planilla_General_29-11-2012_10_'!H1971,"AAAAAFv//9o=")</f>
        <v>#VALUE!</v>
      </c>
      <c r="HL131" t="e">
        <f>AND('Planilla_General_29-11-2012_10_'!I1971,"AAAAAFv//9s=")</f>
        <v>#VALUE!</v>
      </c>
      <c r="HM131" t="e">
        <f>AND('Planilla_General_29-11-2012_10_'!J1971,"AAAAAFv//9w=")</f>
        <v>#VALUE!</v>
      </c>
      <c r="HN131" t="e">
        <f>AND('Planilla_General_29-11-2012_10_'!K1971,"AAAAAFv//90=")</f>
        <v>#VALUE!</v>
      </c>
      <c r="HO131" t="e">
        <f>AND('Planilla_General_29-11-2012_10_'!L1971,"AAAAAFv//94=")</f>
        <v>#VALUE!</v>
      </c>
      <c r="HP131" t="e">
        <f>AND('Planilla_General_29-11-2012_10_'!M1971,"AAAAAFv//98=")</f>
        <v>#VALUE!</v>
      </c>
      <c r="HQ131" t="e">
        <f>AND('Planilla_General_29-11-2012_10_'!N1971,"AAAAAFv//+A=")</f>
        <v>#VALUE!</v>
      </c>
      <c r="HR131" t="e">
        <f>AND('Planilla_General_29-11-2012_10_'!O1971,"AAAAAFv//+E=")</f>
        <v>#VALUE!</v>
      </c>
      <c r="HS131" t="e">
        <f>AND('Planilla_General_29-11-2012_10_'!P1971,"AAAAAFv//+I=")</f>
        <v>#VALUE!</v>
      </c>
      <c r="HT131">
        <f>IF('Planilla_General_29-11-2012_10_'!1972:1972,"AAAAAFv//+M=",0)</f>
        <v>0</v>
      </c>
      <c r="HU131" t="e">
        <f>AND('Planilla_General_29-11-2012_10_'!A1972,"AAAAAFv//+Q=")</f>
        <v>#VALUE!</v>
      </c>
      <c r="HV131" t="e">
        <f>AND('Planilla_General_29-11-2012_10_'!B1972,"AAAAAFv//+U=")</f>
        <v>#VALUE!</v>
      </c>
      <c r="HW131" t="e">
        <f>AND('Planilla_General_29-11-2012_10_'!C1972,"AAAAAFv//+Y=")</f>
        <v>#VALUE!</v>
      </c>
      <c r="HX131" t="e">
        <f>AND('Planilla_General_29-11-2012_10_'!D1972,"AAAAAFv//+c=")</f>
        <v>#VALUE!</v>
      </c>
      <c r="HY131" t="e">
        <f>AND('Planilla_General_29-11-2012_10_'!E1972,"AAAAAFv//+g=")</f>
        <v>#VALUE!</v>
      </c>
      <c r="HZ131" t="e">
        <f>AND('Planilla_General_29-11-2012_10_'!F1972,"AAAAAFv//+k=")</f>
        <v>#VALUE!</v>
      </c>
      <c r="IA131" t="e">
        <f>AND('Planilla_General_29-11-2012_10_'!G1972,"AAAAAFv//+o=")</f>
        <v>#VALUE!</v>
      </c>
      <c r="IB131" t="e">
        <f>AND('Planilla_General_29-11-2012_10_'!H1972,"AAAAAFv//+s=")</f>
        <v>#VALUE!</v>
      </c>
      <c r="IC131" t="e">
        <f>AND('Planilla_General_29-11-2012_10_'!I1972,"AAAAAFv//+w=")</f>
        <v>#VALUE!</v>
      </c>
      <c r="ID131" t="e">
        <f>AND('Planilla_General_29-11-2012_10_'!J1972,"AAAAAFv//+0=")</f>
        <v>#VALUE!</v>
      </c>
      <c r="IE131" t="e">
        <f>AND('Planilla_General_29-11-2012_10_'!K1972,"AAAAAFv//+4=")</f>
        <v>#VALUE!</v>
      </c>
      <c r="IF131" t="e">
        <f>AND('Planilla_General_29-11-2012_10_'!L1972,"AAAAAFv//+8=")</f>
        <v>#VALUE!</v>
      </c>
      <c r="IG131" t="e">
        <f>AND('Planilla_General_29-11-2012_10_'!M1972,"AAAAAFv///A=")</f>
        <v>#VALUE!</v>
      </c>
      <c r="IH131" t="e">
        <f>AND('Planilla_General_29-11-2012_10_'!N1972,"AAAAAFv///E=")</f>
        <v>#VALUE!</v>
      </c>
      <c r="II131" t="e">
        <f>AND('Planilla_General_29-11-2012_10_'!O1972,"AAAAAFv///I=")</f>
        <v>#VALUE!</v>
      </c>
      <c r="IJ131" t="e">
        <f>AND('Planilla_General_29-11-2012_10_'!P1972,"AAAAAFv///M=")</f>
        <v>#VALUE!</v>
      </c>
      <c r="IK131">
        <f>IF('Planilla_General_29-11-2012_10_'!1973:1973,"AAAAAFv///Q=",0)</f>
        <v>0</v>
      </c>
      <c r="IL131" t="e">
        <f>AND('Planilla_General_29-11-2012_10_'!A1973,"AAAAAFv///U=")</f>
        <v>#VALUE!</v>
      </c>
      <c r="IM131" t="e">
        <f>AND('Planilla_General_29-11-2012_10_'!B1973,"AAAAAFv///Y=")</f>
        <v>#VALUE!</v>
      </c>
      <c r="IN131" t="e">
        <f>AND('Planilla_General_29-11-2012_10_'!C1973,"AAAAAFv///c=")</f>
        <v>#VALUE!</v>
      </c>
      <c r="IO131" t="e">
        <f>AND('Planilla_General_29-11-2012_10_'!D1973,"AAAAAFv///g=")</f>
        <v>#VALUE!</v>
      </c>
      <c r="IP131" t="e">
        <f>AND('Planilla_General_29-11-2012_10_'!E1973,"AAAAAFv///k=")</f>
        <v>#VALUE!</v>
      </c>
      <c r="IQ131" t="e">
        <f>AND('Planilla_General_29-11-2012_10_'!F1973,"AAAAAFv///o=")</f>
        <v>#VALUE!</v>
      </c>
      <c r="IR131" t="e">
        <f>AND('Planilla_General_29-11-2012_10_'!G1973,"AAAAAFv///s=")</f>
        <v>#VALUE!</v>
      </c>
      <c r="IS131" t="e">
        <f>AND('Planilla_General_29-11-2012_10_'!H1973,"AAAAAFv///w=")</f>
        <v>#VALUE!</v>
      </c>
      <c r="IT131" t="e">
        <f>AND('Planilla_General_29-11-2012_10_'!I1973,"AAAAAFv///0=")</f>
        <v>#VALUE!</v>
      </c>
      <c r="IU131" t="e">
        <f>AND('Planilla_General_29-11-2012_10_'!J1973,"AAAAAFv///4=")</f>
        <v>#VALUE!</v>
      </c>
      <c r="IV131" t="e">
        <f>AND('Planilla_General_29-11-2012_10_'!K1973,"AAAAAFv///8=")</f>
        <v>#VALUE!</v>
      </c>
    </row>
    <row r="132" spans="1:256" x14ac:dyDescent="0.25">
      <c r="A132" t="e">
        <f>AND('Planilla_General_29-11-2012_10_'!L1973,"AAAAAFu93AA=")</f>
        <v>#VALUE!</v>
      </c>
      <c r="B132" t="e">
        <f>AND('Planilla_General_29-11-2012_10_'!M1973,"AAAAAFu93AE=")</f>
        <v>#VALUE!</v>
      </c>
      <c r="C132" t="e">
        <f>AND('Planilla_General_29-11-2012_10_'!N1973,"AAAAAFu93AI=")</f>
        <v>#VALUE!</v>
      </c>
      <c r="D132" t="e">
        <f>AND('Planilla_General_29-11-2012_10_'!O1973,"AAAAAFu93AM=")</f>
        <v>#VALUE!</v>
      </c>
      <c r="E132" t="e">
        <f>AND('Planilla_General_29-11-2012_10_'!P1973,"AAAAAFu93AQ=")</f>
        <v>#VALUE!</v>
      </c>
      <c r="F132" t="e">
        <f>IF('Planilla_General_29-11-2012_10_'!1974:1974,"AAAAAFu93AU=",0)</f>
        <v>#VALUE!</v>
      </c>
      <c r="G132" t="e">
        <f>AND('Planilla_General_29-11-2012_10_'!A1974,"AAAAAFu93AY=")</f>
        <v>#VALUE!</v>
      </c>
      <c r="H132" t="e">
        <f>AND('Planilla_General_29-11-2012_10_'!B1974,"AAAAAFu93Ac=")</f>
        <v>#VALUE!</v>
      </c>
      <c r="I132" t="e">
        <f>AND('Planilla_General_29-11-2012_10_'!C1974,"AAAAAFu93Ag=")</f>
        <v>#VALUE!</v>
      </c>
      <c r="J132" t="e">
        <f>AND('Planilla_General_29-11-2012_10_'!D1974,"AAAAAFu93Ak=")</f>
        <v>#VALUE!</v>
      </c>
      <c r="K132" t="e">
        <f>AND('Planilla_General_29-11-2012_10_'!E1974,"AAAAAFu93Ao=")</f>
        <v>#VALUE!</v>
      </c>
      <c r="L132" t="e">
        <f>AND('Planilla_General_29-11-2012_10_'!F1974,"AAAAAFu93As=")</f>
        <v>#VALUE!</v>
      </c>
      <c r="M132" t="e">
        <f>AND('Planilla_General_29-11-2012_10_'!G1974,"AAAAAFu93Aw=")</f>
        <v>#VALUE!</v>
      </c>
      <c r="N132" t="e">
        <f>AND('Planilla_General_29-11-2012_10_'!H1974,"AAAAAFu93A0=")</f>
        <v>#VALUE!</v>
      </c>
      <c r="O132" t="e">
        <f>AND('Planilla_General_29-11-2012_10_'!I1974,"AAAAAFu93A4=")</f>
        <v>#VALUE!</v>
      </c>
      <c r="P132" t="e">
        <f>AND('Planilla_General_29-11-2012_10_'!J1974,"AAAAAFu93A8=")</f>
        <v>#VALUE!</v>
      </c>
      <c r="Q132" t="e">
        <f>AND('Planilla_General_29-11-2012_10_'!K1974,"AAAAAFu93BA=")</f>
        <v>#VALUE!</v>
      </c>
      <c r="R132" t="e">
        <f>AND('Planilla_General_29-11-2012_10_'!L1974,"AAAAAFu93BE=")</f>
        <v>#VALUE!</v>
      </c>
      <c r="S132" t="e">
        <f>AND('Planilla_General_29-11-2012_10_'!M1974,"AAAAAFu93BI=")</f>
        <v>#VALUE!</v>
      </c>
      <c r="T132" t="e">
        <f>AND('Planilla_General_29-11-2012_10_'!N1974,"AAAAAFu93BM=")</f>
        <v>#VALUE!</v>
      </c>
      <c r="U132" t="e">
        <f>AND('Planilla_General_29-11-2012_10_'!O1974,"AAAAAFu93BQ=")</f>
        <v>#VALUE!</v>
      </c>
      <c r="V132" t="e">
        <f>AND('Planilla_General_29-11-2012_10_'!P1974,"AAAAAFu93BU=")</f>
        <v>#VALUE!</v>
      </c>
      <c r="W132">
        <f>IF('Planilla_General_29-11-2012_10_'!1975:1975,"AAAAAFu93BY=",0)</f>
        <v>0</v>
      </c>
      <c r="X132" t="e">
        <f>AND('Planilla_General_29-11-2012_10_'!A1975,"AAAAAFu93Bc=")</f>
        <v>#VALUE!</v>
      </c>
      <c r="Y132" t="e">
        <f>AND('Planilla_General_29-11-2012_10_'!B1975,"AAAAAFu93Bg=")</f>
        <v>#VALUE!</v>
      </c>
      <c r="Z132" t="e">
        <f>AND('Planilla_General_29-11-2012_10_'!C1975,"AAAAAFu93Bk=")</f>
        <v>#VALUE!</v>
      </c>
      <c r="AA132" t="e">
        <f>AND('Planilla_General_29-11-2012_10_'!D1975,"AAAAAFu93Bo=")</f>
        <v>#VALUE!</v>
      </c>
      <c r="AB132" t="e">
        <f>AND('Planilla_General_29-11-2012_10_'!E1975,"AAAAAFu93Bs=")</f>
        <v>#VALUE!</v>
      </c>
      <c r="AC132" t="e">
        <f>AND('Planilla_General_29-11-2012_10_'!F1975,"AAAAAFu93Bw=")</f>
        <v>#VALUE!</v>
      </c>
      <c r="AD132" t="e">
        <f>AND('Planilla_General_29-11-2012_10_'!G1975,"AAAAAFu93B0=")</f>
        <v>#VALUE!</v>
      </c>
      <c r="AE132" t="e">
        <f>AND('Planilla_General_29-11-2012_10_'!H1975,"AAAAAFu93B4=")</f>
        <v>#VALUE!</v>
      </c>
      <c r="AF132" t="e">
        <f>AND('Planilla_General_29-11-2012_10_'!I1975,"AAAAAFu93B8=")</f>
        <v>#VALUE!</v>
      </c>
      <c r="AG132" t="e">
        <f>AND('Planilla_General_29-11-2012_10_'!J1975,"AAAAAFu93CA=")</f>
        <v>#VALUE!</v>
      </c>
      <c r="AH132" t="e">
        <f>AND('Planilla_General_29-11-2012_10_'!K1975,"AAAAAFu93CE=")</f>
        <v>#VALUE!</v>
      </c>
      <c r="AI132" t="e">
        <f>AND('Planilla_General_29-11-2012_10_'!L1975,"AAAAAFu93CI=")</f>
        <v>#VALUE!</v>
      </c>
      <c r="AJ132" t="e">
        <f>AND('Planilla_General_29-11-2012_10_'!M1975,"AAAAAFu93CM=")</f>
        <v>#VALUE!</v>
      </c>
      <c r="AK132" t="e">
        <f>AND('Planilla_General_29-11-2012_10_'!N1975,"AAAAAFu93CQ=")</f>
        <v>#VALUE!</v>
      </c>
      <c r="AL132" t="e">
        <f>AND('Planilla_General_29-11-2012_10_'!O1975,"AAAAAFu93CU=")</f>
        <v>#VALUE!</v>
      </c>
      <c r="AM132" t="e">
        <f>AND('Planilla_General_29-11-2012_10_'!P1975,"AAAAAFu93CY=")</f>
        <v>#VALUE!</v>
      </c>
      <c r="AN132">
        <f>IF('Planilla_General_29-11-2012_10_'!1976:1976,"AAAAAFu93Cc=",0)</f>
        <v>0</v>
      </c>
      <c r="AO132" t="e">
        <f>AND('Planilla_General_29-11-2012_10_'!A1976,"AAAAAFu93Cg=")</f>
        <v>#VALUE!</v>
      </c>
      <c r="AP132" t="e">
        <f>AND('Planilla_General_29-11-2012_10_'!B1976,"AAAAAFu93Ck=")</f>
        <v>#VALUE!</v>
      </c>
      <c r="AQ132" t="e">
        <f>AND('Planilla_General_29-11-2012_10_'!C1976,"AAAAAFu93Co=")</f>
        <v>#VALUE!</v>
      </c>
      <c r="AR132" t="e">
        <f>AND('Planilla_General_29-11-2012_10_'!D1976,"AAAAAFu93Cs=")</f>
        <v>#VALUE!</v>
      </c>
      <c r="AS132" t="e">
        <f>AND('Planilla_General_29-11-2012_10_'!E1976,"AAAAAFu93Cw=")</f>
        <v>#VALUE!</v>
      </c>
      <c r="AT132" t="e">
        <f>AND('Planilla_General_29-11-2012_10_'!F1976,"AAAAAFu93C0=")</f>
        <v>#VALUE!</v>
      </c>
      <c r="AU132" t="e">
        <f>AND('Planilla_General_29-11-2012_10_'!G1976,"AAAAAFu93C4=")</f>
        <v>#VALUE!</v>
      </c>
      <c r="AV132" t="e">
        <f>AND('Planilla_General_29-11-2012_10_'!H1976,"AAAAAFu93C8=")</f>
        <v>#VALUE!</v>
      </c>
      <c r="AW132" t="e">
        <f>AND('Planilla_General_29-11-2012_10_'!I1976,"AAAAAFu93DA=")</f>
        <v>#VALUE!</v>
      </c>
      <c r="AX132" t="e">
        <f>AND('Planilla_General_29-11-2012_10_'!J1976,"AAAAAFu93DE=")</f>
        <v>#VALUE!</v>
      </c>
      <c r="AY132" t="e">
        <f>AND('Planilla_General_29-11-2012_10_'!K1976,"AAAAAFu93DI=")</f>
        <v>#VALUE!</v>
      </c>
      <c r="AZ132" t="e">
        <f>AND('Planilla_General_29-11-2012_10_'!L1976,"AAAAAFu93DM=")</f>
        <v>#VALUE!</v>
      </c>
      <c r="BA132" t="e">
        <f>AND('Planilla_General_29-11-2012_10_'!M1976,"AAAAAFu93DQ=")</f>
        <v>#VALUE!</v>
      </c>
      <c r="BB132" t="e">
        <f>AND('Planilla_General_29-11-2012_10_'!N1976,"AAAAAFu93DU=")</f>
        <v>#VALUE!</v>
      </c>
      <c r="BC132" t="e">
        <f>AND('Planilla_General_29-11-2012_10_'!O1976,"AAAAAFu93DY=")</f>
        <v>#VALUE!</v>
      </c>
      <c r="BD132" t="e">
        <f>AND('Planilla_General_29-11-2012_10_'!P1976,"AAAAAFu93Dc=")</f>
        <v>#VALUE!</v>
      </c>
      <c r="BE132">
        <f>IF('Planilla_General_29-11-2012_10_'!1977:1977,"AAAAAFu93Dg=",0)</f>
        <v>0</v>
      </c>
      <c r="BF132" t="e">
        <f>AND('Planilla_General_29-11-2012_10_'!A1977,"AAAAAFu93Dk=")</f>
        <v>#VALUE!</v>
      </c>
      <c r="BG132" t="e">
        <f>AND('Planilla_General_29-11-2012_10_'!B1977,"AAAAAFu93Do=")</f>
        <v>#VALUE!</v>
      </c>
      <c r="BH132" t="e">
        <f>AND('Planilla_General_29-11-2012_10_'!C1977,"AAAAAFu93Ds=")</f>
        <v>#VALUE!</v>
      </c>
      <c r="BI132" t="e">
        <f>AND('Planilla_General_29-11-2012_10_'!D1977,"AAAAAFu93Dw=")</f>
        <v>#VALUE!</v>
      </c>
      <c r="BJ132" t="e">
        <f>AND('Planilla_General_29-11-2012_10_'!E1977,"AAAAAFu93D0=")</f>
        <v>#VALUE!</v>
      </c>
      <c r="BK132" t="e">
        <f>AND('Planilla_General_29-11-2012_10_'!F1977,"AAAAAFu93D4=")</f>
        <v>#VALUE!</v>
      </c>
      <c r="BL132" t="e">
        <f>AND('Planilla_General_29-11-2012_10_'!G1977,"AAAAAFu93D8=")</f>
        <v>#VALUE!</v>
      </c>
      <c r="BM132" t="e">
        <f>AND('Planilla_General_29-11-2012_10_'!H1977,"AAAAAFu93EA=")</f>
        <v>#VALUE!</v>
      </c>
      <c r="BN132" t="e">
        <f>AND('Planilla_General_29-11-2012_10_'!I1977,"AAAAAFu93EE=")</f>
        <v>#VALUE!</v>
      </c>
      <c r="BO132" t="e">
        <f>AND('Planilla_General_29-11-2012_10_'!J1977,"AAAAAFu93EI=")</f>
        <v>#VALUE!</v>
      </c>
      <c r="BP132" t="e">
        <f>AND('Planilla_General_29-11-2012_10_'!K1977,"AAAAAFu93EM=")</f>
        <v>#VALUE!</v>
      </c>
      <c r="BQ132" t="e">
        <f>AND('Planilla_General_29-11-2012_10_'!L1977,"AAAAAFu93EQ=")</f>
        <v>#VALUE!</v>
      </c>
      <c r="BR132" t="e">
        <f>AND('Planilla_General_29-11-2012_10_'!M1977,"AAAAAFu93EU=")</f>
        <v>#VALUE!</v>
      </c>
      <c r="BS132" t="e">
        <f>AND('Planilla_General_29-11-2012_10_'!N1977,"AAAAAFu93EY=")</f>
        <v>#VALUE!</v>
      </c>
      <c r="BT132" t="e">
        <f>AND('Planilla_General_29-11-2012_10_'!O1977,"AAAAAFu93Ec=")</f>
        <v>#VALUE!</v>
      </c>
      <c r="BU132" t="e">
        <f>AND('Planilla_General_29-11-2012_10_'!P1977,"AAAAAFu93Eg=")</f>
        <v>#VALUE!</v>
      </c>
      <c r="BV132">
        <f>IF('Planilla_General_29-11-2012_10_'!1978:1978,"AAAAAFu93Ek=",0)</f>
        <v>0</v>
      </c>
      <c r="BW132" t="e">
        <f>AND('Planilla_General_29-11-2012_10_'!A1978,"AAAAAFu93Eo=")</f>
        <v>#VALUE!</v>
      </c>
      <c r="BX132" t="e">
        <f>AND('Planilla_General_29-11-2012_10_'!B1978,"AAAAAFu93Es=")</f>
        <v>#VALUE!</v>
      </c>
      <c r="BY132" t="e">
        <f>AND('Planilla_General_29-11-2012_10_'!C1978,"AAAAAFu93Ew=")</f>
        <v>#VALUE!</v>
      </c>
      <c r="BZ132" t="e">
        <f>AND('Planilla_General_29-11-2012_10_'!D1978,"AAAAAFu93E0=")</f>
        <v>#VALUE!</v>
      </c>
      <c r="CA132" t="e">
        <f>AND('Planilla_General_29-11-2012_10_'!E1978,"AAAAAFu93E4=")</f>
        <v>#VALUE!</v>
      </c>
      <c r="CB132" t="e">
        <f>AND('Planilla_General_29-11-2012_10_'!F1978,"AAAAAFu93E8=")</f>
        <v>#VALUE!</v>
      </c>
      <c r="CC132" t="e">
        <f>AND('Planilla_General_29-11-2012_10_'!G1978,"AAAAAFu93FA=")</f>
        <v>#VALUE!</v>
      </c>
      <c r="CD132" t="e">
        <f>AND('Planilla_General_29-11-2012_10_'!H1978,"AAAAAFu93FE=")</f>
        <v>#VALUE!</v>
      </c>
      <c r="CE132" t="e">
        <f>AND('Planilla_General_29-11-2012_10_'!I1978,"AAAAAFu93FI=")</f>
        <v>#VALUE!</v>
      </c>
      <c r="CF132" t="e">
        <f>AND('Planilla_General_29-11-2012_10_'!J1978,"AAAAAFu93FM=")</f>
        <v>#VALUE!</v>
      </c>
      <c r="CG132" t="e">
        <f>AND('Planilla_General_29-11-2012_10_'!K1978,"AAAAAFu93FQ=")</f>
        <v>#VALUE!</v>
      </c>
      <c r="CH132" t="e">
        <f>AND('Planilla_General_29-11-2012_10_'!L1978,"AAAAAFu93FU=")</f>
        <v>#VALUE!</v>
      </c>
      <c r="CI132" t="e">
        <f>AND('Planilla_General_29-11-2012_10_'!M1978,"AAAAAFu93FY=")</f>
        <v>#VALUE!</v>
      </c>
      <c r="CJ132" t="e">
        <f>AND('Planilla_General_29-11-2012_10_'!N1978,"AAAAAFu93Fc=")</f>
        <v>#VALUE!</v>
      </c>
      <c r="CK132" t="e">
        <f>AND('Planilla_General_29-11-2012_10_'!O1978,"AAAAAFu93Fg=")</f>
        <v>#VALUE!</v>
      </c>
      <c r="CL132" t="e">
        <f>AND('Planilla_General_29-11-2012_10_'!P1978,"AAAAAFu93Fk=")</f>
        <v>#VALUE!</v>
      </c>
      <c r="CM132">
        <f>IF('Planilla_General_29-11-2012_10_'!1979:1979,"AAAAAFu93Fo=",0)</f>
        <v>0</v>
      </c>
      <c r="CN132" t="e">
        <f>AND('Planilla_General_29-11-2012_10_'!A1979,"AAAAAFu93Fs=")</f>
        <v>#VALUE!</v>
      </c>
      <c r="CO132" t="e">
        <f>AND('Planilla_General_29-11-2012_10_'!B1979,"AAAAAFu93Fw=")</f>
        <v>#VALUE!</v>
      </c>
      <c r="CP132" t="e">
        <f>AND('Planilla_General_29-11-2012_10_'!C1979,"AAAAAFu93F0=")</f>
        <v>#VALUE!</v>
      </c>
      <c r="CQ132" t="e">
        <f>AND('Planilla_General_29-11-2012_10_'!D1979,"AAAAAFu93F4=")</f>
        <v>#VALUE!</v>
      </c>
      <c r="CR132" t="e">
        <f>AND('Planilla_General_29-11-2012_10_'!E1979,"AAAAAFu93F8=")</f>
        <v>#VALUE!</v>
      </c>
      <c r="CS132" t="e">
        <f>AND('Planilla_General_29-11-2012_10_'!F1979,"AAAAAFu93GA=")</f>
        <v>#VALUE!</v>
      </c>
      <c r="CT132" t="e">
        <f>AND('Planilla_General_29-11-2012_10_'!G1979,"AAAAAFu93GE=")</f>
        <v>#VALUE!</v>
      </c>
      <c r="CU132" t="e">
        <f>AND('Planilla_General_29-11-2012_10_'!H1979,"AAAAAFu93GI=")</f>
        <v>#VALUE!</v>
      </c>
      <c r="CV132" t="e">
        <f>AND('Planilla_General_29-11-2012_10_'!I1979,"AAAAAFu93GM=")</f>
        <v>#VALUE!</v>
      </c>
      <c r="CW132" t="e">
        <f>AND('Planilla_General_29-11-2012_10_'!J1979,"AAAAAFu93GQ=")</f>
        <v>#VALUE!</v>
      </c>
      <c r="CX132" t="e">
        <f>AND('Planilla_General_29-11-2012_10_'!K1979,"AAAAAFu93GU=")</f>
        <v>#VALUE!</v>
      </c>
      <c r="CY132" t="e">
        <f>AND('Planilla_General_29-11-2012_10_'!L1979,"AAAAAFu93GY=")</f>
        <v>#VALUE!</v>
      </c>
      <c r="CZ132" t="e">
        <f>AND('Planilla_General_29-11-2012_10_'!M1979,"AAAAAFu93Gc=")</f>
        <v>#VALUE!</v>
      </c>
      <c r="DA132" t="e">
        <f>AND('Planilla_General_29-11-2012_10_'!N1979,"AAAAAFu93Gg=")</f>
        <v>#VALUE!</v>
      </c>
      <c r="DB132" t="e">
        <f>AND('Planilla_General_29-11-2012_10_'!O1979,"AAAAAFu93Gk=")</f>
        <v>#VALUE!</v>
      </c>
      <c r="DC132" t="e">
        <f>AND('Planilla_General_29-11-2012_10_'!P1979,"AAAAAFu93Go=")</f>
        <v>#VALUE!</v>
      </c>
      <c r="DD132">
        <f>IF('Planilla_General_29-11-2012_10_'!1980:1980,"AAAAAFu93Gs=",0)</f>
        <v>0</v>
      </c>
      <c r="DE132" t="e">
        <f>AND('Planilla_General_29-11-2012_10_'!A1980,"AAAAAFu93Gw=")</f>
        <v>#VALUE!</v>
      </c>
      <c r="DF132" t="e">
        <f>AND('Planilla_General_29-11-2012_10_'!B1980,"AAAAAFu93G0=")</f>
        <v>#VALUE!</v>
      </c>
      <c r="DG132" t="e">
        <f>AND('Planilla_General_29-11-2012_10_'!C1980,"AAAAAFu93G4=")</f>
        <v>#VALUE!</v>
      </c>
      <c r="DH132" t="e">
        <f>AND('Planilla_General_29-11-2012_10_'!D1980,"AAAAAFu93G8=")</f>
        <v>#VALUE!</v>
      </c>
      <c r="DI132" t="e">
        <f>AND('Planilla_General_29-11-2012_10_'!E1980,"AAAAAFu93HA=")</f>
        <v>#VALUE!</v>
      </c>
      <c r="DJ132" t="e">
        <f>AND('Planilla_General_29-11-2012_10_'!F1980,"AAAAAFu93HE=")</f>
        <v>#VALUE!</v>
      </c>
      <c r="DK132" t="e">
        <f>AND('Planilla_General_29-11-2012_10_'!G1980,"AAAAAFu93HI=")</f>
        <v>#VALUE!</v>
      </c>
      <c r="DL132" t="e">
        <f>AND('Planilla_General_29-11-2012_10_'!H1980,"AAAAAFu93HM=")</f>
        <v>#VALUE!</v>
      </c>
      <c r="DM132" t="e">
        <f>AND('Planilla_General_29-11-2012_10_'!I1980,"AAAAAFu93HQ=")</f>
        <v>#VALUE!</v>
      </c>
      <c r="DN132" t="e">
        <f>AND('Planilla_General_29-11-2012_10_'!J1980,"AAAAAFu93HU=")</f>
        <v>#VALUE!</v>
      </c>
      <c r="DO132" t="e">
        <f>AND('Planilla_General_29-11-2012_10_'!K1980,"AAAAAFu93HY=")</f>
        <v>#VALUE!</v>
      </c>
      <c r="DP132" t="e">
        <f>AND('Planilla_General_29-11-2012_10_'!L1980,"AAAAAFu93Hc=")</f>
        <v>#VALUE!</v>
      </c>
      <c r="DQ132" t="e">
        <f>AND('Planilla_General_29-11-2012_10_'!M1980,"AAAAAFu93Hg=")</f>
        <v>#VALUE!</v>
      </c>
      <c r="DR132" t="e">
        <f>AND('Planilla_General_29-11-2012_10_'!N1980,"AAAAAFu93Hk=")</f>
        <v>#VALUE!</v>
      </c>
      <c r="DS132" t="e">
        <f>AND('Planilla_General_29-11-2012_10_'!O1980,"AAAAAFu93Ho=")</f>
        <v>#VALUE!</v>
      </c>
      <c r="DT132" t="e">
        <f>AND('Planilla_General_29-11-2012_10_'!P1980,"AAAAAFu93Hs=")</f>
        <v>#VALUE!</v>
      </c>
      <c r="DU132">
        <f>IF('Planilla_General_29-11-2012_10_'!1981:1981,"AAAAAFu93Hw=",0)</f>
        <v>0</v>
      </c>
      <c r="DV132" t="e">
        <f>AND('Planilla_General_29-11-2012_10_'!A1981,"AAAAAFu93H0=")</f>
        <v>#VALUE!</v>
      </c>
      <c r="DW132" t="e">
        <f>AND('Planilla_General_29-11-2012_10_'!B1981,"AAAAAFu93H4=")</f>
        <v>#VALUE!</v>
      </c>
      <c r="DX132" t="e">
        <f>AND('Planilla_General_29-11-2012_10_'!C1981,"AAAAAFu93H8=")</f>
        <v>#VALUE!</v>
      </c>
      <c r="DY132" t="e">
        <f>AND('Planilla_General_29-11-2012_10_'!D1981,"AAAAAFu93IA=")</f>
        <v>#VALUE!</v>
      </c>
      <c r="DZ132" t="e">
        <f>AND('Planilla_General_29-11-2012_10_'!E1981,"AAAAAFu93IE=")</f>
        <v>#VALUE!</v>
      </c>
      <c r="EA132" t="e">
        <f>AND('Planilla_General_29-11-2012_10_'!F1981,"AAAAAFu93II=")</f>
        <v>#VALUE!</v>
      </c>
      <c r="EB132" t="e">
        <f>AND('Planilla_General_29-11-2012_10_'!G1981,"AAAAAFu93IM=")</f>
        <v>#VALUE!</v>
      </c>
      <c r="EC132" t="e">
        <f>AND('Planilla_General_29-11-2012_10_'!H1981,"AAAAAFu93IQ=")</f>
        <v>#VALUE!</v>
      </c>
      <c r="ED132" t="e">
        <f>AND('Planilla_General_29-11-2012_10_'!I1981,"AAAAAFu93IU=")</f>
        <v>#VALUE!</v>
      </c>
      <c r="EE132" t="e">
        <f>AND('Planilla_General_29-11-2012_10_'!J1981,"AAAAAFu93IY=")</f>
        <v>#VALUE!</v>
      </c>
      <c r="EF132" t="e">
        <f>AND('Planilla_General_29-11-2012_10_'!K1981,"AAAAAFu93Ic=")</f>
        <v>#VALUE!</v>
      </c>
      <c r="EG132" t="e">
        <f>AND('Planilla_General_29-11-2012_10_'!L1981,"AAAAAFu93Ig=")</f>
        <v>#VALUE!</v>
      </c>
      <c r="EH132" t="e">
        <f>AND('Planilla_General_29-11-2012_10_'!M1981,"AAAAAFu93Ik=")</f>
        <v>#VALUE!</v>
      </c>
      <c r="EI132" t="e">
        <f>AND('Planilla_General_29-11-2012_10_'!N1981,"AAAAAFu93Io=")</f>
        <v>#VALUE!</v>
      </c>
      <c r="EJ132" t="e">
        <f>AND('Planilla_General_29-11-2012_10_'!O1981,"AAAAAFu93Is=")</f>
        <v>#VALUE!</v>
      </c>
      <c r="EK132" t="e">
        <f>AND('Planilla_General_29-11-2012_10_'!P1981,"AAAAAFu93Iw=")</f>
        <v>#VALUE!</v>
      </c>
      <c r="EL132">
        <f>IF('Planilla_General_29-11-2012_10_'!1982:1982,"AAAAAFu93I0=",0)</f>
        <v>0</v>
      </c>
      <c r="EM132" t="e">
        <f>AND('Planilla_General_29-11-2012_10_'!A1982,"AAAAAFu93I4=")</f>
        <v>#VALUE!</v>
      </c>
      <c r="EN132" t="e">
        <f>AND('Planilla_General_29-11-2012_10_'!B1982,"AAAAAFu93I8=")</f>
        <v>#VALUE!</v>
      </c>
      <c r="EO132" t="e">
        <f>AND('Planilla_General_29-11-2012_10_'!C1982,"AAAAAFu93JA=")</f>
        <v>#VALUE!</v>
      </c>
      <c r="EP132" t="e">
        <f>AND('Planilla_General_29-11-2012_10_'!D1982,"AAAAAFu93JE=")</f>
        <v>#VALUE!</v>
      </c>
      <c r="EQ132" t="e">
        <f>AND('Planilla_General_29-11-2012_10_'!E1982,"AAAAAFu93JI=")</f>
        <v>#VALUE!</v>
      </c>
      <c r="ER132" t="e">
        <f>AND('Planilla_General_29-11-2012_10_'!F1982,"AAAAAFu93JM=")</f>
        <v>#VALUE!</v>
      </c>
      <c r="ES132" t="e">
        <f>AND('Planilla_General_29-11-2012_10_'!G1982,"AAAAAFu93JQ=")</f>
        <v>#VALUE!</v>
      </c>
      <c r="ET132" t="e">
        <f>AND('Planilla_General_29-11-2012_10_'!H1982,"AAAAAFu93JU=")</f>
        <v>#VALUE!</v>
      </c>
      <c r="EU132" t="e">
        <f>AND('Planilla_General_29-11-2012_10_'!I1982,"AAAAAFu93JY=")</f>
        <v>#VALUE!</v>
      </c>
      <c r="EV132" t="e">
        <f>AND('Planilla_General_29-11-2012_10_'!J1982,"AAAAAFu93Jc=")</f>
        <v>#VALUE!</v>
      </c>
      <c r="EW132" t="e">
        <f>AND('Planilla_General_29-11-2012_10_'!K1982,"AAAAAFu93Jg=")</f>
        <v>#VALUE!</v>
      </c>
      <c r="EX132" t="e">
        <f>AND('Planilla_General_29-11-2012_10_'!L1982,"AAAAAFu93Jk=")</f>
        <v>#VALUE!</v>
      </c>
      <c r="EY132" t="e">
        <f>AND('Planilla_General_29-11-2012_10_'!M1982,"AAAAAFu93Jo=")</f>
        <v>#VALUE!</v>
      </c>
      <c r="EZ132" t="e">
        <f>AND('Planilla_General_29-11-2012_10_'!N1982,"AAAAAFu93Js=")</f>
        <v>#VALUE!</v>
      </c>
      <c r="FA132" t="e">
        <f>AND('Planilla_General_29-11-2012_10_'!O1982,"AAAAAFu93Jw=")</f>
        <v>#VALUE!</v>
      </c>
      <c r="FB132" t="e">
        <f>AND('Planilla_General_29-11-2012_10_'!P1982,"AAAAAFu93J0=")</f>
        <v>#VALUE!</v>
      </c>
      <c r="FC132">
        <f>IF('Planilla_General_29-11-2012_10_'!1983:1983,"AAAAAFu93J4=",0)</f>
        <v>0</v>
      </c>
      <c r="FD132" t="e">
        <f>AND('Planilla_General_29-11-2012_10_'!A1983,"AAAAAFu93J8=")</f>
        <v>#VALUE!</v>
      </c>
      <c r="FE132" t="e">
        <f>AND('Planilla_General_29-11-2012_10_'!B1983,"AAAAAFu93KA=")</f>
        <v>#VALUE!</v>
      </c>
      <c r="FF132" t="e">
        <f>AND('Planilla_General_29-11-2012_10_'!C1983,"AAAAAFu93KE=")</f>
        <v>#VALUE!</v>
      </c>
      <c r="FG132" t="e">
        <f>AND('Planilla_General_29-11-2012_10_'!D1983,"AAAAAFu93KI=")</f>
        <v>#VALUE!</v>
      </c>
      <c r="FH132" t="e">
        <f>AND('Planilla_General_29-11-2012_10_'!E1983,"AAAAAFu93KM=")</f>
        <v>#VALUE!</v>
      </c>
      <c r="FI132" t="e">
        <f>AND('Planilla_General_29-11-2012_10_'!F1983,"AAAAAFu93KQ=")</f>
        <v>#VALUE!</v>
      </c>
      <c r="FJ132" t="e">
        <f>AND('Planilla_General_29-11-2012_10_'!G1983,"AAAAAFu93KU=")</f>
        <v>#VALUE!</v>
      </c>
      <c r="FK132" t="e">
        <f>AND('Planilla_General_29-11-2012_10_'!H1983,"AAAAAFu93KY=")</f>
        <v>#VALUE!</v>
      </c>
      <c r="FL132" t="e">
        <f>AND('Planilla_General_29-11-2012_10_'!I1983,"AAAAAFu93Kc=")</f>
        <v>#VALUE!</v>
      </c>
      <c r="FM132" t="e">
        <f>AND('Planilla_General_29-11-2012_10_'!J1983,"AAAAAFu93Kg=")</f>
        <v>#VALUE!</v>
      </c>
      <c r="FN132" t="e">
        <f>AND('Planilla_General_29-11-2012_10_'!K1983,"AAAAAFu93Kk=")</f>
        <v>#VALUE!</v>
      </c>
      <c r="FO132" t="e">
        <f>AND('Planilla_General_29-11-2012_10_'!L1983,"AAAAAFu93Ko=")</f>
        <v>#VALUE!</v>
      </c>
      <c r="FP132" t="e">
        <f>AND('Planilla_General_29-11-2012_10_'!M1983,"AAAAAFu93Ks=")</f>
        <v>#VALUE!</v>
      </c>
      <c r="FQ132" t="e">
        <f>AND('Planilla_General_29-11-2012_10_'!N1983,"AAAAAFu93Kw=")</f>
        <v>#VALUE!</v>
      </c>
      <c r="FR132" t="e">
        <f>AND('Planilla_General_29-11-2012_10_'!O1983,"AAAAAFu93K0=")</f>
        <v>#VALUE!</v>
      </c>
      <c r="FS132" t="e">
        <f>AND('Planilla_General_29-11-2012_10_'!P1983,"AAAAAFu93K4=")</f>
        <v>#VALUE!</v>
      </c>
      <c r="FT132">
        <f>IF('Planilla_General_29-11-2012_10_'!1984:1984,"AAAAAFu93K8=",0)</f>
        <v>0</v>
      </c>
      <c r="FU132" t="e">
        <f>AND('Planilla_General_29-11-2012_10_'!A1984,"AAAAAFu93LA=")</f>
        <v>#VALUE!</v>
      </c>
      <c r="FV132" t="e">
        <f>AND('Planilla_General_29-11-2012_10_'!B1984,"AAAAAFu93LE=")</f>
        <v>#VALUE!</v>
      </c>
      <c r="FW132" t="e">
        <f>AND('Planilla_General_29-11-2012_10_'!C1984,"AAAAAFu93LI=")</f>
        <v>#VALUE!</v>
      </c>
      <c r="FX132" t="e">
        <f>AND('Planilla_General_29-11-2012_10_'!D1984,"AAAAAFu93LM=")</f>
        <v>#VALUE!</v>
      </c>
      <c r="FY132" t="e">
        <f>AND('Planilla_General_29-11-2012_10_'!E1984,"AAAAAFu93LQ=")</f>
        <v>#VALUE!</v>
      </c>
      <c r="FZ132" t="e">
        <f>AND('Planilla_General_29-11-2012_10_'!F1984,"AAAAAFu93LU=")</f>
        <v>#VALUE!</v>
      </c>
      <c r="GA132" t="e">
        <f>AND('Planilla_General_29-11-2012_10_'!G1984,"AAAAAFu93LY=")</f>
        <v>#VALUE!</v>
      </c>
      <c r="GB132" t="e">
        <f>AND('Planilla_General_29-11-2012_10_'!H1984,"AAAAAFu93Lc=")</f>
        <v>#VALUE!</v>
      </c>
      <c r="GC132" t="e">
        <f>AND('Planilla_General_29-11-2012_10_'!I1984,"AAAAAFu93Lg=")</f>
        <v>#VALUE!</v>
      </c>
      <c r="GD132" t="e">
        <f>AND('Planilla_General_29-11-2012_10_'!J1984,"AAAAAFu93Lk=")</f>
        <v>#VALUE!</v>
      </c>
      <c r="GE132" t="e">
        <f>AND('Planilla_General_29-11-2012_10_'!K1984,"AAAAAFu93Lo=")</f>
        <v>#VALUE!</v>
      </c>
      <c r="GF132" t="e">
        <f>AND('Planilla_General_29-11-2012_10_'!L1984,"AAAAAFu93Ls=")</f>
        <v>#VALUE!</v>
      </c>
      <c r="GG132" t="e">
        <f>AND('Planilla_General_29-11-2012_10_'!M1984,"AAAAAFu93Lw=")</f>
        <v>#VALUE!</v>
      </c>
      <c r="GH132" t="e">
        <f>AND('Planilla_General_29-11-2012_10_'!N1984,"AAAAAFu93L0=")</f>
        <v>#VALUE!</v>
      </c>
      <c r="GI132" t="e">
        <f>AND('Planilla_General_29-11-2012_10_'!O1984,"AAAAAFu93L4=")</f>
        <v>#VALUE!</v>
      </c>
      <c r="GJ132" t="e">
        <f>AND('Planilla_General_29-11-2012_10_'!P1984,"AAAAAFu93L8=")</f>
        <v>#VALUE!</v>
      </c>
      <c r="GK132">
        <f>IF('Planilla_General_29-11-2012_10_'!1985:1985,"AAAAAFu93MA=",0)</f>
        <v>0</v>
      </c>
      <c r="GL132" t="e">
        <f>AND('Planilla_General_29-11-2012_10_'!A1985,"AAAAAFu93ME=")</f>
        <v>#VALUE!</v>
      </c>
      <c r="GM132" t="e">
        <f>AND('Planilla_General_29-11-2012_10_'!B1985,"AAAAAFu93MI=")</f>
        <v>#VALUE!</v>
      </c>
      <c r="GN132" t="e">
        <f>AND('Planilla_General_29-11-2012_10_'!C1985,"AAAAAFu93MM=")</f>
        <v>#VALUE!</v>
      </c>
      <c r="GO132" t="e">
        <f>AND('Planilla_General_29-11-2012_10_'!D1985,"AAAAAFu93MQ=")</f>
        <v>#VALUE!</v>
      </c>
      <c r="GP132" t="e">
        <f>AND('Planilla_General_29-11-2012_10_'!E1985,"AAAAAFu93MU=")</f>
        <v>#VALUE!</v>
      </c>
      <c r="GQ132" t="e">
        <f>AND('Planilla_General_29-11-2012_10_'!F1985,"AAAAAFu93MY=")</f>
        <v>#VALUE!</v>
      </c>
      <c r="GR132" t="e">
        <f>AND('Planilla_General_29-11-2012_10_'!G1985,"AAAAAFu93Mc=")</f>
        <v>#VALUE!</v>
      </c>
      <c r="GS132" t="e">
        <f>AND('Planilla_General_29-11-2012_10_'!H1985,"AAAAAFu93Mg=")</f>
        <v>#VALUE!</v>
      </c>
      <c r="GT132" t="e">
        <f>AND('Planilla_General_29-11-2012_10_'!I1985,"AAAAAFu93Mk=")</f>
        <v>#VALUE!</v>
      </c>
      <c r="GU132" t="e">
        <f>AND('Planilla_General_29-11-2012_10_'!J1985,"AAAAAFu93Mo=")</f>
        <v>#VALUE!</v>
      </c>
      <c r="GV132" t="e">
        <f>AND('Planilla_General_29-11-2012_10_'!K1985,"AAAAAFu93Ms=")</f>
        <v>#VALUE!</v>
      </c>
      <c r="GW132" t="e">
        <f>AND('Planilla_General_29-11-2012_10_'!L1985,"AAAAAFu93Mw=")</f>
        <v>#VALUE!</v>
      </c>
      <c r="GX132" t="e">
        <f>AND('Planilla_General_29-11-2012_10_'!M1985,"AAAAAFu93M0=")</f>
        <v>#VALUE!</v>
      </c>
      <c r="GY132" t="e">
        <f>AND('Planilla_General_29-11-2012_10_'!N1985,"AAAAAFu93M4=")</f>
        <v>#VALUE!</v>
      </c>
      <c r="GZ132" t="e">
        <f>AND('Planilla_General_29-11-2012_10_'!O1985,"AAAAAFu93M8=")</f>
        <v>#VALUE!</v>
      </c>
      <c r="HA132" t="e">
        <f>AND('Planilla_General_29-11-2012_10_'!P1985,"AAAAAFu93NA=")</f>
        <v>#VALUE!</v>
      </c>
      <c r="HB132">
        <f>IF('Planilla_General_29-11-2012_10_'!1986:1986,"AAAAAFu93NE=",0)</f>
        <v>0</v>
      </c>
      <c r="HC132" t="e">
        <f>AND('Planilla_General_29-11-2012_10_'!A1986,"AAAAAFu93NI=")</f>
        <v>#VALUE!</v>
      </c>
      <c r="HD132" t="e">
        <f>AND('Planilla_General_29-11-2012_10_'!B1986,"AAAAAFu93NM=")</f>
        <v>#VALUE!</v>
      </c>
      <c r="HE132" t="e">
        <f>AND('Planilla_General_29-11-2012_10_'!C1986,"AAAAAFu93NQ=")</f>
        <v>#VALUE!</v>
      </c>
      <c r="HF132" t="e">
        <f>AND('Planilla_General_29-11-2012_10_'!D1986,"AAAAAFu93NU=")</f>
        <v>#VALUE!</v>
      </c>
      <c r="HG132" t="e">
        <f>AND('Planilla_General_29-11-2012_10_'!E1986,"AAAAAFu93NY=")</f>
        <v>#VALUE!</v>
      </c>
      <c r="HH132" t="e">
        <f>AND('Planilla_General_29-11-2012_10_'!F1986,"AAAAAFu93Nc=")</f>
        <v>#VALUE!</v>
      </c>
      <c r="HI132" t="e">
        <f>AND('Planilla_General_29-11-2012_10_'!G1986,"AAAAAFu93Ng=")</f>
        <v>#VALUE!</v>
      </c>
      <c r="HJ132" t="e">
        <f>AND('Planilla_General_29-11-2012_10_'!H1986,"AAAAAFu93Nk=")</f>
        <v>#VALUE!</v>
      </c>
      <c r="HK132" t="e">
        <f>AND('Planilla_General_29-11-2012_10_'!I1986,"AAAAAFu93No=")</f>
        <v>#VALUE!</v>
      </c>
      <c r="HL132" t="e">
        <f>AND('Planilla_General_29-11-2012_10_'!J1986,"AAAAAFu93Ns=")</f>
        <v>#VALUE!</v>
      </c>
      <c r="HM132" t="e">
        <f>AND('Planilla_General_29-11-2012_10_'!K1986,"AAAAAFu93Nw=")</f>
        <v>#VALUE!</v>
      </c>
      <c r="HN132" t="e">
        <f>AND('Planilla_General_29-11-2012_10_'!L1986,"AAAAAFu93N0=")</f>
        <v>#VALUE!</v>
      </c>
      <c r="HO132" t="e">
        <f>AND('Planilla_General_29-11-2012_10_'!M1986,"AAAAAFu93N4=")</f>
        <v>#VALUE!</v>
      </c>
      <c r="HP132" t="e">
        <f>AND('Planilla_General_29-11-2012_10_'!N1986,"AAAAAFu93N8=")</f>
        <v>#VALUE!</v>
      </c>
      <c r="HQ132" t="e">
        <f>AND('Planilla_General_29-11-2012_10_'!O1986,"AAAAAFu93OA=")</f>
        <v>#VALUE!</v>
      </c>
      <c r="HR132" t="e">
        <f>AND('Planilla_General_29-11-2012_10_'!P1986,"AAAAAFu93OE=")</f>
        <v>#VALUE!</v>
      </c>
      <c r="HS132">
        <f>IF('Planilla_General_29-11-2012_10_'!1987:1987,"AAAAAFu93OI=",0)</f>
        <v>0</v>
      </c>
      <c r="HT132" t="e">
        <f>AND('Planilla_General_29-11-2012_10_'!A1987,"AAAAAFu93OM=")</f>
        <v>#VALUE!</v>
      </c>
      <c r="HU132" t="e">
        <f>AND('Planilla_General_29-11-2012_10_'!B1987,"AAAAAFu93OQ=")</f>
        <v>#VALUE!</v>
      </c>
      <c r="HV132" t="e">
        <f>AND('Planilla_General_29-11-2012_10_'!C1987,"AAAAAFu93OU=")</f>
        <v>#VALUE!</v>
      </c>
      <c r="HW132" t="e">
        <f>AND('Planilla_General_29-11-2012_10_'!D1987,"AAAAAFu93OY=")</f>
        <v>#VALUE!</v>
      </c>
      <c r="HX132" t="e">
        <f>AND('Planilla_General_29-11-2012_10_'!E1987,"AAAAAFu93Oc=")</f>
        <v>#VALUE!</v>
      </c>
      <c r="HY132" t="e">
        <f>AND('Planilla_General_29-11-2012_10_'!F1987,"AAAAAFu93Og=")</f>
        <v>#VALUE!</v>
      </c>
      <c r="HZ132" t="e">
        <f>AND('Planilla_General_29-11-2012_10_'!G1987,"AAAAAFu93Ok=")</f>
        <v>#VALUE!</v>
      </c>
      <c r="IA132" t="e">
        <f>AND('Planilla_General_29-11-2012_10_'!H1987,"AAAAAFu93Oo=")</f>
        <v>#VALUE!</v>
      </c>
      <c r="IB132" t="e">
        <f>AND('Planilla_General_29-11-2012_10_'!I1987,"AAAAAFu93Os=")</f>
        <v>#VALUE!</v>
      </c>
      <c r="IC132" t="e">
        <f>AND('Planilla_General_29-11-2012_10_'!J1987,"AAAAAFu93Ow=")</f>
        <v>#VALUE!</v>
      </c>
      <c r="ID132" t="e">
        <f>AND('Planilla_General_29-11-2012_10_'!K1987,"AAAAAFu93O0=")</f>
        <v>#VALUE!</v>
      </c>
      <c r="IE132" t="e">
        <f>AND('Planilla_General_29-11-2012_10_'!L1987,"AAAAAFu93O4=")</f>
        <v>#VALUE!</v>
      </c>
      <c r="IF132" t="e">
        <f>AND('Planilla_General_29-11-2012_10_'!M1987,"AAAAAFu93O8=")</f>
        <v>#VALUE!</v>
      </c>
      <c r="IG132" t="e">
        <f>AND('Planilla_General_29-11-2012_10_'!N1987,"AAAAAFu93PA=")</f>
        <v>#VALUE!</v>
      </c>
      <c r="IH132" t="e">
        <f>AND('Planilla_General_29-11-2012_10_'!O1987,"AAAAAFu93PE=")</f>
        <v>#VALUE!</v>
      </c>
      <c r="II132" t="e">
        <f>AND('Planilla_General_29-11-2012_10_'!P1987,"AAAAAFu93PI=")</f>
        <v>#VALUE!</v>
      </c>
      <c r="IJ132">
        <f>IF('Planilla_General_29-11-2012_10_'!1988:1988,"AAAAAFu93PM=",0)</f>
        <v>0</v>
      </c>
      <c r="IK132" t="e">
        <f>AND('Planilla_General_29-11-2012_10_'!A1988,"AAAAAFu93PQ=")</f>
        <v>#VALUE!</v>
      </c>
      <c r="IL132" t="e">
        <f>AND('Planilla_General_29-11-2012_10_'!B1988,"AAAAAFu93PU=")</f>
        <v>#VALUE!</v>
      </c>
      <c r="IM132" t="e">
        <f>AND('Planilla_General_29-11-2012_10_'!C1988,"AAAAAFu93PY=")</f>
        <v>#VALUE!</v>
      </c>
      <c r="IN132" t="e">
        <f>AND('Planilla_General_29-11-2012_10_'!D1988,"AAAAAFu93Pc=")</f>
        <v>#VALUE!</v>
      </c>
      <c r="IO132" t="e">
        <f>AND('Planilla_General_29-11-2012_10_'!E1988,"AAAAAFu93Pg=")</f>
        <v>#VALUE!</v>
      </c>
      <c r="IP132" t="e">
        <f>AND('Planilla_General_29-11-2012_10_'!F1988,"AAAAAFu93Pk=")</f>
        <v>#VALUE!</v>
      </c>
      <c r="IQ132" t="e">
        <f>AND('Planilla_General_29-11-2012_10_'!G1988,"AAAAAFu93Po=")</f>
        <v>#VALUE!</v>
      </c>
      <c r="IR132" t="e">
        <f>AND('Planilla_General_29-11-2012_10_'!H1988,"AAAAAFu93Ps=")</f>
        <v>#VALUE!</v>
      </c>
      <c r="IS132" t="e">
        <f>AND('Planilla_General_29-11-2012_10_'!I1988,"AAAAAFu93Pw=")</f>
        <v>#VALUE!</v>
      </c>
      <c r="IT132" t="e">
        <f>AND('Planilla_General_29-11-2012_10_'!J1988,"AAAAAFu93P0=")</f>
        <v>#VALUE!</v>
      </c>
      <c r="IU132" t="e">
        <f>AND('Planilla_General_29-11-2012_10_'!K1988,"AAAAAFu93P4=")</f>
        <v>#VALUE!</v>
      </c>
      <c r="IV132" t="e">
        <f>AND('Planilla_General_29-11-2012_10_'!L1988,"AAAAAFu93P8=")</f>
        <v>#VALUE!</v>
      </c>
    </row>
    <row r="133" spans="1:256" x14ac:dyDescent="0.25">
      <c r="A133" t="e">
        <f>AND('Planilla_General_29-11-2012_10_'!M1988,"AAAAAHtPvgA=")</f>
        <v>#VALUE!</v>
      </c>
      <c r="B133" t="e">
        <f>AND('Planilla_General_29-11-2012_10_'!N1988,"AAAAAHtPvgE=")</f>
        <v>#VALUE!</v>
      </c>
      <c r="C133" t="e">
        <f>AND('Planilla_General_29-11-2012_10_'!O1988,"AAAAAHtPvgI=")</f>
        <v>#VALUE!</v>
      </c>
      <c r="D133" t="e">
        <f>AND('Planilla_General_29-11-2012_10_'!P1988,"AAAAAHtPvgM=")</f>
        <v>#VALUE!</v>
      </c>
      <c r="E133" t="e">
        <f>IF('Planilla_General_29-11-2012_10_'!1989:1989,"AAAAAHtPvgQ=",0)</f>
        <v>#VALUE!</v>
      </c>
      <c r="F133" t="e">
        <f>AND('Planilla_General_29-11-2012_10_'!A1989,"AAAAAHtPvgU=")</f>
        <v>#VALUE!</v>
      </c>
      <c r="G133" t="e">
        <f>AND('Planilla_General_29-11-2012_10_'!B1989,"AAAAAHtPvgY=")</f>
        <v>#VALUE!</v>
      </c>
      <c r="H133" t="e">
        <f>AND('Planilla_General_29-11-2012_10_'!C1989,"AAAAAHtPvgc=")</f>
        <v>#VALUE!</v>
      </c>
      <c r="I133" t="e">
        <f>AND('Planilla_General_29-11-2012_10_'!D1989,"AAAAAHtPvgg=")</f>
        <v>#VALUE!</v>
      </c>
      <c r="J133" t="e">
        <f>AND('Planilla_General_29-11-2012_10_'!E1989,"AAAAAHtPvgk=")</f>
        <v>#VALUE!</v>
      </c>
      <c r="K133" t="e">
        <f>AND('Planilla_General_29-11-2012_10_'!F1989,"AAAAAHtPvgo=")</f>
        <v>#VALUE!</v>
      </c>
      <c r="L133" t="e">
        <f>AND('Planilla_General_29-11-2012_10_'!G1989,"AAAAAHtPvgs=")</f>
        <v>#VALUE!</v>
      </c>
      <c r="M133" t="e">
        <f>AND('Planilla_General_29-11-2012_10_'!H1989,"AAAAAHtPvgw=")</f>
        <v>#VALUE!</v>
      </c>
      <c r="N133" t="e">
        <f>AND('Planilla_General_29-11-2012_10_'!I1989,"AAAAAHtPvg0=")</f>
        <v>#VALUE!</v>
      </c>
      <c r="O133" t="e">
        <f>AND('Planilla_General_29-11-2012_10_'!J1989,"AAAAAHtPvg4=")</f>
        <v>#VALUE!</v>
      </c>
      <c r="P133" t="e">
        <f>AND('Planilla_General_29-11-2012_10_'!K1989,"AAAAAHtPvg8=")</f>
        <v>#VALUE!</v>
      </c>
      <c r="Q133" t="e">
        <f>AND('Planilla_General_29-11-2012_10_'!L1989,"AAAAAHtPvhA=")</f>
        <v>#VALUE!</v>
      </c>
      <c r="R133" t="e">
        <f>AND('Planilla_General_29-11-2012_10_'!M1989,"AAAAAHtPvhE=")</f>
        <v>#VALUE!</v>
      </c>
      <c r="S133" t="e">
        <f>AND('Planilla_General_29-11-2012_10_'!N1989,"AAAAAHtPvhI=")</f>
        <v>#VALUE!</v>
      </c>
      <c r="T133" t="e">
        <f>AND('Planilla_General_29-11-2012_10_'!O1989,"AAAAAHtPvhM=")</f>
        <v>#VALUE!</v>
      </c>
      <c r="U133" t="e">
        <f>AND('Planilla_General_29-11-2012_10_'!P1989,"AAAAAHtPvhQ=")</f>
        <v>#VALUE!</v>
      </c>
      <c r="V133">
        <f>IF('Planilla_General_29-11-2012_10_'!1990:1990,"AAAAAHtPvhU=",0)</f>
        <v>0</v>
      </c>
      <c r="W133" t="e">
        <f>AND('Planilla_General_29-11-2012_10_'!A1990,"AAAAAHtPvhY=")</f>
        <v>#VALUE!</v>
      </c>
      <c r="X133" t="e">
        <f>AND('Planilla_General_29-11-2012_10_'!B1990,"AAAAAHtPvhc=")</f>
        <v>#VALUE!</v>
      </c>
      <c r="Y133" t="e">
        <f>AND('Planilla_General_29-11-2012_10_'!C1990,"AAAAAHtPvhg=")</f>
        <v>#VALUE!</v>
      </c>
      <c r="Z133" t="e">
        <f>AND('Planilla_General_29-11-2012_10_'!D1990,"AAAAAHtPvhk=")</f>
        <v>#VALUE!</v>
      </c>
      <c r="AA133" t="e">
        <f>AND('Planilla_General_29-11-2012_10_'!E1990,"AAAAAHtPvho=")</f>
        <v>#VALUE!</v>
      </c>
      <c r="AB133" t="e">
        <f>AND('Planilla_General_29-11-2012_10_'!F1990,"AAAAAHtPvhs=")</f>
        <v>#VALUE!</v>
      </c>
      <c r="AC133" t="e">
        <f>AND('Planilla_General_29-11-2012_10_'!G1990,"AAAAAHtPvhw=")</f>
        <v>#VALUE!</v>
      </c>
      <c r="AD133" t="e">
        <f>AND('Planilla_General_29-11-2012_10_'!H1990,"AAAAAHtPvh0=")</f>
        <v>#VALUE!</v>
      </c>
      <c r="AE133" t="e">
        <f>AND('Planilla_General_29-11-2012_10_'!I1990,"AAAAAHtPvh4=")</f>
        <v>#VALUE!</v>
      </c>
      <c r="AF133" t="e">
        <f>AND('Planilla_General_29-11-2012_10_'!J1990,"AAAAAHtPvh8=")</f>
        <v>#VALUE!</v>
      </c>
      <c r="AG133" t="e">
        <f>AND('Planilla_General_29-11-2012_10_'!K1990,"AAAAAHtPviA=")</f>
        <v>#VALUE!</v>
      </c>
      <c r="AH133" t="e">
        <f>AND('Planilla_General_29-11-2012_10_'!L1990,"AAAAAHtPviE=")</f>
        <v>#VALUE!</v>
      </c>
      <c r="AI133" t="e">
        <f>AND('Planilla_General_29-11-2012_10_'!M1990,"AAAAAHtPviI=")</f>
        <v>#VALUE!</v>
      </c>
      <c r="AJ133" t="e">
        <f>AND('Planilla_General_29-11-2012_10_'!N1990,"AAAAAHtPviM=")</f>
        <v>#VALUE!</v>
      </c>
      <c r="AK133" t="e">
        <f>AND('Planilla_General_29-11-2012_10_'!O1990,"AAAAAHtPviQ=")</f>
        <v>#VALUE!</v>
      </c>
      <c r="AL133" t="e">
        <f>AND('Planilla_General_29-11-2012_10_'!P1990,"AAAAAHtPviU=")</f>
        <v>#VALUE!</v>
      </c>
      <c r="AM133">
        <f>IF('Planilla_General_29-11-2012_10_'!1991:1991,"AAAAAHtPviY=",0)</f>
        <v>0</v>
      </c>
      <c r="AN133" t="e">
        <f>AND('Planilla_General_29-11-2012_10_'!A1991,"AAAAAHtPvic=")</f>
        <v>#VALUE!</v>
      </c>
      <c r="AO133" t="e">
        <f>AND('Planilla_General_29-11-2012_10_'!B1991,"AAAAAHtPvig=")</f>
        <v>#VALUE!</v>
      </c>
      <c r="AP133" t="e">
        <f>AND('Planilla_General_29-11-2012_10_'!C1991,"AAAAAHtPvik=")</f>
        <v>#VALUE!</v>
      </c>
      <c r="AQ133" t="e">
        <f>AND('Planilla_General_29-11-2012_10_'!D1991,"AAAAAHtPvio=")</f>
        <v>#VALUE!</v>
      </c>
      <c r="AR133" t="e">
        <f>AND('Planilla_General_29-11-2012_10_'!E1991,"AAAAAHtPvis=")</f>
        <v>#VALUE!</v>
      </c>
      <c r="AS133" t="e">
        <f>AND('Planilla_General_29-11-2012_10_'!F1991,"AAAAAHtPviw=")</f>
        <v>#VALUE!</v>
      </c>
      <c r="AT133" t="e">
        <f>AND('Planilla_General_29-11-2012_10_'!G1991,"AAAAAHtPvi0=")</f>
        <v>#VALUE!</v>
      </c>
      <c r="AU133" t="e">
        <f>AND('Planilla_General_29-11-2012_10_'!H1991,"AAAAAHtPvi4=")</f>
        <v>#VALUE!</v>
      </c>
      <c r="AV133" t="e">
        <f>AND('Planilla_General_29-11-2012_10_'!I1991,"AAAAAHtPvi8=")</f>
        <v>#VALUE!</v>
      </c>
      <c r="AW133" t="e">
        <f>AND('Planilla_General_29-11-2012_10_'!J1991,"AAAAAHtPvjA=")</f>
        <v>#VALUE!</v>
      </c>
      <c r="AX133" t="e">
        <f>AND('Planilla_General_29-11-2012_10_'!K1991,"AAAAAHtPvjE=")</f>
        <v>#VALUE!</v>
      </c>
      <c r="AY133" t="e">
        <f>AND('Planilla_General_29-11-2012_10_'!L1991,"AAAAAHtPvjI=")</f>
        <v>#VALUE!</v>
      </c>
      <c r="AZ133" t="e">
        <f>AND('Planilla_General_29-11-2012_10_'!M1991,"AAAAAHtPvjM=")</f>
        <v>#VALUE!</v>
      </c>
      <c r="BA133" t="e">
        <f>AND('Planilla_General_29-11-2012_10_'!N1991,"AAAAAHtPvjQ=")</f>
        <v>#VALUE!</v>
      </c>
      <c r="BB133" t="e">
        <f>AND('Planilla_General_29-11-2012_10_'!O1991,"AAAAAHtPvjU=")</f>
        <v>#VALUE!</v>
      </c>
      <c r="BC133" t="e">
        <f>AND('Planilla_General_29-11-2012_10_'!P1991,"AAAAAHtPvjY=")</f>
        <v>#VALUE!</v>
      </c>
      <c r="BD133">
        <f>IF('Planilla_General_29-11-2012_10_'!1992:1992,"AAAAAHtPvjc=",0)</f>
        <v>0</v>
      </c>
      <c r="BE133" t="e">
        <f>AND('Planilla_General_29-11-2012_10_'!A1992,"AAAAAHtPvjg=")</f>
        <v>#VALUE!</v>
      </c>
      <c r="BF133" t="e">
        <f>AND('Planilla_General_29-11-2012_10_'!B1992,"AAAAAHtPvjk=")</f>
        <v>#VALUE!</v>
      </c>
      <c r="BG133" t="e">
        <f>AND('Planilla_General_29-11-2012_10_'!C1992,"AAAAAHtPvjo=")</f>
        <v>#VALUE!</v>
      </c>
      <c r="BH133" t="e">
        <f>AND('Planilla_General_29-11-2012_10_'!D1992,"AAAAAHtPvjs=")</f>
        <v>#VALUE!</v>
      </c>
      <c r="BI133" t="e">
        <f>AND('Planilla_General_29-11-2012_10_'!E1992,"AAAAAHtPvjw=")</f>
        <v>#VALUE!</v>
      </c>
      <c r="BJ133" t="e">
        <f>AND('Planilla_General_29-11-2012_10_'!F1992,"AAAAAHtPvj0=")</f>
        <v>#VALUE!</v>
      </c>
      <c r="BK133" t="e">
        <f>AND('Planilla_General_29-11-2012_10_'!G1992,"AAAAAHtPvj4=")</f>
        <v>#VALUE!</v>
      </c>
      <c r="BL133" t="e">
        <f>AND('Planilla_General_29-11-2012_10_'!H1992,"AAAAAHtPvj8=")</f>
        <v>#VALUE!</v>
      </c>
      <c r="BM133" t="e">
        <f>AND('Planilla_General_29-11-2012_10_'!I1992,"AAAAAHtPvkA=")</f>
        <v>#VALUE!</v>
      </c>
      <c r="BN133" t="e">
        <f>AND('Planilla_General_29-11-2012_10_'!J1992,"AAAAAHtPvkE=")</f>
        <v>#VALUE!</v>
      </c>
      <c r="BO133" t="e">
        <f>AND('Planilla_General_29-11-2012_10_'!K1992,"AAAAAHtPvkI=")</f>
        <v>#VALUE!</v>
      </c>
      <c r="BP133" t="e">
        <f>AND('Planilla_General_29-11-2012_10_'!L1992,"AAAAAHtPvkM=")</f>
        <v>#VALUE!</v>
      </c>
      <c r="BQ133" t="e">
        <f>AND('Planilla_General_29-11-2012_10_'!M1992,"AAAAAHtPvkQ=")</f>
        <v>#VALUE!</v>
      </c>
      <c r="BR133" t="e">
        <f>AND('Planilla_General_29-11-2012_10_'!N1992,"AAAAAHtPvkU=")</f>
        <v>#VALUE!</v>
      </c>
      <c r="BS133" t="e">
        <f>AND('Planilla_General_29-11-2012_10_'!O1992,"AAAAAHtPvkY=")</f>
        <v>#VALUE!</v>
      </c>
      <c r="BT133" t="e">
        <f>AND('Planilla_General_29-11-2012_10_'!P1992,"AAAAAHtPvkc=")</f>
        <v>#VALUE!</v>
      </c>
      <c r="BU133">
        <f>IF('Planilla_General_29-11-2012_10_'!1993:1993,"AAAAAHtPvkg=",0)</f>
        <v>0</v>
      </c>
      <c r="BV133" t="e">
        <f>AND('Planilla_General_29-11-2012_10_'!A1993,"AAAAAHtPvkk=")</f>
        <v>#VALUE!</v>
      </c>
      <c r="BW133" t="e">
        <f>AND('Planilla_General_29-11-2012_10_'!B1993,"AAAAAHtPvko=")</f>
        <v>#VALUE!</v>
      </c>
      <c r="BX133" t="e">
        <f>AND('Planilla_General_29-11-2012_10_'!C1993,"AAAAAHtPvks=")</f>
        <v>#VALUE!</v>
      </c>
      <c r="BY133" t="e">
        <f>AND('Planilla_General_29-11-2012_10_'!D1993,"AAAAAHtPvkw=")</f>
        <v>#VALUE!</v>
      </c>
      <c r="BZ133" t="e">
        <f>AND('Planilla_General_29-11-2012_10_'!E1993,"AAAAAHtPvk0=")</f>
        <v>#VALUE!</v>
      </c>
      <c r="CA133" t="e">
        <f>AND('Planilla_General_29-11-2012_10_'!F1993,"AAAAAHtPvk4=")</f>
        <v>#VALUE!</v>
      </c>
      <c r="CB133" t="e">
        <f>AND('Planilla_General_29-11-2012_10_'!G1993,"AAAAAHtPvk8=")</f>
        <v>#VALUE!</v>
      </c>
      <c r="CC133" t="e">
        <f>AND('Planilla_General_29-11-2012_10_'!H1993,"AAAAAHtPvlA=")</f>
        <v>#VALUE!</v>
      </c>
      <c r="CD133" t="e">
        <f>AND('Planilla_General_29-11-2012_10_'!I1993,"AAAAAHtPvlE=")</f>
        <v>#VALUE!</v>
      </c>
      <c r="CE133" t="e">
        <f>AND('Planilla_General_29-11-2012_10_'!J1993,"AAAAAHtPvlI=")</f>
        <v>#VALUE!</v>
      </c>
      <c r="CF133" t="e">
        <f>AND('Planilla_General_29-11-2012_10_'!K1993,"AAAAAHtPvlM=")</f>
        <v>#VALUE!</v>
      </c>
      <c r="CG133" t="e">
        <f>AND('Planilla_General_29-11-2012_10_'!L1993,"AAAAAHtPvlQ=")</f>
        <v>#VALUE!</v>
      </c>
      <c r="CH133" t="e">
        <f>AND('Planilla_General_29-11-2012_10_'!M1993,"AAAAAHtPvlU=")</f>
        <v>#VALUE!</v>
      </c>
      <c r="CI133" t="e">
        <f>AND('Planilla_General_29-11-2012_10_'!N1993,"AAAAAHtPvlY=")</f>
        <v>#VALUE!</v>
      </c>
      <c r="CJ133" t="e">
        <f>AND('Planilla_General_29-11-2012_10_'!O1993,"AAAAAHtPvlc=")</f>
        <v>#VALUE!</v>
      </c>
      <c r="CK133" t="e">
        <f>AND('Planilla_General_29-11-2012_10_'!P1993,"AAAAAHtPvlg=")</f>
        <v>#VALUE!</v>
      </c>
      <c r="CL133">
        <f>IF('Planilla_General_29-11-2012_10_'!1994:1994,"AAAAAHtPvlk=",0)</f>
        <v>0</v>
      </c>
      <c r="CM133" t="e">
        <f>AND('Planilla_General_29-11-2012_10_'!A1994,"AAAAAHtPvlo=")</f>
        <v>#VALUE!</v>
      </c>
      <c r="CN133" t="e">
        <f>AND('Planilla_General_29-11-2012_10_'!B1994,"AAAAAHtPvls=")</f>
        <v>#VALUE!</v>
      </c>
      <c r="CO133" t="e">
        <f>AND('Planilla_General_29-11-2012_10_'!C1994,"AAAAAHtPvlw=")</f>
        <v>#VALUE!</v>
      </c>
      <c r="CP133" t="e">
        <f>AND('Planilla_General_29-11-2012_10_'!D1994,"AAAAAHtPvl0=")</f>
        <v>#VALUE!</v>
      </c>
      <c r="CQ133" t="e">
        <f>AND('Planilla_General_29-11-2012_10_'!E1994,"AAAAAHtPvl4=")</f>
        <v>#VALUE!</v>
      </c>
      <c r="CR133" t="e">
        <f>AND('Planilla_General_29-11-2012_10_'!F1994,"AAAAAHtPvl8=")</f>
        <v>#VALUE!</v>
      </c>
      <c r="CS133" t="e">
        <f>AND('Planilla_General_29-11-2012_10_'!G1994,"AAAAAHtPvmA=")</f>
        <v>#VALUE!</v>
      </c>
      <c r="CT133" t="e">
        <f>AND('Planilla_General_29-11-2012_10_'!H1994,"AAAAAHtPvmE=")</f>
        <v>#VALUE!</v>
      </c>
      <c r="CU133" t="e">
        <f>AND('Planilla_General_29-11-2012_10_'!I1994,"AAAAAHtPvmI=")</f>
        <v>#VALUE!</v>
      </c>
      <c r="CV133" t="e">
        <f>AND('Planilla_General_29-11-2012_10_'!J1994,"AAAAAHtPvmM=")</f>
        <v>#VALUE!</v>
      </c>
      <c r="CW133" t="e">
        <f>AND('Planilla_General_29-11-2012_10_'!K1994,"AAAAAHtPvmQ=")</f>
        <v>#VALUE!</v>
      </c>
      <c r="CX133" t="e">
        <f>AND('Planilla_General_29-11-2012_10_'!L1994,"AAAAAHtPvmU=")</f>
        <v>#VALUE!</v>
      </c>
      <c r="CY133" t="e">
        <f>AND('Planilla_General_29-11-2012_10_'!M1994,"AAAAAHtPvmY=")</f>
        <v>#VALUE!</v>
      </c>
      <c r="CZ133" t="e">
        <f>AND('Planilla_General_29-11-2012_10_'!N1994,"AAAAAHtPvmc=")</f>
        <v>#VALUE!</v>
      </c>
      <c r="DA133" t="e">
        <f>AND('Planilla_General_29-11-2012_10_'!O1994,"AAAAAHtPvmg=")</f>
        <v>#VALUE!</v>
      </c>
      <c r="DB133" t="e">
        <f>AND('Planilla_General_29-11-2012_10_'!P1994,"AAAAAHtPvmk=")</f>
        <v>#VALUE!</v>
      </c>
      <c r="DC133">
        <f>IF('Planilla_General_29-11-2012_10_'!1995:1995,"AAAAAHtPvmo=",0)</f>
        <v>0</v>
      </c>
      <c r="DD133" t="e">
        <f>AND('Planilla_General_29-11-2012_10_'!A1995,"AAAAAHtPvms=")</f>
        <v>#VALUE!</v>
      </c>
      <c r="DE133" t="e">
        <f>AND('Planilla_General_29-11-2012_10_'!B1995,"AAAAAHtPvmw=")</f>
        <v>#VALUE!</v>
      </c>
      <c r="DF133" t="e">
        <f>AND('Planilla_General_29-11-2012_10_'!C1995,"AAAAAHtPvm0=")</f>
        <v>#VALUE!</v>
      </c>
      <c r="DG133" t="e">
        <f>AND('Planilla_General_29-11-2012_10_'!D1995,"AAAAAHtPvm4=")</f>
        <v>#VALUE!</v>
      </c>
      <c r="DH133" t="e">
        <f>AND('Planilla_General_29-11-2012_10_'!E1995,"AAAAAHtPvm8=")</f>
        <v>#VALUE!</v>
      </c>
      <c r="DI133" t="e">
        <f>AND('Planilla_General_29-11-2012_10_'!F1995,"AAAAAHtPvnA=")</f>
        <v>#VALUE!</v>
      </c>
      <c r="DJ133" t="e">
        <f>AND('Planilla_General_29-11-2012_10_'!G1995,"AAAAAHtPvnE=")</f>
        <v>#VALUE!</v>
      </c>
      <c r="DK133" t="e">
        <f>AND('Planilla_General_29-11-2012_10_'!H1995,"AAAAAHtPvnI=")</f>
        <v>#VALUE!</v>
      </c>
      <c r="DL133" t="e">
        <f>AND('Planilla_General_29-11-2012_10_'!I1995,"AAAAAHtPvnM=")</f>
        <v>#VALUE!</v>
      </c>
      <c r="DM133" t="e">
        <f>AND('Planilla_General_29-11-2012_10_'!J1995,"AAAAAHtPvnQ=")</f>
        <v>#VALUE!</v>
      </c>
      <c r="DN133" t="e">
        <f>AND('Planilla_General_29-11-2012_10_'!K1995,"AAAAAHtPvnU=")</f>
        <v>#VALUE!</v>
      </c>
      <c r="DO133" t="e">
        <f>AND('Planilla_General_29-11-2012_10_'!L1995,"AAAAAHtPvnY=")</f>
        <v>#VALUE!</v>
      </c>
      <c r="DP133" t="e">
        <f>AND('Planilla_General_29-11-2012_10_'!M1995,"AAAAAHtPvnc=")</f>
        <v>#VALUE!</v>
      </c>
      <c r="DQ133" t="e">
        <f>AND('Planilla_General_29-11-2012_10_'!N1995,"AAAAAHtPvng=")</f>
        <v>#VALUE!</v>
      </c>
      <c r="DR133" t="e">
        <f>AND('Planilla_General_29-11-2012_10_'!O1995,"AAAAAHtPvnk=")</f>
        <v>#VALUE!</v>
      </c>
      <c r="DS133" t="e">
        <f>AND('Planilla_General_29-11-2012_10_'!P1995,"AAAAAHtPvno=")</f>
        <v>#VALUE!</v>
      </c>
      <c r="DT133">
        <f>IF('Planilla_General_29-11-2012_10_'!1996:1996,"AAAAAHtPvns=",0)</f>
        <v>0</v>
      </c>
      <c r="DU133" t="e">
        <f>AND('Planilla_General_29-11-2012_10_'!A1996,"AAAAAHtPvnw=")</f>
        <v>#VALUE!</v>
      </c>
      <c r="DV133" t="e">
        <f>AND('Planilla_General_29-11-2012_10_'!B1996,"AAAAAHtPvn0=")</f>
        <v>#VALUE!</v>
      </c>
      <c r="DW133" t="e">
        <f>AND('Planilla_General_29-11-2012_10_'!C1996,"AAAAAHtPvn4=")</f>
        <v>#VALUE!</v>
      </c>
      <c r="DX133" t="e">
        <f>AND('Planilla_General_29-11-2012_10_'!D1996,"AAAAAHtPvn8=")</f>
        <v>#VALUE!</v>
      </c>
      <c r="DY133" t="e">
        <f>AND('Planilla_General_29-11-2012_10_'!E1996,"AAAAAHtPvoA=")</f>
        <v>#VALUE!</v>
      </c>
      <c r="DZ133" t="e">
        <f>AND('Planilla_General_29-11-2012_10_'!F1996,"AAAAAHtPvoE=")</f>
        <v>#VALUE!</v>
      </c>
      <c r="EA133" t="e">
        <f>AND('Planilla_General_29-11-2012_10_'!G1996,"AAAAAHtPvoI=")</f>
        <v>#VALUE!</v>
      </c>
      <c r="EB133" t="e">
        <f>AND('Planilla_General_29-11-2012_10_'!H1996,"AAAAAHtPvoM=")</f>
        <v>#VALUE!</v>
      </c>
      <c r="EC133" t="e">
        <f>AND('Planilla_General_29-11-2012_10_'!I1996,"AAAAAHtPvoQ=")</f>
        <v>#VALUE!</v>
      </c>
      <c r="ED133" t="e">
        <f>AND('Planilla_General_29-11-2012_10_'!J1996,"AAAAAHtPvoU=")</f>
        <v>#VALUE!</v>
      </c>
      <c r="EE133" t="e">
        <f>AND('Planilla_General_29-11-2012_10_'!K1996,"AAAAAHtPvoY=")</f>
        <v>#VALUE!</v>
      </c>
      <c r="EF133" t="e">
        <f>AND('Planilla_General_29-11-2012_10_'!L1996,"AAAAAHtPvoc=")</f>
        <v>#VALUE!</v>
      </c>
      <c r="EG133" t="e">
        <f>AND('Planilla_General_29-11-2012_10_'!M1996,"AAAAAHtPvog=")</f>
        <v>#VALUE!</v>
      </c>
      <c r="EH133" t="e">
        <f>AND('Planilla_General_29-11-2012_10_'!N1996,"AAAAAHtPvok=")</f>
        <v>#VALUE!</v>
      </c>
      <c r="EI133" t="e">
        <f>AND('Planilla_General_29-11-2012_10_'!O1996,"AAAAAHtPvoo=")</f>
        <v>#VALUE!</v>
      </c>
      <c r="EJ133" t="e">
        <f>AND('Planilla_General_29-11-2012_10_'!P1996,"AAAAAHtPvos=")</f>
        <v>#VALUE!</v>
      </c>
      <c r="EK133">
        <f>IF('Planilla_General_29-11-2012_10_'!1997:1997,"AAAAAHtPvow=",0)</f>
        <v>0</v>
      </c>
      <c r="EL133" t="e">
        <f>AND('Planilla_General_29-11-2012_10_'!A1997,"AAAAAHtPvo0=")</f>
        <v>#VALUE!</v>
      </c>
      <c r="EM133" t="e">
        <f>AND('Planilla_General_29-11-2012_10_'!B1997,"AAAAAHtPvo4=")</f>
        <v>#VALUE!</v>
      </c>
      <c r="EN133" t="e">
        <f>AND('Planilla_General_29-11-2012_10_'!C1997,"AAAAAHtPvo8=")</f>
        <v>#VALUE!</v>
      </c>
      <c r="EO133" t="e">
        <f>AND('Planilla_General_29-11-2012_10_'!D1997,"AAAAAHtPvpA=")</f>
        <v>#VALUE!</v>
      </c>
      <c r="EP133" t="e">
        <f>AND('Planilla_General_29-11-2012_10_'!E1997,"AAAAAHtPvpE=")</f>
        <v>#VALUE!</v>
      </c>
      <c r="EQ133" t="e">
        <f>AND('Planilla_General_29-11-2012_10_'!F1997,"AAAAAHtPvpI=")</f>
        <v>#VALUE!</v>
      </c>
      <c r="ER133" t="e">
        <f>AND('Planilla_General_29-11-2012_10_'!G1997,"AAAAAHtPvpM=")</f>
        <v>#VALUE!</v>
      </c>
      <c r="ES133" t="e">
        <f>AND('Planilla_General_29-11-2012_10_'!H1997,"AAAAAHtPvpQ=")</f>
        <v>#VALUE!</v>
      </c>
      <c r="ET133" t="e">
        <f>AND('Planilla_General_29-11-2012_10_'!I1997,"AAAAAHtPvpU=")</f>
        <v>#VALUE!</v>
      </c>
      <c r="EU133" t="e">
        <f>AND('Planilla_General_29-11-2012_10_'!J1997,"AAAAAHtPvpY=")</f>
        <v>#VALUE!</v>
      </c>
      <c r="EV133" t="e">
        <f>AND('Planilla_General_29-11-2012_10_'!K1997,"AAAAAHtPvpc=")</f>
        <v>#VALUE!</v>
      </c>
      <c r="EW133" t="e">
        <f>AND('Planilla_General_29-11-2012_10_'!L1997,"AAAAAHtPvpg=")</f>
        <v>#VALUE!</v>
      </c>
      <c r="EX133" t="e">
        <f>AND('Planilla_General_29-11-2012_10_'!M1997,"AAAAAHtPvpk=")</f>
        <v>#VALUE!</v>
      </c>
      <c r="EY133" t="e">
        <f>AND('Planilla_General_29-11-2012_10_'!N1997,"AAAAAHtPvpo=")</f>
        <v>#VALUE!</v>
      </c>
      <c r="EZ133" t="e">
        <f>AND('Planilla_General_29-11-2012_10_'!O1997,"AAAAAHtPvps=")</f>
        <v>#VALUE!</v>
      </c>
      <c r="FA133" t="e">
        <f>AND('Planilla_General_29-11-2012_10_'!P1997,"AAAAAHtPvpw=")</f>
        <v>#VALUE!</v>
      </c>
      <c r="FB133">
        <f>IF('Planilla_General_29-11-2012_10_'!1998:1998,"AAAAAHtPvp0=",0)</f>
        <v>0</v>
      </c>
      <c r="FC133" t="e">
        <f>AND('Planilla_General_29-11-2012_10_'!A1998,"AAAAAHtPvp4=")</f>
        <v>#VALUE!</v>
      </c>
      <c r="FD133" t="e">
        <f>AND('Planilla_General_29-11-2012_10_'!B1998,"AAAAAHtPvp8=")</f>
        <v>#VALUE!</v>
      </c>
      <c r="FE133" t="e">
        <f>AND('Planilla_General_29-11-2012_10_'!C1998,"AAAAAHtPvqA=")</f>
        <v>#VALUE!</v>
      </c>
      <c r="FF133" t="e">
        <f>AND('Planilla_General_29-11-2012_10_'!D1998,"AAAAAHtPvqE=")</f>
        <v>#VALUE!</v>
      </c>
      <c r="FG133" t="e">
        <f>AND('Planilla_General_29-11-2012_10_'!E1998,"AAAAAHtPvqI=")</f>
        <v>#VALUE!</v>
      </c>
      <c r="FH133" t="e">
        <f>AND('Planilla_General_29-11-2012_10_'!F1998,"AAAAAHtPvqM=")</f>
        <v>#VALUE!</v>
      </c>
      <c r="FI133" t="e">
        <f>AND('Planilla_General_29-11-2012_10_'!G1998,"AAAAAHtPvqQ=")</f>
        <v>#VALUE!</v>
      </c>
      <c r="FJ133" t="e">
        <f>AND('Planilla_General_29-11-2012_10_'!H1998,"AAAAAHtPvqU=")</f>
        <v>#VALUE!</v>
      </c>
      <c r="FK133" t="e">
        <f>AND('Planilla_General_29-11-2012_10_'!I1998,"AAAAAHtPvqY=")</f>
        <v>#VALUE!</v>
      </c>
      <c r="FL133" t="e">
        <f>AND('Planilla_General_29-11-2012_10_'!J1998,"AAAAAHtPvqc=")</f>
        <v>#VALUE!</v>
      </c>
      <c r="FM133" t="e">
        <f>AND('Planilla_General_29-11-2012_10_'!K1998,"AAAAAHtPvqg=")</f>
        <v>#VALUE!</v>
      </c>
      <c r="FN133" t="e">
        <f>AND('Planilla_General_29-11-2012_10_'!L1998,"AAAAAHtPvqk=")</f>
        <v>#VALUE!</v>
      </c>
      <c r="FO133" t="e">
        <f>AND('Planilla_General_29-11-2012_10_'!M1998,"AAAAAHtPvqo=")</f>
        <v>#VALUE!</v>
      </c>
      <c r="FP133" t="e">
        <f>AND('Planilla_General_29-11-2012_10_'!N1998,"AAAAAHtPvqs=")</f>
        <v>#VALUE!</v>
      </c>
      <c r="FQ133" t="e">
        <f>AND('Planilla_General_29-11-2012_10_'!O1998,"AAAAAHtPvqw=")</f>
        <v>#VALUE!</v>
      </c>
      <c r="FR133" t="e">
        <f>AND('Planilla_General_29-11-2012_10_'!P1998,"AAAAAHtPvq0=")</f>
        <v>#VALUE!</v>
      </c>
      <c r="FS133">
        <f>IF('Planilla_General_29-11-2012_10_'!1999:1999,"AAAAAHtPvq4=",0)</f>
        <v>0</v>
      </c>
      <c r="FT133" t="e">
        <f>AND('Planilla_General_29-11-2012_10_'!A1999,"AAAAAHtPvq8=")</f>
        <v>#VALUE!</v>
      </c>
      <c r="FU133" t="e">
        <f>AND('Planilla_General_29-11-2012_10_'!B1999,"AAAAAHtPvrA=")</f>
        <v>#VALUE!</v>
      </c>
      <c r="FV133" t="e">
        <f>AND('Planilla_General_29-11-2012_10_'!C1999,"AAAAAHtPvrE=")</f>
        <v>#VALUE!</v>
      </c>
      <c r="FW133" t="e">
        <f>AND('Planilla_General_29-11-2012_10_'!D1999,"AAAAAHtPvrI=")</f>
        <v>#VALUE!</v>
      </c>
      <c r="FX133" t="e">
        <f>AND('Planilla_General_29-11-2012_10_'!E1999,"AAAAAHtPvrM=")</f>
        <v>#VALUE!</v>
      </c>
      <c r="FY133" t="e">
        <f>AND('Planilla_General_29-11-2012_10_'!F1999,"AAAAAHtPvrQ=")</f>
        <v>#VALUE!</v>
      </c>
      <c r="FZ133" t="e">
        <f>AND('Planilla_General_29-11-2012_10_'!G1999,"AAAAAHtPvrU=")</f>
        <v>#VALUE!</v>
      </c>
      <c r="GA133" t="e">
        <f>AND('Planilla_General_29-11-2012_10_'!H1999,"AAAAAHtPvrY=")</f>
        <v>#VALUE!</v>
      </c>
      <c r="GB133" t="e">
        <f>AND('Planilla_General_29-11-2012_10_'!I1999,"AAAAAHtPvrc=")</f>
        <v>#VALUE!</v>
      </c>
      <c r="GC133" t="e">
        <f>AND('Planilla_General_29-11-2012_10_'!J1999,"AAAAAHtPvrg=")</f>
        <v>#VALUE!</v>
      </c>
      <c r="GD133" t="e">
        <f>AND('Planilla_General_29-11-2012_10_'!K1999,"AAAAAHtPvrk=")</f>
        <v>#VALUE!</v>
      </c>
      <c r="GE133" t="e">
        <f>AND('Planilla_General_29-11-2012_10_'!L1999,"AAAAAHtPvro=")</f>
        <v>#VALUE!</v>
      </c>
      <c r="GF133" t="e">
        <f>AND('Planilla_General_29-11-2012_10_'!M1999,"AAAAAHtPvrs=")</f>
        <v>#VALUE!</v>
      </c>
      <c r="GG133" t="e">
        <f>AND('Planilla_General_29-11-2012_10_'!N1999,"AAAAAHtPvrw=")</f>
        <v>#VALUE!</v>
      </c>
      <c r="GH133" t="e">
        <f>AND('Planilla_General_29-11-2012_10_'!O1999,"AAAAAHtPvr0=")</f>
        <v>#VALUE!</v>
      </c>
      <c r="GI133" t="e">
        <f>AND('Planilla_General_29-11-2012_10_'!P1999,"AAAAAHtPvr4=")</f>
        <v>#VALUE!</v>
      </c>
      <c r="GJ133">
        <f>IF('Planilla_General_29-11-2012_10_'!2000:2000,"AAAAAHtPvr8=",0)</f>
        <v>0</v>
      </c>
      <c r="GK133" t="e">
        <f>AND('Planilla_General_29-11-2012_10_'!A2000,"AAAAAHtPvsA=")</f>
        <v>#VALUE!</v>
      </c>
      <c r="GL133" t="e">
        <f>AND('Planilla_General_29-11-2012_10_'!B2000,"AAAAAHtPvsE=")</f>
        <v>#VALUE!</v>
      </c>
      <c r="GM133" t="e">
        <f>AND('Planilla_General_29-11-2012_10_'!C2000,"AAAAAHtPvsI=")</f>
        <v>#VALUE!</v>
      </c>
      <c r="GN133" t="e">
        <f>AND('Planilla_General_29-11-2012_10_'!D2000,"AAAAAHtPvsM=")</f>
        <v>#VALUE!</v>
      </c>
      <c r="GO133" t="e">
        <f>AND('Planilla_General_29-11-2012_10_'!E2000,"AAAAAHtPvsQ=")</f>
        <v>#VALUE!</v>
      </c>
      <c r="GP133" t="e">
        <f>AND('Planilla_General_29-11-2012_10_'!F2000,"AAAAAHtPvsU=")</f>
        <v>#VALUE!</v>
      </c>
      <c r="GQ133" t="e">
        <f>AND('Planilla_General_29-11-2012_10_'!G2000,"AAAAAHtPvsY=")</f>
        <v>#VALUE!</v>
      </c>
      <c r="GR133" t="e">
        <f>AND('Planilla_General_29-11-2012_10_'!H2000,"AAAAAHtPvsc=")</f>
        <v>#VALUE!</v>
      </c>
      <c r="GS133" t="e">
        <f>AND('Planilla_General_29-11-2012_10_'!I2000,"AAAAAHtPvsg=")</f>
        <v>#VALUE!</v>
      </c>
      <c r="GT133" t="e">
        <f>AND('Planilla_General_29-11-2012_10_'!J2000,"AAAAAHtPvsk=")</f>
        <v>#VALUE!</v>
      </c>
      <c r="GU133" t="e">
        <f>AND('Planilla_General_29-11-2012_10_'!K2000,"AAAAAHtPvso=")</f>
        <v>#VALUE!</v>
      </c>
      <c r="GV133" t="e">
        <f>AND('Planilla_General_29-11-2012_10_'!L2000,"AAAAAHtPvss=")</f>
        <v>#VALUE!</v>
      </c>
      <c r="GW133" t="e">
        <f>AND('Planilla_General_29-11-2012_10_'!M2000,"AAAAAHtPvsw=")</f>
        <v>#VALUE!</v>
      </c>
      <c r="GX133" t="e">
        <f>AND('Planilla_General_29-11-2012_10_'!N2000,"AAAAAHtPvs0=")</f>
        <v>#VALUE!</v>
      </c>
      <c r="GY133" t="e">
        <f>AND('Planilla_General_29-11-2012_10_'!O2000,"AAAAAHtPvs4=")</f>
        <v>#VALUE!</v>
      </c>
      <c r="GZ133" t="e">
        <f>AND('Planilla_General_29-11-2012_10_'!P2000,"AAAAAHtPvs8=")</f>
        <v>#VALUE!</v>
      </c>
      <c r="HA133">
        <f>IF('Planilla_General_29-11-2012_10_'!2001:2001,"AAAAAHtPvtA=",0)</f>
        <v>0</v>
      </c>
      <c r="HB133" t="e">
        <f>AND('Planilla_General_29-11-2012_10_'!A2001,"AAAAAHtPvtE=")</f>
        <v>#VALUE!</v>
      </c>
      <c r="HC133" t="e">
        <f>AND('Planilla_General_29-11-2012_10_'!B2001,"AAAAAHtPvtI=")</f>
        <v>#VALUE!</v>
      </c>
      <c r="HD133" t="e">
        <f>AND('Planilla_General_29-11-2012_10_'!C2001,"AAAAAHtPvtM=")</f>
        <v>#VALUE!</v>
      </c>
      <c r="HE133" t="e">
        <f>AND('Planilla_General_29-11-2012_10_'!D2001,"AAAAAHtPvtQ=")</f>
        <v>#VALUE!</v>
      </c>
      <c r="HF133" t="e">
        <f>AND('Planilla_General_29-11-2012_10_'!E2001,"AAAAAHtPvtU=")</f>
        <v>#VALUE!</v>
      </c>
      <c r="HG133" t="e">
        <f>AND('Planilla_General_29-11-2012_10_'!F2001,"AAAAAHtPvtY=")</f>
        <v>#VALUE!</v>
      </c>
      <c r="HH133" t="e">
        <f>AND('Planilla_General_29-11-2012_10_'!G2001,"AAAAAHtPvtc=")</f>
        <v>#VALUE!</v>
      </c>
      <c r="HI133" t="e">
        <f>AND('Planilla_General_29-11-2012_10_'!H2001,"AAAAAHtPvtg=")</f>
        <v>#VALUE!</v>
      </c>
      <c r="HJ133" t="e">
        <f>AND('Planilla_General_29-11-2012_10_'!I2001,"AAAAAHtPvtk=")</f>
        <v>#VALUE!</v>
      </c>
      <c r="HK133" t="e">
        <f>AND('Planilla_General_29-11-2012_10_'!J2001,"AAAAAHtPvto=")</f>
        <v>#VALUE!</v>
      </c>
      <c r="HL133" t="e">
        <f>AND('Planilla_General_29-11-2012_10_'!K2001,"AAAAAHtPvts=")</f>
        <v>#VALUE!</v>
      </c>
      <c r="HM133" t="e">
        <f>AND('Planilla_General_29-11-2012_10_'!L2001,"AAAAAHtPvtw=")</f>
        <v>#VALUE!</v>
      </c>
      <c r="HN133" t="e">
        <f>AND('Planilla_General_29-11-2012_10_'!M2001,"AAAAAHtPvt0=")</f>
        <v>#VALUE!</v>
      </c>
      <c r="HO133" t="e">
        <f>AND('Planilla_General_29-11-2012_10_'!N2001,"AAAAAHtPvt4=")</f>
        <v>#VALUE!</v>
      </c>
      <c r="HP133" t="e">
        <f>AND('Planilla_General_29-11-2012_10_'!O2001,"AAAAAHtPvt8=")</f>
        <v>#VALUE!</v>
      </c>
      <c r="HQ133" t="e">
        <f>AND('Planilla_General_29-11-2012_10_'!P2001,"AAAAAHtPvuA=")</f>
        <v>#VALUE!</v>
      </c>
      <c r="HR133">
        <f>IF('Planilla_General_29-11-2012_10_'!2002:2002,"AAAAAHtPvuE=",0)</f>
        <v>0</v>
      </c>
      <c r="HS133" t="e">
        <f>AND('Planilla_General_29-11-2012_10_'!A2002,"AAAAAHtPvuI=")</f>
        <v>#VALUE!</v>
      </c>
      <c r="HT133" t="e">
        <f>AND('Planilla_General_29-11-2012_10_'!B2002,"AAAAAHtPvuM=")</f>
        <v>#VALUE!</v>
      </c>
      <c r="HU133" t="e">
        <f>AND('Planilla_General_29-11-2012_10_'!C2002,"AAAAAHtPvuQ=")</f>
        <v>#VALUE!</v>
      </c>
      <c r="HV133" t="e">
        <f>AND('Planilla_General_29-11-2012_10_'!D2002,"AAAAAHtPvuU=")</f>
        <v>#VALUE!</v>
      </c>
      <c r="HW133" t="e">
        <f>AND('Planilla_General_29-11-2012_10_'!E2002,"AAAAAHtPvuY=")</f>
        <v>#VALUE!</v>
      </c>
      <c r="HX133" t="e">
        <f>AND('Planilla_General_29-11-2012_10_'!F2002,"AAAAAHtPvuc=")</f>
        <v>#VALUE!</v>
      </c>
      <c r="HY133" t="e">
        <f>AND('Planilla_General_29-11-2012_10_'!G2002,"AAAAAHtPvug=")</f>
        <v>#VALUE!</v>
      </c>
      <c r="HZ133" t="e">
        <f>AND('Planilla_General_29-11-2012_10_'!H2002,"AAAAAHtPvuk=")</f>
        <v>#VALUE!</v>
      </c>
      <c r="IA133" t="e">
        <f>AND('Planilla_General_29-11-2012_10_'!I2002,"AAAAAHtPvuo=")</f>
        <v>#VALUE!</v>
      </c>
      <c r="IB133" t="e">
        <f>AND('Planilla_General_29-11-2012_10_'!J2002,"AAAAAHtPvus=")</f>
        <v>#VALUE!</v>
      </c>
      <c r="IC133" t="e">
        <f>AND('Planilla_General_29-11-2012_10_'!K2002,"AAAAAHtPvuw=")</f>
        <v>#VALUE!</v>
      </c>
      <c r="ID133" t="e">
        <f>AND('Planilla_General_29-11-2012_10_'!L2002,"AAAAAHtPvu0=")</f>
        <v>#VALUE!</v>
      </c>
      <c r="IE133" t="e">
        <f>AND('Planilla_General_29-11-2012_10_'!M2002,"AAAAAHtPvu4=")</f>
        <v>#VALUE!</v>
      </c>
      <c r="IF133" t="e">
        <f>AND('Planilla_General_29-11-2012_10_'!N2002,"AAAAAHtPvu8=")</f>
        <v>#VALUE!</v>
      </c>
      <c r="IG133" t="e">
        <f>AND('Planilla_General_29-11-2012_10_'!O2002,"AAAAAHtPvvA=")</f>
        <v>#VALUE!</v>
      </c>
      <c r="IH133" t="e">
        <f>AND('Planilla_General_29-11-2012_10_'!P2002,"AAAAAHtPvvE=")</f>
        <v>#VALUE!</v>
      </c>
      <c r="II133">
        <f>IF('Planilla_General_29-11-2012_10_'!2003:2003,"AAAAAHtPvvI=",0)</f>
        <v>0</v>
      </c>
      <c r="IJ133" t="e">
        <f>AND('Planilla_General_29-11-2012_10_'!A2003,"AAAAAHtPvvM=")</f>
        <v>#VALUE!</v>
      </c>
      <c r="IK133" t="e">
        <f>AND('Planilla_General_29-11-2012_10_'!B2003,"AAAAAHtPvvQ=")</f>
        <v>#VALUE!</v>
      </c>
      <c r="IL133" t="e">
        <f>AND('Planilla_General_29-11-2012_10_'!C2003,"AAAAAHtPvvU=")</f>
        <v>#VALUE!</v>
      </c>
      <c r="IM133" t="e">
        <f>AND('Planilla_General_29-11-2012_10_'!D2003,"AAAAAHtPvvY=")</f>
        <v>#VALUE!</v>
      </c>
      <c r="IN133" t="e">
        <f>AND('Planilla_General_29-11-2012_10_'!E2003,"AAAAAHtPvvc=")</f>
        <v>#VALUE!</v>
      </c>
      <c r="IO133" t="e">
        <f>AND('Planilla_General_29-11-2012_10_'!F2003,"AAAAAHtPvvg=")</f>
        <v>#VALUE!</v>
      </c>
      <c r="IP133" t="e">
        <f>AND('Planilla_General_29-11-2012_10_'!G2003,"AAAAAHtPvvk=")</f>
        <v>#VALUE!</v>
      </c>
      <c r="IQ133" t="e">
        <f>AND('Planilla_General_29-11-2012_10_'!H2003,"AAAAAHtPvvo=")</f>
        <v>#VALUE!</v>
      </c>
      <c r="IR133" t="e">
        <f>AND('Planilla_General_29-11-2012_10_'!I2003,"AAAAAHtPvvs=")</f>
        <v>#VALUE!</v>
      </c>
      <c r="IS133" t="e">
        <f>AND('Planilla_General_29-11-2012_10_'!J2003,"AAAAAHtPvvw=")</f>
        <v>#VALUE!</v>
      </c>
      <c r="IT133" t="e">
        <f>AND('Planilla_General_29-11-2012_10_'!K2003,"AAAAAHtPvv0=")</f>
        <v>#VALUE!</v>
      </c>
      <c r="IU133" t="e">
        <f>AND('Planilla_General_29-11-2012_10_'!L2003,"AAAAAHtPvv4=")</f>
        <v>#VALUE!</v>
      </c>
      <c r="IV133" t="e">
        <f>AND('Planilla_General_29-11-2012_10_'!M2003,"AAAAAHtPvv8=")</f>
        <v>#VALUE!</v>
      </c>
    </row>
    <row r="134" spans="1:256" x14ac:dyDescent="0.25">
      <c r="A134" t="e">
        <f>AND('Planilla_General_29-11-2012_10_'!N2003,"AAAAAHf/+wA=")</f>
        <v>#VALUE!</v>
      </c>
      <c r="B134" t="e">
        <f>AND('Planilla_General_29-11-2012_10_'!O2003,"AAAAAHf/+wE=")</f>
        <v>#VALUE!</v>
      </c>
      <c r="C134" t="e">
        <f>AND('Planilla_General_29-11-2012_10_'!P2003,"AAAAAHf/+wI=")</f>
        <v>#VALUE!</v>
      </c>
      <c r="D134" t="e">
        <f>IF('Planilla_General_29-11-2012_10_'!2004:2004,"AAAAAHf/+wM=",0)</f>
        <v>#VALUE!</v>
      </c>
      <c r="E134" t="e">
        <f>AND('Planilla_General_29-11-2012_10_'!A2004,"AAAAAHf/+wQ=")</f>
        <v>#VALUE!</v>
      </c>
      <c r="F134" t="e">
        <f>AND('Planilla_General_29-11-2012_10_'!B2004,"AAAAAHf/+wU=")</f>
        <v>#VALUE!</v>
      </c>
      <c r="G134" t="e">
        <f>AND('Planilla_General_29-11-2012_10_'!C2004,"AAAAAHf/+wY=")</f>
        <v>#VALUE!</v>
      </c>
      <c r="H134" t="e">
        <f>AND('Planilla_General_29-11-2012_10_'!D2004,"AAAAAHf/+wc=")</f>
        <v>#VALUE!</v>
      </c>
      <c r="I134" t="e">
        <f>AND('Planilla_General_29-11-2012_10_'!E2004,"AAAAAHf/+wg=")</f>
        <v>#VALUE!</v>
      </c>
      <c r="J134" t="e">
        <f>AND('Planilla_General_29-11-2012_10_'!F2004,"AAAAAHf/+wk=")</f>
        <v>#VALUE!</v>
      </c>
      <c r="K134" t="e">
        <f>AND('Planilla_General_29-11-2012_10_'!G2004,"AAAAAHf/+wo=")</f>
        <v>#VALUE!</v>
      </c>
      <c r="L134" t="e">
        <f>AND('Planilla_General_29-11-2012_10_'!H2004,"AAAAAHf/+ws=")</f>
        <v>#VALUE!</v>
      </c>
      <c r="M134" t="e">
        <f>AND('Planilla_General_29-11-2012_10_'!I2004,"AAAAAHf/+ww=")</f>
        <v>#VALUE!</v>
      </c>
      <c r="N134" t="e">
        <f>AND('Planilla_General_29-11-2012_10_'!J2004,"AAAAAHf/+w0=")</f>
        <v>#VALUE!</v>
      </c>
      <c r="O134" t="e">
        <f>AND('Planilla_General_29-11-2012_10_'!K2004,"AAAAAHf/+w4=")</f>
        <v>#VALUE!</v>
      </c>
      <c r="P134" t="e">
        <f>AND('Planilla_General_29-11-2012_10_'!L2004,"AAAAAHf/+w8=")</f>
        <v>#VALUE!</v>
      </c>
      <c r="Q134" t="e">
        <f>AND('Planilla_General_29-11-2012_10_'!M2004,"AAAAAHf/+xA=")</f>
        <v>#VALUE!</v>
      </c>
      <c r="R134" t="e">
        <f>AND('Planilla_General_29-11-2012_10_'!N2004,"AAAAAHf/+xE=")</f>
        <v>#VALUE!</v>
      </c>
      <c r="S134" t="e">
        <f>AND('Planilla_General_29-11-2012_10_'!O2004,"AAAAAHf/+xI=")</f>
        <v>#VALUE!</v>
      </c>
      <c r="T134" t="e">
        <f>AND('Planilla_General_29-11-2012_10_'!P2004,"AAAAAHf/+xM=")</f>
        <v>#VALUE!</v>
      </c>
      <c r="U134">
        <f>IF('Planilla_General_29-11-2012_10_'!2005:2005,"AAAAAHf/+xQ=",0)</f>
        <v>0</v>
      </c>
      <c r="V134" t="e">
        <f>AND('Planilla_General_29-11-2012_10_'!A2005,"AAAAAHf/+xU=")</f>
        <v>#VALUE!</v>
      </c>
      <c r="W134" t="e">
        <f>AND('Planilla_General_29-11-2012_10_'!B2005,"AAAAAHf/+xY=")</f>
        <v>#VALUE!</v>
      </c>
      <c r="X134" t="e">
        <f>AND('Planilla_General_29-11-2012_10_'!C2005,"AAAAAHf/+xc=")</f>
        <v>#VALUE!</v>
      </c>
      <c r="Y134" t="e">
        <f>AND('Planilla_General_29-11-2012_10_'!D2005,"AAAAAHf/+xg=")</f>
        <v>#VALUE!</v>
      </c>
      <c r="Z134" t="e">
        <f>AND('Planilla_General_29-11-2012_10_'!E2005,"AAAAAHf/+xk=")</f>
        <v>#VALUE!</v>
      </c>
      <c r="AA134" t="e">
        <f>AND('Planilla_General_29-11-2012_10_'!F2005,"AAAAAHf/+xo=")</f>
        <v>#VALUE!</v>
      </c>
      <c r="AB134" t="e">
        <f>AND('Planilla_General_29-11-2012_10_'!G2005,"AAAAAHf/+xs=")</f>
        <v>#VALUE!</v>
      </c>
      <c r="AC134" t="e">
        <f>AND('Planilla_General_29-11-2012_10_'!H2005,"AAAAAHf/+xw=")</f>
        <v>#VALUE!</v>
      </c>
      <c r="AD134" t="e">
        <f>AND('Planilla_General_29-11-2012_10_'!I2005,"AAAAAHf/+x0=")</f>
        <v>#VALUE!</v>
      </c>
      <c r="AE134" t="e">
        <f>AND('Planilla_General_29-11-2012_10_'!J2005,"AAAAAHf/+x4=")</f>
        <v>#VALUE!</v>
      </c>
      <c r="AF134" t="e">
        <f>AND('Planilla_General_29-11-2012_10_'!K2005,"AAAAAHf/+x8=")</f>
        <v>#VALUE!</v>
      </c>
      <c r="AG134" t="e">
        <f>AND('Planilla_General_29-11-2012_10_'!L2005,"AAAAAHf/+yA=")</f>
        <v>#VALUE!</v>
      </c>
      <c r="AH134" t="e">
        <f>AND('Planilla_General_29-11-2012_10_'!M2005,"AAAAAHf/+yE=")</f>
        <v>#VALUE!</v>
      </c>
      <c r="AI134" t="e">
        <f>AND('Planilla_General_29-11-2012_10_'!N2005,"AAAAAHf/+yI=")</f>
        <v>#VALUE!</v>
      </c>
      <c r="AJ134" t="e">
        <f>AND('Planilla_General_29-11-2012_10_'!O2005,"AAAAAHf/+yM=")</f>
        <v>#VALUE!</v>
      </c>
      <c r="AK134" t="e">
        <f>AND('Planilla_General_29-11-2012_10_'!P2005,"AAAAAHf/+yQ=")</f>
        <v>#VALUE!</v>
      </c>
      <c r="AL134">
        <f>IF('Planilla_General_29-11-2012_10_'!2006:2006,"AAAAAHf/+yU=",0)</f>
        <v>0</v>
      </c>
      <c r="AM134" t="e">
        <f>AND('Planilla_General_29-11-2012_10_'!A2006,"AAAAAHf/+yY=")</f>
        <v>#VALUE!</v>
      </c>
      <c r="AN134" t="e">
        <f>AND('Planilla_General_29-11-2012_10_'!B2006,"AAAAAHf/+yc=")</f>
        <v>#VALUE!</v>
      </c>
      <c r="AO134" t="e">
        <f>AND('Planilla_General_29-11-2012_10_'!C2006,"AAAAAHf/+yg=")</f>
        <v>#VALUE!</v>
      </c>
      <c r="AP134" t="e">
        <f>AND('Planilla_General_29-11-2012_10_'!D2006,"AAAAAHf/+yk=")</f>
        <v>#VALUE!</v>
      </c>
      <c r="AQ134" t="e">
        <f>AND('Planilla_General_29-11-2012_10_'!E2006,"AAAAAHf/+yo=")</f>
        <v>#VALUE!</v>
      </c>
      <c r="AR134" t="e">
        <f>AND('Planilla_General_29-11-2012_10_'!F2006,"AAAAAHf/+ys=")</f>
        <v>#VALUE!</v>
      </c>
      <c r="AS134" t="e">
        <f>AND('Planilla_General_29-11-2012_10_'!G2006,"AAAAAHf/+yw=")</f>
        <v>#VALUE!</v>
      </c>
      <c r="AT134" t="e">
        <f>AND('Planilla_General_29-11-2012_10_'!H2006,"AAAAAHf/+y0=")</f>
        <v>#VALUE!</v>
      </c>
      <c r="AU134" t="e">
        <f>AND('Planilla_General_29-11-2012_10_'!I2006,"AAAAAHf/+y4=")</f>
        <v>#VALUE!</v>
      </c>
      <c r="AV134" t="e">
        <f>AND('Planilla_General_29-11-2012_10_'!J2006,"AAAAAHf/+y8=")</f>
        <v>#VALUE!</v>
      </c>
      <c r="AW134" t="e">
        <f>AND('Planilla_General_29-11-2012_10_'!K2006,"AAAAAHf/+zA=")</f>
        <v>#VALUE!</v>
      </c>
      <c r="AX134" t="e">
        <f>AND('Planilla_General_29-11-2012_10_'!L2006,"AAAAAHf/+zE=")</f>
        <v>#VALUE!</v>
      </c>
      <c r="AY134" t="e">
        <f>AND('Planilla_General_29-11-2012_10_'!M2006,"AAAAAHf/+zI=")</f>
        <v>#VALUE!</v>
      </c>
      <c r="AZ134" t="e">
        <f>AND('Planilla_General_29-11-2012_10_'!N2006,"AAAAAHf/+zM=")</f>
        <v>#VALUE!</v>
      </c>
      <c r="BA134" t="e">
        <f>AND('Planilla_General_29-11-2012_10_'!O2006,"AAAAAHf/+zQ=")</f>
        <v>#VALUE!</v>
      </c>
      <c r="BB134" t="e">
        <f>AND('Planilla_General_29-11-2012_10_'!P2006,"AAAAAHf/+zU=")</f>
        <v>#VALUE!</v>
      </c>
      <c r="BC134">
        <f>IF('Planilla_General_29-11-2012_10_'!2007:2007,"AAAAAHf/+zY=",0)</f>
        <v>0</v>
      </c>
      <c r="BD134" t="e">
        <f>AND('Planilla_General_29-11-2012_10_'!A2007,"AAAAAHf/+zc=")</f>
        <v>#VALUE!</v>
      </c>
      <c r="BE134" t="e">
        <f>AND('Planilla_General_29-11-2012_10_'!B2007,"AAAAAHf/+zg=")</f>
        <v>#VALUE!</v>
      </c>
      <c r="BF134" t="e">
        <f>AND('Planilla_General_29-11-2012_10_'!C2007,"AAAAAHf/+zk=")</f>
        <v>#VALUE!</v>
      </c>
      <c r="BG134" t="e">
        <f>AND('Planilla_General_29-11-2012_10_'!D2007,"AAAAAHf/+zo=")</f>
        <v>#VALUE!</v>
      </c>
      <c r="BH134" t="e">
        <f>AND('Planilla_General_29-11-2012_10_'!E2007,"AAAAAHf/+zs=")</f>
        <v>#VALUE!</v>
      </c>
      <c r="BI134" t="e">
        <f>AND('Planilla_General_29-11-2012_10_'!F2007,"AAAAAHf/+zw=")</f>
        <v>#VALUE!</v>
      </c>
      <c r="BJ134" t="e">
        <f>AND('Planilla_General_29-11-2012_10_'!G2007,"AAAAAHf/+z0=")</f>
        <v>#VALUE!</v>
      </c>
      <c r="BK134" t="e">
        <f>AND('Planilla_General_29-11-2012_10_'!H2007,"AAAAAHf/+z4=")</f>
        <v>#VALUE!</v>
      </c>
      <c r="BL134" t="e">
        <f>AND('Planilla_General_29-11-2012_10_'!I2007,"AAAAAHf/+z8=")</f>
        <v>#VALUE!</v>
      </c>
      <c r="BM134" t="e">
        <f>AND('Planilla_General_29-11-2012_10_'!J2007,"AAAAAHf/+0A=")</f>
        <v>#VALUE!</v>
      </c>
      <c r="BN134" t="e">
        <f>AND('Planilla_General_29-11-2012_10_'!K2007,"AAAAAHf/+0E=")</f>
        <v>#VALUE!</v>
      </c>
      <c r="BO134" t="e">
        <f>AND('Planilla_General_29-11-2012_10_'!L2007,"AAAAAHf/+0I=")</f>
        <v>#VALUE!</v>
      </c>
      <c r="BP134" t="e">
        <f>AND('Planilla_General_29-11-2012_10_'!M2007,"AAAAAHf/+0M=")</f>
        <v>#VALUE!</v>
      </c>
      <c r="BQ134" t="e">
        <f>AND('Planilla_General_29-11-2012_10_'!N2007,"AAAAAHf/+0Q=")</f>
        <v>#VALUE!</v>
      </c>
      <c r="BR134" t="e">
        <f>AND('Planilla_General_29-11-2012_10_'!O2007,"AAAAAHf/+0U=")</f>
        <v>#VALUE!</v>
      </c>
      <c r="BS134" t="e">
        <f>AND('Planilla_General_29-11-2012_10_'!P2007,"AAAAAHf/+0Y=")</f>
        <v>#VALUE!</v>
      </c>
      <c r="BT134">
        <f>IF('Planilla_General_29-11-2012_10_'!2008:2008,"AAAAAHf/+0c=",0)</f>
        <v>0</v>
      </c>
      <c r="BU134" t="e">
        <f>AND('Planilla_General_29-11-2012_10_'!A2008,"AAAAAHf/+0g=")</f>
        <v>#VALUE!</v>
      </c>
      <c r="BV134" t="e">
        <f>AND('Planilla_General_29-11-2012_10_'!B2008,"AAAAAHf/+0k=")</f>
        <v>#VALUE!</v>
      </c>
      <c r="BW134" t="e">
        <f>AND('Planilla_General_29-11-2012_10_'!C2008,"AAAAAHf/+0o=")</f>
        <v>#VALUE!</v>
      </c>
      <c r="BX134" t="e">
        <f>AND('Planilla_General_29-11-2012_10_'!D2008,"AAAAAHf/+0s=")</f>
        <v>#VALUE!</v>
      </c>
      <c r="BY134" t="e">
        <f>AND('Planilla_General_29-11-2012_10_'!E2008,"AAAAAHf/+0w=")</f>
        <v>#VALUE!</v>
      </c>
      <c r="BZ134" t="e">
        <f>AND('Planilla_General_29-11-2012_10_'!F2008,"AAAAAHf/+00=")</f>
        <v>#VALUE!</v>
      </c>
      <c r="CA134" t="e">
        <f>AND('Planilla_General_29-11-2012_10_'!G2008,"AAAAAHf/+04=")</f>
        <v>#VALUE!</v>
      </c>
      <c r="CB134" t="e">
        <f>AND('Planilla_General_29-11-2012_10_'!H2008,"AAAAAHf/+08=")</f>
        <v>#VALUE!</v>
      </c>
      <c r="CC134" t="e">
        <f>AND('Planilla_General_29-11-2012_10_'!I2008,"AAAAAHf/+1A=")</f>
        <v>#VALUE!</v>
      </c>
      <c r="CD134" t="e">
        <f>AND('Planilla_General_29-11-2012_10_'!J2008,"AAAAAHf/+1E=")</f>
        <v>#VALUE!</v>
      </c>
      <c r="CE134" t="e">
        <f>AND('Planilla_General_29-11-2012_10_'!K2008,"AAAAAHf/+1I=")</f>
        <v>#VALUE!</v>
      </c>
      <c r="CF134" t="e">
        <f>AND('Planilla_General_29-11-2012_10_'!L2008,"AAAAAHf/+1M=")</f>
        <v>#VALUE!</v>
      </c>
      <c r="CG134" t="e">
        <f>AND('Planilla_General_29-11-2012_10_'!M2008,"AAAAAHf/+1Q=")</f>
        <v>#VALUE!</v>
      </c>
      <c r="CH134" t="e">
        <f>AND('Planilla_General_29-11-2012_10_'!N2008,"AAAAAHf/+1U=")</f>
        <v>#VALUE!</v>
      </c>
      <c r="CI134" t="e">
        <f>AND('Planilla_General_29-11-2012_10_'!O2008,"AAAAAHf/+1Y=")</f>
        <v>#VALUE!</v>
      </c>
      <c r="CJ134" t="e">
        <f>AND('Planilla_General_29-11-2012_10_'!P2008,"AAAAAHf/+1c=")</f>
        <v>#VALUE!</v>
      </c>
      <c r="CK134">
        <f>IF('Planilla_General_29-11-2012_10_'!2009:2009,"AAAAAHf/+1g=",0)</f>
        <v>0</v>
      </c>
      <c r="CL134" t="e">
        <f>AND('Planilla_General_29-11-2012_10_'!A2009,"AAAAAHf/+1k=")</f>
        <v>#VALUE!</v>
      </c>
      <c r="CM134" t="e">
        <f>AND('Planilla_General_29-11-2012_10_'!B2009,"AAAAAHf/+1o=")</f>
        <v>#VALUE!</v>
      </c>
      <c r="CN134" t="e">
        <f>AND('Planilla_General_29-11-2012_10_'!C2009,"AAAAAHf/+1s=")</f>
        <v>#VALUE!</v>
      </c>
      <c r="CO134" t="e">
        <f>AND('Planilla_General_29-11-2012_10_'!D2009,"AAAAAHf/+1w=")</f>
        <v>#VALUE!</v>
      </c>
      <c r="CP134" t="e">
        <f>AND('Planilla_General_29-11-2012_10_'!E2009,"AAAAAHf/+10=")</f>
        <v>#VALUE!</v>
      </c>
      <c r="CQ134" t="e">
        <f>AND('Planilla_General_29-11-2012_10_'!F2009,"AAAAAHf/+14=")</f>
        <v>#VALUE!</v>
      </c>
      <c r="CR134" t="e">
        <f>AND('Planilla_General_29-11-2012_10_'!G2009,"AAAAAHf/+18=")</f>
        <v>#VALUE!</v>
      </c>
      <c r="CS134" t="e">
        <f>AND('Planilla_General_29-11-2012_10_'!H2009,"AAAAAHf/+2A=")</f>
        <v>#VALUE!</v>
      </c>
      <c r="CT134" t="e">
        <f>AND('Planilla_General_29-11-2012_10_'!I2009,"AAAAAHf/+2E=")</f>
        <v>#VALUE!</v>
      </c>
      <c r="CU134" t="e">
        <f>AND('Planilla_General_29-11-2012_10_'!J2009,"AAAAAHf/+2I=")</f>
        <v>#VALUE!</v>
      </c>
      <c r="CV134" t="e">
        <f>AND('Planilla_General_29-11-2012_10_'!K2009,"AAAAAHf/+2M=")</f>
        <v>#VALUE!</v>
      </c>
      <c r="CW134" t="e">
        <f>AND('Planilla_General_29-11-2012_10_'!L2009,"AAAAAHf/+2Q=")</f>
        <v>#VALUE!</v>
      </c>
      <c r="CX134" t="e">
        <f>AND('Planilla_General_29-11-2012_10_'!M2009,"AAAAAHf/+2U=")</f>
        <v>#VALUE!</v>
      </c>
      <c r="CY134" t="e">
        <f>AND('Planilla_General_29-11-2012_10_'!N2009,"AAAAAHf/+2Y=")</f>
        <v>#VALUE!</v>
      </c>
      <c r="CZ134" t="e">
        <f>AND('Planilla_General_29-11-2012_10_'!O2009,"AAAAAHf/+2c=")</f>
        <v>#VALUE!</v>
      </c>
      <c r="DA134" t="e">
        <f>AND('Planilla_General_29-11-2012_10_'!P2009,"AAAAAHf/+2g=")</f>
        <v>#VALUE!</v>
      </c>
      <c r="DB134">
        <f>IF('Planilla_General_29-11-2012_10_'!2010:2010,"AAAAAHf/+2k=",0)</f>
        <v>0</v>
      </c>
      <c r="DC134" t="e">
        <f>AND('Planilla_General_29-11-2012_10_'!A2010,"AAAAAHf/+2o=")</f>
        <v>#VALUE!</v>
      </c>
      <c r="DD134" t="e">
        <f>AND('Planilla_General_29-11-2012_10_'!B2010,"AAAAAHf/+2s=")</f>
        <v>#VALUE!</v>
      </c>
      <c r="DE134" t="e">
        <f>AND('Planilla_General_29-11-2012_10_'!C2010,"AAAAAHf/+2w=")</f>
        <v>#VALUE!</v>
      </c>
      <c r="DF134" t="e">
        <f>AND('Planilla_General_29-11-2012_10_'!D2010,"AAAAAHf/+20=")</f>
        <v>#VALUE!</v>
      </c>
      <c r="DG134" t="e">
        <f>AND('Planilla_General_29-11-2012_10_'!E2010,"AAAAAHf/+24=")</f>
        <v>#VALUE!</v>
      </c>
      <c r="DH134" t="e">
        <f>AND('Planilla_General_29-11-2012_10_'!F2010,"AAAAAHf/+28=")</f>
        <v>#VALUE!</v>
      </c>
      <c r="DI134" t="e">
        <f>AND('Planilla_General_29-11-2012_10_'!G2010,"AAAAAHf/+3A=")</f>
        <v>#VALUE!</v>
      </c>
      <c r="DJ134" t="e">
        <f>AND('Planilla_General_29-11-2012_10_'!H2010,"AAAAAHf/+3E=")</f>
        <v>#VALUE!</v>
      </c>
      <c r="DK134" t="e">
        <f>AND('Planilla_General_29-11-2012_10_'!I2010,"AAAAAHf/+3I=")</f>
        <v>#VALUE!</v>
      </c>
      <c r="DL134" t="e">
        <f>AND('Planilla_General_29-11-2012_10_'!J2010,"AAAAAHf/+3M=")</f>
        <v>#VALUE!</v>
      </c>
      <c r="DM134" t="e">
        <f>AND('Planilla_General_29-11-2012_10_'!K2010,"AAAAAHf/+3Q=")</f>
        <v>#VALUE!</v>
      </c>
      <c r="DN134" t="e">
        <f>AND('Planilla_General_29-11-2012_10_'!L2010,"AAAAAHf/+3U=")</f>
        <v>#VALUE!</v>
      </c>
      <c r="DO134" t="e">
        <f>AND('Planilla_General_29-11-2012_10_'!M2010,"AAAAAHf/+3Y=")</f>
        <v>#VALUE!</v>
      </c>
      <c r="DP134" t="e">
        <f>AND('Planilla_General_29-11-2012_10_'!N2010,"AAAAAHf/+3c=")</f>
        <v>#VALUE!</v>
      </c>
      <c r="DQ134" t="e">
        <f>AND('Planilla_General_29-11-2012_10_'!O2010,"AAAAAHf/+3g=")</f>
        <v>#VALUE!</v>
      </c>
      <c r="DR134" t="e">
        <f>AND('Planilla_General_29-11-2012_10_'!P2010,"AAAAAHf/+3k=")</f>
        <v>#VALUE!</v>
      </c>
      <c r="DS134">
        <f>IF('Planilla_General_29-11-2012_10_'!2011:2011,"AAAAAHf/+3o=",0)</f>
        <v>0</v>
      </c>
      <c r="DT134" t="e">
        <f>AND('Planilla_General_29-11-2012_10_'!A2011,"AAAAAHf/+3s=")</f>
        <v>#VALUE!</v>
      </c>
      <c r="DU134" t="e">
        <f>AND('Planilla_General_29-11-2012_10_'!B2011,"AAAAAHf/+3w=")</f>
        <v>#VALUE!</v>
      </c>
      <c r="DV134" t="e">
        <f>AND('Planilla_General_29-11-2012_10_'!C2011,"AAAAAHf/+30=")</f>
        <v>#VALUE!</v>
      </c>
      <c r="DW134" t="e">
        <f>AND('Planilla_General_29-11-2012_10_'!D2011,"AAAAAHf/+34=")</f>
        <v>#VALUE!</v>
      </c>
      <c r="DX134" t="e">
        <f>AND('Planilla_General_29-11-2012_10_'!E2011,"AAAAAHf/+38=")</f>
        <v>#VALUE!</v>
      </c>
      <c r="DY134" t="e">
        <f>AND('Planilla_General_29-11-2012_10_'!F2011,"AAAAAHf/+4A=")</f>
        <v>#VALUE!</v>
      </c>
      <c r="DZ134" t="e">
        <f>AND('Planilla_General_29-11-2012_10_'!G2011,"AAAAAHf/+4E=")</f>
        <v>#VALUE!</v>
      </c>
      <c r="EA134" t="e">
        <f>AND('Planilla_General_29-11-2012_10_'!H2011,"AAAAAHf/+4I=")</f>
        <v>#VALUE!</v>
      </c>
      <c r="EB134" t="e">
        <f>AND('Planilla_General_29-11-2012_10_'!I2011,"AAAAAHf/+4M=")</f>
        <v>#VALUE!</v>
      </c>
      <c r="EC134" t="e">
        <f>AND('Planilla_General_29-11-2012_10_'!J2011,"AAAAAHf/+4Q=")</f>
        <v>#VALUE!</v>
      </c>
      <c r="ED134" t="e">
        <f>AND('Planilla_General_29-11-2012_10_'!K2011,"AAAAAHf/+4U=")</f>
        <v>#VALUE!</v>
      </c>
      <c r="EE134" t="e">
        <f>AND('Planilla_General_29-11-2012_10_'!L2011,"AAAAAHf/+4Y=")</f>
        <v>#VALUE!</v>
      </c>
      <c r="EF134" t="e">
        <f>AND('Planilla_General_29-11-2012_10_'!M2011,"AAAAAHf/+4c=")</f>
        <v>#VALUE!</v>
      </c>
      <c r="EG134" t="e">
        <f>AND('Planilla_General_29-11-2012_10_'!N2011,"AAAAAHf/+4g=")</f>
        <v>#VALUE!</v>
      </c>
      <c r="EH134" t="e">
        <f>AND('Planilla_General_29-11-2012_10_'!O2011,"AAAAAHf/+4k=")</f>
        <v>#VALUE!</v>
      </c>
      <c r="EI134" t="e">
        <f>AND('Planilla_General_29-11-2012_10_'!P2011,"AAAAAHf/+4o=")</f>
        <v>#VALUE!</v>
      </c>
      <c r="EJ134">
        <f>IF('Planilla_General_29-11-2012_10_'!2012:2012,"AAAAAHf/+4s=",0)</f>
        <v>0</v>
      </c>
      <c r="EK134" t="e">
        <f>AND('Planilla_General_29-11-2012_10_'!A2012,"AAAAAHf/+4w=")</f>
        <v>#VALUE!</v>
      </c>
      <c r="EL134" t="e">
        <f>AND('Planilla_General_29-11-2012_10_'!B2012,"AAAAAHf/+40=")</f>
        <v>#VALUE!</v>
      </c>
      <c r="EM134" t="e">
        <f>AND('Planilla_General_29-11-2012_10_'!C2012,"AAAAAHf/+44=")</f>
        <v>#VALUE!</v>
      </c>
      <c r="EN134" t="e">
        <f>AND('Planilla_General_29-11-2012_10_'!D2012,"AAAAAHf/+48=")</f>
        <v>#VALUE!</v>
      </c>
      <c r="EO134" t="e">
        <f>AND('Planilla_General_29-11-2012_10_'!E2012,"AAAAAHf/+5A=")</f>
        <v>#VALUE!</v>
      </c>
      <c r="EP134" t="e">
        <f>AND('Planilla_General_29-11-2012_10_'!F2012,"AAAAAHf/+5E=")</f>
        <v>#VALUE!</v>
      </c>
      <c r="EQ134" t="e">
        <f>AND('Planilla_General_29-11-2012_10_'!G2012,"AAAAAHf/+5I=")</f>
        <v>#VALUE!</v>
      </c>
      <c r="ER134" t="e">
        <f>AND('Planilla_General_29-11-2012_10_'!H2012,"AAAAAHf/+5M=")</f>
        <v>#VALUE!</v>
      </c>
      <c r="ES134" t="e">
        <f>AND('Planilla_General_29-11-2012_10_'!I2012,"AAAAAHf/+5Q=")</f>
        <v>#VALUE!</v>
      </c>
      <c r="ET134" t="e">
        <f>AND('Planilla_General_29-11-2012_10_'!J2012,"AAAAAHf/+5U=")</f>
        <v>#VALUE!</v>
      </c>
      <c r="EU134" t="e">
        <f>AND('Planilla_General_29-11-2012_10_'!K2012,"AAAAAHf/+5Y=")</f>
        <v>#VALUE!</v>
      </c>
      <c r="EV134" t="e">
        <f>AND('Planilla_General_29-11-2012_10_'!L2012,"AAAAAHf/+5c=")</f>
        <v>#VALUE!</v>
      </c>
      <c r="EW134" t="e">
        <f>AND('Planilla_General_29-11-2012_10_'!M2012,"AAAAAHf/+5g=")</f>
        <v>#VALUE!</v>
      </c>
      <c r="EX134" t="e">
        <f>AND('Planilla_General_29-11-2012_10_'!N2012,"AAAAAHf/+5k=")</f>
        <v>#VALUE!</v>
      </c>
      <c r="EY134" t="e">
        <f>AND('Planilla_General_29-11-2012_10_'!O2012,"AAAAAHf/+5o=")</f>
        <v>#VALUE!</v>
      </c>
      <c r="EZ134" t="e">
        <f>AND('Planilla_General_29-11-2012_10_'!P2012,"AAAAAHf/+5s=")</f>
        <v>#VALUE!</v>
      </c>
      <c r="FA134">
        <f>IF('Planilla_General_29-11-2012_10_'!2013:2013,"AAAAAHf/+5w=",0)</f>
        <v>0</v>
      </c>
      <c r="FB134" t="e">
        <f>AND('Planilla_General_29-11-2012_10_'!A2013,"AAAAAHf/+50=")</f>
        <v>#VALUE!</v>
      </c>
      <c r="FC134" t="e">
        <f>AND('Planilla_General_29-11-2012_10_'!B2013,"AAAAAHf/+54=")</f>
        <v>#VALUE!</v>
      </c>
      <c r="FD134" t="e">
        <f>AND('Planilla_General_29-11-2012_10_'!C2013,"AAAAAHf/+58=")</f>
        <v>#VALUE!</v>
      </c>
      <c r="FE134" t="e">
        <f>AND('Planilla_General_29-11-2012_10_'!D2013,"AAAAAHf/+6A=")</f>
        <v>#VALUE!</v>
      </c>
      <c r="FF134" t="e">
        <f>AND('Planilla_General_29-11-2012_10_'!E2013,"AAAAAHf/+6E=")</f>
        <v>#VALUE!</v>
      </c>
      <c r="FG134" t="e">
        <f>AND('Planilla_General_29-11-2012_10_'!F2013,"AAAAAHf/+6I=")</f>
        <v>#VALUE!</v>
      </c>
      <c r="FH134" t="e">
        <f>AND('Planilla_General_29-11-2012_10_'!G2013,"AAAAAHf/+6M=")</f>
        <v>#VALUE!</v>
      </c>
      <c r="FI134" t="e">
        <f>AND('Planilla_General_29-11-2012_10_'!H2013,"AAAAAHf/+6Q=")</f>
        <v>#VALUE!</v>
      </c>
      <c r="FJ134" t="e">
        <f>AND('Planilla_General_29-11-2012_10_'!I2013,"AAAAAHf/+6U=")</f>
        <v>#VALUE!</v>
      </c>
      <c r="FK134" t="e">
        <f>AND('Planilla_General_29-11-2012_10_'!J2013,"AAAAAHf/+6Y=")</f>
        <v>#VALUE!</v>
      </c>
      <c r="FL134" t="e">
        <f>AND('Planilla_General_29-11-2012_10_'!K2013,"AAAAAHf/+6c=")</f>
        <v>#VALUE!</v>
      </c>
      <c r="FM134" t="e">
        <f>AND('Planilla_General_29-11-2012_10_'!L2013,"AAAAAHf/+6g=")</f>
        <v>#VALUE!</v>
      </c>
      <c r="FN134" t="e">
        <f>AND('Planilla_General_29-11-2012_10_'!M2013,"AAAAAHf/+6k=")</f>
        <v>#VALUE!</v>
      </c>
      <c r="FO134" t="e">
        <f>AND('Planilla_General_29-11-2012_10_'!N2013,"AAAAAHf/+6o=")</f>
        <v>#VALUE!</v>
      </c>
      <c r="FP134" t="e">
        <f>AND('Planilla_General_29-11-2012_10_'!O2013,"AAAAAHf/+6s=")</f>
        <v>#VALUE!</v>
      </c>
      <c r="FQ134" t="e">
        <f>AND('Planilla_General_29-11-2012_10_'!P2013,"AAAAAHf/+6w=")</f>
        <v>#VALUE!</v>
      </c>
      <c r="FR134">
        <f>IF('Planilla_General_29-11-2012_10_'!2014:2014,"AAAAAHf/+60=",0)</f>
        <v>0</v>
      </c>
      <c r="FS134" t="e">
        <f>AND('Planilla_General_29-11-2012_10_'!A2014,"AAAAAHf/+64=")</f>
        <v>#VALUE!</v>
      </c>
      <c r="FT134" t="e">
        <f>AND('Planilla_General_29-11-2012_10_'!B2014,"AAAAAHf/+68=")</f>
        <v>#VALUE!</v>
      </c>
      <c r="FU134" t="e">
        <f>AND('Planilla_General_29-11-2012_10_'!C2014,"AAAAAHf/+7A=")</f>
        <v>#VALUE!</v>
      </c>
      <c r="FV134" t="e">
        <f>AND('Planilla_General_29-11-2012_10_'!D2014,"AAAAAHf/+7E=")</f>
        <v>#VALUE!</v>
      </c>
      <c r="FW134" t="e">
        <f>AND('Planilla_General_29-11-2012_10_'!E2014,"AAAAAHf/+7I=")</f>
        <v>#VALUE!</v>
      </c>
      <c r="FX134" t="e">
        <f>AND('Planilla_General_29-11-2012_10_'!F2014,"AAAAAHf/+7M=")</f>
        <v>#VALUE!</v>
      </c>
      <c r="FY134" t="e">
        <f>AND('Planilla_General_29-11-2012_10_'!G2014,"AAAAAHf/+7Q=")</f>
        <v>#VALUE!</v>
      </c>
      <c r="FZ134" t="e">
        <f>AND('Planilla_General_29-11-2012_10_'!H2014,"AAAAAHf/+7U=")</f>
        <v>#VALUE!</v>
      </c>
      <c r="GA134" t="e">
        <f>AND('Planilla_General_29-11-2012_10_'!I2014,"AAAAAHf/+7Y=")</f>
        <v>#VALUE!</v>
      </c>
      <c r="GB134" t="e">
        <f>AND('Planilla_General_29-11-2012_10_'!J2014,"AAAAAHf/+7c=")</f>
        <v>#VALUE!</v>
      </c>
      <c r="GC134" t="e">
        <f>AND('Planilla_General_29-11-2012_10_'!K2014,"AAAAAHf/+7g=")</f>
        <v>#VALUE!</v>
      </c>
      <c r="GD134" t="e">
        <f>AND('Planilla_General_29-11-2012_10_'!L2014,"AAAAAHf/+7k=")</f>
        <v>#VALUE!</v>
      </c>
      <c r="GE134" t="e">
        <f>AND('Planilla_General_29-11-2012_10_'!M2014,"AAAAAHf/+7o=")</f>
        <v>#VALUE!</v>
      </c>
      <c r="GF134" t="e">
        <f>AND('Planilla_General_29-11-2012_10_'!N2014,"AAAAAHf/+7s=")</f>
        <v>#VALUE!</v>
      </c>
      <c r="GG134" t="e">
        <f>AND('Planilla_General_29-11-2012_10_'!O2014,"AAAAAHf/+7w=")</f>
        <v>#VALUE!</v>
      </c>
      <c r="GH134" t="e">
        <f>AND('Planilla_General_29-11-2012_10_'!P2014,"AAAAAHf/+70=")</f>
        <v>#VALUE!</v>
      </c>
      <c r="GI134">
        <f>IF('Planilla_General_29-11-2012_10_'!2015:2015,"AAAAAHf/+74=",0)</f>
        <v>0</v>
      </c>
      <c r="GJ134" t="e">
        <f>AND('Planilla_General_29-11-2012_10_'!A2015,"AAAAAHf/+78=")</f>
        <v>#VALUE!</v>
      </c>
      <c r="GK134" t="e">
        <f>AND('Planilla_General_29-11-2012_10_'!B2015,"AAAAAHf/+8A=")</f>
        <v>#VALUE!</v>
      </c>
      <c r="GL134" t="e">
        <f>AND('Planilla_General_29-11-2012_10_'!C2015,"AAAAAHf/+8E=")</f>
        <v>#VALUE!</v>
      </c>
      <c r="GM134" t="e">
        <f>AND('Planilla_General_29-11-2012_10_'!D2015,"AAAAAHf/+8I=")</f>
        <v>#VALUE!</v>
      </c>
      <c r="GN134" t="e">
        <f>AND('Planilla_General_29-11-2012_10_'!E2015,"AAAAAHf/+8M=")</f>
        <v>#VALUE!</v>
      </c>
      <c r="GO134" t="e">
        <f>AND('Planilla_General_29-11-2012_10_'!F2015,"AAAAAHf/+8Q=")</f>
        <v>#VALUE!</v>
      </c>
      <c r="GP134" t="e">
        <f>AND('Planilla_General_29-11-2012_10_'!G2015,"AAAAAHf/+8U=")</f>
        <v>#VALUE!</v>
      </c>
      <c r="GQ134" t="e">
        <f>AND('Planilla_General_29-11-2012_10_'!H2015,"AAAAAHf/+8Y=")</f>
        <v>#VALUE!</v>
      </c>
      <c r="GR134" t="e">
        <f>AND('Planilla_General_29-11-2012_10_'!I2015,"AAAAAHf/+8c=")</f>
        <v>#VALUE!</v>
      </c>
      <c r="GS134" t="e">
        <f>AND('Planilla_General_29-11-2012_10_'!J2015,"AAAAAHf/+8g=")</f>
        <v>#VALUE!</v>
      </c>
      <c r="GT134" t="e">
        <f>AND('Planilla_General_29-11-2012_10_'!K2015,"AAAAAHf/+8k=")</f>
        <v>#VALUE!</v>
      </c>
      <c r="GU134" t="e">
        <f>AND('Planilla_General_29-11-2012_10_'!L2015,"AAAAAHf/+8o=")</f>
        <v>#VALUE!</v>
      </c>
      <c r="GV134" t="e">
        <f>AND('Planilla_General_29-11-2012_10_'!M2015,"AAAAAHf/+8s=")</f>
        <v>#VALUE!</v>
      </c>
      <c r="GW134" t="e">
        <f>AND('Planilla_General_29-11-2012_10_'!N2015,"AAAAAHf/+8w=")</f>
        <v>#VALUE!</v>
      </c>
      <c r="GX134" t="e">
        <f>AND('Planilla_General_29-11-2012_10_'!O2015,"AAAAAHf/+80=")</f>
        <v>#VALUE!</v>
      </c>
      <c r="GY134" t="e">
        <f>AND('Planilla_General_29-11-2012_10_'!P2015,"AAAAAHf/+84=")</f>
        <v>#VALUE!</v>
      </c>
      <c r="GZ134">
        <f>IF('Planilla_General_29-11-2012_10_'!2016:2016,"AAAAAHf/+88=",0)</f>
        <v>0</v>
      </c>
      <c r="HA134" t="e">
        <f>AND('Planilla_General_29-11-2012_10_'!A2016,"AAAAAHf/+9A=")</f>
        <v>#VALUE!</v>
      </c>
      <c r="HB134" t="e">
        <f>AND('Planilla_General_29-11-2012_10_'!B2016,"AAAAAHf/+9E=")</f>
        <v>#VALUE!</v>
      </c>
      <c r="HC134" t="e">
        <f>AND('Planilla_General_29-11-2012_10_'!C2016,"AAAAAHf/+9I=")</f>
        <v>#VALUE!</v>
      </c>
      <c r="HD134" t="e">
        <f>AND('Planilla_General_29-11-2012_10_'!D2016,"AAAAAHf/+9M=")</f>
        <v>#VALUE!</v>
      </c>
      <c r="HE134" t="e">
        <f>AND('Planilla_General_29-11-2012_10_'!E2016,"AAAAAHf/+9Q=")</f>
        <v>#VALUE!</v>
      </c>
      <c r="HF134" t="e">
        <f>AND('Planilla_General_29-11-2012_10_'!F2016,"AAAAAHf/+9U=")</f>
        <v>#VALUE!</v>
      </c>
      <c r="HG134" t="e">
        <f>AND('Planilla_General_29-11-2012_10_'!G2016,"AAAAAHf/+9Y=")</f>
        <v>#VALUE!</v>
      </c>
      <c r="HH134" t="e">
        <f>AND('Planilla_General_29-11-2012_10_'!H2016,"AAAAAHf/+9c=")</f>
        <v>#VALUE!</v>
      </c>
      <c r="HI134" t="e">
        <f>AND('Planilla_General_29-11-2012_10_'!I2016,"AAAAAHf/+9g=")</f>
        <v>#VALUE!</v>
      </c>
      <c r="HJ134" t="e">
        <f>AND('Planilla_General_29-11-2012_10_'!J2016,"AAAAAHf/+9k=")</f>
        <v>#VALUE!</v>
      </c>
      <c r="HK134" t="e">
        <f>AND('Planilla_General_29-11-2012_10_'!K2016,"AAAAAHf/+9o=")</f>
        <v>#VALUE!</v>
      </c>
      <c r="HL134" t="e">
        <f>AND('Planilla_General_29-11-2012_10_'!L2016,"AAAAAHf/+9s=")</f>
        <v>#VALUE!</v>
      </c>
      <c r="HM134" t="e">
        <f>AND('Planilla_General_29-11-2012_10_'!M2016,"AAAAAHf/+9w=")</f>
        <v>#VALUE!</v>
      </c>
      <c r="HN134" t="e">
        <f>AND('Planilla_General_29-11-2012_10_'!N2016,"AAAAAHf/+90=")</f>
        <v>#VALUE!</v>
      </c>
      <c r="HO134" t="e">
        <f>AND('Planilla_General_29-11-2012_10_'!O2016,"AAAAAHf/+94=")</f>
        <v>#VALUE!</v>
      </c>
      <c r="HP134" t="e">
        <f>AND('Planilla_General_29-11-2012_10_'!P2016,"AAAAAHf/+98=")</f>
        <v>#VALUE!</v>
      </c>
      <c r="HQ134">
        <f>IF('Planilla_General_29-11-2012_10_'!2017:2017,"AAAAAHf/++A=",0)</f>
        <v>0</v>
      </c>
      <c r="HR134" t="e">
        <f>AND('Planilla_General_29-11-2012_10_'!A2017,"AAAAAHf/++E=")</f>
        <v>#VALUE!</v>
      </c>
      <c r="HS134" t="e">
        <f>AND('Planilla_General_29-11-2012_10_'!B2017,"AAAAAHf/++I=")</f>
        <v>#VALUE!</v>
      </c>
      <c r="HT134" t="e">
        <f>AND('Planilla_General_29-11-2012_10_'!C2017,"AAAAAHf/++M=")</f>
        <v>#VALUE!</v>
      </c>
      <c r="HU134" t="e">
        <f>AND('Planilla_General_29-11-2012_10_'!D2017,"AAAAAHf/++Q=")</f>
        <v>#VALUE!</v>
      </c>
      <c r="HV134" t="e">
        <f>AND('Planilla_General_29-11-2012_10_'!E2017,"AAAAAHf/++U=")</f>
        <v>#VALUE!</v>
      </c>
      <c r="HW134" t="e">
        <f>AND('Planilla_General_29-11-2012_10_'!F2017,"AAAAAHf/++Y=")</f>
        <v>#VALUE!</v>
      </c>
      <c r="HX134" t="e">
        <f>AND('Planilla_General_29-11-2012_10_'!G2017,"AAAAAHf/++c=")</f>
        <v>#VALUE!</v>
      </c>
      <c r="HY134" t="e">
        <f>AND('Planilla_General_29-11-2012_10_'!H2017,"AAAAAHf/++g=")</f>
        <v>#VALUE!</v>
      </c>
      <c r="HZ134" t="e">
        <f>AND('Planilla_General_29-11-2012_10_'!I2017,"AAAAAHf/++k=")</f>
        <v>#VALUE!</v>
      </c>
      <c r="IA134" t="e">
        <f>AND('Planilla_General_29-11-2012_10_'!J2017,"AAAAAHf/++o=")</f>
        <v>#VALUE!</v>
      </c>
      <c r="IB134" t="e">
        <f>AND('Planilla_General_29-11-2012_10_'!K2017,"AAAAAHf/++s=")</f>
        <v>#VALUE!</v>
      </c>
      <c r="IC134" t="e">
        <f>AND('Planilla_General_29-11-2012_10_'!L2017,"AAAAAHf/++w=")</f>
        <v>#VALUE!</v>
      </c>
      <c r="ID134" t="e">
        <f>AND('Planilla_General_29-11-2012_10_'!M2017,"AAAAAHf/++0=")</f>
        <v>#VALUE!</v>
      </c>
      <c r="IE134" t="e">
        <f>AND('Planilla_General_29-11-2012_10_'!N2017,"AAAAAHf/++4=")</f>
        <v>#VALUE!</v>
      </c>
      <c r="IF134" t="e">
        <f>AND('Planilla_General_29-11-2012_10_'!O2017,"AAAAAHf/++8=")</f>
        <v>#VALUE!</v>
      </c>
      <c r="IG134" t="e">
        <f>AND('Planilla_General_29-11-2012_10_'!P2017,"AAAAAHf/+/A=")</f>
        <v>#VALUE!</v>
      </c>
      <c r="IH134">
        <f>IF('Planilla_General_29-11-2012_10_'!2018:2018,"AAAAAHf/+/E=",0)</f>
        <v>0</v>
      </c>
      <c r="II134" t="e">
        <f>AND('Planilla_General_29-11-2012_10_'!A2018,"AAAAAHf/+/I=")</f>
        <v>#VALUE!</v>
      </c>
      <c r="IJ134" t="e">
        <f>AND('Planilla_General_29-11-2012_10_'!B2018,"AAAAAHf/+/M=")</f>
        <v>#VALUE!</v>
      </c>
      <c r="IK134" t="e">
        <f>AND('Planilla_General_29-11-2012_10_'!C2018,"AAAAAHf/+/Q=")</f>
        <v>#VALUE!</v>
      </c>
      <c r="IL134" t="e">
        <f>AND('Planilla_General_29-11-2012_10_'!D2018,"AAAAAHf/+/U=")</f>
        <v>#VALUE!</v>
      </c>
      <c r="IM134" t="e">
        <f>AND('Planilla_General_29-11-2012_10_'!E2018,"AAAAAHf/+/Y=")</f>
        <v>#VALUE!</v>
      </c>
      <c r="IN134" t="e">
        <f>AND('Planilla_General_29-11-2012_10_'!F2018,"AAAAAHf/+/c=")</f>
        <v>#VALUE!</v>
      </c>
      <c r="IO134" t="e">
        <f>AND('Planilla_General_29-11-2012_10_'!G2018,"AAAAAHf/+/g=")</f>
        <v>#VALUE!</v>
      </c>
      <c r="IP134" t="e">
        <f>AND('Planilla_General_29-11-2012_10_'!H2018,"AAAAAHf/+/k=")</f>
        <v>#VALUE!</v>
      </c>
      <c r="IQ134" t="e">
        <f>AND('Planilla_General_29-11-2012_10_'!I2018,"AAAAAHf/+/o=")</f>
        <v>#VALUE!</v>
      </c>
      <c r="IR134" t="e">
        <f>AND('Planilla_General_29-11-2012_10_'!J2018,"AAAAAHf/+/s=")</f>
        <v>#VALUE!</v>
      </c>
      <c r="IS134" t="e">
        <f>AND('Planilla_General_29-11-2012_10_'!K2018,"AAAAAHf/+/w=")</f>
        <v>#VALUE!</v>
      </c>
      <c r="IT134" t="e">
        <f>AND('Planilla_General_29-11-2012_10_'!L2018,"AAAAAHf/+/0=")</f>
        <v>#VALUE!</v>
      </c>
      <c r="IU134" t="e">
        <f>AND('Planilla_General_29-11-2012_10_'!M2018,"AAAAAHf/+/4=")</f>
        <v>#VALUE!</v>
      </c>
      <c r="IV134" t="e">
        <f>AND('Planilla_General_29-11-2012_10_'!N2018,"AAAAAHf/+/8=")</f>
        <v>#VALUE!</v>
      </c>
    </row>
    <row r="135" spans="1:256" x14ac:dyDescent="0.25">
      <c r="A135" t="e">
        <f>AND('Planilla_General_29-11-2012_10_'!O2018,"AAAAAHv/qwA=")</f>
        <v>#VALUE!</v>
      </c>
      <c r="B135" t="e">
        <f>AND('Planilla_General_29-11-2012_10_'!P2018,"AAAAAHv/qwE=")</f>
        <v>#VALUE!</v>
      </c>
      <c r="C135" t="str">
        <f>IF('Planilla_General_29-11-2012_10_'!2019:2019,"AAAAAHv/qwI=",0)</f>
        <v>AAAAAHv/qwI=</v>
      </c>
      <c r="D135" t="e">
        <f>AND('Planilla_General_29-11-2012_10_'!A2019,"AAAAAHv/qwM=")</f>
        <v>#VALUE!</v>
      </c>
      <c r="E135" t="e">
        <f>AND('Planilla_General_29-11-2012_10_'!B2019,"AAAAAHv/qwQ=")</f>
        <v>#VALUE!</v>
      </c>
      <c r="F135" t="e">
        <f>AND('Planilla_General_29-11-2012_10_'!C2019,"AAAAAHv/qwU=")</f>
        <v>#VALUE!</v>
      </c>
      <c r="G135" t="e">
        <f>AND('Planilla_General_29-11-2012_10_'!D2019,"AAAAAHv/qwY=")</f>
        <v>#VALUE!</v>
      </c>
      <c r="H135" t="e">
        <f>AND('Planilla_General_29-11-2012_10_'!E2019,"AAAAAHv/qwc=")</f>
        <v>#VALUE!</v>
      </c>
      <c r="I135" t="e">
        <f>AND('Planilla_General_29-11-2012_10_'!F2019,"AAAAAHv/qwg=")</f>
        <v>#VALUE!</v>
      </c>
      <c r="J135" t="e">
        <f>AND('Planilla_General_29-11-2012_10_'!G2019,"AAAAAHv/qwk=")</f>
        <v>#VALUE!</v>
      </c>
      <c r="K135" t="e">
        <f>AND('Planilla_General_29-11-2012_10_'!H2019,"AAAAAHv/qwo=")</f>
        <v>#VALUE!</v>
      </c>
      <c r="L135" t="e">
        <f>AND('Planilla_General_29-11-2012_10_'!I2019,"AAAAAHv/qws=")</f>
        <v>#VALUE!</v>
      </c>
      <c r="M135" t="e">
        <f>AND('Planilla_General_29-11-2012_10_'!J2019,"AAAAAHv/qww=")</f>
        <v>#VALUE!</v>
      </c>
      <c r="N135" t="e">
        <f>AND('Planilla_General_29-11-2012_10_'!K2019,"AAAAAHv/qw0=")</f>
        <v>#VALUE!</v>
      </c>
      <c r="O135" t="e">
        <f>AND('Planilla_General_29-11-2012_10_'!L2019,"AAAAAHv/qw4=")</f>
        <v>#VALUE!</v>
      </c>
      <c r="P135" t="e">
        <f>AND('Planilla_General_29-11-2012_10_'!M2019,"AAAAAHv/qw8=")</f>
        <v>#VALUE!</v>
      </c>
      <c r="Q135" t="e">
        <f>AND('Planilla_General_29-11-2012_10_'!N2019,"AAAAAHv/qxA=")</f>
        <v>#VALUE!</v>
      </c>
      <c r="R135" t="e">
        <f>AND('Planilla_General_29-11-2012_10_'!O2019,"AAAAAHv/qxE=")</f>
        <v>#VALUE!</v>
      </c>
      <c r="S135" t="e">
        <f>AND('Planilla_General_29-11-2012_10_'!P2019,"AAAAAHv/qxI=")</f>
        <v>#VALUE!</v>
      </c>
      <c r="T135">
        <f>IF('Planilla_General_29-11-2012_10_'!2020:2020,"AAAAAHv/qxM=",0)</f>
        <v>0</v>
      </c>
      <c r="U135" t="e">
        <f>AND('Planilla_General_29-11-2012_10_'!A2020,"AAAAAHv/qxQ=")</f>
        <v>#VALUE!</v>
      </c>
      <c r="V135" t="e">
        <f>AND('Planilla_General_29-11-2012_10_'!B2020,"AAAAAHv/qxU=")</f>
        <v>#VALUE!</v>
      </c>
      <c r="W135" t="e">
        <f>AND('Planilla_General_29-11-2012_10_'!C2020,"AAAAAHv/qxY=")</f>
        <v>#VALUE!</v>
      </c>
      <c r="X135" t="e">
        <f>AND('Planilla_General_29-11-2012_10_'!D2020,"AAAAAHv/qxc=")</f>
        <v>#VALUE!</v>
      </c>
      <c r="Y135" t="e">
        <f>AND('Planilla_General_29-11-2012_10_'!E2020,"AAAAAHv/qxg=")</f>
        <v>#VALUE!</v>
      </c>
      <c r="Z135" t="e">
        <f>AND('Planilla_General_29-11-2012_10_'!F2020,"AAAAAHv/qxk=")</f>
        <v>#VALUE!</v>
      </c>
      <c r="AA135" t="e">
        <f>AND('Planilla_General_29-11-2012_10_'!G2020,"AAAAAHv/qxo=")</f>
        <v>#VALUE!</v>
      </c>
      <c r="AB135" t="e">
        <f>AND('Planilla_General_29-11-2012_10_'!H2020,"AAAAAHv/qxs=")</f>
        <v>#VALUE!</v>
      </c>
      <c r="AC135" t="e">
        <f>AND('Planilla_General_29-11-2012_10_'!I2020,"AAAAAHv/qxw=")</f>
        <v>#VALUE!</v>
      </c>
      <c r="AD135" t="e">
        <f>AND('Planilla_General_29-11-2012_10_'!J2020,"AAAAAHv/qx0=")</f>
        <v>#VALUE!</v>
      </c>
      <c r="AE135" t="e">
        <f>AND('Planilla_General_29-11-2012_10_'!K2020,"AAAAAHv/qx4=")</f>
        <v>#VALUE!</v>
      </c>
      <c r="AF135" t="e">
        <f>AND('Planilla_General_29-11-2012_10_'!L2020,"AAAAAHv/qx8=")</f>
        <v>#VALUE!</v>
      </c>
      <c r="AG135" t="e">
        <f>AND('Planilla_General_29-11-2012_10_'!M2020,"AAAAAHv/qyA=")</f>
        <v>#VALUE!</v>
      </c>
      <c r="AH135" t="e">
        <f>AND('Planilla_General_29-11-2012_10_'!N2020,"AAAAAHv/qyE=")</f>
        <v>#VALUE!</v>
      </c>
      <c r="AI135" t="e">
        <f>AND('Planilla_General_29-11-2012_10_'!O2020,"AAAAAHv/qyI=")</f>
        <v>#VALUE!</v>
      </c>
      <c r="AJ135" t="e">
        <f>AND('Planilla_General_29-11-2012_10_'!P2020,"AAAAAHv/qyM=")</f>
        <v>#VALUE!</v>
      </c>
      <c r="AK135">
        <f>IF('Planilla_General_29-11-2012_10_'!2021:2021,"AAAAAHv/qyQ=",0)</f>
        <v>0</v>
      </c>
      <c r="AL135" t="e">
        <f>AND('Planilla_General_29-11-2012_10_'!A2021,"AAAAAHv/qyU=")</f>
        <v>#VALUE!</v>
      </c>
      <c r="AM135" t="e">
        <f>AND('Planilla_General_29-11-2012_10_'!B2021,"AAAAAHv/qyY=")</f>
        <v>#VALUE!</v>
      </c>
      <c r="AN135" t="e">
        <f>AND('Planilla_General_29-11-2012_10_'!C2021,"AAAAAHv/qyc=")</f>
        <v>#VALUE!</v>
      </c>
      <c r="AO135" t="e">
        <f>AND('Planilla_General_29-11-2012_10_'!D2021,"AAAAAHv/qyg=")</f>
        <v>#VALUE!</v>
      </c>
      <c r="AP135" t="e">
        <f>AND('Planilla_General_29-11-2012_10_'!E2021,"AAAAAHv/qyk=")</f>
        <v>#VALUE!</v>
      </c>
      <c r="AQ135" t="e">
        <f>AND('Planilla_General_29-11-2012_10_'!F2021,"AAAAAHv/qyo=")</f>
        <v>#VALUE!</v>
      </c>
      <c r="AR135" t="e">
        <f>AND('Planilla_General_29-11-2012_10_'!G2021,"AAAAAHv/qys=")</f>
        <v>#VALUE!</v>
      </c>
      <c r="AS135" t="e">
        <f>AND('Planilla_General_29-11-2012_10_'!H2021,"AAAAAHv/qyw=")</f>
        <v>#VALUE!</v>
      </c>
      <c r="AT135" t="e">
        <f>AND('Planilla_General_29-11-2012_10_'!I2021,"AAAAAHv/qy0=")</f>
        <v>#VALUE!</v>
      </c>
      <c r="AU135" t="e">
        <f>AND('Planilla_General_29-11-2012_10_'!J2021,"AAAAAHv/qy4=")</f>
        <v>#VALUE!</v>
      </c>
      <c r="AV135" t="e">
        <f>AND('Planilla_General_29-11-2012_10_'!K2021,"AAAAAHv/qy8=")</f>
        <v>#VALUE!</v>
      </c>
      <c r="AW135" t="e">
        <f>AND('Planilla_General_29-11-2012_10_'!L2021,"AAAAAHv/qzA=")</f>
        <v>#VALUE!</v>
      </c>
      <c r="AX135" t="e">
        <f>AND('Planilla_General_29-11-2012_10_'!M2021,"AAAAAHv/qzE=")</f>
        <v>#VALUE!</v>
      </c>
      <c r="AY135" t="e">
        <f>AND('Planilla_General_29-11-2012_10_'!N2021,"AAAAAHv/qzI=")</f>
        <v>#VALUE!</v>
      </c>
      <c r="AZ135" t="e">
        <f>AND('Planilla_General_29-11-2012_10_'!O2021,"AAAAAHv/qzM=")</f>
        <v>#VALUE!</v>
      </c>
      <c r="BA135" t="e">
        <f>AND('Planilla_General_29-11-2012_10_'!P2021,"AAAAAHv/qzQ=")</f>
        <v>#VALUE!</v>
      </c>
      <c r="BB135">
        <f>IF('Planilla_General_29-11-2012_10_'!2022:2022,"AAAAAHv/qzU=",0)</f>
        <v>0</v>
      </c>
      <c r="BC135" t="e">
        <f>AND('Planilla_General_29-11-2012_10_'!A2022,"AAAAAHv/qzY=")</f>
        <v>#VALUE!</v>
      </c>
      <c r="BD135" t="e">
        <f>AND('Planilla_General_29-11-2012_10_'!B2022,"AAAAAHv/qzc=")</f>
        <v>#VALUE!</v>
      </c>
      <c r="BE135" t="e">
        <f>AND('Planilla_General_29-11-2012_10_'!C2022,"AAAAAHv/qzg=")</f>
        <v>#VALUE!</v>
      </c>
      <c r="BF135" t="e">
        <f>AND('Planilla_General_29-11-2012_10_'!D2022,"AAAAAHv/qzk=")</f>
        <v>#VALUE!</v>
      </c>
      <c r="BG135" t="e">
        <f>AND('Planilla_General_29-11-2012_10_'!E2022,"AAAAAHv/qzo=")</f>
        <v>#VALUE!</v>
      </c>
      <c r="BH135" t="e">
        <f>AND('Planilla_General_29-11-2012_10_'!F2022,"AAAAAHv/qzs=")</f>
        <v>#VALUE!</v>
      </c>
      <c r="BI135" t="e">
        <f>AND('Planilla_General_29-11-2012_10_'!G2022,"AAAAAHv/qzw=")</f>
        <v>#VALUE!</v>
      </c>
      <c r="BJ135" t="e">
        <f>AND('Planilla_General_29-11-2012_10_'!H2022,"AAAAAHv/qz0=")</f>
        <v>#VALUE!</v>
      </c>
      <c r="BK135" t="e">
        <f>AND('Planilla_General_29-11-2012_10_'!I2022,"AAAAAHv/qz4=")</f>
        <v>#VALUE!</v>
      </c>
      <c r="BL135" t="e">
        <f>AND('Planilla_General_29-11-2012_10_'!J2022,"AAAAAHv/qz8=")</f>
        <v>#VALUE!</v>
      </c>
      <c r="BM135" t="e">
        <f>AND('Planilla_General_29-11-2012_10_'!K2022,"AAAAAHv/q0A=")</f>
        <v>#VALUE!</v>
      </c>
      <c r="BN135" t="e">
        <f>AND('Planilla_General_29-11-2012_10_'!L2022,"AAAAAHv/q0E=")</f>
        <v>#VALUE!</v>
      </c>
      <c r="BO135" t="e">
        <f>AND('Planilla_General_29-11-2012_10_'!M2022,"AAAAAHv/q0I=")</f>
        <v>#VALUE!</v>
      </c>
      <c r="BP135" t="e">
        <f>AND('Planilla_General_29-11-2012_10_'!N2022,"AAAAAHv/q0M=")</f>
        <v>#VALUE!</v>
      </c>
      <c r="BQ135" t="e">
        <f>AND('Planilla_General_29-11-2012_10_'!O2022,"AAAAAHv/q0Q=")</f>
        <v>#VALUE!</v>
      </c>
      <c r="BR135" t="e">
        <f>AND('Planilla_General_29-11-2012_10_'!P2022,"AAAAAHv/q0U=")</f>
        <v>#VALUE!</v>
      </c>
      <c r="BS135">
        <f>IF('Planilla_General_29-11-2012_10_'!2023:2023,"AAAAAHv/q0Y=",0)</f>
        <v>0</v>
      </c>
      <c r="BT135" t="e">
        <f>AND('Planilla_General_29-11-2012_10_'!A2023,"AAAAAHv/q0c=")</f>
        <v>#VALUE!</v>
      </c>
      <c r="BU135" t="e">
        <f>AND('Planilla_General_29-11-2012_10_'!B2023,"AAAAAHv/q0g=")</f>
        <v>#VALUE!</v>
      </c>
      <c r="BV135" t="e">
        <f>AND('Planilla_General_29-11-2012_10_'!C2023,"AAAAAHv/q0k=")</f>
        <v>#VALUE!</v>
      </c>
      <c r="BW135" t="e">
        <f>AND('Planilla_General_29-11-2012_10_'!D2023,"AAAAAHv/q0o=")</f>
        <v>#VALUE!</v>
      </c>
      <c r="BX135" t="e">
        <f>AND('Planilla_General_29-11-2012_10_'!E2023,"AAAAAHv/q0s=")</f>
        <v>#VALUE!</v>
      </c>
      <c r="BY135" t="e">
        <f>AND('Planilla_General_29-11-2012_10_'!F2023,"AAAAAHv/q0w=")</f>
        <v>#VALUE!</v>
      </c>
      <c r="BZ135" t="e">
        <f>AND('Planilla_General_29-11-2012_10_'!G2023,"AAAAAHv/q00=")</f>
        <v>#VALUE!</v>
      </c>
      <c r="CA135" t="e">
        <f>AND('Planilla_General_29-11-2012_10_'!H2023,"AAAAAHv/q04=")</f>
        <v>#VALUE!</v>
      </c>
      <c r="CB135" t="e">
        <f>AND('Planilla_General_29-11-2012_10_'!I2023,"AAAAAHv/q08=")</f>
        <v>#VALUE!</v>
      </c>
      <c r="CC135" t="e">
        <f>AND('Planilla_General_29-11-2012_10_'!J2023,"AAAAAHv/q1A=")</f>
        <v>#VALUE!</v>
      </c>
      <c r="CD135" t="e">
        <f>AND('Planilla_General_29-11-2012_10_'!K2023,"AAAAAHv/q1E=")</f>
        <v>#VALUE!</v>
      </c>
      <c r="CE135" t="e">
        <f>AND('Planilla_General_29-11-2012_10_'!L2023,"AAAAAHv/q1I=")</f>
        <v>#VALUE!</v>
      </c>
      <c r="CF135" t="e">
        <f>AND('Planilla_General_29-11-2012_10_'!M2023,"AAAAAHv/q1M=")</f>
        <v>#VALUE!</v>
      </c>
      <c r="CG135" t="e">
        <f>AND('Planilla_General_29-11-2012_10_'!N2023,"AAAAAHv/q1Q=")</f>
        <v>#VALUE!</v>
      </c>
      <c r="CH135" t="e">
        <f>AND('Planilla_General_29-11-2012_10_'!O2023,"AAAAAHv/q1U=")</f>
        <v>#VALUE!</v>
      </c>
      <c r="CI135" t="e">
        <f>AND('Planilla_General_29-11-2012_10_'!P2023,"AAAAAHv/q1Y=")</f>
        <v>#VALUE!</v>
      </c>
      <c r="CJ135">
        <f>IF('Planilla_General_29-11-2012_10_'!2024:2024,"AAAAAHv/q1c=",0)</f>
        <v>0</v>
      </c>
      <c r="CK135" t="e">
        <f>AND('Planilla_General_29-11-2012_10_'!A2024,"AAAAAHv/q1g=")</f>
        <v>#VALUE!</v>
      </c>
      <c r="CL135" t="e">
        <f>AND('Planilla_General_29-11-2012_10_'!B2024,"AAAAAHv/q1k=")</f>
        <v>#VALUE!</v>
      </c>
      <c r="CM135" t="e">
        <f>AND('Planilla_General_29-11-2012_10_'!C2024,"AAAAAHv/q1o=")</f>
        <v>#VALUE!</v>
      </c>
      <c r="CN135" t="e">
        <f>AND('Planilla_General_29-11-2012_10_'!D2024,"AAAAAHv/q1s=")</f>
        <v>#VALUE!</v>
      </c>
      <c r="CO135" t="e">
        <f>AND('Planilla_General_29-11-2012_10_'!E2024,"AAAAAHv/q1w=")</f>
        <v>#VALUE!</v>
      </c>
      <c r="CP135" t="e">
        <f>AND('Planilla_General_29-11-2012_10_'!F2024,"AAAAAHv/q10=")</f>
        <v>#VALUE!</v>
      </c>
      <c r="CQ135" t="e">
        <f>AND('Planilla_General_29-11-2012_10_'!G2024,"AAAAAHv/q14=")</f>
        <v>#VALUE!</v>
      </c>
      <c r="CR135" t="e">
        <f>AND('Planilla_General_29-11-2012_10_'!H2024,"AAAAAHv/q18=")</f>
        <v>#VALUE!</v>
      </c>
      <c r="CS135" t="e">
        <f>AND('Planilla_General_29-11-2012_10_'!I2024,"AAAAAHv/q2A=")</f>
        <v>#VALUE!</v>
      </c>
      <c r="CT135" t="e">
        <f>AND('Planilla_General_29-11-2012_10_'!J2024,"AAAAAHv/q2E=")</f>
        <v>#VALUE!</v>
      </c>
      <c r="CU135" t="e">
        <f>AND('Planilla_General_29-11-2012_10_'!K2024,"AAAAAHv/q2I=")</f>
        <v>#VALUE!</v>
      </c>
      <c r="CV135" t="e">
        <f>AND('Planilla_General_29-11-2012_10_'!L2024,"AAAAAHv/q2M=")</f>
        <v>#VALUE!</v>
      </c>
      <c r="CW135" t="e">
        <f>AND('Planilla_General_29-11-2012_10_'!M2024,"AAAAAHv/q2Q=")</f>
        <v>#VALUE!</v>
      </c>
      <c r="CX135" t="e">
        <f>AND('Planilla_General_29-11-2012_10_'!N2024,"AAAAAHv/q2U=")</f>
        <v>#VALUE!</v>
      </c>
      <c r="CY135" t="e">
        <f>AND('Planilla_General_29-11-2012_10_'!O2024,"AAAAAHv/q2Y=")</f>
        <v>#VALUE!</v>
      </c>
      <c r="CZ135" t="e">
        <f>AND('Planilla_General_29-11-2012_10_'!P2024,"AAAAAHv/q2c=")</f>
        <v>#VALUE!</v>
      </c>
      <c r="DA135">
        <f>IF('Planilla_General_29-11-2012_10_'!2025:2025,"AAAAAHv/q2g=",0)</f>
        <v>0</v>
      </c>
      <c r="DB135" t="e">
        <f>AND('Planilla_General_29-11-2012_10_'!A2025,"AAAAAHv/q2k=")</f>
        <v>#VALUE!</v>
      </c>
      <c r="DC135" t="e">
        <f>AND('Planilla_General_29-11-2012_10_'!B2025,"AAAAAHv/q2o=")</f>
        <v>#VALUE!</v>
      </c>
      <c r="DD135" t="e">
        <f>AND('Planilla_General_29-11-2012_10_'!C2025,"AAAAAHv/q2s=")</f>
        <v>#VALUE!</v>
      </c>
      <c r="DE135" t="e">
        <f>AND('Planilla_General_29-11-2012_10_'!D2025,"AAAAAHv/q2w=")</f>
        <v>#VALUE!</v>
      </c>
      <c r="DF135" t="e">
        <f>AND('Planilla_General_29-11-2012_10_'!E2025,"AAAAAHv/q20=")</f>
        <v>#VALUE!</v>
      </c>
      <c r="DG135" t="e">
        <f>AND('Planilla_General_29-11-2012_10_'!F2025,"AAAAAHv/q24=")</f>
        <v>#VALUE!</v>
      </c>
      <c r="DH135" t="e">
        <f>AND('Planilla_General_29-11-2012_10_'!G2025,"AAAAAHv/q28=")</f>
        <v>#VALUE!</v>
      </c>
      <c r="DI135" t="e">
        <f>AND('Planilla_General_29-11-2012_10_'!H2025,"AAAAAHv/q3A=")</f>
        <v>#VALUE!</v>
      </c>
      <c r="DJ135" t="e">
        <f>AND('Planilla_General_29-11-2012_10_'!I2025,"AAAAAHv/q3E=")</f>
        <v>#VALUE!</v>
      </c>
      <c r="DK135" t="e">
        <f>AND('Planilla_General_29-11-2012_10_'!J2025,"AAAAAHv/q3I=")</f>
        <v>#VALUE!</v>
      </c>
      <c r="DL135" t="e">
        <f>AND('Planilla_General_29-11-2012_10_'!K2025,"AAAAAHv/q3M=")</f>
        <v>#VALUE!</v>
      </c>
      <c r="DM135" t="e">
        <f>AND('Planilla_General_29-11-2012_10_'!L2025,"AAAAAHv/q3Q=")</f>
        <v>#VALUE!</v>
      </c>
      <c r="DN135" t="e">
        <f>AND('Planilla_General_29-11-2012_10_'!M2025,"AAAAAHv/q3U=")</f>
        <v>#VALUE!</v>
      </c>
      <c r="DO135" t="e">
        <f>AND('Planilla_General_29-11-2012_10_'!N2025,"AAAAAHv/q3Y=")</f>
        <v>#VALUE!</v>
      </c>
      <c r="DP135" t="e">
        <f>AND('Planilla_General_29-11-2012_10_'!O2025,"AAAAAHv/q3c=")</f>
        <v>#VALUE!</v>
      </c>
      <c r="DQ135" t="e">
        <f>AND('Planilla_General_29-11-2012_10_'!P2025,"AAAAAHv/q3g=")</f>
        <v>#VALUE!</v>
      </c>
      <c r="DR135">
        <f>IF('Planilla_General_29-11-2012_10_'!2026:2026,"AAAAAHv/q3k=",0)</f>
        <v>0</v>
      </c>
      <c r="DS135" t="e">
        <f>AND('Planilla_General_29-11-2012_10_'!A2026,"AAAAAHv/q3o=")</f>
        <v>#VALUE!</v>
      </c>
      <c r="DT135" t="e">
        <f>AND('Planilla_General_29-11-2012_10_'!B2026,"AAAAAHv/q3s=")</f>
        <v>#VALUE!</v>
      </c>
      <c r="DU135" t="e">
        <f>AND('Planilla_General_29-11-2012_10_'!C2026,"AAAAAHv/q3w=")</f>
        <v>#VALUE!</v>
      </c>
      <c r="DV135" t="e">
        <f>AND('Planilla_General_29-11-2012_10_'!D2026,"AAAAAHv/q30=")</f>
        <v>#VALUE!</v>
      </c>
      <c r="DW135" t="e">
        <f>AND('Planilla_General_29-11-2012_10_'!E2026,"AAAAAHv/q34=")</f>
        <v>#VALUE!</v>
      </c>
      <c r="DX135" t="e">
        <f>AND('Planilla_General_29-11-2012_10_'!F2026,"AAAAAHv/q38=")</f>
        <v>#VALUE!</v>
      </c>
      <c r="DY135" t="e">
        <f>AND('Planilla_General_29-11-2012_10_'!G2026,"AAAAAHv/q4A=")</f>
        <v>#VALUE!</v>
      </c>
      <c r="DZ135" t="e">
        <f>AND('Planilla_General_29-11-2012_10_'!H2026,"AAAAAHv/q4E=")</f>
        <v>#VALUE!</v>
      </c>
      <c r="EA135" t="e">
        <f>AND('Planilla_General_29-11-2012_10_'!I2026,"AAAAAHv/q4I=")</f>
        <v>#VALUE!</v>
      </c>
      <c r="EB135" t="e">
        <f>AND('Planilla_General_29-11-2012_10_'!J2026,"AAAAAHv/q4M=")</f>
        <v>#VALUE!</v>
      </c>
      <c r="EC135" t="e">
        <f>AND('Planilla_General_29-11-2012_10_'!K2026,"AAAAAHv/q4Q=")</f>
        <v>#VALUE!</v>
      </c>
      <c r="ED135" t="e">
        <f>AND('Planilla_General_29-11-2012_10_'!L2026,"AAAAAHv/q4U=")</f>
        <v>#VALUE!</v>
      </c>
      <c r="EE135" t="e">
        <f>AND('Planilla_General_29-11-2012_10_'!M2026,"AAAAAHv/q4Y=")</f>
        <v>#VALUE!</v>
      </c>
      <c r="EF135" t="e">
        <f>AND('Planilla_General_29-11-2012_10_'!N2026,"AAAAAHv/q4c=")</f>
        <v>#VALUE!</v>
      </c>
      <c r="EG135" t="e">
        <f>AND('Planilla_General_29-11-2012_10_'!O2026,"AAAAAHv/q4g=")</f>
        <v>#VALUE!</v>
      </c>
      <c r="EH135" t="e">
        <f>AND('Planilla_General_29-11-2012_10_'!P2026,"AAAAAHv/q4k=")</f>
        <v>#VALUE!</v>
      </c>
      <c r="EI135">
        <f>IF('Planilla_General_29-11-2012_10_'!2027:2027,"AAAAAHv/q4o=",0)</f>
        <v>0</v>
      </c>
      <c r="EJ135" t="e">
        <f>AND('Planilla_General_29-11-2012_10_'!A2027,"AAAAAHv/q4s=")</f>
        <v>#VALUE!</v>
      </c>
      <c r="EK135" t="e">
        <f>AND('Planilla_General_29-11-2012_10_'!B2027,"AAAAAHv/q4w=")</f>
        <v>#VALUE!</v>
      </c>
      <c r="EL135" t="e">
        <f>AND('Planilla_General_29-11-2012_10_'!C2027,"AAAAAHv/q40=")</f>
        <v>#VALUE!</v>
      </c>
      <c r="EM135" t="e">
        <f>AND('Planilla_General_29-11-2012_10_'!D2027,"AAAAAHv/q44=")</f>
        <v>#VALUE!</v>
      </c>
      <c r="EN135" t="e">
        <f>AND('Planilla_General_29-11-2012_10_'!E2027,"AAAAAHv/q48=")</f>
        <v>#VALUE!</v>
      </c>
      <c r="EO135" t="e">
        <f>AND('Planilla_General_29-11-2012_10_'!F2027,"AAAAAHv/q5A=")</f>
        <v>#VALUE!</v>
      </c>
      <c r="EP135" t="e">
        <f>AND('Planilla_General_29-11-2012_10_'!G2027,"AAAAAHv/q5E=")</f>
        <v>#VALUE!</v>
      </c>
      <c r="EQ135" t="e">
        <f>AND('Planilla_General_29-11-2012_10_'!H2027,"AAAAAHv/q5I=")</f>
        <v>#VALUE!</v>
      </c>
      <c r="ER135" t="e">
        <f>AND('Planilla_General_29-11-2012_10_'!I2027,"AAAAAHv/q5M=")</f>
        <v>#VALUE!</v>
      </c>
      <c r="ES135" t="e">
        <f>AND('Planilla_General_29-11-2012_10_'!J2027,"AAAAAHv/q5Q=")</f>
        <v>#VALUE!</v>
      </c>
      <c r="ET135" t="e">
        <f>AND('Planilla_General_29-11-2012_10_'!K2027,"AAAAAHv/q5U=")</f>
        <v>#VALUE!</v>
      </c>
      <c r="EU135" t="e">
        <f>AND('Planilla_General_29-11-2012_10_'!L2027,"AAAAAHv/q5Y=")</f>
        <v>#VALUE!</v>
      </c>
      <c r="EV135" t="e">
        <f>AND('Planilla_General_29-11-2012_10_'!M2027,"AAAAAHv/q5c=")</f>
        <v>#VALUE!</v>
      </c>
      <c r="EW135" t="e">
        <f>AND('Planilla_General_29-11-2012_10_'!N2027,"AAAAAHv/q5g=")</f>
        <v>#VALUE!</v>
      </c>
      <c r="EX135" t="e">
        <f>AND('Planilla_General_29-11-2012_10_'!O2027,"AAAAAHv/q5k=")</f>
        <v>#VALUE!</v>
      </c>
      <c r="EY135" t="e">
        <f>AND('Planilla_General_29-11-2012_10_'!P2027,"AAAAAHv/q5o=")</f>
        <v>#VALUE!</v>
      </c>
      <c r="EZ135">
        <f>IF('Planilla_General_29-11-2012_10_'!2028:2028,"AAAAAHv/q5s=",0)</f>
        <v>0</v>
      </c>
      <c r="FA135" t="e">
        <f>AND('Planilla_General_29-11-2012_10_'!A2028,"AAAAAHv/q5w=")</f>
        <v>#VALUE!</v>
      </c>
      <c r="FB135" t="e">
        <f>AND('Planilla_General_29-11-2012_10_'!B2028,"AAAAAHv/q50=")</f>
        <v>#VALUE!</v>
      </c>
      <c r="FC135" t="e">
        <f>AND('Planilla_General_29-11-2012_10_'!C2028,"AAAAAHv/q54=")</f>
        <v>#VALUE!</v>
      </c>
      <c r="FD135" t="e">
        <f>AND('Planilla_General_29-11-2012_10_'!D2028,"AAAAAHv/q58=")</f>
        <v>#VALUE!</v>
      </c>
      <c r="FE135" t="e">
        <f>AND('Planilla_General_29-11-2012_10_'!E2028,"AAAAAHv/q6A=")</f>
        <v>#VALUE!</v>
      </c>
      <c r="FF135" t="e">
        <f>AND('Planilla_General_29-11-2012_10_'!F2028,"AAAAAHv/q6E=")</f>
        <v>#VALUE!</v>
      </c>
      <c r="FG135" t="e">
        <f>AND('Planilla_General_29-11-2012_10_'!G2028,"AAAAAHv/q6I=")</f>
        <v>#VALUE!</v>
      </c>
      <c r="FH135" t="e">
        <f>AND('Planilla_General_29-11-2012_10_'!H2028,"AAAAAHv/q6M=")</f>
        <v>#VALUE!</v>
      </c>
      <c r="FI135" t="e">
        <f>AND('Planilla_General_29-11-2012_10_'!I2028,"AAAAAHv/q6Q=")</f>
        <v>#VALUE!</v>
      </c>
      <c r="FJ135" t="e">
        <f>AND('Planilla_General_29-11-2012_10_'!J2028,"AAAAAHv/q6U=")</f>
        <v>#VALUE!</v>
      </c>
      <c r="FK135" t="e">
        <f>AND('Planilla_General_29-11-2012_10_'!K2028,"AAAAAHv/q6Y=")</f>
        <v>#VALUE!</v>
      </c>
      <c r="FL135" t="e">
        <f>AND('Planilla_General_29-11-2012_10_'!L2028,"AAAAAHv/q6c=")</f>
        <v>#VALUE!</v>
      </c>
      <c r="FM135" t="e">
        <f>AND('Planilla_General_29-11-2012_10_'!M2028,"AAAAAHv/q6g=")</f>
        <v>#VALUE!</v>
      </c>
      <c r="FN135" t="e">
        <f>AND('Planilla_General_29-11-2012_10_'!N2028,"AAAAAHv/q6k=")</f>
        <v>#VALUE!</v>
      </c>
      <c r="FO135" t="e">
        <f>AND('Planilla_General_29-11-2012_10_'!O2028,"AAAAAHv/q6o=")</f>
        <v>#VALUE!</v>
      </c>
      <c r="FP135" t="e">
        <f>AND('Planilla_General_29-11-2012_10_'!P2028,"AAAAAHv/q6s=")</f>
        <v>#VALUE!</v>
      </c>
      <c r="FQ135">
        <f>IF('Planilla_General_29-11-2012_10_'!2029:2029,"AAAAAHv/q6w=",0)</f>
        <v>0</v>
      </c>
      <c r="FR135" t="e">
        <f>AND('Planilla_General_29-11-2012_10_'!A2029,"AAAAAHv/q60=")</f>
        <v>#VALUE!</v>
      </c>
      <c r="FS135" t="e">
        <f>AND('Planilla_General_29-11-2012_10_'!B2029,"AAAAAHv/q64=")</f>
        <v>#VALUE!</v>
      </c>
      <c r="FT135" t="e">
        <f>AND('Planilla_General_29-11-2012_10_'!C2029,"AAAAAHv/q68=")</f>
        <v>#VALUE!</v>
      </c>
      <c r="FU135" t="e">
        <f>AND('Planilla_General_29-11-2012_10_'!D2029,"AAAAAHv/q7A=")</f>
        <v>#VALUE!</v>
      </c>
      <c r="FV135" t="e">
        <f>AND('Planilla_General_29-11-2012_10_'!E2029,"AAAAAHv/q7E=")</f>
        <v>#VALUE!</v>
      </c>
      <c r="FW135" t="e">
        <f>AND('Planilla_General_29-11-2012_10_'!F2029,"AAAAAHv/q7I=")</f>
        <v>#VALUE!</v>
      </c>
      <c r="FX135" t="e">
        <f>AND('Planilla_General_29-11-2012_10_'!G2029,"AAAAAHv/q7M=")</f>
        <v>#VALUE!</v>
      </c>
      <c r="FY135" t="e">
        <f>AND('Planilla_General_29-11-2012_10_'!H2029,"AAAAAHv/q7Q=")</f>
        <v>#VALUE!</v>
      </c>
      <c r="FZ135" t="e">
        <f>AND('Planilla_General_29-11-2012_10_'!I2029,"AAAAAHv/q7U=")</f>
        <v>#VALUE!</v>
      </c>
      <c r="GA135" t="e">
        <f>AND('Planilla_General_29-11-2012_10_'!J2029,"AAAAAHv/q7Y=")</f>
        <v>#VALUE!</v>
      </c>
      <c r="GB135" t="e">
        <f>AND('Planilla_General_29-11-2012_10_'!K2029,"AAAAAHv/q7c=")</f>
        <v>#VALUE!</v>
      </c>
      <c r="GC135" t="e">
        <f>AND('Planilla_General_29-11-2012_10_'!L2029,"AAAAAHv/q7g=")</f>
        <v>#VALUE!</v>
      </c>
      <c r="GD135" t="e">
        <f>AND('Planilla_General_29-11-2012_10_'!M2029,"AAAAAHv/q7k=")</f>
        <v>#VALUE!</v>
      </c>
      <c r="GE135" t="e">
        <f>AND('Planilla_General_29-11-2012_10_'!N2029,"AAAAAHv/q7o=")</f>
        <v>#VALUE!</v>
      </c>
      <c r="GF135" t="e">
        <f>AND('Planilla_General_29-11-2012_10_'!O2029,"AAAAAHv/q7s=")</f>
        <v>#VALUE!</v>
      </c>
      <c r="GG135" t="e">
        <f>AND('Planilla_General_29-11-2012_10_'!P2029,"AAAAAHv/q7w=")</f>
        <v>#VALUE!</v>
      </c>
      <c r="GH135">
        <f>IF('Planilla_General_29-11-2012_10_'!2030:2030,"AAAAAHv/q70=",0)</f>
        <v>0</v>
      </c>
      <c r="GI135" t="e">
        <f>AND('Planilla_General_29-11-2012_10_'!A2030,"AAAAAHv/q74=")</f>
        <v>#VALUE!</v>
      </c>
      <c r="GJ135" t="e">
        <f>AND('Planilla_General_29-11-2012_10_'!B2030,"AAAAAHv/q78=")</f>
        <v>#VALUE!</v>
      </c>
      <c r="GK135" t="e">
        <f>AND('Planilla_General_29-11-2012_10_'!C2030,"AAAAAHv/q8A=")</f>
        <v>#VALUE!</v>
      </c>
      <c r="GL135" t="e">
        <f>AND('Planilla_General_29-11-2012_10_'!D2030,"AAAAAHv/q8E=")</f>
        <v>#VALUE!</v>
      </c>
      <c r="GM135" t="e">
        <f>AND('Planilla_General_29-11-2012_10_'!E2030,"AAAAAHv/q8I=")</f>
        <v>#VALUE!</v>
      </c>
      <c r="GN135" t="e">
        <f>AND('Planilla_General_29-11-2012_10_'!F2030,"AAAAAHv/q8M=")</f>
        <v>#VALUE!</v>
      </c>
      <c r="GO135" t="e">
        <f>AND('Planilla_General_29-11-2012_10_'!G2030,"AAAAAHv/q8Q=")</f>
        <v>#VALUE!</v>
      </c>
      <c r="GP135" t="e">
        <f>AND('Planilla_General_29-11-2012_10_'!H2030,"AAAAAHv/q8U=")</f>
        <v>#VALUE!</v>
      </c>
      <c r="GQ135" t="e">
        <f>AND('Planilla_General_29-11-2012_10_'!I2030,"AAAAAHv/q8Y=")</f>
        <v>#VALUE!</v>
      </c>
      <c r="GR135" t="e">
        <f>AND('Planilla_General_29-11-2012_10_'!J2030,"AAAAAHv/q8c=")</f>
        <v>#VALUE!</v>
      </c>
      <c r="GS135" t="e">
        <f>AND('Planilla_General_29-11-2012_10_'!K2030,"AAAAAHv/q8g=")</f>
        <v>#VALUE!</v>
      </c>
      <c r="GT135" t="e">
        <f>AND('Planilla_General_29-11-2012_10_'!L2030,"AAAAAHv/q8k=")</f>
        <v>#VALUE!</v>
      </c>
      <c r="GU135" t="e">
        <f>AND('Planilla_General_29-11-2012_10_'!M2030,"AAAAAHv/q8o=")</f>
        <v>#VALUE!</v>
      </c>
      <c r="GV135" t="e">
        <f>AND('Planilla_General_29-11-2012_10_'!N2030,"AAAAAHv/q8s=")</f>
        <v>#VALUE!</v>
      </c>
      <c r="GW135" t="e">
        <f>AND('Planilla_General_29-11-2012_10_'!O2030,"AAAAAHv/q8w=")</f>
        <v>#VALUE!</v>
      </c>
      <c r="GX135" t="e">
        <f>AND('Planilla_General_29-11-2012_10_'!P2030,"AAAAAHv/q80=")</f>
        <v>#VALUE!</v>
      </c>
      <c r="GY135">
        <f>IF('Planilla_General_29-11-2012_10_'!2031:2031,"AAAAAHv/q84=",0)</f>
        <v>0</v>
      </c>
      <c r="GZ135" t="e">
        <f>AND('Planilla_General_29-11-2012_10_'!A2031,"AAAAAHv/q88=")</f>
        <v>#VALUE!</v>
      </c>
      <c r="HA135" t="e">
        <f>AND('Planilla_General_29-11-2012_10_'!B2031,"AAAAAHv/q9A=")</f>
        <v>#VALUE!</v>
      </c>
      <c r="HB135" t="e">
        <f>AND('Planilla_General_29-11-2012_10_'!C2031,"AAAAAHv/q9E=")</f>
        <v>#VALUE!</v>
      </c>
      <c r="HC135" t="e">
        <f>AND('Planilla_General_29-11-2012_10_'!D2031,"AAAAAHv/q9I=")</f>
        <v>#VALUE!</v>
      </c>
      <c r="HD135" t="e">
        <f>AND('Planilla_General_29-11-2012_10_'!E2031,"AAAAAHv/q9M=")</f>
        <v>#VALUE!</v>
      </c>
      <c r="HE135" t="e">
        <f>AND('Planilla_General_29-11-2012_10_'!F2031,"AAAAAHv/q9Q=")</f>
        <v>#VALUE!</v>
      </c>
      <c r="HF135" t="e">
        <f>AND('Planilla_General_29-11-2012_10_'!G2031,"AAAAAHv/q9U=")</f>
        <v>#VALUE!</v>
      </c>
      <c r="HG135" t="e">
        <f>AND('Planilla_General_29-11-2012_10_'!H2031,"AAAAAHv/q9Y=")</f>
        <v>#VALUE!</v>
      </c>
      <c r="HH135" t="e">
        <f>AND('Planilla_General_29-11-2012_10_'!I2031,"AAAAAHv/q9c=")</f>
        <v>#VALUE!</v>
      </c>
      <c r="HI135" t="e">
        <f>AND('Planilla_General_29-11-2012_10_'!J2031,"AAAAAHv/q9g=")</f>
        <v>#VALUE!</v>
      </c>
      <c r="HJ135" t="e">
        <f>AND('Planilla_General_29-11-2012_10_'!K2031,"AAAAAHv/q9k=")</f>
        <v>#VALUE!</v>
      </c>
      <c r="HK135" t="e">
        <f>AND('Planilla_General_29-11-2012_10_'!L2031,"AAAAAHv/q9o=")</f>
        <v>#VALUE!</v>
      </c>
      <c r="HL135" t="e">
        <f>AND('Planilla_General_29-11-2012_10_'!M2031,"AAAAAHv/q9s=")</f>
        <v>#VALUE!</v>
      </c>
      <c r="HM135" t="e">
        <f>AND('Planilla_General_29-11-2012_10_'!N2031,"AAAAAHv/q9w=")</f>
        <v>#VALUE!</v>
      </c>
      <c r="HN135" t="e">
        <f>AND('Planilla_General_29-11-2012_10_'!O2031,"AAAAAHv/q90=")</f>
        <v>#VALUE!</v>
      </c>
      <c r="HO135" t="e">
        <f>AND('Planilla_General_29-11-2012_10_'!P2031,"AAAAAHv/q94=")</f>
        <v>#VALUE!</v>
      </c>
      <c r="HP135">
        <f>IF('Planilla_General_29-11-2012_10_'!2032:2032,"AAAAAHv/q98=",0)</f>
        <v>0</v>
      </c>
      <c r="HQ135" t="e">
        <f>AND('Planilla_General_29-11-2012_10_'!A2032,"AAAAAHv/q+A=")</f>
        <v>#VALUE!</v>
      </c>
      <c r="HR135" t="e">
        <f>AND('Planilla_General_29-11-2012_10_'!B2032,"AAAAAHv/q+E=")</f>
        <v>#VALUE!</v>
      </c>
      <c r="HS135" t="e">
        <f>AND('Planilla_General_29-11-2012_10_'!C2032,"AAAAAHv/q+I=")</f>
        <v>#VALUE!</v>
      </c>
      <c r="HT135" t="e">
        <f>AND('Planilla_General_29-11-2012_10_'!D2032,"AAAAAHv/q+M=")</f>
        <v>#VALUE!</v>
      </c>
      <c r="HU135" t="e">
        <f>AND('Planilla_General_29-11-2012_10_'!E2032,"AAAAAHv/q+Q=")</f>
        <v>#VALUE!</v>
      </c>
      <c r="HV135" t="e">
        <f>AND('Planilla_General_29-11-2012_10_'!F2032,"AAAAAHv/q+U=")</f>
        <v>#VALUE!</v>
      </c>
      <c r="HW135" t="e">
        <f>AND('Planilla_General_29-11-2012_10_'!G2032,"AAAAAHv/q+Y=")</f>
        <v>#VALUE!</v>
      </c>
      <c r="HX135" t="e">
        <f>AND('Planilla_General_29-11-2012_10_'!H2032,"AAAAAHv/q+c=")</f>
        <v>#VALUE!</v>
      </c>
      <c r="HY135" t="e">
        <f>AND('Planilla_General_29-11-2012_10_'!I2032,"AAAAAHv/q+g=")</f>
        <v>#VALUE!</v>
      </c>
      <c r="HZ135" t="e">
        <f>AND('Planilla_General_29-11-2012_10_'!J2032,"AAAAAHv/q+k=")</f>
        <v>#VALUE!</v>
      </c>
      <c r="IA135" t="e">
        <f>AND('Planilla_General_29-11-2012_10_'!K2032,"AAAAAHv/q+o=")</f>
        <v>#VALUE!</v>
      </c>
      <c r="IB135" t="e">
        <f>AND('Planilla_General_29-11-2012_10_'!L2032,"AAAAAHv/q+s=")</f>
        <v>#VALUE!</v>
      </c>
      <c r="IC135" t="e">
        <f>AND('Planilla_General_29-11-2012_10_'!M2032,"AAAAAHv/q+w=")</f>
        <v>#VALUE!</v>
      </c>
      <c r="ID135" t="e">
        <f>AND('Planilla_General_29-11-2012_10_'!N2032,"AAAAAHv/q+0=")</f>
        <v>#VALUE!</v>
      </c>
      <c r="IE135" t="e">
        <f>AND('Planilla_General_29-11-2012_10_'!O2032,"AAAAAHv/q+4=")</f>
        <v>#VALUE!</v>
      </c>
      <c r="IF135" t="e">
        <f>AND('Planilla_General_29-11-2012_10_'!P2032,"AAAAAHv/q+8=")</f>
        <v>#VALUE!</v>
      </c>
      <c r="IG135">
        <f>IF('Planilla_General_29-11-2012_10_'!2033:2033,"AAAAAHv/q/A=",0)</f>
        <v>0</v>
      </c>
      <c r="IH135" t="e">
        <f>AND('Planilla_General_29-11-2012_10_'!A2033,"AAAAAHv/q/E=")</f>
        <v>#VALUE!</v>
      </c>
      <c r="II135" t="e">
        <f>AND('Planilla_General_29-11-2012_10_'!B2033,"AAAAAHv/q/I=")</f>
        <v>#VALUE!</v>
      </c>
      <c r="IJ135" t="e">
        <f>AND('Planilla_General_29-11-2012_10_'!C2033,"AAAAAHv/q/M=")</f>
        <v>#VALUE!</v>
      </c>
      <c r="IK135" t="e">
        <f>AND('Planilla_General_29-11-2012_10_'!D2033,"AAAAAHv/q/Q=")</f>
        <v>#VALUE!</v>
      </c>
      <c r="IL135" t="e">
        <f>AND('Planilla_General_29-11-2012_10_'!E2033,"AAAAAHv/q/U=")</f>
        <v>#VALUE!</v>
      </c>
      <c r="IM135" t="e">
        <f>AND('Planilla_General_29-11-2012_10_'!F2033,"AAAAAHv/q/Y=")</f>
        <v>#VALUE!</v>
      </c>
      <c r="IN135" t="e">
        <f>AND('Planilla_General_29-11-2012_10_'!G2033,"AAAAAHv/q/c=")</f>
        <v>#VALUE!</v>
      </c>
      <c r="IO135" t="e">
        <f>AND('Planilla_General_29-11-2012_10_'!H2033,"AAAAAHv/q/g=")</f>
        <v>#VALUE!</v>
      </c>
      <c r="IP135" t="e">
        <f>AND('Planilla_General_29-11-2012_10_'!I2033,"AAAAAHv/q/k=")</f>
        <v>#VALUE!</v>
      </c>
      <c r="IQ135" t="e">
        <f>AND('Planilla_General_29-11-2012_10_'!J2033,"AAAAAHv/q/o=")</f>
        <v>#VALUE!</v>
      </c>
      <c r="IR135" t="e">
        <f>AND('Planilla_General_29-11-2012_10_'!K2033,"AAAAAHv/q/s=")</f>
        <v>#VALUE!</v>
      </c>
      <c r="IS135" t="e">
        <f>AND('Planilla_General_29-11-2012_10_'!L2033,"AAAAAHv/q/w=")</f>
        <v>#VALUE!</v>
      </c>
      <c r="IT135" t="e">
        <f>AND('Planilla_General_29-11-2012_10_'!M2033,"AAAAAHv/q/0=")</f>
        <v>#VALUE!</v>
      </c>
      <c r="IU135" t="e">
        <f>AND('Planilla_General_29-11-2012_10_'!N2033,"AAAAAHv/q/4=")</f>
        <v>#VALUE!</v>
      </c>
      <c r="IV135" t="e">
        <f>AND('Planilla_General_29-11-2012_10_'!O2033,"AAAAAHv/q/8=")</f>
        <v>#VALUE!</v>
      </c>
    </row>
    <row r="136" spans="1:256" x14ac:dyDescent="0.25">
      <c r="A136" t="e">
        <f>AND('Planilla_General_29-11-2012_10_'!P2033,"AAAAACL97wA=")</f>
        <v>#VALUE!</v>
      </c>
      <c r="B136" t="e">
        <f>IF('Planilla_General_29-11-2012_10_'!2034:2034,"AAAAACL97wE=",0)</f>
        <v>#VALUE!</v>
      </c>
      <c r="C136" t="e">
        <f>AND('Planilla_General_29-11-2012_10_'!A2034,"AAAAACL97wI=")</f>
        <v>#VALUE!</v>
      </c>
      <c r="D136" t="e">
        <f>AND('Planilla_General_29-11-2012_10_'!B2034,"AAAAACL97wM=")</f>
        <v>#VALUE!</v>
      </c>
      <c r="E136" t="e">
        <f>AND('Planilla_General_29-11-2012_10_'!C2034,"AAAAACL97wQ=")</f>
        <v>#VALUE!</v>
      </c>
      <c r="F136" t="e">
        <f>AND('Planilla_General_29-11-2012_10_'!D2034,"AAAAACL97wU=")</f>
        <v>#VALUE!</v>
      </c>
      <c r="G136" t="e">
        <f>AND('Planilla_General_29-11-2012_10_'!E2034,"AAAAACL97wY=")</f>
        <v>#VALUE!</v>
      </c>
      <c r="H136" t="e">
        <f>AND('Planilla_General_29-11-2012_10_'!F2034,"AAAAACL97wc=")</f>
        <v>#VALUE!</v>
      </c>
      <c r="I136" t="e">
        <f>AND('Planilla_General_29-11-2012_10_'!G2034,"AAAAACL97wg=")</f>
        <v>#VALUE!</v>
      </c>
      <c r="J136" t="e">
        <f>AND('Planilla_General_29-11-2012_10_'!H2034,"AAAAACL97wk=")</f>
        <v>#VALUE!</v>
      </c>
      <c r="K136" t="e">
        <f>AND('Planilla_General_29-11-2012_10_'!I2034,"AAAAACL97wo=")</f>
        <v>#VALUE!</v>
      </c>
      <c r="L136" t="e">
        <f>AND('Planilla_General_29-11-2012_10_'!J2034,"AAAAACL97ws=")</f>
        <v>#VALUE!</v>
      </c>
      <c r="M136" t="e">
        <f>AND('Planilla_General_29-11-2012_10_'!K2034,"AAAAACL97ww=")</f>
        <v>#VALUE!</v>
      </c>
      <c r="N136" t="e">
        <f>AND('Planilla_General_29-11-2012_10_'!L2034,"AAAAACL97w0=")</f>
        <v>#VALUE!</v>
      </c>
      <c r="O136" t="e">
        <f>AND('Planilla_General_29-11-2012_10_'!M2034,"AAAAACL97w4=")</f>
        <v>#VALUE!</v>
      </c>
      <c r="P136" t="e">
        <f>AND('Planilla_General_29-11-2012_10_'!N2034,"AAAAACL97w8=")</f>
        <v>#VALUE!</v>
      </c>
      <c r="Q136" t="e">
        <f>AND('Planilla_General_29-11-2012_10_'!O2034,"AAAAACL97xA=")</f>
        <v>#VALUE!</v>
      </c>
      <c r="R136" t="e">
        <f>AND('Planilla_General_29-11-2012_10_'!P2034,"AAAAACL97xE=")</f>
        <v>#VALUE!</v>
      </c>
      <c r="S136">
        <f>IF('Planilla_General_29-11-2012_10_'!2035:2035,"AAAAACL97xI=",0)</f>
        <v>0</v>
      </c>
      <c r="T136" t="e">
        <f>AND('Planilla_General_29-11-2012_10_'!A2035,"AAAAACL97xM=")</f>
        <v>#VALUE!</v>
      </c>
      <c r="U136" t="e">
        <f>AND('Planilla_General_29-11-2012_10_'!B2035,"AAAAACL97xQ=")</f>
        <v>#VALUE!</v>
      </c>
      <c r="V136" t="e">
        <f>AND('Planilla_General_29-11-2012_10_'!C2035,"AAAAACL97xU=")</f>
        <v>#VALUE!</v>
      </c>
      <c r="W136" t="e">
        <f>AND('Planilla_General_29-11-2012_10_'!D2035,"AAAAACL97xY=")</f>
        <v>#VALUE!</v>
      </c>
      <c r="X136" t="e">
        <f>AND('Planilla_General_29-11-2012_10_'!E2035,"AAAAACL97xc=")</f>
        <v>#VALUE!</v>
      </c>
      <c r="Y136" t="e">
        <f>AND('Planilla_General_29-11-2012_10_'!F2035,"AAAAACL97xg=")</f>
        <v>#VALUE!</v>
      </c>
      <c r="Z136" t="e">
        <f>AND('Planilla_General_29-11-2012_10_'!G2035,"AAAAACL97xk=")</f>
        <v>#VALUE!</v>
      </c>
      <c r="AA136" t="e">
        <f>AND('Planilla_General_29-11-2012_10_'!H2035,"AAAAACL97xo=")</f>
        <v>#VALUE!</v>
      </c>
      <c r="AB136" t="e">
        <f>AND('Planilla_General_29-11-2012_10_'!I2035,"AAAAACL97xs=")</f>
        <v>#VALUE!</v>
      </c>
      <c r="AC136" t="e">
        <f>AND('Planilla_General_29-11-2012_10_'!J2035,"AAAAACL97xw=")</f>
        <v>#VALUE!</v>
      </c>
      <c r="AD136" t="e">
        <f>AND('Planilla_General_29-11-2012_10_'!K2035,"AAAAACL97x0=")</f>
        <v>#VALUE!</v>
      </c>
      <c r="AE136" t="e">
        <f>AND('Planilla_General_29-11-2012_10_'!L2035,"AAAAACL97x4=")</f>
        <v>#VALUE!</v>
      </c>
      <c r="AF136" t="e">
        <f>AND('Planilla_General_29-11-2012_10_'!M2035,"AAAAACL97x8=")</f>
        <v>#VALUE!</v>
      </c>
      <c r="AG136" t="e">
        <f>AND('Planilla_General_29-11-2012_10_'!N2035,"AAAAACL97yA=")</f>
        <v>#VALUE!</v>
      </c>
      <c r="AH136" t="e">
        <f>AND('Planilla_General_29-11-2012_10_'!O2035,"AAAAACL97yE=")</f>
        <v>#VALUE!</v>
      </c>
      <c r="AI136" t="e">
        <f>AND('Planilla_General_29-11-2012_10_'!P2035,"AAAAACL97yI=")</f>
        <v>#VALUE!</v>
      </c>
      <c r="AJ136">
        <f>IF('Planilla_General_29-11-2012_10_'!2036:2036,"AAAAACL97yM=",0)</f>
        <v>0</v>
      </c>
      <c r="AK136" t="e">
        <f>AND('Planilla_General_29-11-2012_10_'!A2036,"AAAAACL97yQ=")</f>
        <v>#VALUE!</v>
      </c>
      <c r="AL136" t="e">
        <f>AND('Planilla_General_29-11-2012_10_'!B2036,"AAAAACL97yU=")</f>
        <v>#VALUE!</v>
      </c>
      <c r="AM136" t="e">
        <f>AND('Planilla_General_29-11-2012_10_'!C2036,"AAAAACL97yY=")</f>
        <v>#VALUE!</v>
      </c>
      <c r="AN136" t="e">
        <f>AND('Planilla_General_29-11-2012_10_'!D2036,"AAAAACL97yc=")</f>
        <v>#VALUE!</v>
      </c>
      <c r="AO136" t="e">
        <f>AND('Planilla_General_29-11-2012_10_'!E2036,"AAAAACL97yg=")</f>
        <v>#VALUE!</v>
      </c>
      <c r="AP136" t="e">
        <f>AND('Planilla_General_29-11-2012_10_'!F2036,"AAAAACL97yk=")</f>
        <v>#VALUE!</v>
      </c>
      <c r="AQ136" t="e">
        <f>AND('Planilla_General_29-11-2012_10_'!G2036,"AAAAACL97yo=")</f>
        <v>#VALUE!</v>
      </c>
      <c r="AR136" t="e">
        <f>AND('Planilla_General_29-11-2012_10_'!H2036,"AAAAACL97ys=")</f>
        <v>#VALUE!</v>
      </c>
      <c r="AS136" t="e">
        <f>AND('Planilla_General_29-11-2012_10_'!I2036,"AAAAACL97yw=")</f>
        <v>#VALUE!</v>
      </c>
      <c r="AT136" t="e">
        <f>AND('Planilla_General_29-11-2012_10_'!J2036,"AAAAACL97y0=")</f>
        <v>#VALUE!</v>
      </c>
      <c r="AU136" t="e">
        <f>AND('Planilla_General_29-11-2012_10_'!K2036,"AAAAACL97y4=")</f>
        <v>#VALUE!</v>
      </c>
      <c r="AV136" t="e">
        <f>AND('Planilla_General_29-11-2012_10_'!L2036,"AAAAACL97y8=")</f>
        <v>#VALUE!</v>
      </c>
      <c r="AW136" t="e">
        <f>AND('Planilla_General_29-11-2012_10_'!M2036,"AAAAACL97zA=")</f>
        <v>#VALUE!</v>
      </c>
      <c r="AX136" t="e">
        <f>AND('Planilla_General_29-11-2012_10_'!N2036,"AAAAACL97zE=")</f>
        <v>#VALUE!</v>
      </c>
      <c r="AY136" t="e">
        <f>AND('Planilla_General_29-11-2012_10_'!O2036,"AAAAACL97zI=")</f>
        <v>#VALUE!</v>
      </c>
      <c r="AZ136" t="e">
        <f>AND('Planilla_General_29-11-2012_10_'!P2036,"AAAAACL97zM=")</f>
        <v>#VALUE!</v>
      </c>
      <c r="BA136">
        <f>IF('Planilla_General_29-11-2012_10_'!2037:2037,"AAAAACL97zQ=",0)</f>
        <v>0</v>
      </c>
      <c r="BB136" t="e">
        <f>AND('Planilla_General_29-11-2012_10_'!A2037,"AAAAACL97zU=")</f>
        <v>#VALUE!</v>
      </c>
      <c r="BC136" t="e">
        <f>AND('Planilla_General_29-11-2012_10_'!B2037,"AAAAACL97zY=")</f>
        <v>#VALUE!</v>
      </c>
      <c r="BD136" t="e">
        <f>AND('Planilla_General_29-11-2012_10_'!C2037,"AAAAACL97zc=")</f>
        <v>#VALUE!</v>
      </c>
      <c r="BE136" t="e">
        <f>AND('Planilla_General_29-11-2012_10_'!D2037,"AAAAACL97zg=")</f>
        <v>#VALUE!</v>
      </c>
      <c r="BF136" t="e">
        <f>AND('Planilla_General_29-11-2012_10_'!E2037,"AAAAACL97zk=")</f>
        <v>#VALUE!</v>
      </c>
      <c r="BG136" t="e">
        <f>AND('Planilla_General_29-11-2012_10_'!F2037,"AAAAACL97zo=")</f>
        <v>#VALUE!</v>
      </c>
      <c r="BH136" t="e">
        <f>AND('Planilla_General_29-11-2012_10_'!G2037,"AAAAACL97zs=")</f>
        <v>#VALUE!</v>
      </c>
      <c r="BI136" t="e">
        <f>AND('Planilla_General_29-11-2012_10_'!H2037,"AAAAACL97zw=")</f>
        <v>#VALUE!</v>
      </c>
      <c r="BJ136" t="e">
        <f>AND('Planilla_General_29-11-2012_10_'!I2037,"AAAAACL97z0=")</f>
        <v>#VALUE!</v>
      </c>
      <c r="BK136" t="e">
        <f>AND('Planilla_General_29-11-2012_10_'!J2037,"AAAAACL97z4=")</f>
        <v>#VALUE!</v>
      </c>
      <c r="BL136" t="e">
        <f>AND('Planilla_General_29-11-2012_10_'!K2037,"AAAAACL97z8=")</f>
        <v>#VALUE!</v>
      </c>
      <c r="BM136" t="e">
        <f>AND('Planilla_General_29-11-2012_10_'!L2037,"AAAAACL970A=")</f>
        <v>#VALUE!</v>
      </c>
      <c r="BN136" t="e">
        <f>AND('Planilla_General_29-11-2012_10_'!M2037,"AAAAACL970E=")</f>
        <v>#VALUE!</v>
      </c>
      <c r="BO136" t="e">
        <f>AND('Planilla_General_29-11-2012_10_'!N2037,"AAAAACL970I=")</f>
        <v>#VALUE!</v>
      </c>
      <c r="BP136" t="e">
        <f>AND('Planilla_General_29-11-2012_10_'!O2037,"AAAAACL970M=")</f>
        <v>#VALUE!</v>
      </c>
      <c r="BQ136" t="e">
        <f>AND('Planilla_General_29-11-2012_10_'!P2037,"AAAAACL970Q=")</f>
        <v>#VALUE!</v>
      </c>
      <c r="BR136">
        <f>IF('Planilla_General_29-11-2012_10_'!2038:2038,"AAAAACL970U=",0)</f>
        <v>0</v>
      </c>
      <c r="BS136" t="e">
        <f>AND('Planilla_General_29-11-2012_10_'!A2038,"AAAAACL970Y=")</f>
        <v>#VALUE!</v>
      </c>
      <c r="BT136" t="e">
        <f>AND('Planilla_General_29-11-2012_10_'!B2038,"AAAAACL970c=")</f>
        <v>#VALUE!</v>
      </c>
      <c r="BU136" t="e">
        <f>AND('Planilla_General_29-11-2012_10_'!C2038,"AAAAACL970g=")</f>
        <v>#VALUE!</v>
      </c>
      <c r="BV136" t="e">
        <f>AND('Planilla_General_29-11-2012_10_'!D2038,"AAAAACL970k=")</f>
        <v>#VALUE!</v>
      </c>
      <c r="BW136" t="e">
        <f>AND('Planilla_General_29-11-2012_10_'!E2038,"AAAAACL970o=")</f>
        <v>#VALUE!</v>
      </c>
      <c r="BX136" t="e">
        <f>AND('Planilla_General_29-11-2012_10_'!F2038,"AAAAACL970s=")</f>
        <v>#VALUE!</v>
      </c>
      <c r="BY136" t="e">
        <f>AND('Planilla_General_29-11-2012_10_'!G2038,"AAAAACL970w=")</f>
        <v>#VALUE!</v>
      </c>
      <c r="BZ136" t="e">
        <f>AND('Planilla_General_29-11-2012_10_'!H2038,"AAAAACL9700=")</f>
        <v>#VALUE!</v>
      </c>
      <c r="CA136" t="e">
        <f>AND('Planilla_General_29-11-2012_10_'!I2038,"AAAAACL9704=")</f>
        <v>#VALUE!</v>
      </c>
      <c r="CB136" t="e">
        <f>AND('Planilla_General_29-11-2012_10_'!J2038,"AAAAACL9708=")</f>
        <v>#VALUE!</v>
      </c>
      <c r="CC136" t="e">
        <f>AND('Planilla_General_29-11-2012_10_'!K2038,"AAAAACL971A=")</f>
        <v>#VALUE!</v>
      </c>
      <c r="CD136" t="e">
        <f>AND('Planilla_General_29-11-2012_10_'!L2038,"AAAAACL971E=")</f>
        <v>#VALUE!</v>
      </c>
      <c r="CE136" t="e">
        <f>AND('Planilla_General_29-11-2012_10_'!M2038,"AAAAACL971I=")</f>
        <v>#VALUE!</v>
      </c>
      <c r="CF136" t="e">
        <f>AND('Planilla_General_29-11-2012_10_'!N2038,"AAAAACL971M=")</f>
        <v>#VALUE!</v>
      </c>
      <c r="CG136" t="e">
        <f>AND('Planilla_General_29-11-2012_10_'!O2038,"AAAAACL971Q=")</f>
        <v>#VALUE!</v>
      </c>
      <c r="CH136" t="e">
        <f>AND('Planilla_General_29-11-2012_10_'!P2038,"AAAAACL971U=")</f>
        <v>#VALUE!</v>
      </c>
      <c r="CI136">
        <f>IF('Planilla_General_29-11-2012_10_'!2039:2039,"AAAAACL971Y=",0)</f>
        <v>0</v>
      </c>
      <c r="CJ136" t="e">
        <f>AND('Planilla_General_29-11-2012_10_'!A2039,"AAAAACL971c=")</f>
        <v>#VALUE!</v>
      </c>
      <c r="CK136" t="e">
        <f>AND('Planilla_General_29-11-2012_10_'!B2039,"AAAAACL971g=")</f>
        <v>#VALUE!</v>
      </c>
      <c r="CL136" t="e">
        <f>AND('Planilla_General_29-11-2012_10_'!C2039,"AAAAACL971k=")</f>
        <v>#VALUE!</v>
      </c>
      <c r="CM136" t="e">
        <f>AND('Planilla_General_29-11-2012_10_'!D2039,"AAAAACL971o=")</f>
        <v>#VALUE!</v>
      </c>
      <c r="CN136" t="e">
        <f>AND('Planilla_General_29-11-2012_10_'!E2039,"AAAAACL971s=")</f>
        <v>#VALUE!</v>
      </c>
      <c r="CO136" t="e">
        <f>AND('Planilla_General_29-11-2012_10_'!F2039,"AAAAACL971w=")</f>
        <v>#VALUE!</v>
      </c>
      <c r="CP136" t="e">
        <f>AND('Planilla_General_29-11-2012_10_'!G2039,"AAAAACL9710=")</f>
        <v>#VALUE!</v>
      </c>
      <c r="CQ136" t="e">
        <f>AND('Planilla_General_29-11-2012_10_'!H2039,"AAAAACL9714=")</f>
        <v>#VALUE!</v>
      </c>
      <c r="CR136" t="e">
        <f>AND('Planilla_General_29-11-2012_10_'!I2039,"AAAAACL9718=")</f>
        <v>#VALUE!</v>
      </c>
      <c r="CS136" t="e">
        <f>AND('Planilla_General_29-11-2012_10_'!J2039,"AAAAACL972A=")</f>
        <v>#VALUE!</v>
      </c>
      <c r="CT136" t="e">
        <f>AND('Planilla_General_29-11-2012_10_'!K2039,"AAAAACL972E=")</f>
        <v>#VALUE!</v>
      </c>
      <c r="CU136" t="e">
        <f>AND('Planilla_General_29-11-2012_10_'!L2039,"AAAAACL972I=")</f>
        <v>#VALUE!</v>
      </c>
      <c r="CV136" t="e">
        <f>AND('Planilla_General_29-11-2012_10_'!M2039,"AAAAACL972M=")</f>
        <v>#VALUE!</v>
      </c>
      <c r="CW136" t="e">
        <f>AND('Planilla_General_29-11-2012_10_'!N2039,"AAAAACL972Q=")</f>
        <v>#VALUE!</v>
      </c>
      <c r="CX136" t="e">
        <f>AND('Planilla_General_29-11-2012_10_'!O2039,"AAAAACL972U=")</f>
        <v>#VALUE!</v>
      </c>
      <c r="CY136" t="e">
        <f>AND('Planilla_General_29-11-2012_10_'!P2039,"AAAAACL972Y=")</f>
        <v>#VALUE!</v>
      </c>
      <c r="CZ136">
        <f>IF('Planilla_General_29-11-2012_10_'!2040:2040,"AAAAACL972c=",0)</f>
        <v>0</v>
      </c>
      <c r="DA136" t="e">
        <f>AND('Planilla_General_29-11-2012_10_'!A2040,"AAAAACL972g=")</f>
        <v>#VALUE!</v>
      </c>
      <c r="DB136" t="e">
        <f>AND('Planilla_General_29-11-2012_10_'!B2040,"AAAAACL972k=")</f>
        <v>#VALUE!</v>
      </c>
      <c r="DC136" t="e">
        <f>AND('Planilla_General_29-11-2012_10_'!C2040,"AAAAACL972o=")</f>
        <v>#VALUE!</v>
      </c>
      <c r="DD136" t="e">
        <f>AND('Planilla_General_29-11-2012_10_'!D2040,"AAAAACL972s=")</f>
        <v>#VALUE!</v>
      </c>
      <c r="DE136" t="e">
        <f>AND('Planilla_General_29-11-2012_10_'!E2040,"AAAAACL972w=")</f>
        <v>#VALUE!</v>
      </c>
      <c r="DF136" t="e">
        <f>AND('Planilla_General_29-11-2012_10_'!F2040,"AAAAACL9720=")</f>
        <v>#VALUE!</v>
      </c>
      <c r="DG136" t="e">
        <f>AND('Planilla_General_29-11-2012_10_'!G2040,"AAAAACL9724=")</f>
        <v>#VALUE!</v>
      </c>
      <c r="DH136" t="e">
        <f>AND('Planilla_General_29-11-2012_10_'!H2040,"AAAAACL9728=")</f>
        <v>#VALUE!</v>
      </c>
      <c r="DI136" t="e">
        <f>AND('Planilla_General_29-11-2012_10_'!I2040,"AAAAACL973A=")</f>
        <v>#VALUE!</v>
      </c>
      <c r="DJ136" t="e">
        <f>AND('Planilla_General_29-11-2012_10_'!J2040,"AAAAACL973E=")</f>
        <v>#VALUE!</v>
      </c>
      <c r="DK136" t="e">
        <f>AND('Planilla_General_29-11-2012_10_'!K2040,"AAAAACL973I=")</f>
        <v>#VALUE!</v>
      </c>
      <c r="DL136" t="e">
        <f>AND('Planilla_General_29-11-2012_10_'!L2040,"AAAAACL973M=")</f>
        <v>#VALUE!</v>
      </c>
      <c r="DM136" t="e">
        <f>AND('Planilla_General_29-11-2012_10_'!M2040,"AAAAACL973Q=")</f>
        <v>#VALUE!</v>
      </c>
      <c r="DN136" t="e">
        <f>AND('Planilla_General_29-11-2012_10_'!N2040,"AAAAACL973U=")</f>
        <v>#VALUE!</v>
      </c>
      <c r="DO136" t="e">
        <f>AND('Planilla_General_29-11-2012_10_'!O2040,"AAAAACL973Y=")</f>
        <v>#VALUE!</v>
      </c>
      <c r="DP136" t="e">
        <f>AND('Planilla_General_29-11-2012_10_'!P2040,"AAAAACL973c=")</f>
        <v>#VALUE!</v>
      </c>
      <c r="DQ136">
        <f>IF('Planilla_General_29-11-2012_10_'!2041:2041,"AAAAACL973g=",0)</f>
        <v>0</v>
      </c>
      <c r="DR136" t="e">
        <f>AND('Planilla_General_29-11-2012_10_'!A2041,"AAAAACL973k=")</f>
        <v>#VALUE!</v>
      </c>
      <c r="DS136" t="e">
        <f>AND('Planilla_General_29-11-2012_10_'!B2041,"AAAAACL973o=")</f>
        <v>#VALUE!</v>
      </c>
      <c r="DT136" t="e">
        <f>AND('Planilla_General_29-11-2012_10_'!C2041,"AAAAACL973s=")</f>
        <v>#VALUE!</v>
      </c>
      <c r="DU136" t="e">
        <f>AND('Planilla_General_29-11-2012_10_'!D2041,"AAAAACL973w=")</f>
        <v>#VALUE!</v>
      </c>
      <c r="DV136" t="e">
        <f>AND('Planilla_General_29-11-2012_10_'!E2041,"AAAAACL9730=")</f>
        <v>#VALUE!</v>
      </c>
      <c r="DW136" t="e">
        <f>AND('Planilla_General_29-11-2012_10_'!F2041,"AAAAACL9734=")</f>
        <v>#VALUE!</v>
      </c>
      <c r="DX136" t="e">
        <f>AND('Planilla_General_29-11-2012_10_'!G2041,"AAAAACL9738=")</f>
        <v>#VALUE!</v>
      </c>
      <c r="DY136" t="e">
        <f>AND('Planilla_General_29-11-2012_10_'!H2041,"AAAAACL974A=")</f>
        <v>#VALUE!</v>
      </c>
      <c r="DZ136" t="e">
        <f>AND('Planilla_General_29-11-2012_10_'!I2041,"AAAAACL974E=")</f>
        <v>#VALUE!</v>
      </c>
      <c r="EA136" t="e">
        <f>AND('Planilla_General_29-11-2012_10_'!J2041,"AAAAACL974I=")</f>
        <v>#VALUE!</v>
      </c>
      <c r="EB136" t="e">
        <f>AND('Planilla_General_29-11-2012_10_'!K2041,"AAAAACL974M=")</f>
        <v>#VALUE!</v>
      </c>
      <c r="EC136" t="e">
        <f>AND('Planilla_General_29-11-2012_10_'!L2041,"AAAAACL974Q=")</f>
        <v>#VALUE!</v>
      </c>
      <c r="ED136" t="e">
        <f>AND('Planilla_General_29-11-2012_10_'!M2041,"AAAAACL974U=")</f>
        <v>#VALUE!</v>
      </c>
      <c r="EE136" t="e">
        <f>AND('Planilla_General_29-11-2012_10_'!N2041,"AAAAACL974Y=")</f>
        <v>#VALUE!</v>
      </c>
      <c r="EF136" t="e">
        <f>AND('Planilla_General_29-11-2012_10_'!O2041,"AAAAACL974c=")</f>
        <v>#VALUE!</v>
      </c>
      <c r="EG136" t="e">
        <f>AND('Planilla_General_29-11-2012_10_'!P2041,"AAAAACL974g=")</f>
        <v>#VALUE!</v>
      </c>
      <c r="EH136">
        <f>IF('Planilla_General_29-11-2012_10_'!2042:2042,"AAAAACL974k=",0)</f>
        <v>0</v>
      </c>
      <c r="EI136" t="e">
        <f>AND('Planilla_General_29-11-2012_10_'!A2042,"AAAAACL974o=")</f>
        <v>#VALUE!</v>
      </c>
      <c r="EJ136" t="e">
        <f>AND('Planilla_General_29-11-2012_10_'!B2042,"AAAAACL974s=")</f>
        <v>#VALUE!</v>
      </c>
      <c r="EK136" t="e">
        <f>AND('Planilla_General_29-11-2012_10_'!C2042,"AAAAACL974w=")</f>
        <v>#VALUE!</v>
      </c>
      <c r="EL136" t="e">
        <f>AND('Planilla_General_29-11-2012_10_'!D2042,"AAAAACL9740=")</f>
        <v>#VALUE!</v>
      </c>
      <c r="EM136" t="e">
        <f>AND('Planilla_General_29-11-2012_10_'!E2042,"AAAAACL9744=")</f>
        <v>#VALUE!</v>
      </c>
      <c r="EN136" t="e">
        <f>AND('Planilla_General_29-11-2012_10_'!F2042,"AAAAACL9748=")</f>
        <v>#VALUE!</v>
      </c>
      <c r="EO136" t="e">
        <f>AND('Planilla_General_29-11-2012_10_'!G2042,"AAAAACL975A=")</f>
        <v>#VALUE!</v>
      </c>
      <c r="EP136" t="e">
        <f>AND('Planilla_General_29-11-2012_10_'!H2042,"AAAAACL975E=")</f>
        <v>#VALUE!</v>
      </c>
      <c r="EQ136" t="e">
        <f>AND('Planilla_General_29-11-2012_10_'!I2042,"AAAAACL975I=")</f>
        <v>#VALUE!</v>
      </c>
      <c r="ER136" t="e">
        <f>AND('Planilla_General_29-11-2012_10_'!J2042,"AAAAACL975M=")</f>
        <v>#VALUE!</v>
      </c>
      <c r="ES136" t="e">
        <f>AND('Planilla_General_29-11-2012_10_'!K2042,"AAAAACL975Q=")</f>
        <v>#VALUE!</v>
      </c>
      <c r="ET136" t="e">
        <f>AND('Planilla_General_29-11-2012_10_'!L2042,"AAAAACL975U=")</f>
        <v>#VALUE!</v>
      </c>
      <c r="EU136" t="e">
        <f>AND('Planilla_General_29-11-2012_10_'!M2042,"AAAAACL975Y=")</f>
        <v>#VALUE!</v>
      </c>
      <c r="EV136" t="e">
        <f>AND('Planilla_General_29-11-2012_10_'!N2042,"AAAAACL975c=")</f>
        <v>#VALUE!</v>
      </c>
      <c r="EW136" t="e">
        <f>AND('Planilla_General_29-11-2012_10_'!O2042,"AAAAACL975g=")</f>
        <v>#VALUE!</v>
      </c>
      <c r="EX136" t="e">
        <f>AND('Planilla_General_29-11-2012_10_'!P2042,"AAAAACL975k=")</f>
        <v>#VALUE!</v>
      </c>
      <c r="EY136">
        <f>IF('Planilla_General_29-11-2012_10_'!2043:2043,"AAAAACL975o=",0)</f>
        <v>0</v>
      </c>
      <c r="EZ136" t="e">
        <f>AND('Planilla_General_29-11-2012_10_'!A2043,"AAAAACL975s=")</f>
        <v>#VALUE!</v>
      </c>
      <c r="FA136" t="e">
        <f>AND('Planilla_General_29-11-2012_10_'!B2043,"AAAAACL975w=")</f>
        <v>#VALUE!</v>
      </c>
      <c r="FB136" t="e">
        <f>AND('Planilla_General_29-11-2012_10_'!C2043,"AAAAACL9750=")</f>
        <v>#VALUE!</v>
      </c>
      <c r="FC136" t="e">
        <f>AND('Planilla_General_29-11-2012_10_'!D2043,"AAAAACL9754=")</f>
        <v>#VALUE!</v>
      </c>
      <c r="FD136" t="e">
        <f>AND('Planilla_General_29-11-2012_10_'!E2043,"AAAAACL9758=")</f>
        <v>#VALUE!</v>
      </c>
      <c r="FE136" t="e">
        <f>AND('Planilla_General_29-11-2012_10_'!F2043,"AAAAACL976A=")</f>
        <v>#VALUE!</v>
      </c>
      <c r="FF136" t="e">
        <f>AND('Planilla_General_29-11-2012_10_'!G2043,"AAAAACL976E=")</f>
        <v>#VALUE!</v>
      </c>
      <c r="FG136" t="e">
        <f>AND('Planilla_General_29-11-2012_10_'!H2043,"AAAAACL976I=")</f>
        <v>#VALUE!</v>
      </c>
      <c r="FH136" t="e">
        <f>AND('Planilla_General_29-11-2012_10_'!I2043,"AAAAACL976M=")</f>
        <v>#VALUE!</v>
      </c>
      <c r="FI136" t="e">
        <f>AND('Planilla_General_29-11-2012_10_'!J2043,"AAAAACL976Q=")</f>
        <v>#VALUE!</v>
      </c>
      <c r="FJ136" t="e">
        <f>AND('Planilla_General_29-11-2012_10_'!K2043,"AAAAACL976U=")</f>
        <v>#VALUE!</v>
      </c>
      <c r="FK136" t="e">
        <f>AND('Planilla_General_29-11-2012_10_'!L2043,"AAAAACL976Y=")</f>
        <v>#VALUE!</v>
      </c>
      <c r="FL136" t="e">
        <f>AND('Planilla_General_29-11-2012_10_'!M2043,"AAAAACL976c=")</f>
        <v>#VALUE!</v>
      </c>
      <c r="FM136" t="e">
        <f>AND('Planilla_General_29-11-2012_10_'!N2043,"AAAAACL976g=")</f>
        <v>#VALUE!</v>
      </c>
      <c r="FN136" t="e">
        <f>AND('Planilla_General_29-11-2012_10_'!O2043,"AAAAACL976k=")</f>
        <v>#VALUE!</v>
      </c>
      <c r="FO136" t="e">
        <f>AND('Planilla_General_29-11-2012_10_'!P2043,"AAAAACL976o=")</f>
        <v>#VALUE!</v>
      </c>
      <c r="FP136">
        <f>IF('Planilla_General_29-11-2012_10_'!2044:2044,"AAAAACL976s=",0)</f>
        <v>0</v>
      </c>
      <c r="FQ136" t="e">
        <f>AND('Planilla_General_29-11-2012_10_'!A2044,"AAAAACL976w=")</f>
        <v>#VALUE!</v>
      </c>
      <c r="FR136" t="e">
        <f>AND('Planilla_General_29-11-2012_10_'!B2044,"AAAAACL9760=")</f>
        <v>#VALUE!</v>
      </c>
      <c r="FS136" t="e">
        <f>AND('Planilla_General_29-11-2012_10_'!C2044,"AAAAACL9764=")</f>
        <v>#VALUE!</v>
      </c>
      <c r="FT136" t="e">
        <f>AND('Planilla_General_29-11-2012_10_'!D2044,"AAAAACL9768=")</f>
        <v>#VALUE!</v>
      </c>
      <c r="FU136" t="e">
        <f>AND('Planilla_General_29-11-2012_10_'!E2044,"AAAAACL977A=")</f>
        <v>#VALUE!</v>
      </c>
      <c r="FV136" t="e">
        <f>AND('Planilla_General_29-11-2012_10_'!F2044,"AAAAACL977E=")</f>
        <v>#VALUE!</v>
      </c>
      <c r="FW136" t="e">
        <f>AND('Planilla_General_29-11-2012_10_'!G2044,"AAAAACL977I=")</f>
        <v>#VALUE!</v>
      </c>
      <c r="FX136" t="e">
        <f>AND('Planilla_General_29-11-2012_10_'!H2044,"AAAAACL977M=")</f>
        <v>#VALUE!</v>
      </c>
      <c r="FY136" t="e">
        <f>AND('Planilla_General_29-11-2012_10_'!I2044,"AAAAACL977Q=")</f>
        <v>#VALUE!</v>
      </c>
      <c r="FZ136" t="e">
        <f>AND('Planilla_General_29-11-2012_10_'!J2044,"AAAAACL977U=")</f>
        <v>#VALUE!</v>
      </c>
      <c r="GA136" t="e">
        <f>AND('Planilla_General_29-11-2012_10_'!K2044,"AAAAACL977Y=")</f>
        <v>#VALUE!</v>
      </c>
      <c r="GB136" t="e">
        <f>AND('Planilla_General_29-11-2012_10_'!L2044,"AAAAACL977c=")</f>
        <v>#VALUE!</v>
      </c>
      <c r="GC136" t="e">
        <f>AND('Planilla_General_29-11-2012_10_'!M2044,"AAAAACL977g=")</f>
        <v>#VALUE!</v>
      </c>
      <c r="GD136" t="e">
        <f>AND('Planilla_General_29-11-2012_10_'!N2044,"AAAAACL977k=")</f>
        <v>#VALUE!</v>
      </c>
      <c r="GE136" t="e">
        <f>AND('Planilla_General_29-11-2012_10_'!O2044,"AAAAACL977o=")</f>
        <v>#VALUE!</v>
      </c>
      <c r="GF136" t="e">
        <f>AND('Planilla_General_29-11-2012_10_'!P2044,"AAAAACL977s=")</f>
        <v>#VALUE!</v>
      </c>
      <c r="GG136">
        <f>IF('Planilla_General_29-11-2012_10_'!2045:2045,"AAAAACL977w=",0)</f>
        <v>0</v>
      </c>
      <c r="GH136" t="e">
        <f>AND('Planilla_General_29-11-2012_10_'!A2045,"AAAAACL9770=")</f>
        <v>#VALUE!</v>
      </c>
      <c r="GI136" t="e">
        <f>AND('Planilla_General_29-11-2012_10_'!B2045,"AAAAACL9774=")</f>
        <v>#VALUE!</v>
      </c>
      <c r="GJ136" t="e">
        <f>AND('Planilla_General_29-11-2012_10_'!C2045,"AAAAACL9778=")</f>
        <v>#VALUE!</v>
      </c>
      <c r="GK136" t="e">
        <f>AND('Planilla_General_29-11-2012_10_'!D2045,"AAAAACL978A=")</f>
        <v>#VALUE!</v>
      </c>
      <c r="GL136" t="e">
        <f>AND('Planilla_General_29-11-2012_10_'!E2045,"AAAAACL978E=")</f>
        <v>#VALUE!</v>
      </c>
      <c r="GM136" t="e">
        <f>AND('Planilla_General_29-11-2012_10_'!F2045,"AAAAACL978I=")</f>
        <v>#VALUE!</v>
      </c>
      <c r="GN136" t="e">
        <f>AND('Planilla_General_29-11-2012_10_'!G2045,"AAAAACL978M=")</f>
        <v>#VALUE!</v>
      </c>
      <c r="GO136" t="e">
        <f>AND('Planilla_General_29-11-2012_10_'!H2045,"AAAAACL978Q=")</f>
        <v>#VALUE!</v>
      </c>
      <c r="GP136" t="e">
        <f>AND('Planilla_General_29-11-2012_10_'!I2045,"AAAAACL978U=")</f>
        <v>#VALUE!</v>
      </c>
      <c r="GQ136" t="e">
        <f>AND('Planilla_General_29-11-2012_10_'!J2045,"AAAAACL978Y=")</f>
        <v>#VALUE!</v>
      </c>
      <c r="GR136" t="e">
        <f>AND('Planilla_General_29-11-2012_10_'!K2045,"AAAAACL978c=")</f>
        <v>#VALUE!</v>
      </c>
      <c r="GS136" t="e">
        <f>AND('Planilla_General_29-11-2012_10_'!L2045,"AAAAACL978g=")</f>
        <v>#VALUE!</v>
      </c>
      <c r="GT136" t="e">
        <f>AND('Planilla_General_29-11-2012_10_'!M2045,"AAAAACL978k=")</f>
        <v>#VALUE!</v>
      </c>
      <c r="GU136" t="e">
        <f>AND('Planilla_General_29-11-2012_10_'!N2045,"AAAAACL978o=")</f>
        <v>#VALUE!</v>
      </c>
      <c r="GV136" t="e">
        <f>AND('Planilla_General_29-11-2012_10_'!O2045,"AAAAACL978s=")</f>
        <v>#VALUE!</v>
      </c>
      <c r="GW136" t="e">
        <f>AND('Planilla_General_29-11-2012_10_'!P2045,"AAAAACL978w=")</f>
        <v>#VALUE!</v>
      </c>
      <c r="GX136">
        <f>IF('Planilla_General_29-11-2012_10_'!2046:2046,"AAAAACL9780=",0)</f>
        <v>0</v>
      </c>
      <c r="GY136" t="e">
        <f>AND('Planilla_General_29-11-2012_10_'!A2046,"AAAAACL9784=")</f>
        <v>#VALUE!</v>
      </c>
      <c r="GZ136" t="e">
        <f>AND('Planilla_General_29-11-2012_10_'!B2046,"AAAAACL9788=")</f>
        <v>#VALUE!</v>
      </c>
      <c r="HA136" t="e">
        <f>AND('Planilla_General_29-11-2012_10_'!C2046,"AAAAACL979A=")</f>
        <v>#VALUE!</v>
      </c>
      <c r="HB136" t="e">
        <f>AND('Planilla_General_29-11-2012_10_'!D2046,"AAAAACL979E=")</f>
        <v>#VALUE!</v>
      </c>
      <c r="HC136" t="e">
        <f>AND('Planilla_General_29-11-2012_10_'!E2046,"AAAAACL979I=")</f>
        <v>#VALUE!</v>
      </c>
      <c r="HD136" t="e">
        <f>AND('Planilla_General_29-11-2012_10_'!F2046,"AAAAACL979M=")</f>
        <v>#VALUE!</v>
      </c>
      <c r="HE136" t="e">
        <f>AND('Planilla_General_29-11-2012_10_'!G2046,"AAAAACL979Q=")</f>
        <v>#VALUE!</v>
      </c>
      <c r="HF136" t="e">
        <f>AND('Planilla_General_29-11-2012_10_'!H2046,"AAAAACL979U=")</f>
        <v>#VALUE!</v>
      </c>
      <c r="HG136" t="e">
        <f>AND('Planilla_General_29-11-2012_10_'!I2046,"AAAAACL979Y=")</f>
        <v>#VALUE!</v>
      </c>
      <c r="HH136" t="e">
        <f>AND('Planilla_General_29-11-2012_10_'!J2046,"AAAAACL979c=")</f>
        <v>#VALUE!</v>
      </c>
      <c r="HI136" t="e">
        <f>AND('Planilla_General_29-11-2012_10_'!K2046,"AAAAACL979g=")</f>
        <v>#VALUE!</v>
      </c>
      <c r="HJ136" t="e">
        <f>AND('Planilla_General_29-11-2012_10_'!L2046,"AAAAACL979k=")</f>
        <v>#VALUE!</v>
      </c>
      <c r="HK136" t="e">
        <f>AND('Planilla_General_29-11-2012_10_'!M2046,"AAAAACL979o=")</f>
        <v>#VALUE!</v>
      </c>
      <c r="HL136" t="e">
        <f>AND('Planilla_General_29-11-2012_10_'!N2046,"AAAAACL979s=")</f>
        <v>#VALUE!</v>
      </c>
      <c r="HM136" t="e">
        <f>AND('Planilla_General_29-11-2012_10_'!O2046,"AAAAACL979w=")</f>
        <v>#VALUE!</v>
      </c>
      <c r="HN136" t="e">
        <f>AND('Planilla_General_29-11-2012_10_'!P2046,"AAAAACL9790=")</f>
        <v>#VALUE!</v>
      </c>
      <c r="HO136">
        <f>IF('Planilla_General_29-11-2012_10_'!2047:2047,"AAAAACL9794=",0)</f>
        <v>0</v>
      </c>
      <c r="HP136" t="e">
        <f>AND('Planilla_General_29-11-2012_10_'!A2047,"AAAAACL9798=")</f>
        <v>#VALUE!</v>
      </c>
      <c r="HQ136" t="e">
        <f>AND('Planilla_General_29-11-2012_10_'!B2047,"AAAAACL97+A=")</f>
        <v>#VALUE!</v>
      </c>
      <c r="HR136" t="e">
        <f>AND('Planilla_General_29-11-2012_10_'!C2047,"AAAAACL97+E=")</f>
        <v>#VALUE!</v>
      </c>
      <c r="HS136" t="e">
        <f>AND('Planilla_General_29-11-2012_10_'!D2047,"AAAAACL97+I=")</f>
        <v>#VALUE!</v>
      </c>
      <c r="HT136" t="e">
        <f>AND('Planilla_General_29-11-2012_10_'!E2047,"AAAAACL97+M=")</f>
        <v>#VALUE!</v>
      </c>
      <c r="HU136" t="e">
        <f>AND('Planilla_General_29-11-2012_10_'!F2047,"AAAAACL97+Q=")</f>
        <v>#VALUE!</v>
      </c>
      <c r="HV136" t="e">
        <f>AND('Planilla_General_29-11-2012_10_'!G2047,"AAAAACL97+U=")</f>
        <v>#VALUE!</v>
      </c>
      <c r="HW136" t="e">
        <f>AND('Planilla_General_29-11-2012_10_'!H2047,"AAAAACL97+Y=")</f>
        <v>#VALUE!</v>
      </c>
      <c r="HX136" t="e">
        <f>AND('Planilla_General_29-11-2012_10_'!I2047,"AAAAACL97+c=")</f>
        <v>#VALUE!</v>
      </c>
      <c r="HY136" t="e">
        <f>AND('Planilla_General_29-11-2012_10_'!J2047,"AAAAACL97+g=")</f>
        <v>#VALUE!</v>
      </c>
      <c r="HZ136" t="e">
        <f>AND('Planilla_General_29-11-2012_10_'!K2047,"AAAAACL97+k=")</f>
        <v>#VALUE!</v>
      </c>
      <c r="IA136" t="e">
        <f>AND('Planilla_General_29-11-2012_10_'!L2047,"AAAAACL97+o=")</f>
        <v>#VALUE!</v>
      </c>
      <c r="IB136" t="e">
        <f>AND('Planilla_General_29-11-2012_10_'!M2047,"AAAAACL97+s=")</f>
        <v>#VALUE!</v>
      </c>
      <c r="IC136" t="e">
        <f>AND('Planilla_General_29-11-2012_10_'!N2047,"AAAAACL97+w=")</f>
        <v>#VALUE!</v>
      </c>
      <c r="ID136" t="e">
        <f>AND('Planilla_General_29-11-2012_10_'!O2047,"AAAAACL97+0=")</f>
        <v>#VALUE!</v>
      </c>
      <c r="IE136" t="e">
        <f>AND('Planilla_General_29-11-2012_10_'!P2047,"AAAAACL97+4=")</f>
        <v>#VALUE!</v>
      </c>
      <c r="IF136">
        <f>IF('Planilla_General_29-11-2012_10_'!2048:2048,"AAAAACL97+8=",0)</f>
        <v>0</v>
      </c>
      <c r="IG136" t="e">
        <f>AND('Planilla_General_29-11-2012_10_'!A2048,"AAAAACL97/A=")</f>
        <v>#VALUE!</v>
      </c>
      <c r="IH136" t="e">
        <f>AND('Planilla_General_29-11-2012_10_'!B2048,"AAAAACL97/E=")</f>
        <v>#VALUE!</v>
      </c>
      <c r="II136" t="e">
        <f>AND('Planilla_General_29-11-2012_10_'!C2048,"AAAAACL97/I=")</f>
        <v>#VALUE!</v>
      </c>
      <c r="IJ136" t="e">
        <f>AND('Planilla_General_29-11-2012_10_'!D2048,"AAAAACL97/M=")</f>
        <v>#VALUE!</v>
      </c>
      <c r="IK136" t="e">
        <f>AND('Planilla_General_29-11-2012_10_'!E2048,"AAAAACL97/Q=")</f>
        <v>#VALUE!</v>
      </c>
      <c r="IL136" t="e">
        <f>AND('Planilla_General_29-11-2012_10_'!F2048,"AAAAACL97/U=")</f>
        <v>#VALUE!</v>
      </c>
      <c r="IM136" t="e">
        <f>AND('Planilla_General_29-11-2012_10_'!G2048,"AAAAACL97/Y=")</f>
        <v>#VALUE!</v>
      </c>
      <c r="IN136" t="e">
        <f>AND('Planilla_General_29-11-2012_10_'!H2048,"AAAAACL97/c=")</f>
        <v>#VALUE!</v>
      </c>
      <c r="IO136" t="e">
        <f>AND('Planilla_General_29-11-2012_10_'!I2048,"AAAAACL97/g=")</f>
        <v>#VALUE!</v>
      </c>
      <c r="IP136" t="e">
        <f>AND('Planilla_General_29-11-2012_10_'!J2048,"AAAAACL97/k=")</f>
        <v>#VALUE!</v>
      </c>
      <c r="IQ136" t="e">
        <f>AND('Planilla_General_29-11-2012_10_'!K2048,"AAAAACL97/o=")</f>
        <v>#VALUE!</v>
      </c>
      <c r="IR136" t="e">
        <f>AND('Planilla_General_29-11-2012_10_'!L2048,"AAAAACL97/s=")</f>
        <v>#VALUE!</v>
      </c>
      <c r="IS136" t="e">
        <f>AND('Planilla_General_29-11-2012_10_'!M2048,"AAAAACL97/w=")</f>
        <v>#VALUE!</v>
      </c>
      <c r="IT136" t="e">
        <f>AND('Planilla_General_29-11-2012_10_'!N2048,"AAAAACL97/0=")</f>
        <v>#VALUE!</v>
      </c>
      <c r="IU136" t="e">
        <f>AND('Planilla_General_29-11-2012_10_'!O2048,"AAAAACL97/4=")</f>
        <v>#VALUE!</v>
      </c>
      <c r="IV136" t="e">
        <f>AND('Planilla_General_29-11-2012_10_'!P2048,"AAAAACL97/8=")</f>
        <v>#VALUE!</v>
      </c>
    </row>
    <row r="137" spans="1:256" x14ac:dyDescent="0.25">
      <c r="A137" t="e">
        <f>IF('Planilla_General_29-11-2012_10_'!2049:2049,"AAAAAHtr/wA=",0)</f>
        <v>#VALUE!</v>
      </c>
      <c r="B137" t="e">
        <f>AND('Planilla_General_29-11-2012_10_'!A2049,"AAAAAHtr/wE=")</f>
        <v>#VALUE!</v>
      </c>
      <c r="C137" t="e">
        <f>AND('Planilla_General_29-11-2012_10_'!B2049,"AAAAAHtr/wI=")</f>
        <v>#VALUE!</v>
      </c>
      <c r="D137" t="e">
        <f>AND('Planilla_General_29-11-2012_10_'!C2049,"AAAAAHtr/wM=")</f>
        <v>#VALUE!</v>
      </c>
      <c r="E137" t="e">
        <f>AND('Planilla_General_29-11-2012_10_'!D2049,"AAAAAHtr/wQ=")</f>
        <v>#VALUE!</v>
      </c>
      <c r="F137" t="e">
        <f>AND('Planilla_General_29-11-2012_10_'!E2049,"AAAAAHtr/wU=")</f>
        <v>#VALUE!</v>
      </c>
      <c r="G137" t="e">
        <f>AND('Planilla_General_29-11-2012_10_'!F2049,"AAAAAHtr/wY=")</f>
        <v>#VALUE!</v>
      </c>
      <c r="H137" t="e">
        <f>AND('Planilla_General_29-11-2012_10_'!G2049,"AAAAAHtr/wc=")</f>
        <v>#VALUE!</v>
      </c>
      <c r="I137" t="e">
        <f>AND('Planilla_General_29-11-2012_10_'!H2049,"AAAAAHtr/wg=")</f>
        <v>#VALUE!</v>
      </c>
      <c r="J137" t="e">
        <f>AND('Planilla_General_29-11-2012_10_'!I2049,"AAAAAHtr/wk=")</f>
        <v>#VALUE!</v>
      </c>
      <c r="K137" t="e">
        <f>AND('Planilla_General_29-11-2012_10_'!J2049,"AAAAAHtr/wo=")</f>
        <v>#VALUE!</v>
      </c>
      <c r="L137" t="e">
        <f>AND('Planilla_General_29-11-2012_10_'!K2049,"AAAAAHtr/ws=")</f>
        <v>#VALUE!</v>
      </c>
      <c r="M137" t="e">
        <f>AND('Planilla_General_29-11-2012_10_'!L2049,"AAAAAHtr/ww=")</f>
        <v>#VALUE!</v>
      </c>
      <c r="N137" t="e">
        <f>AND('Planilla_General_29-11-2012_10_'!M2049,"AAAAAHtr/w0=")</f>
        <v>#VALUE!</v>
      </c>
      <c r="O137" t="e">
        <f>AND('Planilla_General_29-11-2012_10_'!N2049,"AAAAAHtr/w4=")</f>
        <v>#VALUE!</v>
      </c>
      <c r="P137" t="e">
        <f>AND('Planilla_General_29-11-2012_10_'!O2049,"AAAAAHtr/w8=")</f>
        <v>#VALUE!</v>
      </c>
      <c r="Q137" t="e">
        <f>AND('Planilla_General_29-11-2012_10_'!P2049,"AAAAAHtr/xA=")</f>
        <v>#VALUE!</v>
      </c>
      <c r="R137">
        <f>IF('Planilla_General_29-11-2012_10_'!2050:2050,"AAAAAHtr/xE=",0)</f>
        <v>0</v>
      </c>
      <c r="S137" t="e">
        <f>AND('Planilla_General_29-11-2012_10_'!A2050,"AAAAAHtr/xI=")</f>
        <v>#VALUE!</v>
      </c>
      <c r="T137" t="e">
        <f>AND('Planilla_General_29-11-2012_10_'!B2050,"AAAAAHtr/xM=")</f>
        <v>#VALUE!</v>
      </c>
      <c r="U137" t="e">
        <f>AND('Planilla_General_29-11-2012_10_'!C2050,"AAAAAHtr/xQ=")</f>
        <v>#VALUE!</v>
      </c>
      <c r="V137" t="e">
        <f>AND('Planilla_General_29-11-2012_10_'!D2050,"AAAAAHtr/xU=")</f>
        <v>#VALUE!</v>
      </c>
      <c r="W137" t="e">
        <f>AND('Planilla_General_29-11-2012_10_'!E2050,"AAAAAHtr/xY=")</f>
        <v>#VALUE!</v>
      </c>
      <c r="X137" t="e">
        <f>AND('Planilla_General_29-11-2012_10_'!F2050,"AAAAAHtr/xc=")</f>
        <v>#VALUE!</v>
      </c>
      <c r="Y137" t="e">
        <f>AND('Planilla_General_29-11-2012_10_'!G2050,"AAAAAHtr/xg=")</f>
        <v>#VALUE!</v>
      </c>
      <c r="Z137" t="e">
        <f>AND('Planilla_General_29-11-2012_10_'!H2050,"AAAAAHtr/xk=")</f>
        <v>#VALUE!</v>
      </c>
      <c r="AA137" t="e">
        <f>AND('Planilla_General_29-11-2012_10_'!I2050,"AAAAAHtr/xo=")</f>
        <v>#VALUE!</v>
      </c>
      <c r="AB137" t="e">
        <f>AND('Planilla_General_29-11-2012_10_'!J2050,"AAAAAHtr/xs=")</f>
        <v>#VALUE!</v>
      </c>
      <c r="AC137" t="e">
        <f>AND('Planilla_General_29-11-2012_10_'!K2050,"AAAAAHtr/xw=")</f>
        <v>#VALUE!</v>
      </c>
      <c r="AD137" t="e">
        <f>AND('Planilla_General_29-11-2012_10_'!L2050,"AAAAAHtr/x0=")</f>
        <v>#VALUE!</v>
      </c>
      <c r="AE137" t="e">
        <f>AND('Planilla_General_29-11-2012_10_'!M2050,"AAAAAHtr/x4=")</f>
        <v>#VALUE!</v>
      </c>
      <c r="AF137" t="e">
        <f>AND('Planilla_General_29-11-2012_10_'!N2050,"AAAAAHtr/x8=")</f>
        <v>#VALUE!</v>
      </c>
      <c r="AG137" t="e">
        <f>AND('Planilla_General_29-11-2012_10_'!O2050,"AAAAAHtr/yA=")</f>
        <v>#VALUE!</v>
      </c>
      <c r="AH137" t="e">
        <f>AND('Planilla_General_29-11-2012_10_'!P2050,"AAAAAHtr/yE=")</f>
        <v>#VALUE!</v>
      </c>
      <c r="AI137">
        <f>IF('Planilla_General_29-11-2012_10_'!2051:2051,"AAAAAHtr/yI=",0)</f>
        <v>0</v>
      </c>
      <c r="AJ137" t="e">
        <f>AND('Planilla_General_29-11-2012_10_'!A2051,"AAAAAHtr/yM=")</f>
        <v>#VALUE!</v>
      </c>
      <c r="AK137" t="e">
        <f>AND('Planilla_General_29-11-2012_10_'!B2051,"AAAAAHtr/yQ=")</f>
        <v>#VALUE!</v>
      </c>
      <c r="AL137" t="e">
        <f>AND('Planilla_General_29-11-2012_10_'!C2051,"AAAAAHtr/yU=")</f>
        <v>#VALUE!</v>
      </c>
      <c r="AM137" t="e">
        <f>AND('Planilla_General_29-11-2012_10_'!D2051,"AAAAAHtr/yY=")</f>
        <v>#VALUE!</v>
      </c>
      <c r="AN137" t="e">
        <f>AND('Planilla_General_29-11-2012_10_'!E2051,"AAAAAHtr/yc=")</f>
        <v>#VALUE!</v>
      </c>
      <c r="AO137" t="e">
        <f>AND('Planilla_General_29-11-2012_10_'!F2051,"AAAAAHtr/yg=")</f>
        <v>#VALUE!</v>
      </c>
      <c r="AP137" t="e">
        <f>AND('Planilla_General_29-11-2012_10_'!G2051,"AAAAAHtr/yk=")</f>
        <v>#VALUE!</v>
      </c>
      <c r="AQ137" t="e">
        <f>AND('Planilla_General_29-11-2012_10_'!H2051,"AAAAAHtr/yo=")</f>
        <v>#VALUE!</v>
      </c>
      <c r="AR137" t="e">
        <f>AND('Planilla_General_29-11-2012_10_'!I2051,"AAAAAHtr/ys=")</f>
        <v>#VALUE!</v>
      </c>
      <c r="AS137" t="e">
        <f>AND('Planilla_General_29-11-2012_10_'!J2051,"AAAAAHtr/yw=")</f>
        <v>#VALUE!</v>
      </c>
      <c r="AT137" t="e">
        <f>AND('Planilla_General_29-11-2012_10_'!K2051,"AAAAAHtr/y0=")</f>
        <v>#VALUE!</v>
      </c>
      <c r="AU137" t="e">
        <f>AND('Planilla_General_29-11-2012_10_'!L2051,"AAAAAHtr/y4=")</f>
        <v>#VALUE!</v>
      </c>
      <c r="AV137" t="e">
        <f>AND('Planilla_General_29-11-2012_10_'!M2051,"AAAAAHtr/y8=")</f>
        <v>#VALUE!</v>
      </c>
      <c r="AW137" t="e">
        <f>AND('Planilla_General_29-11-2012_10_'!N2051,"AAAAAHtr/zA=")</f>
        <v>#VALUE!</v>
      </c>
      <c r="AX137" t="e">
        <f>AND('Planilla_General_29-11-2012_10_'!O2051,"AAAAAHtr/zE=")</f>
        <v>#VALUE!</v>
      </c>
      <c r="AY137" t="e">
        <f>AND('Planilla_General_29-11-2012_10_'!P2051,"AAAAAHtr/zI=")</f>
        <v>#VALUE!</v>
      </c>
      <c r="AZ137">
        <f>IF('Planilla_General_29-11-2012_10_'!2052:2052,"AAAAAHtr/zM=",0)</f>
        <v>0</v>
      </c>
      <c r="BA137" t="e">
        <f>AND('Planilla_General_29-11-2012_10_'!A2052,"AAAAAHtr/zQ=")</f>
        <v>#VALUE!</v>
      </c>
      <c r="BB137" t="e">
        <f>AND('Planilla_General_29-11-2012_10_'!B2052,"AAAAAHtr/zU=")</f>
        <v>#VALUE!</v>
      </c>
      <c r="BC137" t="e">
        <f>AND('Planilla_General_29-11-2012_10_'!C2052,"AAAAAHtr/zY=")</f>
        <v>#VALUE!</v>
      </c>
      <c r="BD137" t="e">
        <f>AND('Planilla_General_29-11-2012_10_'!D2052,"AAAAAHtr/zc=")</f>
        <v>#VALUE!</v>
      </c>
      <c r="BE137" t="e">
        <f>AND('Planilla_General_29-11-2012_10_'!E2052,"AAAAAHtr/zg=")</f>
        <v>#VALUE!</v>
      </c>
      <c r="BF137" t="e">
        <f>AND('Planilla_General_29-11-2012_10_'!F2052,"AAAAAHtr/zk=")</f>
        <v>#VALUE!</v>
      </c>
      <c r="BG137" t="e">
        <f>AND('Planilla_General_29-11-2012_10_'!G2052,"AAAAAHtr/zo=")</f>
        <v>#VALUE!</v>
      </c>
      <c r="BH137" t="e">
        <f>AND('Planilla_General_29-11-2012_10_'!H2052,"AAAAAHtr/zs=")</f>
        <v>#VALUE!</v>
      </c>
      <c r="BI137" t="e">
        <f>AND('Planilla_General_29-11-2012_10_'!I2052,"AAAAAHtr/zw=")</f>
        <v>#VALUE!</v>
      </c>
      <c r="BJ137" t="e">
        <f>AND('Planilla_General_29-11-2012_10_'!J2052,"AAAAAHtr/z0=")</f>
        <v>#VALUE!</v>
      </c>
      <c r="BK137" t="e">
        <f>AND('Planilla_General_29-11-2012_10_'!K2052,"AAAAAHtr/z4=")</f>
        <v>#VALUE!</v>
      </c>
      <c r="BL137" t="e">
        <f>AND('Planilla_General_29-11-2012_10_'!L2052,"AAAAAHtr/z8=")</f>
        <v>#VALUE!</v>
      </c>
      <c r="BM137" t="e">
        <f>AND('Planilla_General_29-11-2012_10_'!M2052,"AAAAAHtr/0A=")</f>
        <v>#VALUE!</v>
      </c>
      <c r="BN137" t="e">
        <f>AND('Planilla_General_29-11-2012_10_'!N2052,"AAAAAHtr/0E=")</f>
        <v>#VALUE!</v>
      </c>
      <c r="BO137" t="e">
        <f>AND('Planilla_General_29-11-2012_10_'!O2052,"AAAAAHtr/0I=")</f>
        <v>#VALUE!</v>
      </c>
      <c r="BP137" t="e">
        <f>AND('Planilla_General_29-11-2012_10_'!P2052,"AAAAAHtr/0M=")</f>
        <v>#VALUE!</v>
      </c>
      <c r="BQ137">
        <f>IF('Planilla_General_29-11-2012_10_'!2053:2053,"AAAAAHtr/0Q=",0)</f>
        <v>0</v>
      </c>
      <c r="BR137" t="e">
        <f>AND('Planilla_General_29-11-2012_10_'!A2053,"AAAAAHtr/0U=")</f>
        <v>#VALUE!</v>
      </c>
      <c r="BS137" t="e">
        <f>AND('Planilla_General_29-11-2012_10_'!B2053,"AAAAAHtr/0Y=")</f>
        <v>#VALUE!</v>
      </c>
      <c r="BT137" t="e">
        <f>AND('Planilla_General_29-11-2012_10_'!C2053,"AAAAAHtr/0c=")</f>
        <v>#VALUE!</v>
      </c>
      <c r="BU137" t="e">
        <f>AND('Planilla_General_29-11-2012_10_'!D2053,"AAAAAHtr/0g=")</f>
        <v>#VALUE!</v>
      </c>
      <c r="BV137" t="e">
        <f>AND('Planilla_General_29-11-2012_10_'!E2053,"AAAAAHtr/0k=")</f>
        <v>#VALUE!</v>
      </c>
      <c r="BW137" t="e">
        <f>AND('Planilla_General_29-11-2012_10_'!F2053,"AAAAAHtr/0o=")</f>
        <v>#VALUE!</v>
      </c>
      <c r="BX137" t="e">
        <f>AND('Planilla_General_29-11-2012_10_'!G2053,"AAAAAHtr/0s=")</f>
        <v>#VALUE!</v>
      </c>
      <c r="BY137" t="e">
        <f>AND('Planilla_General_29-11-2012_10_'!H2053,"AAAAAHtr/0w=")</f>
        <v>#VALUE!</v>
      </c>
      <c r="BZ137" t="e">
        <f>AND('Planilla_General_29-11-2012_10_'!I2053,"AAAAAHtr/00=")</f>
        <v>#VALUE!</v>
      </c>
      <c r="CA137" t="e">
        <f>AND('Planilla_General_29-11-2012_10_'!J2053,"AAAAAHtr/04=")</f>
        <v>#VALUE!</v>
      </c>
      <c r="CB137" t="e">
        <f>AND('Planilla_General_29-11-2012_10_'!K2053,"AAAAAHtr/08=")</f>
        <v>#VALUE!</v>
      </c>
      <c r="CC137" t="e">
        <f>AND('Planilla_General_29-11-2012_10_'!L2053,"AAAAAHtr/1A=")</f>
        <v>#VALUE!</v>
      </c>
      <c r="CD137" t="e">
        <f>AND('Planilla_General_29-11-2012_10_'!M2053,"AAAAAHtr/1E=")</f>
        <v>#VALUE!</v>
      </c>
      <c r="CE137" t="e">
        <f>AND('Planilla_General_29-11-2012_10_'!N2053,"AAAAAHtr/1I=")</f>
        <v>#VALUE!</v>
      </c>
      <c r="CF137" t="e">
        <f>AND('Planilla_General_29-11-2012_10_'!O2053,"AAAAAHtr/1M=")</f>
        <v>#VALUE!</v>
      </c>
      <c r="CG137" t="e">
        <f>AND('Planilla_General_29-11-2012_10_'!P2053,"AAAAAHtr/1Q=")</f>
        <v>#VALUE!</v>
      </c>
      <c r="CH137">
        <f>IF('Planilla_General_29-11-2012_10_'!2054:2054,"AAAAAHtr/1U=",0)</f>
        <v>0</v>
      </c>
      <c r="CI137" t="e">
        <f>AND('Planilla_General_29-11-2012_10_'!A2054,"AAAAAHtr/1Y=")</f>
        <v>#VALUE!</v>
      </c>
      <c r="CJ137" t="e">
        <f>AND('Planilla_General_29-11-2012_10_'!B2054,"AAAAAHtr/1c=")</f>
        <v>#VALUE!</v>
      </c>
      <c r="CK137" t="e">
        <f>AND('Planilla_General_29-11-2012_10_'!C2054,"AAAAAHtr/1g=")</f>
        <v>#VALUE!</v>
      </c>
      <c r="CL137" t="e">
        <f>AND('Planilla_General_29-11-2012_10_'!D2054,"AAAAAHtr/1k=")</f>
        <v>#VALUE!</v>
      </c>
      <c r="CM137" t="e">
        <f>AND('Planilla_General_29-11-2012_10_'!E2054,"AAAAAHtr/1o=")</f>
        <v>#VALUE!</v>
      </c>
      <c r="CN137" t="e">
        <f>AND('Planilla_General_29-11-2012_10_'!F2054,"AAAAAHtr/1s=")</f>
        <v>#VALUE!</v>
      </c>
      <c r="CO137" t="e">
        <f>AND('Planilla_General_29-11-2012_10_'!G2054,"AAAAAHtr/1w=")</f>
        <v>#VALUE!</v>
      </c>
      <c r="CP137" t="e">
        <f>AND('Planilla_General_29-11-2012_10_'!H2054,"AAAAAHtr/10=")</f>
        <v>#VALUE!</v>
      </c>
      <c r="CQ137" t="e">
        <f>AND('Planilla_General_29-11-2012_10_'!I2054,"AAAAAHtr/14=")</f>
        <v>#VALUE!</v>
      </c>
      <c r="CR137" t="e">
        <f>AND('Planilla_General_29-11-2012_10_'!J2054,"AAAAAHtr/18=")</f>
        <v>#VALUE!</v>
      </c>
      <c r="CS137" t="e">
        <f>AND('Planilla_General_29-11-2012_10_'!K2054,"AAAAAHtr/2A=")</f>
        <v>#VALUE!</v>
      </c>
      <c r="CT137" t="e">
        <f>AND('Planilla_General_29-11-2012_10_'!L2054,"AAAAAHtr/2E=")</f>
        <v>#VALUE!</v>
      </c>
      <c r="CU137" t="e">
        <f>AND('Planilla_General_29-11-2012_10_'!M2054,"AAAAAHtr/2I=")</f>
        <v>#VALUE!</v>
      </c>
      <c r="CV137" t="e">
        <f>AND('Planilla_General_29-11-2012_10_'!N2054,"AAAAAHtr/2M=")</f>
        <v>#VALUE!</v>
      </c>
      <c r="CW137" t="e">
        <f>AND('Planilla_General_29-11-2012_10_'!O2054,"AAAAAHtr/2Q=")</f>
        <v>#VALUE!</v>
      </c>
      <c r="CX137" t="e">
        <f>AND('Planilla_General_29-11-2012_10_'!P2054,"AAAAAHtr/2U=")</f>
        <v>#VALUE!</v>
      </c>
      <c r="CY137">
        <f>IF('Planilla_General_29-11-2012_10_'!2055:2055,"AAAAAHtr/2Y=",0)</f>
        <v>0</v>
      </c>
      <c r="CZ137" t="e">
        <f>AND('Planilla_General_29-11-2012_10_'!A2055,"AAAAAHtr/2c=")</f>
        <v>#VALUE!</v>
      </c>
      <c r="DA137" t="e">
        <f>AND('Planilla_General_29-11-2012_10_'!B2055,"AAAAAHtr/2g=")</f>
        <v>#VALUE!</v>
      </c>
      <c r="DB137" t="e">
        <f>AND('Planilla_General_29-11-2012_10_'!C2055,"AAAAAHtr/2k=")</f>
        <v>#VALUE!</v>
      </c>
      <c r="DC137" t="e">
        <f>AND('Planilla_General_29-11-2012_10_'!D2055,"AAAAAHtr/2o=")</f>
        <v>#VALUE!</v>
      </c>
      <c r="DD137" t="e">
        <f>AND('Planilla_General_29-11-2012_10_'!E2055,"AAAAAHtr/2s=")</f>
        <v>#VALUE!</v>
      </c>
      <c r="DE137" t="e">
        <f>AND('Planilla_General_29-11-2012_10_'!F2055,"AAAAAHtr/2w=")</f>
        <v>#VALUE!</v>
      </c>
      <c r="DF137" t="e">
        <f>AND('Planilla_General_29-11-2012_10_'!G2055,"AAAAAHtr/20=")</f>
        <v>#VALUE!</v>
      </c>
      <c r="DG137" t="e">
        <f>AND('Planilla_General_29-11-2012_10_'!H2055,"AAAAAHtr/24=")</f>
        <v>#VALUE!</v>
      </c>
      <c r="DH137" t="e">
        <f>AND('Planilla_General_29-11-2012_10_'!I2055,"AAAAAHtr/28=")</f>
        <v>#VALUE!</v>
      </c>
      <c r="DI137" t="e">
        <f>AND('Planilla_General_29-11-2012_10_'!J2055,"AAAAAHtr/3A=")</f>
        <v>#VALUE!</v>
      </c>
      <c r="DJ137" t="e">
        <f>AND('Planilla_General_29-11-2012_10_'!K2055,"AAAAAHtr/3E=")</f>
        <v>#VALUE!</v>
      </c>
      <c r="DK137" t="e">
        <f>AND('Planilla_General_29-11-2012_10_'!L2055,"AAAAAHtr/3I=")</f>
        <v>#VALUE!</v>
      </c>
      <c r="DL137" t="e">
        <f>AND('Planilla_General_29-11-2012_10_'!M2055,"AAAAAHtr/3M=")</f>
        <v>#VALUE!</v>
      </c>
      <c r="DM137" t="e">
        <f>AND('Planilla_General_29-11-2012_10_'!N2055,"AAAAAHtr/3Q=")</f>
        <v>#VALUE!</v>
      </c>
      <c r="DN137" t="e">
        <f>AND('Planilla_General_29-11-2012_10_'!O2055,"AAAAAHtr/3U=")</f>
        <v>#VALUE!</v>
      </c>
      <c r="DO137" t="e">
        <f>AND('Planilla_General_29-11-2012_10_'!P2055,"AAAAAHtr/3Y=")</f>
        <v>#VALUE!</v>
      </c>
      <c r="DP137">
        <f>IF('Planilla_General_29-11-2012_10_'!2056:2056,"AAAAAHtr/3c=",0)</f>
        <v>0</v>
      </c>
      <c r="DQ137" t="e">
        <f>AND('Planilla_General_29-11-2012_10_'!A2056,"AAAAAHtr/3g=")</f>
        <v>#VALUE!</v>
      </c>
      <c r="DR137" t="e">
        <f>AND('Planilla_General_29-11-2012_10_'!B2056,"AAAAAHtr/3k=")</f>
        <v>#VALUE!</v>
      </c>
      <c r="DS137" t="e">
        <f>AND('Planilla_General_29-11-2012_10_'!C2056,"AAAAAHtr/3o=")</f>
        <v>#VALUE!</v>
      </c>
      <c r="DT137" t="e">
        <f>AND('Planilla_General_29-11-2012_10_'!D2056,"AAAAAHtr/3s=")</f>
        <v>#VALUE!</v>
      </c>
      <c r="DU137" t="e">
        <f>AND('Planilla_General_29-11-2012_10_'!E2056,"AAAAAHtr/3w=")</f>
        <v>#VALUE!</v>
      </c>
      <c r="DV137" t="e">
        <f>AND('Planilla_General_29-11-2012_10_'!F2056,"AAAAAHtr/30=")</f>
        <v>#VALUE!</v>
      </c>
      <c r="DW137" t="e">
        <f>AND('Planilla_General_29-11-2012_10_'!G2056,"AAAAAHtr/34=")</f>
        <v>#VALUE!</v>
      </c>
      <c r="DX137" t="e">
        <f>AND('Planilla_General_29-11-2012_10_'!H2056,"AAAAAHtr/38=")</f>
        <v>#VALUE!</v>
      </c>
      <c r="DY137" t="e">
        <f>AND('Planilla_General_29-11-2012_10_'!I2056,"AAAAAHtr/4A=")</f>
        <v>#VALUE!</v>
      </c>
      <c r="DZ137" t="e">
        <f>AND('Planilla_General_29-11-2012_10_'!J2056,"AAAAAHtr/4E=")</f>
        <v>#VALUE!</v>
      </c>
      <c r="EA137" t="e">
        <f>AND('Planilla_General_29-11-2012_10_'!K2056,"AAAAAHtr/4I=")</f>
        <v>#VALUE!</v>
      </c>
      <c r="EB137" t="e">
        <f>AND('Planilla_General_29-11-2012_10_'!L2056,"AAAAAHtr/4M=")</f>
        <v>#VALUE!</v>
      </c>
      <c r="EC137" t="e">
        <f>AND('Planilla_General_29-11-2012_10_'!M2056,"AAAAAHtr/4Q=")</f>
        <v>#VALUE!</v>
      </c>
      <c r="ED137" t="e">
        <f>AND('Planilla_General_29-11-2012_10_'!N2056,"AAAAAHtr/4U=")</f>
        <v>#VALUE!</v>
      </c>
      <c r="EE137" t="e">
        <f>AND('Planilla_General_29-11-2012_10_'!O2056,"AAAAAHtr/4Y=")</f>
        <v>#VALUE!</v>
      </c>
      <c r="EF137" t="e">
        <f>AND('Planilla_General_29-11-2012_10_'!P2056,"AAAAAHtr/4c=")</f>
        <v>#VALUE!</v>
      </c>
      <c r="EG137">
        <f>IF('Planilla_General_29-11-2012_10_'!2057:2057,"AAAAAHtr/4g=",0)</f>
        <v>0</v>
      </c>
      <c r="EH137" t="e">
        <f>AND('Planilla_General_29-11-2012_10_'!A2057,"AAAAAHtr/4k=")</f>
        <v>#VALUE!</v>
      </c>
      <c r="EI137" t="e">
        <f>AND('Planilla_General_29-11-2012_10_'!B2057,"AAAAAHtr/4o=")</f>
        <v>#VALUE!</v>
      </c>
      <c r="EJ137" t="e">
        <f>AND('Planilla_General_29-11-2012_10_'!C2057,"AAAAAHtr/4s=")</f>
        <v>#VALUE!</v>
      </c>
      <c r="EK137" t="e">
        <f>AND('Planilla_General_29-11-2012_10_'!D2057,"AAAAAHtr/4w=")</f>
        <v>#VALUE!</v>
      </c>
      <c r="EL137" t="e">
        <f>AND('Planilla_General_29-11-2012_10_'!E2057,"AAAAAHtr/40=")</f>
        <v>#VALUE!</v>
      </c>
      <c r="EM137" t="e">
        <f>AND('Planilla_General_29-11-2012_10_'!F2057,"AAAAAHtr/44=")</f>
        <v>#VALUE!</v>
      </c>
      <c r="EN137" t="e">
        <f>AND('Planilla_General_29-11-2012_10_'!G2057,"AAAAAHtr/48=")</f>
        <v>#VALUE!</v>
      </c>
      <c r="EO137" t="e">
        <f>AND('Planilla_General_29-11-2012_10_'!H2057,"AAAAAHtr/5A=")</f>
        <v>#VALUE!</v>
      </c>
      <c r="EP137" t="e">
        <f>AND('Planilla_General_29-11-2012_10_'!I2057,"AAAAAHtr/5E=")</f>
        <v>#VALUE!</v>
      </c>
      <c r="EQ137" t="e">
        <f>AND('Planilla_General_29-11-2012_10_'!J2057,"AAAAAHtr/5I=")</f>
        <v>#VALUE!</v>
      </c>
      <c r="ER137" t="e">
        <f>AND('Planilla_General_29-11-2012_10_'!K2057,"AAAAAHtr/5M=")</f>
        <v>#VALUE!</v>
      </c>
      <c r="ES137" t="e">
        <f>AND('Planilla_General_29-11-2012_10_'!L2057,"AAAAAHtr/5Q=")</f>
        <v>#VALUE!</v>
      </c>
      <c r="ET137" t="e">
        <f>AND('Planilla_General_29-11-2012_10_'!M2057,"AAAAAHtr/5U=")</f>
        <v>#VALUE!</v>
      </c>
      <c r="EU137" t="e">
        <f>AND('Planilla_General_29-11-2012_10_'!N2057,"AAAAAHtr/5Y=")</f>
        <v>#VALUE!</v>
      </c>
      <c r="EV137" t="e">
        <f>AND('Planilla_General_29-11-2012_10_'!O2057,"AAAAAHtr/5c=")</f>
        <v>#VALUE!</v>
      </c>
      <c r="EW137" t="e">
        <f>AND('Planilla_General_29-11-2012_10_'!P2057,"AAAAAHtr/5g=")</f>
        <v>#VALUE!</v>
      </c>
      <c r="EX137">
        <f>IF('Planilla_General_29-11-2012_10_'!2058:2058,"AAAAAHtr/5k=",0)</f>
        <v>0</v>
      </c>
      <c r="EY137" t="e">
        <f>AND('Planilla_General_29-11-2012_10_'!A2058,"AAAAAHtr/5o=")</f>
        <v>#VALUE!</v>
      </c>
      <c r="EZ137" t="e">
        <f>AND('Planilla_General_29-11-2012_10_'!B2058,"AAAAAHtr/5s=")</f>
        <v>#VALUE!</v>
      </c>
      <c r="FA137" t="e">
        <f>AND('Planilla_General_29-11-2012_10_'!C2058,"AAAAAHtr/5w=")</f>
        <v>#VALUE!</v>
      </c>
      <c r="FB137" t="e">
        <f>AND('Planilla_General_29-11-2012_10_'!D2058,"AAAAAHtr/50=")</f>
        <v>#VALUE!</v>
      </c>
      <c r="FC137" t="e">
        <f>AND('Planilla_General_29-11-2012_10_'!E2058,"AAAAAHtr/54=")</f>
        <v>#VALUE!</v>
      </c>
      <c r="FD137" t="e">
        <f>AND('Planilla_General_29-11-2012_10_'!F2058,"AAAAAHtr/58=")</f>
        <v>#VALUE!</v>
      </c>
      <c r="FE137" t="e">
        <f>AND('Planilla_General_29-11-2012_10_'!G2058,"AAAAAHtr/6A=")</f>
        <v>#VALUE!</v>
      </c>
      <c r="FF137" t="e">
        <f>AND('Planilla_General_29-11-2012_10_'!H2058,"AAAAAHtr/6E=")</f>
        <v>#VALUE!</v>
      </c>
      <c r="FG137" t="e">
        <f>AND('Planilla_General_29-11-2012_10_'!I2058,"AAAAAHtr/6I=")</f>
        <v>#VALUE!</v>
      </c>
      <c r="FH137" t="e">
        <f>AND('Planilla_General_29-11-2012_10_'!J2058,"AAAAAHtr/6M=")</f>
        <v>#VALUE!</v>
      </c>
      <c r="FI137" t="e">
        <f>AND('Planilla_General_29-11-2012_10_'!K2058,"AAAAAHtr/6Q=")</f>
        <v>#VALUE!</v>
      </c>
      <c r="FJ137" t="e">
        <f>AND('Planilla_General_29-11-2012_10_'!L2058,"AAAAAHtr/6U=")</f>
        <v>#VALUE!</v>
      </c>
      <c r="FK137" t="e">
        <f>AND('Planilla_General_29-11-2012_10_'!M2058,"AAAAAHtr/6Y=")</f>
        <v>#VALUE!</v>
      </c>
      <c r="FL137" t="e">
        <f>AND('Planilla_General_29-11-2012_10_'!N2058,"AAAAAHtr/6c=")</f>
        <v>#VALUE!</v>
      </c>
      <c r="FM137" t="e">
        <f>AND('Planilla_General_29-11-2012_10_'!O2058,"AAAAAHtr/6g=")</f>
        <v>#VALUE!</v>
      </c>
      <c r="FN137" t="e">
        <f>AND('Planilla_General_29-11-2012_10_'!P2058,"AAAAAHtr/6k=")</f>
        <v>#VALUE!</v>
      </c>
      <c r="FO137">
        <f>IF('Planilla_General_29-11-2012_10_'!2059:2059,"AAAAAHtr/6o=",0)</f>
        <v>0</v>
      </c>
      <c r="FP137" t="e">
        <f>AND('Planilla_General_29-11-2012_10_'!A2059,"AAAAAHtr/6s=")</f>
        <v>#VALUE!</v>
      </c>
      <c r="FQ137" t="e">
        <f>AND('Planilla_General_29-11-2012_10_'!B2059,"AAAAAHtr/6w=")</f>
        <v>#VALUE!</v>
      </c>
      <c r="FR137" t="e">
        <f>AND('Planilla_General_29-11-2012_10_'!C2059,"AAAAAHtr/60=")</f>
        <v>#VALUE!</v>
      </c>
      <c r="FS137" t="e">
        <f>AND('Planilla_General_29-11-2012_10_'!D2059,"AAAAAHtr/64=")</f>
        <v>#VALUE!</v>
      </c>
      <c r="FT137" t="e">
        <f>AND('Planilla_General_29-11-2012_10_'!E2059,"AAAAAHtr/68=")</f>
        <v>#VALUE!</v>
      </c>
      <c r="FU137" t="e">
        <f>AND('Planilla_General_29-11-2012_10_'!F2059,"AAAAAHtr/7A=")</f>
        <v>#VALUE!</v>
      </c>
      <c r="FV137" t="e">
        <f>AND('Planilla_General_29-11-2012_10_'!G2059,"AAAAAHtr/7E=")</f>
        <v>#VALUE!</v>
      </c>
      <c r="FW137" t="e">
        <f>AND('Planilla_General_29-11-2012_10_'!H2059,"AAAAAHtr/7I=")</f>
        <v>#VALUE!</v>
      </c>
      <c r="FX137" t="e">
        <f>AND('Planilla_General_29-11-2012_10_'!I2059,"AAAAAHtr/7M=")</f>
        <v>#VALUE!</v>
      </c>
      <c r="FY137" t="e">
        <f>AND('Planilla_General_29-11-2012_10_'!J2059,"AAAAAHtr/7Q=")</f>
        <v>#VALUE!</v>
      </c>
      <c r="FZ137" t="e">
        <f>AND('Planilla_General_29-11-2012_10_'!K2059,"AAAAAHtr/7U=")</f>
        <v>#VALUE!</v>
      </c>
      <c r="GA137" t="e">
        <f>AND('Planilla_General_29-11-2012_10_'!L2059,"AAAAAHtr/7Y=")</f>
        <v>#VALUE!</v>
      </c>
      <c r="GB137" t="e">
        <f>AND('Planilla_General_29-11-2012_10_'!M2059,"AAAAAHtr/7c=")</f>
        <v>#VALUE!</v>
      </c>
      <c r="GC137" t="e">
        <f>AND('Planilla_General_29-11-2012_10_'!N2059,"AAAAAHtr/7g=")</f>
        <v>#VALUE!</v>
      </c>
      <c r="GD137" t="e">
        <f>AND('Planilla_General_29-11-2012_10_'!O2059,"AAAAAHtr/7k=")</f>
        <v>#VALUE!</v>
      </c>
      <c r="GE137" t="e">
        <f>AND('Planilla_General_29-11-2012_10_'!P2059,"AAAAAHtr/7o=")</f>
        <v>#VALUE!</v>
      </c>
      <c r="GF137">
        <f>IF('Planilla_General_29-11-2012_10_'!2060:2060,"AAAAAHtr/7s=",0)</f>
        <v>0</v>
      </c>
      <c r="GG137" t="e">
        <f>AND('Planilla_General_29-11-2012_10_'!A2060,"AAAAAHtr/7w=")</f>
        <v>#VALUE!</v>
      </c>
      <c r="GH137" t="e">
        <f>AND('Planilla_General_29-11-2012_10_'!B2060,"AAAAAHtr/70=")</f>
        <v>#VALUE!</v>
      </c>
      <c r="GI137" t="e">
        <f>AND('Planilla_General_29-11-2012_10_'!C2060,"AAAAAHtr/74=")</f>
        <v>#VALUE!</v>
      </c>
      <c r="GJ137" t="e">
        <f>AND('Planilla_General_29-11-2012_10_'!D2060,"AAAAAHtr/78=")</f>
        <v>#VALUE!</v>
      </c>
      <c r="GK137" t="e">
        <f>AND('Planilla_General_29-11-2012_10_'!E2060,"AAAAAHtr/8A=")</f>
        <v>#VALUE!</v>
      </c>
      <c r="GL137" t="e">
        <f>AND('Planilla_General_29-11-2012_10_'!F2060,"AAAAAHtr/8E=")</f>
        <v>#VALUE!</v>
      </c>
      <c r="GM137" t="e">
        <f>AND('Planilla_General_29-11-2012_10_'!G2060,"AAAAAHtr/8I=")</f>
        <v>#VALUE!</v>
      </c>
      <c r="GN137" t="e">
        <f>AND('Planilla_General_29-11-2012_10_'!H2060,"AAAAAHtr/8M=")</f>
        <v>#VALUE!</v>
      </c>
      <c r="GO137" t="e">
        <f>AND('Planilla_General_29-11-2012_10_'!I2060,"AAAAAHtr/8Q=")</f>
        <v>#VALUE!</v>
      </c>
      <c r="GP137" t="e">
        <f>AND('Planilla_General_29-11-2012_10_'!J2060,"AAAAAHtr/8U=")</f>
        <v>#VALUE!</v>
      </c>
      <c r="GQ137" t="e">
        <f>AND('Planilla_General_29-11-2012_10_'!K2060,"AAAAAHtr/8Y=")</f>
        <v>#VALUE!</v>
      </c>
      <c r="GR137" t="e">
        <f>AND('Planilla_General_29-11-2012_10_'!L2060,"AAAAAHtr/8c=")</f>
        <v>#VALUE!</v>
      </c>
      <c r="GS137" t="e">
        <f>AND('Planilla_General_29-11-2012_10_'!M2060,"AAAAAHtr/8g=")</f>
        <v>#VALUE!</v>
      </c>
      <c r="GT137" t="e">
        <f>AND('Planilla_General_29-11-2012_10_'!N2060,"AAAAAHtr/8k=")</f>
        <v>#VALUE!</v>
      </c>
      <c r="GU137" t="e">
        <f>AND('Planilla_General_29-11-2012_10_'!O2060,"AAAAAHtr/8o=")</f>
        <v>#VALUE!</v>
      </c>
      <c r="GV137" t="e">
        <f>AND('Planilla_General_29-11-2012_10_'!P2060,"AAAAAHtr/8s=")</f>
        <v>#VALUE!</v>
      </c>
      <c r="GW137">
        <f>IF('Planilla_General_29-11-2012_10_'!2061:2061,"AAAAAHtr/8w=",0)</f>
        <v>0</v>
      </c>
      <c r="GX137" t="e">
        <f>AND('Planilla_General_29-11-2012_10_'!A2061,"AAAAAHtr/80=")</f>
        <v>#VALUE!</v>
      </c>
      <c r="GY137" t="e">
        <f>AND('Planilla_General_29-11-2012_10_'!B2061,"AAAAAHtr/84=")</f>
        <v>#VALUE!</v>
      </c>
      <c r="GZ137" t="e">
        <f>AND('Planilla_General_29-11-2012_10_'!C2061,"AAAAAHtr/88=")</f>
        <v>#VALUE!</v>
      </c>
      <c r="HA137" t="e">
        <f>AND('Planilla_General_29-11-2012_10_'!D2061,"AAAAAHtr/9A=")</f>
        <v>#VALUE!</v>
      </c>
      <c r="HB137" t="e">
        <f>AND('Planilla_General_29-11-2012_10_'!E2061,"AAAAAHtr/9E=")</f>
        <v>#VALUE!</v>
      </c>
      <c r="HC137" t="e">
        <f>AND('Planilla_General_29-11-2012_10_'!F2061,"AAAAAHtr/9I=")</f>
        <v>#VALUE!</v>
      </c>
      <c r="HD137" t="e">
        <f>AND('Planilla_General_29-11-2012_10_'!G2061,"AAAAAHtr/9M=")</f>
        <v>#VALUE!</v>
      </c>
      <c r="HE137" t="e">
        <f>AND('Planilla_General_29-11-2012_10_'!H2061,"AAAAAHtr/9Q=")</f>
        <v>#VALUE!</v>
      </c>
      <c r="HF137" t="e">
        <f>AND('Planilla_General_29-11-2012_10_'!I2061,"AAAAAHtr/9U=")</f>
        <v>#VALUE!</v>
      </c>
      <c r="HG137" t="e">
        <f>AND('Planilla_General_29-11-2012_10_'!J2061,"AAAAAHtr/9Y=")</f>
        <v>#VALUE!</v>
      </c>
      <c r="HH137" t="e">
        <f>AND('Planilla_General_29-11-2012_10_'!K2061,"AAAAAHtr/9c=")</f>
        <v>#VALUE!</v>
      </c>
      <c r="HI137" t="e">
        <f>AND('Planilla_General_29-11-2012_10_'!L2061,"AAAAAHtr/9g=")</f>
        <v>#VALUE!</v>
      </c>
      <c r="HJ137" t="e">
        <f>AND('Planilla_General_29-11-2012_10_'!M2061,"AAAAAHtr/9k=")</f>
        <v>#VALUE!</v>
      </c>
      <c r="HK137" t="e">
        <f>AND('Planilla_General_29-11-2012_10_'!N2061,"AAAAAHtr/9o=")</f>
        <v>#VALUE!</v>
      </c>
      <c r="HL137" t="e">
        <f>AND('Planilla_General_29-11-2012_10_'!O2061,"AAAAAHtr/9s=")</f>
        <v>#VALUE!</v>
      </c>
      <c r="HM137" t="e">
        <f>AND('Planilla_General_29-11-2012_10_'!P2061,"AAAAAHtr/9w=")</f>
        <v>#VALUE!</v>
      </c>
      <c r="HN137">
        <f>IF('Planilla_General_29-11-2012_10_'!2062:2062,"AAAAAHtr/90=",0)</f>
        <v>0</v>
      </c>
      <c r="HO137" t="e">
        <f>AND('Planilla_General_29-11-2012_10_'!A2062,"AAAAAHtr/94=")</f>
        <v>#VALUE!</v>
      </c>
      <c r="HP137" t="e">
        <f>AND('Planilla_General_29-11-2012_10_'!B2062,"AAAAAHtr/98=")</f>
        <v>#VALUE!</v>
      </c>
      <c r="HQ137" t="e">
        <f>AND('Planilla_General_29-11-2012_10_'!C2062,"AAAAAHtr/+A=")</f>
        <v>#VALUE!</v>
      </c>
      <c r="HR137" t="e">
        <f>AND('Planilla_General_29-11-2012_10_'!D2062,"AAAAAHtr/+E=")</f>
        <v>#VALUE!</v>
      </c>
      <c r="HS137" t="e">
        <f>AND('Planilla_General_29-11-2012_10_'!E2062,"AAAAAHtr/+I=")</f>
        <v>#VALUE!</v>
      </c>
      <c r="HT137" t="e">
        <f>AND('Planilla_General_29-11-2012_10_'!F2062,"AAAAAHtr/+M=")</f>
        <v>#VALUE!</v>
      </c>
      <c r="HU137" t="e">
        <f>AND('Planilla_General_29-11-2012_10_'!G2062,"AAAAAHtr/+Q=")</f>
        <v>#VALUE!</v>
      </c>
      <c r="HV137" t="e">
        <f>AND('Planilla_General_29-11-2012_10_'!H2062,"AAAAAHtr/+U=")</f>
        <v>#VALUE!</v>
      </c>
      <c r="HW137" t="e">
        <f>AND('Planilla_General_29-11-2012_10_'!I2062,"AAAAAHtr/+Y=")</f>
        <v>#VALUE!</v>
      </c>
      <c r="HX137" t="e">
        <f>AND('Planilla_General_29-11-2012_10_'!J2062,"AAAAAHtr/+c=")</f>
        <v>#VALUE!</v>
      </c>
      <c r="HY137" t="e">
        <f>AND('Planilla_General_29-11-2012_10_'!K2062,"AAAAAHtr/+g=")</f>
        <v>#VALUE!</v>
      </c>
      <c r="HZ137" t="e">
        <f>AND('Planilla_General_29-11-2012_10_'!L2062,"AAAAAHtr/+k=")</f>
        <v>#VALUE!</v>
      </c>
      <c r="IA137" t="e">
        <f>AND('Planilla_General_29-11-2012_10_'!M2062,"AAAAAHtr/+o=")</f>
        <v>#VALUE!</v>
      </c>
      <c r="IB137" t="e">
        <f>AND('Planilla_General_29-11-2012_10_'!N2062,"AAAAAHtr/+s=")</f>
        <v>#VALUE!</v>
      </c>
      <c r="IC137" t="e">
        <f>AND('Planilla_General_29-11-2012_10_'!O2062,"AAAAAHtr/+w=")</f>
        <v>#VALUE!</v>
      </c>
      <c r="ID137" t="e">
        <f>AND('Planilla_General_29-11-2012_10_'!P2062,"AAAAAHtr/+0=")</f>
        <v>#VALUE!</v>
      </c>
      <c r="IE137">
        <f>IF('Planilla_General_29-11-2012_10_'!2063:2063,"AAAAAHtr/+4=",0)</f>
        <v>0</v>
      </c>
      <c r="IF137" t="e">
        <f>AND('Planilla_General_29-11-2012_10_'!A2063,"AAAAAHtr/+8=")</f>
        <v>#VALUE!</v>
      </c>
      <c r="IG137" t="e">
        <f>AND('Planilla_General_29-11-2012_10_'!B2063,"AAAAAHtr//A=")</f>
        <v>#VALUE!</v>
      </c>
      <c r="IH137" t="e">
        <f>AND('Planilla_General_29-11-2012_10_'!C2063,"AAAAAHtr//E=")</f>
        <v>#VALUE!</v>
      </c>
      <c r="II137" t="e">
        <f>AND('Planilla_General_29-11-2012_10_'!D2063,"AAAAAHtr//I=")</f>
        <v>#VALUE!</v>
      </c>
      <c r="IJ137" t="e">
        <f>AND('Planilla_General_29-11-2012_10_'!E2063,"AAAAAHtr//M=")</f>
        <v>#VALUE!</v>
      </c>
      <c r="IK137" t="e">
        <f>AND('Planilla_General_29-11-2012_10_'!F2063,"AAAAAHtr//Q=")</f>
        <v>#VALUE!</v>
      </c>
      <c r="IL137" t="e">
        <f>AND('Planilla_General_29-11-2012_10_'!G2063,"AAAAAHtr//U=")</f>
        <v>#VALUE!</v>
      </c>
      <c r="IM137" t="e">
        <f>AND('Planilla_General_29-11-2012_10_'!H2063,"AAAAAHtr//Y=")</f>
        <v>#VALUE!</v>
      </c>
      <c r="IN137" t="e">
        <f>AND('Planilla_General_29-11-2012_10_'!I2063,"AAAAAHtr//c=")</f>
        <v>#VALUE!</v>
      </c>
      <c r="IO137" t="e">
        <f>AND('Planilla_General_29-11-2012_10_'!J2063,"AAAAAHtr//g=")</f>
        <v>#VALUE!</v>
      </c>
      <c r="IP137" t="e">
        <f>AND('Planilla_General_29-11-2012_10_'!K2063,"AAAAAHtr//k=")</f>
        <v>#VALUE!</v>
      </c>
      <c r="IQ137" t="e">
        <f>AND('Planilla_General_29-11-2012_10_'!L2063,"AAAAAHtr//o=")</f>
        <v>#VALUE!</v>
      </c>
      <c r="IR137" t="e">
        <f>AND('Planilla_General_29-11-2012_10_'!M2063,"AAAAAHtr//s=")</f>
        <v>#VALUE!</v>
      </c>
      <c r="IS137" t="e">
        <f>AND('Planilla_General_29-11-2012_10_'!N2063,"AAAAAHtr//w=")</f>
        <v>#VALUE!</v>
      </c>
      <c r="IT137" t="e">
        <f>AND('Planilla_General_29-11-2012_10_'!O2063,"AAAAAHtr//0=")</f>
        <v>#VALUE!</v>
      </c>
      <c r="IU137" t="e">
        <f>AND('Planilla_General_29-11-2012_10_'!P2063,"AAAAAHtr//4=")</f>
        <v>#VALUE!</v>
      </c>
      <c r="IV137">
        <f>IF('Planilla_General_29-11-2012_10_'!2064:2064,"AAAAAHtr//8=",0)</f>
        <v>0</v>
      </c>
    </row>
    <row r="138" spans="1:256" x14ac:dyDescent="0.25">
      <c r="A138" t="e">
        <f>AND('Planilla_General_29-11-2012_10_'!A2064,"AAAAAB/3BwA=")</f>
        <v>#VALUE!</v>
      </c>
      <c r="B138" t="e">
        <f>AND('Planilla_General_29-11-2012_10_'!B2064,"AAAAAB/3BwE=")</f>
        <v>#VALUE!</v>
      </c>
      <c r="C138" t="e">
        <f>AND('Planilla_General_29-11-2012_10_'!C2064,"AAAAAB/3BwI=")</f>
        <v>#VALUE!</v>
      </c>
      <c r="D138" t="e">
        <f>AND('Planilla_General_29-11-2012_10_'!D2064,"AAAAAB/3BwM=")</f>
        <v>#VALUE!</v>
      </c>
      <c r="E138" t="e">
        <f>AND('Planilla_General_29-11-2012_10_'!E2064,"AAAAAB/3BwQ=")</f>
        <v>#VALUE!</v>
      </c>
      <c r="F138" t="e">
        <f>AND('Planilla_General_29-11-2012_10_'!F2064,"AAAAAB/3BwU=")</f>
        <v>#VALUE!</v>
      </c>
      <c r="G138" t="e">
        <f>AND('Planilla_General_29-11-2012_10_'!G2064,"AAAAAB/3BwY=")</f>
        <v>#VALUE!</v>
      </c>
      <c r="H138" t="e">
        <f>AND('Planilla_General_29-11-2012_10_'!H2064,"AAAAAB/3Bwc=")</f>
        <v>#VALUE!</v>
      </c>
      <c r="I138" t="e">
        <f>AND('Planilla_General_29-11-2012_10_'!I2064,"AAAAAB/3Bwg=")</f>
        <v>#VALUE!</v>
      </c>
      <c r="J138" t="e">
        <f>AND('Planilla_General_29-11-2012_10_'!J2064,"AAAAAB/3Bwk=")</f>
        <v>#VALUE!</v>
      </c>
      <c r="K138" t="e">
        <f>AND('Planilla_General_29-11-2012_10_'!K2064,"AAAAAB/3Bwo=")</f>
        <v>#VALUE!</v>
      </c>
      <c r="L138" t="e">
        <f>AND('Planilla_General_29-11-2012_10_'!L2064,"AAAAAB/3Bws=")</f>
        <v>#VALUE!</v>
      </c>
      <c r="M138" t="e">
        <f>AND('Planilla_General_29-11-2012_10_'!M2064,"AAAAAB/3Bww=")</f>
        <v>#VALUE!</v>
      </c>
      <c r="N138" t="e">
        <f>AND('Planilla_General_29-11-2012_10_'!N2064,"AAAAAB/3Bw0=")</f>
        <v>#VALUE!</v>
      </c>
      <c r="O138" t="e">
        <f>AND('Planilla_General_29-11-2012_10_'!O2064,"AAAAAB/3Bw4=")</f>
        <v>#VALUE!</v>
      </c>
      <c r="P138" t="e">
        <f>AND('Planilla_General_29-11-2012_10_'!P2064,"AAAAAB/3Bw8=")</f>
        <v>#VALUE!</v>
      </c>
      <c r="Q138">
        <f>IF('Planilla_General_29-11-2012_10_'!2065:2065,"AAAAAB/3BxA=",0)</f>
        <v>0</v>
      </c>
      <c r="R138" t="e">
        <f>AND('Planilla_General_29-11-2012_10_'!A2065,"AAAAAB/3BxE=")</f>
        <v>#VALUE!</v>
      </c>
      <c r="S138" t="e">
        <f>AND('Planilla_General_29-11-2012_10_'!B2065,"AAAAAB/3BxI=")</f>
        <v>#VALUE!</v>
      </c>
      <c r="T138" t="e">
        <f>AND('Planilla_General_29-11-2012_10_'!C2065,"AAAAAB/3BxM=")</f>
        <v>#VALUE!</v>
      </c>
      <c r="U138" t="e">
        <f>AND('Planilla_General_29-11-2012_10_'!D2065,"AAAAAB/3BxQ=")</f>
        <v>#VALUE!</v>
      </c>
      <c r="V138" t="e">
        <f>AND('Planilla_General_29-11-2012_10_'!E2065,"AAAAAB/3BxU=")</f>
        <v>#VALUE!</v>
      </c>
      <c r="W138" t="e">
        <f>AND('Planilla_General_29-11-2012_10_'!F2065,"AAAAAB/3BxY=")</f>
        <v>#VALUE!</v>
      </c>
      <c r="X138" t="e">
        <f>AND('Planilla_General_29-11-2012_10_'!G2065,"AAAAAB/3Bxc=")</f>
        <v>#VALUE!</v>
      </c>
      <c r="Y138" t="e">
        <f>AND('Planilla_General_29-11-2012_10_'!H2065,"AAAAAB/3Bxg=")</f>
        <v>#VALUE!</v>
      </c>
      <c r="Z138" t="e">
        <f>AND('Planilla_General_29-11-2012_10_'!I2065,"AAAAAB/3Bxk=")</f>
        <v>#VALUE!</v>
      </c>
      <c r="AA138" t="e">
        <f>AND('Planilla_General_29-11-2012_10_'!J2065,"AAAAAB/3Bxo=")</f>
        <v>#VALUE!</v>
      </c>
      <c r="AB138" t="e">
        <f>AND('Planilla_General_29-11-2012_10_'!K2065,"AAAAAB/3Bxs=")</f>
        <v>#VALUE!</v>
      </c>
      <c r="AC138" t="e">
        <f>AND('Planilla_General_29-11-2012_10_'!L2065,"AAAAAB/3Bxw=")</f>
        <v>#VALUE!</v>
      </c>
      <c r="AD138" t="e">
        <f>AND('Planilla_General_29-11-2012_10_'!M2065,"AAAAAB/3Bx0=")</f>
        <v>#VALUE!</v>
      </c>
      <c r="AE138" t="e">
        <f>AND('Planilla_General_29-11-2012_10_'!N2065,"AAAAAB/3Bx4=")</f>
        <v>#VALUE!</v>
      </c>
      <c r="AF138" t="e">
        <f>AND('Planilla_General_29-11-2012_10_'!O2065,"AAAAAB/3Bx8=")</f>
        <v>#VALUE!</v>
      </c>
      <c r="AG138" t="e">
        <f>AND('Planilla_General_29-11-2012_10_'!P2065,"AAAAAB/3ByA=")</f>
        <v>#VALUE!</v>
      </c>
      <c r="AH138">
        <f>IF('Planilla_General_29-11-2012_10_'!2066:2066,"AAAAAB/3ByE=",0)</f>
        <v>0</v>
      </c>
      <c r="AI138" t="e">
        <f>AND('Planilla_General_29-11-2012_10_'!A2066,"AAAAAB/3ByI=")</f>
        <v>#VALUE!</v>
      </c>
      <c r="AJ138" t="e">
        <f>AND('Planilla_General_29-11-2012_10_'!B2066,"AAAAAB/3ByM=")</f>
        <v>#VALUE!</v>
      </c>
      <c r="AK138" t="e">
        <f>AND('Planilla_General_29-11-2012_10_'!C2066,"AAAAAB/3ByQ=")</f>
        <v>#VALUE!</v>
      </c>
      <c r="AL138" t="e">
        <f>AND('Planilla_General_29-11-2012_10_'!D2066,"AAAAAB/3ByU=")</f>
        <v>#VALUE!</v>
      </c>
      <c r="AM138" t="e">
        <f>AND('Planilla_General_29-11-2012_10_'!E2066,"AAAAAB/3ByY=")</f>
        <v>#VALUE!</v>
      </c>
      <c r="AN138" t="e">
        <f>AND('Planilla_General_29-11-2012_10_'!F2066,"AAAAAB/3Byc=")</f>
        <v>#VALUE!</v>
      </c>
      <c r="AO138" t="e">
        <f>AND('Planilla_General_29-11-2012_10_'!G2066,"AAAAAB/3Byg=")</f>
        <v>#VALUE!</v>
      </c>
      <c r="AP138" t="e">
        <f>AND('Planilla_General_29-11-2012_10_'!H2066,"AAAAAB/3Byk=")</f>
        <v>#VALUE!</v>
      </c>
      <c r="AQ138" t="e">
        <f>AND('Planilla_General_29-11-2012_10_'!I2066,"AAAAAB/3Byo=")</f>
        <v>#VALUE!</v>
      </c>
      <c r="AR138" t="e">
        <f>AND('Planilla_General_29-11-2012_10_'!J2066,"AAAAAB/3Bys=")</f>
        <v>#VALUE!</v>
      </c>
      <c r="AS138" t="e">
        <f>AND('Planilla_General_29-11-2012_10_'!K2066,"AAAAAB/3Byw=")</f>
        <v>#VALUE!</v>
      </c>
      <c r="AT138" t="e">
        <f>AND('Planilla_General_29-11-2012_10_'!L2066,"AAAAAB/3By0=")</f>
        <v>#VALUE!</v>
      </c>
      <c r="AU138" t="e">
        <f>AND('Planilla_General_29-11-2012_10_'!M2066,"AAAAAB/3By4=")</f>
        <v>#VALUE!</v>
      </c>
      <c r="AV138" t="e">
        <f>AND('Planilla_General_29-11-2012_10_'!N2066,"AAAAAB/3By8=")</f>
        <v>#VALUE!</v>
      </c>
      <c r="AW138" t="e">
        <f>AND('Planilla_General_29-11-2012_10_'!O2066,"AAAAAB/3BzA=")</f>
        <v>#VALUE!</v>
      </c>
      <c r="AX138" t="e">
        <f>AND('Planilla_General_29-11-2012_10_'!P2066,"AAAAAB/3BzE=")</f>
        <v>#VALUE!</v>
      </c>
      <c r="AY138">
        <f>IF('Planilla_General_29-11-2012_10_'!2067:2067,"AAAAAB/3BzI=",0)</f>
        <v>0</v>
      </c>
      <c r="AZ138" t="e">
        <f>AND('Planilla_General_29-11-2012_10_'!A2067,"AAAAAB/3BzM=")</f>
        <v>#VALUE!</v>
      </c>
      <c r="BA138" t="e">
        <f>AND('Planilla_General_29-11-2012_10_'!B2067,"AAAAAB/3BzQ=")</f>
        <v>#VALUE!</v>
      </c>
      <c r="BB138" t="e">
        <f>AND('Planilla_General_29-11-2012_10_'!C2067,"AAAAAB/3BzU=")</f>
        <v>#VALUE!</v>
      </c>
      <c r="BC138" t="e">
        <f>AND('Planilla_General_29-11-2012_10_'!D2067,"AAAAAB/3BzY=")</f>
        <v>#VALUE!</v>
      </c>
      <c r="BD138" t="e">
        <f>AND('Planilla_General_29-11-2012_10_'!E2067,"AAAAAB/3Bzc=")</f>
        <v>#VALUE!</v>
      </c>
      <c r="BE138" t="e">
        <f>AND('Planilla_General_29-11-2012_10_'!F2067,"AAAAAB/3Bzg=")</f>
        <v>#VALUE!</v>
      </c>
      <c r="BF138" t="e">
        <f>AND('Planilla_General_29-11-2012_10_'!G2067,"AAAAAB/3Bzk=")</f>
        <v>#VALUE!</v>
      </c>
      <c r="BG138" t="e">
        <f>AND('Planilla_General_29-11-2012_10_'!H2067,"AAAAAB/3Bzo=")</f>
        <v>#VALUE!</v>
      </c>
      <c r="BH138" t="e">
        <f>AND('Planilla_General_29-11-2012_10_'!I2067,"AAAAAB/3Bzs=")</f>
        <v>#VALUE!</v>
      </c>
      <c r="BI138" t="e">
        <f>AND('Planilla_General_29-11-2012_10_'!J2067,"AAAAAB/3Bzw=")</f>
        <v>#VALUE!</v>
      </c>
      <c r="BJ138" t="e">
        <f>AND('Planilla_General_29-11-2012_10_'!K2067,"AAAAAB/3Bz0=")</f>
        <v>#VALUE!</v>
      </c>
      <c r="BK138" t="e">
        <f>AND('Planilla_General_29-11-2012_10_'!L2067,"AAAAAB/3Bz4=")</f>
        <v>#VALUE!</v>
      </c>
      <c r="BL138" t="e">
        <f>AND('Planilla_General_29-11-2012_10_'!M2067,"AAAAAB/3Bz8=")</f>
        <v>#VALUE!</v>
      </c>
      <c r="BM138" t="e">
        <f>AND('Planilla_General_29-11-2012_10_'!N2067,"AAAAAB/3B0A=")</f>
        <v>#VALUE!</v>
      </c>
      <c r="BN138" t="e">
        <f>AND('Planilla_General_29-11-2012_10_'!O2067,"AAAAAB/3B0E=")</f>
        <v>#VALUE!</v>
      </c>
      <c r="BO138" t="e">
        <f>AND('Planilla_General_29-11-2012_10_'!P2067,"AAAAAB/3B0I=")</f>
        <v>#VALUE!</v>
      </c>
      <c r="BP138">
        <f>IF('Planilla_General_29-11-2012_10_'!2068:2068,"AAAAAB/3B0M=",0)</f>
        <v>0</v>
      </c>
      <c r="BQ138" t="e">
        <f>AND('Planilla_General_29-11-2012_10_'!A2068,"AAAAAB/3B0Q=")</f>
        <v>#VALUE!</v>
      </c>
      <c r="BR138" t="e">
        <f>AND('Planilla_General_29-11-2012_10_'!B2068,"AAAAAB/3B0U=")</f>
        <v>#VALUE!</v>
      </c>
      <c r="BS138" t="e">
        <f>AND('Planilla_General_29-11-2012_10_'!C2068,"AAAAAB/3B0Y=")</f>
        <v>#VALUE!</v>
      </c>
      <c r="BT138" t="e">
        <f>AND('Planilla_General_29-11-2012_10_'!D2068,"AAAAAB/3B0c=")</f>
        <v>#VALUE!</v>
      </c>
      <c r="BU138" t="e">
        <f>AND('Planilla_General_29-11-2012_10_'!E2068,"AAAAAB/3B0g=")</f>
        <v>#VALUE!</v>
      </c>
      <c r="BV138" t="e">
        <f>AND('Planilla_General_29-11-2012_10_'!F2068,"AAAAAB/3B0k=")</f>
        <v>#VALUE!</v>
      </c>
      <c r="BW138" t="e">
        <f>AND('Planilla_General_29-11-2012_10_'!G2068,"AAAAAB/3B0o=")</f>
        <v>#VALUE!</v>
      </c>
      <c r="BX138" t="e">
        <f>AND('Planilla_General_29-11-2012_10_'!H2068,"AAAAAB/3B0s=")</f>
        <v>#VALUE!</v>
      </c>
      <c r="BY138" t="e">
        <f>AND('Planilla_General_29-11-2012_10_'!I2068,"AAAAAB/3B0w=")</f>
        <v>#VALUE!</v>
      </c>
      <c r="BZ138" t="e">
        <f>AND('Planilla_General_29-11-2012_10_'!J2068,"AAAAAB/3B00=")</f>
        <v>#VALUE!</v>
      </c>
      <c r="CA138" t="e">
        <f>AND('Planilla_General_29-11-2012_10_'!K2068,"AAAAAB/3B04=")</f>
        <v>#VALUE!</v>
      </c>
      <c r="CB138" t="e">
        <f>AND('Planilla_General_29-11-2012_10_'!L2068,"AAAAAB/3B08=")</f>
        <v>#VALUE!</v>
      </c>
      <c r="CC138" t="e">
        <f>AND('Planilla_General_29-11-2012_10_'!M2068,"AAAAAB/3B1A=")</f>
        <v>#VALUE!</v>
      </c>
      <c r="CD138" t="e">
        <f>AND('Planilla_General_29-11-2012_10_'!N2068,"AAAAAB/3B1E=")</f>
        <v>#VALUE!</v>
      </c>
      <c r="CE138" t="e">
        <f>AND('Planilla_General_29-11-2012_10_'!O2068,"AAAAAB/3B1I=")</f>
        <v>#VALUE!</v>
      </c>
      <c r="CF138" t="e">
        <f>AND('Planilla_General_29-11-2012_10_'!P2068,"AAAAAB/3B1M=")</f>
        <v>#VALUE!</v>
      </c>
      <c r="CG138">
        <f>IF('Planilla_General_29-11-2012_10_'!2069:2069,"AAAAAB/3B1Q=",0)</f>
        <v>0</v>
      </c>
      <c r="CH138" t="e">
        <f>AND('Planilla_General_29-11-2012_10_'!A2069,"AAAAAB/3B1U=")</f>
        <v>#VALUE!</v>
      </c>
      <c r="CI138" t="e">
        <f>AND('Planilla_General_29-11-2012_10_'!B2069,"AAAAAB/3B1Y=")</f>
        <v>#VALUE!</v>
      </c>
      <c r="CJ138" t="e">
        <f>AND('Planilla_General_29-11-2012_10_'!C2069,"AAAAAB/3B1c=")</f>
        <v>#VALUE!</v>
      </c>
      <c r="CK138" t="e">
        <f>AND('Planilla_General_29-11-2012_10_'!D2069,"AAAAAB/3B1g=")</f>
        <v>#VALUE!</v>
      </c>
      <c r="CL138" t="e">
        <f>AND('Planilla_General_29-11-2012_10_'!E2069,"AAAAAB/3B1k=")</f>
        <v>#VALUE!</v>
      </c>
      <c r="CM138" t="e">
        <f>AND('Planilla_General_29-11-2012_10_'!F2069,"AAAAAB/3B1o=")</f>
        <v>#VALUE!</v>
      </c>
      <c r="CN138" t="e">
        <f>AND('Planilla_General_29-11-2012_10_'!G2069,"AAAAAB/3B1s=")</f>
        <v>#VALUE!</v>
      </c>
      <c r="CO138" t="e">
        <f>AND('Planilla_General_29-11-2012_10_'!H2069,"AAAAAB/3B1w=")</f>
        <v>#VALUE!</v>
      </c>
      <c r="CP138" t="e">
        <f>AND('Planilla_General_29-11-2012_10_'!I2069,"AAAAAB/3B10=")</f>
        <v>#VALUE!</v>
      </c>
      <c r="CQ138" t="e">
        <f>AND('Planilla_General_29-11-2012_10_'!J2069,"AAAAAB/3B14=")</f>
        <v>#VALUE!</v>
      </c>
      <c r="CR138" t="e">
        <f>AND('Planilla_General_29-11-2012_10_'!K2069,"AAAAAB/3B18=")</f>
        <v>#VALUE!</v>
      </c>
      <c r="CS138" t="e">
        <f>AND('Planilla_General_29-11-2012_10_'!L2069,"AAAAAB/3B2A=")</f>
        <v>#VALUE!</v>
      </c>
      <c r="CT138" t="e">
        <f>AND('Planilla_General_29-11-2012_10_'!M2069,"AAAAAB/3B2E=")</f>
        <v>#VALUE!</v>
      </c>
      <c r="CU138" t="e">
        <f>AND('Planilla_General_29-11-2012_10_'!N2069,"AAAAAB/3B2I=")</f>
        <v>#VALUE!</v>
      </c>
      <c r="CV138" t="e">
        <f>AND('Planilla_General_29-11-2012_10_'!O2069,"AAAAAB/3B2M=")</f>
        <v>#VALUE!</v>
      </c>
      <c r="CW138" t="e">
        <f>AND('Planilla_General_29-11-2012_10_'!P2069,"AAAAAB/3B2Q=")</f>
        <v>#VALUE!</v>
      </c>
      <c r="CX138">
        <f>IF('Planilla_General_29-11-2012_10_'!2070:2070,"AAAAAB/3B2U=",0)</f>
        <v>0</v>
      </c>
      <c r="CY138" t="e">
        <f>AND('Planilla_General_29-11-2012_10_'!A2070,"AAAAAB/3B2Y=")</f>
        <v>#VALUE!</v>
      </c>
      <c r="CZ138" t="e">
        <f>AND('Planilla_General_29-11-2012_10_'!B2070,"AAAAAB/3B2c=")</f>
        <v>#VALUE!</v>
      </c>
      <c r="DA138" t="e">
        <f>AND('Planilla_General_29-11-2012_10_'!C2070,"AAAAAB/3B2g=")</f>
        <v>#VALUE!</v>
      </c>
      <c r="DB138" t="e">
        <f>AND('Planilla_General_29-11-2012_10_'!D2070,"AAAAAB/3B2k=")</f>
        <v>#VALUE!</v>
      </c>
      <c r="DC138" t="e">
        <f>AND('Planilla_General_29-11-2012_10_'!E2070,"AAAAAB/3B2o=")</f>
        <v>#VALUE!</v>
      </c>
      <c r="DD138" t="e">
        <f>AND('Planilla_General_29-11-2012_10_'!F2070,"AAAAAB/3B2s=")</f>
        <v>#VALUE!</v>
      </c>
      <c r="DE138" t="e">
        <f>AND('Planilla_General_29-11-2012_10_'!G2070,"AAAAAB/3B2w=")</f>
        <v>#VALUE!</v>
      </c>
      <c r="DF138" t="e">
        <f>AND('Planilla_General_29-11-2012_10_'!H2070,"AAAAAB/3B20=")</f>
        <v>#VALUE!</v>
      </c>
      <c r="DG138" t="e">
        <f>AND('Planilla_General_29-11-2012_10_'!I2070,"AAAAAB/3B24=")</f>
        <v>#VALUE!</v>
      </c>
      <c r="DH138" t="e">
        <f>AND('Planilla_General_29-11-2012_10_'!J2070,"AAAAAB/3B28=")</f>
        <v>#VALUE!</v>
      </c>
      <c r="DI138" t="e">
        <f>AND('Planilla_General_29-11-2012_10_'!K2070,"AAAAAB/3B3A=")</f>
        <v>#VALUE!</v>
      </c>
      <c r="DJ138" t="e">
        <f>AND('Planilla_General_29-11-2012_10_'!L2070,"AAAAAB/3B3E=")</f>
        <v>#VALUE!</v>
      </c>
      <c r="DK138" t="e">
        <f>AND('Planilla_General_29-11-2012_10_'!M2070,"AAAAAB/3B3I=")</f>
        <v>#VALUE!</v>
      </c>
      <c r="DL138" t="e">
        <f>AND('Planilla_General_29-11-2012_10_'!N2070,"AAAAAB/3B3M=")</f>
        <v>#VALUE!</v>
      </c>
      <c r="DM138" t="e">
        <f>AND('Planilla_General_29-11-2012_10_'!O2070,"AAAAAB/3B3Q=")</f>
        <v>#VALUE!</v>
      </c>
      <c r="DN138" t="e">
        <f>AND('Planilla_General_29-11-2012_10_'!P2070,"AAAAAB/3B3U=")</f>
        <v>#VALUE!</v>
      </c>
      <c r="DO138">
        <f>IF('Planilla_General_29-11-2012_10_'!2071:2071,"AAAAAB/3B3Y=",0)</f>
        <v>0</v>
      </c>
      <c r="DP138" t="e">
        <f>AND('Planilla_General_29-11-2012_10_'!A2071,"AAAAAB/3B3c=")</f>
        <v>#VALUE!</v>
      </c>
      <c r="DQ138" t="e">
        <f>AND('Planilla_General_29-11-2012_10_'!B2071,"AAAAAB/3B3g=")</f>
        <v>#VALUE!</v>
      </c>
      <c r="DR138" t="e">
        <f>AND('Planilla_General_29-11-2012_10_'!C2071,"AAAAAB/3B3k=")</f>
        <v>#VALUE!</v>
      </c>
      <c r="DS138" t="e">
        <f>AND('Planilla_General_29-11-2012_10_'!D2071,"AAAAAB/3B3o=")</f>
        <v>#VALUE!</v>
      </c>
      <c r="DT138" t="e">
        <f>AND('Planilla_General_29-11-2012_10_'!E2071,"AAAAAB/3B3s=")</f>
        <v>#VALUE!</v>
      </c>
      <c r="DU138" t="e">
        <f>AND('Planilla_General_29-11-2012_10_'!F2071,"AAAAAB/3B3w=")</f>
        <v>#VALUE!</v>
      </c>
      <c r="DV138" t="e">
        <f>AND('Planilla_General_29-11-2012_10_'!G2071,"AAAAAB/3B30=")</f>
        <v>#VALUE!</v>
      </c>
      <c r="DW138" t="e">
        <f>AND('Planilla_General_29-11-2012_10_'!H2071,"AAAAAB/3B34=")</f>
        <v>#VALUE!</v>
      </c>
      <c r="DX138" t="e">
        <f>AND('Planilla_General_29-11-2012_10_'!I2071,"AAAAAB/3B38=")</f>
        <v>#VALUE!</v>
      </c>
      <c r="DY138" t="e">
        <f>AND('Planilla_General_29-11-2012_10_'!J2071,"AAAAAB/3B4A=")</f>
        <v>#VALUE!</v>
      </c>
      <c r="DZ138" t="e">
        <f>AND('Planilla_General_29-11-2012_10_'!K2071,"AAAAAB/3B4E=")</f>
        <v>#VALUE!</v>
      </c>
      <c r="EA138" t="e">
        <f>AND('Planilla_General_29-11-2012_10_'!L2071,"AAAAAB/3B4I=")</f>
        <v>#VALUE!</v>
      </c>
      <c r="EB138" t="e">
        <f>AND('Planilla_General_29-11-2012_10_'!M2071,"AAAAAB/3B4M=")</f>
        <v>#VALUE!</v>
      </c>
      <c r="EC138" t="e">
        <f>AND('Planilla_General_29-11-2012_10_'!N2071,"AAAAAB/3B4Q=")</f>
        <v>#VALUE!</v>
      </c>
      <c r="ED138" t="e">
        <f>AND('Planilla_General_29-11-2012_10_'!O2071,"AAAAAB/3B4U=")</f>
        <v>#VALUE!</v>
      </c>
      <c r="EE138" t="e">
        <f>AND('Planilla_General_29-11-2012_10_'!P2071,"AAAAAB/3B4Y=")</f>
        <v>#VALUE!</v>
      </c>
      <c r="EF138">
        <f>IF('Planilla_General_29-11-2012_10_'!2072:2072,"AAAAAB/3B4c=",0)</f>
        <v>0</v>
      </c>
      <c r="EG138" t="e">
        <f>AND('Planilla_General_29-11-2012_10_'!A2072,"AAAAAB/3B4g=")</f>
        <v>#VALUE!</v>
      </c>
      <c r="EH138" t="e">
        <f>AND('Planilla_General_29-11-2012_10_'!B2072,"AAAAAB/3B4k=")</f>
        <v>#VALUE!</v>
      </c>
      <c r="EI138" t="e">
        <f>AND('Planilla_General_29-11-2012_10_'!C2072,"AAAAAB/3B4o=")</f>
        <v>#VALUE!</v>
      </c>
      <c r="EJ138" t="e">
        <f>AND('Planilla_General_29-11-2012_10_'!D2072,"AAAAAB/3B4s=")</f>
        <v>#VALUE!</v>
      </c>
      <c r="EK138" t="e">
        <f>AND('Planilla_General_29-11-2012_10_'!E2072,"AAAAAB/3B4w=")</f>
        <v>#VALUE!</v>
      </c>
      <c r="EL138" t="e">
        <f>AND('Planilla_General_29-11-2012_10_'!F2072,"AAAAAB/3B40=")</f>
        <v>#VALUE!</v>
      </c>
      <c r="EM138" t="e">
        <f>AND('Planilla_General_29-11-2012_10_'!G2072,"AAAAAB/3B44=")</f>
        <v>#VALUE!</v>
      </c>
      <c r="EN138" t="e">
        <f>AND('Planilla_General_29-11-2012_10_'!H2072,"AAAAAB/3B48=")</f>
        <v>#VALUE!</v>
      </c>
      <c r="EO138" t="e">
        <f>AND('Planilla_General_29-11-2012_10_'!I2072,"AAAAAB/3B5A=")</f>
        <v>#VALUE!</v>
      </c>
      <c r="EP138" t="e">
        <f>AND('Planilla_General_29-11-2012_10_'!J2072,"AAAAAB/3B5E=")</f>
        <v>#VALUE!</v>
      </c>
      <c r="EQ138" t="e">
        <f>AND('Planilla_General_29-11-2012_10_'!K2072,"AAAAAB/3B5I=")</f>
        <v>#VALUE!</v>
      </c>
      <c r="ER138" t="e">
        <f>AND('Planilla_General_29-11-2012_10_'!L2072,"AAAAAB/3B5M=")</f>
        <v>#VALUE!</v>
      </c>
      <c r="ES138" t="e">
        <f>AND('Planilla_General_29-11-2012_10_'!M2072,"AAAAAB/3B5Q=")</f>
        <v>#VALUE!</v>
      </c>
      <c r="ET138" t="e">
        <f>AND('Planilla_General_29-11-2012_10_'!N2072,"AAAAAB/3B5U=")</f>
        <v>#VALUE!</v>
      </c>
      <c r="EU138" t="e">
        <f>AND('Planilla_General_29-11-2012_10_'!O2072,"AAAAAB/3B5Y=")</f>
        <v>#VALUE!</v>
      </c>
      <c r="EV138" t="e">
        <f>AND('Planilla_General_29-11-2012_10_'!P2072,"AAAAAB/3B5c=")</f>
        <v>#VALUE!</v>
      </c>
      <c r="EW138">
        <f>IF('Planilla_General_29-11-2012_10_'!2073:2073,"AAAAAB/3B5g=",0)</f>
        <v>0</v>
      </c>
      <c r="EX138" t="e">
        <f>AND('Planilla_General_29-11-2012_10_'!A2073,"AAAAAB/3B5k=")</f>
        <v>#VALUE!</v>
      </c>
      <c r="EY138" t="e">
        <f>AND('Planilla_General_29-11-2012_10_'!B2073,"AAAAAB/3B5o=")</f>
        <v>#VALUE!</v>
      </c>
      <c r="EZ138" t="e">
        <f>AND('Planilla_General_29-11-2012_10_'!C2073,"AAAAAB/3B5s=")</f>
        <v>#VALUE!</v>
      </c>
      <c r="FA138" t="e">
        <f>AND('Planilla_General_29-11-2012_10_'!D2073,"AAAAAB/3B5w=")</f>
        <v>#VALUE!</v>
      </c>
      <c r="FB138" t="e">
        <f>AND('Planilla_General_29-11-2012_10_'!E2073,"AAAAAB/3B50=")</f>
        <v>#VALUE!</v>
      </c>
      <c r="FC138" t="e">
        <f>AND('Planilla_General_29-11-2012_10_'!F2073,"AAAAAB/3B54=")</f>
        <v>#VALUE!</v>
      </c>
      <c r="FD138" t="e">
        <f>AND('Planilla_General_29-11-2012_10_'!G2073,"AAAAAB/3B58=")</f>
        <v>#VALUE!</v>
      </c>
      <c r="FE138" t="e">
        <f>AND('Planilla_General_29-11-2012_10_'!H2073,"AAAAAB/3B6A=")</f>
        <v>#VALUE!</v>
      </c>
      <c r="FF138" t="e">
        <f>AND('Planilla_General_29-11-2012_10_'!I2073,"AAAAAB/3B6E=")</f>
        <v>#VALUE!</v>
      </c>
      <c r="FG138" t="e">
        <f>AND('Planilla_General_29-11-2012_10_'!J2073,"AAAAAB/3B6I=")</f>
        <v>#VALUE!</v>
      </c>
      <c r="FH138" t="e">
        <f>AND('Planilla_General_29-11-2012_10_'!K2073,"AAAAAB/3B6M=")</f>
        <v>#VALUE!</v>
      </c>
      <c r="FI138" t="e">
        <f>AND('Planilla_General_29-11-2012_10_'!L2073,"AAAAAB/3B6Q=")</f>
        <v>#VALUE!</v>
      </c>
      <c r="FJ138" t="e">
        <f>AND('Planilla_General_29-11-2012_10_'!M2073,"AAAAAB/3B6U=")</f>
        <v>#VALUE!</v>
      </c>
      <c r="FK138" t="e">
        <f>AND('Planilla_General_29-11-2012_10_'!N2073,"AAAAAB/3B6Y=")</f>
        <v>#VALUE!</v>
      </c>
      <c r="FL138" t="e">
        <f>AND('Planilla_General_29-11-2012_10_'!O2073,"AAAAAB/3B6c=")</f>
        <v>#VALUE!</v>
      </c>
      <c r="FM138" t="e">
        <f>AND('Planilla_General_29-11-2012_10_'!P2073,"AAAAAB/3B6g=")</f>
        <v>#VALUE!</v>
      </c>
      <c r="FN138">
        <f>IF('Planilla_General_29-11-2012_10_'!2074:2074,"AAAAAB/3B6k=",0)</f>
        <v>0</v>
      </c>
      <c r="FO138" t="e">
        <f>AND('Planilla_General_29-11-2012_10_'!A2074,"AAAAAB/3B6o=")</f>
        <v>#VALUE!</v>
      </c>
      <c r="FP138" t="e">
        <f>AND('Planilla_General_29-11-2012_10_'!B2074,"AAAAAB/3B6s=")</f>
        <v>#VALUE!</v>
      </c>
      <c r="FQ138" t="e">
        <f>AND('Planilla_General_29-11-2012_10_'!C2074,"AAAAAB/3B6w=")</f>
        <v>#VALUE!</v>
      </c>
      <c r="FR138" t="e">
        <f>AND('Planilla_General_29-11-2012_10_'!D2074,"AAAAAB/3B60=")</f>
        <v>#VALUE!</v>
      </c>
      <c r="FS138" t="e">
        <f>AND('Planilla_General_29-11-2012_10_'!E2074,"AAAAAB/3B64=")</f>
        <v>#VALUE!</v>
      </c>
      <c r="FT138" t="e">
        <f>AND('Planilla_General_29-11-2012_10_'!F2074,"AAAAAB/3B68=")</f>
        <v>#VALUE!</v>
      </c>
      <c r="FU138" t="e">
        <f>AND('Planilla_General_29-11-2012_10_'!G2074,"AAAAAB/3B7A=")</f>
        <v>#VALUE!</v>
      </c>
      <c r="FV138" t="e">
        <f>AND('Planilla_General_29-11-2012_10_'!H2074,"AAAAAB/3B7E=")</f>
        <v>#VALUE!</v>
      </c>
      <c r="FW138" t="e">
        <f>AND('Planilla_General_29-11-2012_10_'!I2074,"AAAAAB/3B7I=")</f>
        <v>#VALUE!</v>
      </c>
      <c r="FX138" t="e">
        <f>AND('Planilla_General_29-11-2012_10_'!J2074,"AAAAAB/3B7M=")</f>
        <v>#VALUE!</v>
      </c>
      <c r="FY138" t="e">
        <f>AND('Planilla_General_29-11-2012_10_'!K2074,"AAAAAB/3B7Q=")</f>
        <v>#VALUE!</v>
      </c>
      <c r="FZ138" t="e">
        <f>AND('Planilla_General_29-11-2012_10_'!L2074,"AAAAAB/3B7U=")</f>
        <v>#VALUE!</v>
      </c>
      <c r="GA138" t="e">
        <f>AND('Planilla_General_29-11-2012_10_'!M2074,"AAAAAB/3B7Y=")</f>
        <v>#VALUE!</v>
      </c>
      <c r="GB138" t="e">
        <f>AND('Planilla_General_29-11-2012_10_'!N2074,"AAAAAB/3B7c=")</f>
        <v>#VALUE!</v>
      </c>
      <c r="GC138" t="e">
        <f>AND('Planilla_General_29-11-2012_10_'!O2074,"AAAAAB/3B7g=")</f>
        <v>#VALUE!</v>
      </c>
      <c r="GD138" t="e">
        <f>AND('Planilla_General_29-11-2012_10_'!P2074,"AAAAAB/3B7k=")</f>
        <v>#VALUE!</v>
      </c>
      <c r="GE138">
        <f>IF('Planilla_General_29-11-2012_10_'!2075:2075,"AAAAAB/3B7o=",0)</f>
        <v>0</v>
      </c>
      <c r="GF138" t="e">
        <f>AND('Planilla_General_29-11-2012_10_'!A2075,"AAAAAB/3B7s=")</f>
        <v>#VALUE!</v>
      </c>
      <c r="GG138" t="e">
        <f>AND('Planilla_General_29-11-2012_10_'!B2075,"AAAAAB/3B7w=")</f>
        <v>#VALUE!</v>
      </c>
      <c r="GH138" t="e">
        <f>AND('Planilla_General_29-11-2012_10_'!C2075,"AAAAAB/3B70=")</f>
        <v>#VALUE!</v>
      </c>
      <c r="GI138" t="e">
        <f>AND('Planilla_General_29-11-2012_10_'!D2075,"AAAAAB/3B74=")</f>
        <v>#VALUE!</v>
      </c>
      <c r="GJ138" t="e">
        <f>AND('Planilla_General_29-11-2012_10_'!E2075,"AAAAAB/3B78=")</f>
        <v>#VALUE!</v>
      </c>
      <c r="GK138" t="e">
        <f>AND('Planilla_General_29-11-2012_10_'!F2075,"AAAAAB/3B8A=")</f>
        <v>#VALUE!</v>
      </c>
      <c r="GL138" t="e">
        <f>AND('Planilla_General_29-11-2012_10_'!G2075,"AAAAAB/3B8E=")</f>
        <v>#VALUE!</v>
      </c>
      <c r="GM138" t="e">
        <f>AND('Planilla_General_29-11-2012_10_'!H2075,"AAAAAB/3B8I=")</f>
        <v>#VALUE!</v>
      </c>
      <c r="GN138" t="e">
        <f>AND('Planilla_General_29-11-2012_10_'!I2075,"AAAAAB/3B8M=")</f>
        <v>#VALUE!</v>
      </c>
      <c r="GO138" t="e">
        <f>AND('Planilla_General_29-11-2012_10_'!J2075,"AAAAAB/3B8Q=")</f>
        <v>#VALUE!</v>
      </c>
      <c r="GP138" t="e">
        <f>AND('Planilla_General_29-11-2012_10_'!K2075,"AAAAAB/3B8U=")</f>
        <v>#VALUE!</v>
      </c>
      <c r="GQ138" t="e">
        <f>AND('Planilla_General_29-11-2012_10_'!L2075,"AAAAAB/3B8Y=")</f>
        <v>#VALUE!</v>
      </c>
      <c r="GR138" t="e">
        <f>AND('Planilla_General_29-11-2012_10_'!M2075,"AAAAAB/3B8c=")</f>
        <v>#VALUE!</v>
      </c>
      <c r="GS138" t="e">
        <f>AND('Planilla_General_29-11-2012_10_'!N2075,"AAAAAB/3B8g=")</f>
        <v>#VALUE!</v>
      </c>
      <c r="GT138" t="e">
        <f>AND('Planilla_General_29-11-2012_10_'!O2075,"AAAAAB/3B8k=")</f>
        <v>#VALUE!</v>
      </c>
      <c r="GU138" t="e">
        <f>AND('Planilla_General_29-11-2012_10_'!P2075,"AAAAAB/3B8o=")</f>
        <v>#VALUE!</v>
      </c>
      <c r="GV138">
        <f>IF('Planilla_General_29-11-2012_10_'!2076:2076,"AAAAAB/3B8s=",0)</f>
        <v>0</v>
      </c>
      <c r="GW138" t="e">
        <f>AND('Planilla_General_29-11-2012_10_'!A2076,"AAAAAB/3B8w=")</f>
        <v>#VALUE!</v>
      </c>
      <c r="GX138" t="e">
        <f>AND('Planilla_General_29-11-2012_10_'!B2076,"AAAAAB/3B80=")</f>
        <v>#VALUE!</v>
      </c>
      <c r="GY138" t="e">
        <f>AND('Planilla_General_29-11-2012_10_'!C2076,"AAAAAB/3B84=")</f>
        <v>#VALUE!</v>
      </c>
      <c r="GZ138" t="e">
        <f>AND('Planilla_General_29-11-2012_10_'!D2076,"AAAAAB/3B88=")</f>
        <v>#VALUE!</v>
      </c>
      <c r="HA138" t="e">
        <f>AND('Planilla_General_29-11-2012_10_'!E2076,"AAAAAB/3B9A=")</f>
        <v>#VALUE!</v>
      </c>
      <c r="HB138" t="e">
        <f>AND('Planilla_General_29-11-2012_10_'!F2076,"AAAAAB/3B9E=")</f>
        <v>#VALUE!</v>
      </c>
      <c r="HC138" t="e">
        <f>AND('Planilla_General_29-11-2012_10_'!G2076,"AAAAAB/3B9I=")</f>
        <v>#VALUE!</v>
      </c>
      <c r="HD138" t="e">
        <f>AND('Planilla_General_29-11-2012_10_'!H2076,"AAAAAB/3B9M=")</f>
        <v>#VALUE!</v>
      </c>
      <c r="HE138" t="e">
        <f>AND('Planilla_General_29-11-2012_10_'!I2076,"AAAAAB/3B9Q=")</f>
        <v>#VALUE!</v>
      </c>
      <c r="HF138" t="e">
        <f>AND('Planilla_General_29-11-2012_10_'!J2076,"AAAAAB/3B9U=")</f>
        <v>#VALUE!</v>
      </c>
      <c r="HG138" t="e">
        <f>AND('Planilla_General_29-11-2012_10_'!K2076,"AAAAAB/3B9Y=")</f>
        <v>#VALUE!</v>
      </c>
      <c r="HH138" t="e">
        <f>AND('Planilla_General_29-11-2012_10_'!L2076,"AAAAAB/3B9c=")</f>
        <v>#VALUE!</v>
      </c>
      <c r="HI138" t="e">
        <f>AND('Planilla_General_29-11-2012_10_'!M2076,"AAAAAB/3B9g=")</f>
        <v>#VALUE!</v>
      </c>
      <c r="HJ138" t="e">
        <f>AND('Planilla_General_29-11-2012_10_'!N2076,"AAAAAB/3B9k=")</f>
        <v>#VALUE!</v>
      </c>
      <c r="HK138" t="e">
        <f>AND('Planilla_General_29-11-2012_10_'!O2076,"AAAAAB/3B9o=")</f>
        <v>#VALUE!</v>
      </c>
      <c r="HL138" t="e">
        <f>AND('Planilla_General_29-11-2012_10_'!P2076,"AAAAAB/3B9s=")</f>
        <v>#VALUE!</v>
      </c>
      <c r="HM138">
        <f>IF('Planilla_General_29-11-2012_10_'!2077:2077,"AAAAAB/3B9w=",0)</f>
        <v>0</v>
      </c>
      <c r="HN138" t="e">
        <f>AND('Planilla_General_29-11-2012_10_'!A2077,"AAAAAB/3B90=")</f>
        <v>#VALUE!</v>
      </c>
      <c r="HO138" t="e">
        <f>AND('Planilla_General_29-11-2012_10_'!B2077,"AAAAAB/3B94=")</f>
        <v>#VALUE!</v>
      </c>
      <c r="HP138" t="e">
        <f>AND('Planilla_General_29-11-2012_10_'!C2077,"AAAAAB/3B98=")</f>
        <v>#VALUE!</v>
      </c>
      <c r="HQ138" t="e">
        <f>AND('Planilla_General_29-11-2012_10_'!D2077,"AAAAAB/3B+A=")</f>
        <v>#VALUE!</v>
      </c>
      <c r="HR138" t="e">
        <f>AND('Planilla_General_29-11-2012_10_'!E2077,"AAAAAB/3B+E=")</f>
        <v>#VALUE!</v>
      </c>
      <c r="HS138" t="e">
        <f>AND('Planilla_General_29-11-2012_10_'!F2077,"AAAAAB/3B+I=")</f>
        <v>#VALUE!</v>
      </c>
      <c r="HT138" t="e">
        <f>AND('Planilla_General_29-11-2012_10_'!G2077,"AAAAAB/3B+M=")</f>
        <v>#VALUE!</v>
      </c>
      <c r="HU138" t="e">
        <f>AND('Planilla_General_29-11-2012_10_'!H2077,"AAAAAB/3B+Q=")</f>
        <v>#VALUE!</v>
      </c>
      <c r="HV138" t="e">
        <f>AND('Planilla_General_29-11-2012_10_'!I2077,"AAAAAB/3B+U=")</f>
        <v>#VALUE!</v>
      </c>
      <c r="HW138" t="e">
        <f>AND('Planilla_General_29-11-2012_10_'!J2077,"AAAAAB/3B+Y=")</f>
        <v>#VALUE!</v>
      </c>
      <c r="HX138" t="e">
        <f>AND('Planilla_General_29-11-2012_10_'!K2077,"AAAAAB/3B+c=")</f>
        <v>#VALUE!</v>
      </c>
      <c r="HY138" t="e">
        <f>AND('Planilla_General_29-11-2012_10_'!L2077,"AAAAAB/3B+g=")</f>
        <v>#VALUE!</v>
      </c>
      <c r="HZ138" t="e">
        <f>AND('Planilla_General_29-11-2012_10_'!M2077,"AAAAAB/3B+k=")</f>
        <v>#VALUE!</v>
      </c>
      <c r="IA138" t="e">
        <f>AND('Planilla_General_29-11-2012_10_'!N2077,"AAAAAB/3B+o=")</f>
        <v>#VALUE!</v>
      </c>
      <c r="IB138" t="e">
        <f>AND('Planilla_General_29-11-2012_10_'!O2077,"AAAAAB/3B+s=")</f>
        <v>#VALUE!</v>
      </c>
      <c r="IC138" t="e">
        <f>AND('Planilla_General_29-11-2012_10_'!P2077,"AAAAAB/3B+w=")</f>
        <v>#VALUE!</v>
      </c>
      <c r="ID138">
        <f>IF('Planilla_General_29-11-2012_10_'!2078:2078,"AAAAAB/3B+0=",0)</f>
        <v>0</v>
      </c>
      <c r="IE138" t="e">
        <f>AND('Planilla_General_29-11-2012_10_'!A2078,"AAAAAB/3B+4=")</f>
        <v>#VALUE!</v>
      </c>
      <c r="IF138" t="e">
        <f>AND('Planilla_General_29-11-2012_10_'!B2078,"AAAAAB/3B+8=")</f>
        <v>#VALUE!</v>
      </c>
      <c r="IG138" t="e">
        <f>AND('Planilla_General_29-11-2012_10_'!C2078,"AAAAAB/3B/A=")</f>
        <v>#VALUE!</v>
      </c>
      <c r="IH138" t="e">
        <f>AND('Planilla_General_29-11-2012_10_'!D2078,"AAAAAB/3B/E=")</f>
        <v>#VALUE!</v>
      </c>
      <c r="II138" t="e">
        <f>AND('Planilla_General_29-11-2012_10_'!E2078,"AAAAAB/3B/I=")</f>
        <v>#VALUE!</v>
      </c>
      <c r="IJ138" t="e">
        <f>AND('Planilla_General_29-11-2012_10_'!F2078,"AAAAAB/3B/M=")</f>
        <v>#VALUE!</v>
      </c>
      <c r="IK138" t="e">
        <f>AND('Planilla_General_29-11-2012_10_'!G2078,"AAAAAB/3B/Q=")</f>
        <v>#VALUE!</v>
      </c>
      <c r="IL138" t="e">
        <f>AND('Planilla_General_29-11-2012_10_'!H2078,"AAAAAB/3B/U=")</f>
        <v>#VALUE!</v>
      </c>
      <c r="IM138" t="e">
        <f>AND('Planilla_General_29-11-2012_10_'!I2078,"AAAAAB/3B/Y=")</f>
        <v>#VALUE!</v>
      </c>
      <c r="IN138" t="e">
        <f>AND('Planilla_General_29-11-2012_10_'!J2078,"AAAAAB/3B/c=")</f>
        <v>#VALUE!</v>
      </c>
      <c r="IO138" t="e">
        <f>AND('Planilla_General_29-11-2012_10_'!K2078,"AAAAAB/3B/g=")</f>
        <v>#VALUE!</v>
      </c>
      <c r="IP138" t="e">
        <f>AND('Planilla_General_29-11-2012_10_'!L2078,"AAAAAB/3B/k=")</f>
        <v>#VALUE!</v>
      </c>
      <c r="IQ138" t="e">
        <f>AND('Planilla_General_29-11-2012_10_'!M2078,"AAAAAB/3B/o=")</f>
        <v>#VALUE!</v>
      </c>
      <c r="IR138" t="e">
        <f>AND('Planilla_General_29-11-2012_10_'!N2078,"AAAAAB/3B/s=")</f>
        <v>#VALUE!</v>
      </c>
      <c r="IS138" t="e">
        <f>AND('Planilla_General_29-11-2012_10_'!O2078,"AAAAAB/3B/w=")</f>
        <v>#VALUE!</v>
      </c>
      <c r="IT138" t="e">
        <f>AND('Planilla_General_29-11-2012_10_'!P2078,"AAAAAB/3B/0=")</f>
        <v>#VALUE!</v>
      </c>
      <c r="IU138">
        <f>IF('Planilla_General_29-11-2012_10_'!2079:2079,"AAAAAB/3B/4=",0)</f>
        <v>0</v>
      </c>
      <c r="IV138" t="e">
        <f>AND('Planilla_General_29-11-2012_10_'!A2079,"AAAAAB/3B/8=")</f>
        <v>#VALUE!</v>
      </c>
    </row>
    <row r="139" spans="1:256" x14ac:dyDescent="0.25">
      <c r="A139" t="e">
        <f>AND('Planilla_General_29-11-2012_10_'!B2079,"AAAAAC3/fAA=")</f>
        <v>#VALUE!</v>
      </c>
      <c r="B139" t="e">
        <f>AND('Planilla_General_29-11-2012_10_'!C2079,"AAAAAC3/fAE=")</f>
        <v>#VALUE!</v>
      </c>
      <c r="C139" t="e">
        <f>AND('Planilla_General_29-11-2012_10_'!D2079,"AAAAAC3/fAI=")</f>
        <v>#VALUE!</v>
      </c>
      <c r="D139" t="e">
        <f>AND('Planilla_General_29-11-2012_10_'!E2079,"AAAAAC3/fAM=")</f>
        <v>#VALUE!</v>
      </c>
      <c r="E139" t="e">
        <f>AND('Planilla_General_29-11-2012_10_'!F2079,"AAAAAC3/fAQ=")</f>
        <v>#VALUE!</v>
      </c>
      <c r="F139" t="e">
        <f>AND('Planilla_General_29-11-2012_10_'!G2079,"AAAAAC3/fAU=")</f>
        <v>#VALUE!</v>
      </c>
      <c r="G139" t="e">
        <f>AND('Planilla_General_29-11-2012_10_'!H2079,"AAAAAC3/fAY=")</f>
        <v>#VALUE!</v>
      </c>
      <c r="H139" t="e">
        <f>AND('Planilla_General_29-11-2012_10_'!I2079,"AAAAAC3/fAc=")</f>
        <v>#VALUE!</v>
      </c>
      <c r="I139" t="e">
        <f>AND('Planilla_General_29-11-2012_10_'!J2079,"AAAAAC3/fAg=")</f>
        <v>#VALUE!</v>
      </c>
      <c r="J139" t="e">
        <f>AND('Planilla_General_29-11-2012_10_'!K2079,"AAAAAC3/fAk=")</f>
        <v>#VALUE!</v>
      </c>
      <c r="K139" t="e">
        <f>AND('Planilla_General_29-11-2012_10_'!L2079,"AAAAAC3/fAo=")</f>
        <v>#VALUE!</v>
      </c>
      <c r="L139" t="e">
        <f>AND('Planilla_General_29-11-2012_10_'!M2079,"AAAAAC3/fAs=")</f>
        <v>#VALUE!</v>
      </c>
      <c r="M139" t="e">
        <f>AND('Planilla_General_29-11-2012_10_'!N2079,"AAAAAC3/fAw=")</f>
        <v>#VALUE!</v>
      </c>
      <c r="N139" t="e">
        <f>AND('Planilla_General_29-11-2012_10_'!O2079,"AAAAAC3/fA0=")</f>
        <v>#VALUE!</v>
      </c>
      <c r="O139" t="e">
        <f>AND('Planilla_General_29-11-2012_10_'!P2079,"AAAAAC3/fA4=")</f>
        <v>#VALUE!</v>
      </c>
      <c r="P139">
        <f>IF('Planilla_General_29-11-2012_10_'!2080:2080,"AAAAAC3/fA8=",0)</f>
        <v>0</v>
      </c>
      <c r="Q139" t="e">
        <f>AND('Planilla_General_29-11-2012_10_'!A2080,"AAAAAC3/fBA=")</f>
        <v>#VALUE!</v>
      </c>
      <c r="R139" t="e">
        <f>AND('Planilla_General_29-11-2012_10_'!B2080,"AAAAAC3/fBE=")</f>
        <v>#VALUE!</v>
      </c>
      <c r="S139" t="e">
        <f>AND('Planilla_General_29-11-2012_10_'!C2080,"AAAAAC3/fBI=")</f>
        <v>#VALUE!</v>
      </c>
      <c r="T139" t="e">
        <f>AND('Planilla_General_29-11-2012_10_'!D2080,"AAAAAC3/fBM=")</f>
        <v>#VALUE!</v>
      </c>
      <c r="U139" t="e">
        <f>AND('Planilla_General_29-11-2012_10_'!E2080,"AAAAAC3/fBQ=")</f>
        <v>#VALUE!</v>
      </c>
      <c r="V139" t="e">
        <f>AND('Planilla_General_29-11-2012_10_'!F2080,"AAAAAC3/fBU=")</f>
        <v>#VALUE!</v>
      </c>
      <c r="W139" t="e">
        <f>AND('Planilla_General_29-11-2012_10_'!G2080,"AAAAAC3/fBY=")</f>
        <v>#VALUE!</v>
      </c>
      <c r="X139" t="e">
        <f>AND('Planilla_General_29-11-2012_10_'!H2080,"AAAAAC3/fBc=")</f>
        <v>#VALUE!</v>
      </c>
      <c r="Y139" t="e">
        <f>AND('Planilla_General_29-11-2012_10_'!I2080,"AAAAAC3/fBg=")</f>
        <v>#VALUE!</v>
      </c>
      <c r="Z139" t="e">
        <f>AND('Planilla_General_29-11-2012_10_'!J2080,"AAAAAC3/fBk=")</f>
        <v>#VALUE!</v>
      </c>
      <c r="AA139" t="e">
        <f>AND('Planilla_General_29-11-2012_10_'!K2080,"AAAAAC3/fBo=")</f>
        <v>#VALUE!</v>
      </c>
      <c r="AB139" t="e">
        <f>AND('Planilla_General_29-11-2012_10_'!L2080,"AAAAAC3/fBs=")</f>
        <v>#VALUE!</v>
      </c>
      <c r="AC139" t="e">
        <f>AND('Planilla_General_29-11-2012_10_'!M2080,"AAAAAC3/fBw=")</f>
        <v>#VALUE!</v>
      </c>
      <c r="AD139" t="e">
        <f>AND('Planilla_General_29-11-2012_10_'!N2080,"AAAAAC3/fB0=")</f>
        <v>#VALUE!</v>
      </c>
      <c r="AE139" t="e">
        <f>AND('Planilla_General_29-11-2012_10_'!O2080,"AAAAAC3/fB4=")</f>
        <v>#VALUE!</v>
      </c>
      <c r="AF139" t="e">
        <f>AND('Planilla_General_29-11-2012_10_'!P2080,"AAAAAC3/fB8=")</f>
        <v>#VALUE!</v>
      </c>
      <c r="AG139">
        <f>IF('Planilla_General_29-11-2012_10_'!2081:2081,"AAAAAC3/fCA=",0)</f>
        <v>0</v>
      </c>
      <c r="AH139" t="e">
        <f>AND('Planilla_General_29-11-2012_10_'!A2081,"AAAAAC3/fCE=")</f>
        <v>#VALUE!</v>
      </c>
      <c r="AI139" t="e">
        <f>AND('Planilla_General_29-11-2012_10_'!B2081,"AAAAAC3/fCI=")</f>
        <v>#VALUE!</v>
      </c>
      <c r="AJ139" t="e">
        <f>AND('Planilla_General_29-11-2012_10_'!C2081,"AAAAAC3/fCM=")</f>
        <v>#VALUE!</v>
      </c>
      <c r="AK139" t="e">
        <f>AND('Planilla_General_29-11-2012_10_'!D2081,"AAAAAC3/fCQ=")</f>
        <v>#VALUE!</v>
      </c>
      <c r="AL139" t="e">
        <f>AND('Planilla_General_29-11-2012_10_'!E2081,"AAAAAC3/fCU=")</f>
        <v>#VALUE!</v>
      </c>
      <c r="AM139" t="e">
        <f>AND('Planilla_General_29-11-2012_10_'!F2081,"AAAAAC3/fCY=")</f>
        <v>#VALUE!</v>
      </c>
      <c r="AN139" t="e">
        <f>AND('Planilla_General_29-11-2012_10_'!G2081,"AAAAAC3/fCc=")</f>
        <v>#VALUE!</v>
      </c>
      <c r="AO139" t="e">
        <f>AND('Planilla_General_29-11-2012_10_'!H2081,"AAAAAC3/fCg=")</f>
        <v>#VALUE!</v>
      </c>
      <c r="AP139" t="e">
        <f>AND('Planilla_General_29-11-2012_10_'!I2081,"AAAAAC3/fCk=")</f>
        <v>#VALUE!</v>
      </c>
      <c r="AQ139" t="e">
        <f>AND('Planilla_General_29-11-2012_10_'!J2081,"AAAAAC3/fCo=")</f>
        <v>#VALUE!</v>
      </c>
      <c r="AR139" t="e">
        <f>AND('Planilla_General_29-11-2012_10_'!K2081,"AAAAAC3/fCs=")</f>
        <v>#VALUE!</v>
      </c>
      <c r="AS139" t="e">
        <f>AND('Planilla_General_29-11-2012_10_'!L2081,"AAAAAC3/fCw=")</f>
        <v>#VALUE!</v>
      </c>
      <c r="AT139" t="e">
        <f>AND('Planilla_General_29-11-2012_10_'!M2081,"AAAAAC3/fC0=")</f>
        <v>#VALUE!</v>
      </c>
      <c r="AU139" t="e">
        <f>AND('Planilla_General_29-11-2012_10_'!N2081,"AAAAAC3/fC4=")</f>
        <v>#VALUE!</v>
      </c>
      <c r="AV139" t="e">
        <f>AND('Planilla_General_29-11-2012_10_'!O2081,"AAAAAC3/fC8=")</f>
        <v>#VALUE!</v>
      </c>
      <c r="AW139" t="e">
        <f>AND('Planilla_General_29-11-2012_10_'!P2081,"AAAAAC3/fDA=")</f>
        <v>#VALUE!</v>
      </c>
      <c r="AX139">
        <f>IF('Planilla_General_29-11-2012_10_'!2082:2082,"AAAAAC3/fDE=",0)</f>
        <v>0</v>
      </c>
      <c r="AY139" t="e">
        <f>AND('Planilla_General_29-11-2012_10_'!A2082,"AAAAAC3/fDI=")</f>
        <v>#VALUE!</v>
      </c>
      <c r="AZ139" t="e">
        <f>AND('Planilla_General_29-11-2012_10_'!B2082,"AAAAAC3/fDM=")</f>
        <v>#VALUE!</v>
      </c>
      <c r="BA139" t="e">
        <f>AND('Planilla_General_29-11-2012_10_'!C2082,"AAAAAC3/fDQ=")</f>
        <v>#VALUE!</v>
      </c>
      <c r="BB139" t="e">
        <f>AND('Planilla_General_29-11-2012_10_'!D2082,"AAAAAC3/fDU=")</f>
        <v>#VALUE!</v>
      </c>
      <c r="BC139" t="e">
        <f>AND('Planilla_General_29-11-2012_10_'!E2082,"AAAAAC3/fDY=")</f>
        <v>#VALUE!</v>
      </c>
      <c r="BD139" t="e">
        <f>AND('Planilla_General_29-11-2012_10_'!F2082,"AAAAAC3/fDc=")</f>
        <v>#VALUE!</v>
      </c>
      <c r="BE139" t="e">
        <f>AND('Planilla_General_29-11-2012_10_'!G2082,"AAAAAC3/fDg=")</f>
        <v>#VALUE!</v>
      </c>
      <c r="BF139" t="e">
        <f>AND('Planilla_General_29-11-2012_10_'!H2082,"AAAAAC3/fDk=")</f>
        <v>#VALUE!</v>
      </c>
      <c r="BG139" t="e">
        <f>AND('Planilla_General_29-11-2012_10_'!I2082,"AAAAAC3/fDo=")</f>
        <v>#VALUE!</v>
      </c>
      <c r="BH139" t="e">
        <f>AND('Planilla_General_29-11-2012_10_'!J2082,"AAAAAC3/fDs=")</f>
        <v>#VALUE!</v>
      </c>
      <c r="BI139" t="e">
        <f>AND('Planilla_General_29-11-2012_10_'!K2082,"AAAAAC3/fDw=")</f>
        <v>#VALUE!</v>
      </c>
      <c r="BJ139" t="e">
        <f>AND('Planilla_General_29-11-2012_10_'!L2082,"AAAAAC3/fD0=")</f>
        <v>#VALUE!</v>
      </c>
      <c r="BK139" t="e">
        <f>AND('Planilla_General_29-11-2012_10_'!M2082,"AAAAAC3/fD4=")</f>
        <v>#VALUE!</v>
      </c>
      <c r="BL139" t="e">
        <f>AND('Planilla_General_29-11-2012_10_'!N2082,"AAAAAC3/fD8=")</f>
        <v>#VALUE!</v>
      </c>
      <c r="BM139" t="e">
        <f>AND('Planilla_General_29-11-2012_10_'!O2082,"AAAAAC3/fEA=")</f>
        <v>#VALUE!</v>
      </c>
      <c r="BN139" t="e">
        <f>AND('Planilla_General_29-11-2012_10_'!P2082,"AAAAAC3/fEE=")</f>
        <v>#VALUE!</v>
      </c>
      <c r="BO139">
        <f>IF('Planilla_General_29-11-2012_10_'!2083:2083,"AAAAAC3/fEI=",0)</f>
        <v>0</v>
      </c>
      <c r="BP139" t="e">
        <f>AND('Planilla_General_29-11-2012_10_'!A2083,"AAAAAC3/fEM=")</f>
        <v>#VALUE!</v>
      </c>
      <c r="BQ139" t="e">
        <f>AND('Planilla_General_29-11-2012_10_'!B2083,"AAAAAC3/fEQ=")</f>
        <v>#VALUE!</v>
      </c>
      <c r="BR139" t="e">
        <f>AND('Planilla_General_29-11-2012_10_'!C2083,"AAAAAC3/fEU=")</f>
        <v>#VALUE!</v>
      </c>
      <c r="BS139" t="e">
        <f>AND('Planilla_General_29-11-2012_10_'!D2083,"AAAAAC3/fEY=")</f>
        <v>#VALUE!</v>
      </c>
      <c r="BT139" t="e">
        <f>AND('Planilla_General_29-11-2012_10_'!E2083,"AAAAAC3/fEc=")</f>
        <v>#VALUE!</v>
      </c>
      <c r="BU139" t="e">
        <f>AND('Planilla_General_29-11-2012_10_'!F2083,"AAAAAC3/fEg=")</f>
        <v>#VALUE!</v>
      </c>
      <c r="BV139" t="e">
        <f>AND('Planilla_General_29-11-2012_10_'!G2083,"AAAAAC3/fEk=")</f>
        <v>#VALUE!</v>
      </c>
      <c r="BW139" t="e">
        <f>AND('Planilla_General_29-11-2012_10_'!H2083,"AAAAAC3/fEo=")</f>
        <v>#VALUE!</v>
      </c>
      <c r="BX139" t="e">
        <f>AND('Planilla_General_29-11-2012_10_'!I2083,"AAAAAC3/fEs=")</f>
        <v>#VALUE!</v>
      </c>
      <c r="BY139" t="e">
        <f>AND('Planilla_General_29-11-2012_10_'!J2083,"AAAAAC3/fEw=")</f>
        <v>#VALUE!</v>
      </c>
      <c r="BZ139" t="e">
        <f>AND('Planilla_General_29-11-2012_10_'!K2083,"AAAAAC3/fE0=")</f>
        <v>#VALUE!</v>
      </c>
      <c r="CA139" t="e">
        <f>AND('Planilla_General_29-11-2012_10_'!L2083,"AAAAAC3/fE4=")</f>
        <v>#VALUE!</v>
      </c>
      <c r="CB139" t="e">
        <f>AND('Planilla_General_29-11-2012_10_'!M2083,"AAAAAC3/fE8=")</f>
        <v>#VALUE!</v>
      </c>
      <c r="CC139" t="e">
        <f>AND('Planilla_General_29-11-2012_10_'!N2083,"AAAAAC3/fFA=")</f>
        <v>#VALUE!</v>
      </c>
      <c r="CD139" t="e">
        <f>AND('Planilla_General_29-11-2012_10_'!O2083,"AAAAAC3/fFE=")</f>
        <v>#VALUE!</v>
      </c>
      <c r="CE139" t="e">
        <f>AND('Planilla_General_29-11-2012_10_'!P2083,"AAAAAC3/fFI=")</f>
        <v>#VALUE!</v>
      </c>
      <c r="CF139">
        <f>IF('Planilla_General_29-11-2012_10_'!2084:2084,"AAAAAC3/fFM=",0)</f>
        <v>0</v>
      </c>
      <c r="CG139" t="e">
        <f>AND('Planilla_General_29-11-2012_10_'!A2084,"AAAAAC3/fFQ=")</f>
        <v>#VALUE!</v>
      </c>
      <c r="CH139" t="e">
        <f>AND('Planilla_General_29-11-2012_10_'!B2084,"AAAAAC3/fFU=")</f>
        <v>#VALUE!</v>
      </c>
      <c r="CI139" t="e">
        <f>AND('Planilla_General_29-11-2012_10_'!C2084,"AAAAAC3/fFY=")</f>
        <v>#VALUE!</v>
      </c>
      <c r="CJ139" t="e">
        <f>AND('Planilla_General_29-11-2012_10_'!D2084,"AAAAAC3/fFc=")</f>
        <v>#VALUE!</v>
      </c>
      <c r="CK139" t="e">
        <f>AND('Planilla_General_29-11-2012_10_'!E2084,"AAAAAC3/fFg=")</f>
        <v>#VALUE!</v>
      </c>
      <c r="CL139" t="e">
        <f>AND('Planilla_General_29-11-2012_10_'!F2084,"AAAAAC3/fFk=")</f>
        <v>#VALUE!</v>
      </c>
      <c r="CM139" t="e">
        <f>AND('Planilla_General_29-11-2012_10_'!G2084,"AAAAAC3/fFo=")</f>
        <v>#VALUE!</v>
      </c>
      <c r="CN139" t="e">
        <f>AND('Planilla_General_29-11-2012_10_'!H2084,"AAAAAC3/fFs=")</f>
        <v>#VALUE!</v>
      </c>
      <c r="CO139" t="e">
        <f>AND('Planilla_General_29-11-2012_10_'!I2084,"AAAAAC3/fFw=")</f>
        <v>#VALUE!</v>
      </c>
      <c r="CP139" t="e">
        <f>AND('Planilla_General_29-11-2012_10_'!J2084,"AAAAAC3/fF0=")</f>
        <v>#VALUE!</v>
      </c>
      <c r="CQ139" t="e">
        <f>AND('Planilla_General_29-11-2012_10_'!K2084,"AAAAAC3/fF4=")</f>
        <v>#VALUE!</v>
      </c>
      <c r="CR139" t="e">
        <f>AND('Planilla_General_29-11-2012_10_'!L2084,"AAAAAC3/fF8=")</f>
        <v>#VALUE!</v>
      </c>
      <c r="CS139" t="e">
        <f>AND('Planilla_General_29-11-2012_10_'!M2084,"AAAAAC3/fGA=")</f>
        <v>#VALUE!</v>
      </c>
      <c r="CT139" t="e">
        <f>AND('Planilla_General_29-11-2012_10_'!N2084,"AAAAAC3/fGE=")</f>
        <v>#VALUE!</v>
      </c>
      <c r="CU139" t="e">
        <f>AND('Planilla_General_29-11-2012_10_'!O2084,"AAAAAC3/fGI=")</f>
        <v>#VALUE!</v>
      </c>
      <c r="CV139" t="e">
        <f>AND('Planilla_General_29-11-2012_10_'!P2084,"AAAAAC3/fGM=")</f>
        <v>#VALUE!</v>
      </c>
      <c r="CW139">
        <f>IF('Planilla_General_29-11-2012_10_'!2085:2085,"AAAAAC3/fGQ=",0)</f>
        <v>0</v>
      </c>
      <c r="CX139" t="e">
        <f>AND('Planilla_General_29-11-2012_10_'!A2085,"AAAAAC3/fGU=")</f>
        <v>#VALUE!</v>
      </c>
      <c r="CY139" t="e">
        <f>AND('Planilla_General_29-11-2012_10_'!B2085,"AAAAAC3/fGY=")</f>
        <v>#VALUE!</v>
      </c>
      <c r="CZ139" t="e">
        <f>AND('Planilla_General_29-11-2012_10_'!C2085,"AAAAAC3/fGc=")</f>
        <v>#VALUE!</v>
      </c>
      <c r="DA139" t="e">
        <f>AND('Planilla_General_29-11-2012_10_'!D2085,"AAAAAC3/fGg=")</f>
        <v>#VALUE!</v>
      </c>
      <c r="DB139" t="e">
        <f>AND('Planilla_General_29-11-2012_10_'!E2085,"AAAAAC3/fGk=")</f>
        <v>#VALUE!</v>
      </c>
      <c r="DC139" t="e">
        <f>AND('Planilla_General_29-11-2012_10_'!F2085,"AAAAAC3/fGo=")</f>
        <v>#VALUE!</v>
      </c>
      <c r="DD139" t="e">
        <f>AND('Planilla_General_29-11-2012_10_'!G2085,"AAAAAC3/fGs=")</f>
        <v>#VALUE!</v>
      </c>
      <c r="DE139" t="e">
        <f>AND('Planilla_General_29-11-2012_10_'!H2085,"AAAAAC3/fGw=")</f>
        <v>#VALUE!</v>
      </c>
      <c r="DF139" t="e">
        <f>AND('Planilla_General_29-11-2012_10_'!I2085,"AAAAAC3/fG0=")</f>
        <v>#VALUE!</v>
      </c>
      <c r="DG139" t="e">
        <f>AND('Planilla_General_29-11-2012_10_'!J2085,"AAAAAC3/fG4=")</f>
        <v>#VALUE!</v>
      </c>
      <c r="DH139" t="e">
        <f>AND('Planilla_General_29-11-2012_10_'!K2085,"AAAAAC3/fG8=")</f>
        <v>#VALUE!</v>
      </c>
      <c r="DI139" t="e">
        <f>AND('Planilla_General_29-11-2012_10_'!L2085,"AAAAAC3/fHA=")</f>
        <v>#VALUE!</v>
      </c>
      <c r="DJ139" t="e">
        <f>AND('Planilla_General_29-11-2012_10_'!M2085,"AAAAAC3/fHE=")</f>
        <v>#VALUE!</v>
      </c>
      <c r="DK139" t="e">
        <f>AND('Planilla_General_29-11-2012_10_'!N2085,"AAAAAC3/fHI=")</f>
        <v>#VALUE!</v>
      </c>
      <c r="DL139" t="e">
        <f>AND('Planilla_General_29-11-2012_10_'!O2085,"AAAAAC3/fHM=")</f>
        <v>#VALUE!</v>
      </c>
      <c r="DM139" t="e">
        <f>AND('Planilla_General_29-11-2012_10_'!P2085,"AAAAAC3/fHQ=")</f>
        <v>#VALUE!</v>
      </c>
      <c r="DN139">
        <f>IF('Planilla_General_29-11-2012_10_'!2086:2086,"AAAAAC3/fHU=",0)</f>
        <v>0</v>
      </c>
      <c r="DO139" t="e">
        <f>AND('Planilla_General_29-11-2012_10_'!A2086,"AAAAAC3/fHY=")</f>
        <v>#VALUE!</v>
      </c>
      <c r="DP139" t="e">
        <f>AND('Planilla_General_29-11-2012_10_'!B2086,"AAAAAC3/fHc=")</f>
        <v>#VALUE!</v>
      </c>
      <c r="DQ139" t="e">
        <f>AND('Planilla_General_29-11-2012_10_'!C2086,"AAAAAC3/fHg=")</f>
        <v>#VALUE!</v>
      </c>
      <c r="DR139" t="e">
        <f>AND('Planilla_General_29-11-2012_10_'!D2086,"AAAAAC3/fHk=")</f>
        <v>#VALUE!</v>
      </c>
      <c r="DS139" t="e">
        <f>AND('Planilla_General_29-11-2012_10_'!E2086,"AAAAAC3/fHo=")</f>
        <v>#VALUE!</v>
      </c>
      <c r="DT139" t="e">
        <f>AND('Planilla_General_29-11-2012_10_'!F2086,"AAAAAC3/fHs=")</f>
        <v>#VALUE!</v>
      </c>
      <c r="DU139" t="e">
        <f>AND('Planilla_General_29-11-2012_10_'!G2086,"AAAAAC3/fHw=")</f>
        <v>#VALUE!</v>
      </c>
      <c r="DV139" t="e">
        <f>AND('Planilla_General_29-11-2012_10_'!H2086,"AAAAAC3/fH0=")</f>
        <v>#VALUE!</v>
      </c>
      <c r="DW139" t="e">
        <f>AND('Planilla_General_29-11-2012_10_'!I2086,"AAAAAC3/fH4=")</f>
        <v>#VALUE!</v>
      </c>
      <c r="DX139" t="e">
        <f>AND('Planilla_General_29-11-2012_10_'!J2086,"AAAAAC3/fH8=")</f>
        <v>#VALUE!</v>
      </c>
      <c r="DY139" t="e">
        <f>AND('Planilla_General_29-11-2012_10_'!K2086,"AAAAAC3/fIA=")</f>
        <v>#VALUE!</v>
      </c>
      <c r="DZ139" t="e">
        <f>AND('Planilla_General_29-11-2012_10_'!L2086,"AAAAAC3/fIE=")</f>
        <v>#VALUE!</v>
      </c>
      <c r="EA139" t="e">
        <f>AND('Planilla_General_29-11-2012_10_'!M2086,"AAAAAC3/fII=")</f>
        <v>#VALUE!</v>
      </c>
      <c r="EB139" t="e">
        <f>AND('Planilla_General_29-11-2012_10_'!N2086,"AAAAAC3/fIM=")</f>
        <v>#VALUE!</v>
      </c>
      <c r="EC139" t="e">
        <f>AND('Planilla_General_29-11-2012_10_'!O2086,"AAAAAC3/fIQ=")</f>
        <v>#VALUE!</v>
      </c>
      <c r="ED139" t="e">
        <f>AND('Planilla_General_29-11-2012_10_'!P2086,"AAAAAC3/fIU=")</f>
        <v>#VALUE!</v>
      </c>
      <c r="EE139">
        <f>IF('Planilla_General_29-11-2012_10_'!2087:2087,"AAAAAC3/fIY=",0)</f>
        <v>0</v>
      </c>
      <c r="EF139" t="e">
        <f>AND('Planilla_General_29-11-2012_10_'!A2087,"AAAAAC3/fIc=")</f>
        <v>#VALUE!</v>
      </c>
      <c r="EG139" t="e">
        <f>AND('Planilla_General_29-11-2012_10_'!B2087,"AAAAAC3/fIg=")</f>
        <v>#VALUE!</v>
      </c>
      <c r="EH139" t="e">
        <f>AND('Planilla_General_29-11-2012_10_'!C2087,"AAAAAC3/fIk=")</f>
        <v>#VALUE!</v>
      </c>
      <c r="EI139" t="e">
        <f>AND('Planilla_General_29-11-2012_10_'!D2087,"AAAAAC3/fIo=")</f>
        <v>#VALUE!</v>
      </c>
      <c r="EJ139" t="e">
        <f>AND('Planilla_General_29-11-2012_10_'!E2087,"AAAAAC3/fIs=")</f>
        <v>#VALUE!</v>
      </c>
      <c r="EK139" t="e">
        <f>AND('Planilla_General_29-11-2012_10_'!F2087,"AAAAAC3/fIw=")</f>
        <v>#VALUE!</v>
      </c>
      <c r="EL139" t="e">
        <f>AND('Planilla_General_29-11-2012_10_'!G2087,"AAAAAC3/fI0=")</f>
        <v>#VALUE!</v>
      </c>
      <c r="EM139" t="e">
        <f>AND('Planilla_General_29-11-2012_10_'!H2087,"AAAAAC3/fI4=")</f>
        <v>#VALUE!</v>
      </c>
      <c r="EN139" t="e">
        <f>AND('Planilla_General_29-11-2012_10_'!I2087,"AAAAAC3/fI8=")</f>
        <v>#VALUE!</v>
      </c>
      <c r="EO139" t="e">
        <f>AND('Planilla_General_29-11-2012_10_'!J2087,"AAAAAC3/fJA=")</f>
        <v>#VALUE!</v>
      </c>
      <c r="EP139" t="e">
        <f>AND('Planilla_General_29-11-2012_10_'!K2087,"AAAAAC3/fJE=")</f>
        <v>#VALUE!</v>
      </c>
      <c r="EQ139" t="e">
        <f>AND('Planilla_General_29-11-2012_10_'!L2087,"AAAAAC3/fJI=")</f>
        <v>#VALUE!</v>
      </c>
      <c r="ER139" t="e">
        <f>AND('Planilla_General_29-11-2012_10_'!M2087,"AAAAAC3/fJM=")</f>
        <v>#VALUE!</v>
      </c>
      <c r="ES139" t="e">
        <f>AND('Planilla_General_29-11-2012_10_'!N2087,"AAAAAC3/fJQ=")</f>
        <v>#VALUE!</v>
      </c>
      <c r="ET139" t="e">
        <f>AND('Planilla_General_29-11-2012_10_'!O2087,"AAAAAC3/fJU=")</f>
        <v>#VALUE!</v>
      </c>
      <c r="EU139" t="e">
        <f>AND('Planilla_General_29-11-2012_10_'!P2087,"AAAAAC3/fJY=")</f>
        <v>#VALUE!</v>
      </c>
      <c r="EV139">
        <f>IF('Planilla_General_29-11-2012_10_'!2088:2088,"AAAAAC3/fJc=",0)</f>
        <v>0</v>
      </c>
      <c r="EW139" t="e">
        <f>AND('Planilla_General_29-11-2012_10_'!A2088,"AAAAAC3/fJg=")</f>
        <v>#VALUE!</v>
      </c>
      <c r="EX139" t="e">
        <f>AND('Planilla_General_29-11-2012_10_'!B2088,"AAAAAC3/fJk=")</f>
        <v>#VALUE!</v>
      </c>
      <c r="EY139" t="e">
        <f>AND('Planilla_General_29-11-2012_10_'!C2088,"AAAAAC3/fJo=")</f>
        <v>#VALUE!</v>
      </c>
      <c r="EZ139" t="e">
        <f>AND('Planilla_General_29-11-2012_10_'!D2088,"AAAAAC3/fJs=")</f>
        <v>#VALUE!</v>
      </c>
      <c r="FA139" t="e">
        <f>AND('Planilla_General_29-11-2012_10_'!E2088,"AAAAAC3/fJw=")</f>
        <v>#VALUE!</v>
      </c>
      <c r="FB139" t="e">
        <f>AND('Planilla_General_29-11-2012_10_'!F2088,"AAAAAC3/fJ0=")</f>
        <v>#VALUE!</v>
      </c>
      <c r="FC139" t="e">
        <f>AND('Planilla_General_29-11-2012_10_'!G2088,"AAAAAC3/fJ4=")</f>
        <v>#VALUE!</v>
      </c>
      <c r="FD139" t="e">
        <f>AND('Planilla_General_29-11-2012_10_'!H2088,"AAAAAC3/fJ8=")</f>
        <v>#VALUE!</v>
      </c>
      <c r="FE139" t="e">
        <f>AND('Planilla_General_29-11-2012_10_'!I2088,"AAAAAC3/fKA=")</f>
        <v>#VALUE!</v>
      </c>
      <c r="FF139" t="e">
        <f>AND('Planilla_General_29-11-2012_10_'!J2088,"AAAAAC3/fKE=")</f>
        <v>#VALUE!</v>
      </c>
      <c r="FG139" t="e">
        <f>AND('Planilla_General_29-11-2012_10_'!K2088,"AAAAAC3/fKI=")</f>
        <v>#VALUE!</v>
      </c>
      <c r="FH139" t="e">
        <f>AND('Planilla_General_29-11-2012_10_'!L2088,"AAAAAC3/fKM=")</f>
        <v>#VALUE!</v>
      </c>
      <c r="FI139" t="e">
        <f>AND('Planilla_General_29-11-2012_10_'!M2088,"AAAAAC3/fKQ=")</f>
        <v>#VALUE!</v>
      </c>
      <c r="FJ139" t="e">
        <f>AND('Planilla_General_29-11-2012_10_'!N2088,"AAAAAC3/fKU=")</f>
        <v>#VALUE!</v>
      </c>
      <c r="FK139" t="e">
        <f>AND('Planilla_General_29-11-2012_10_'!O2088,"AAAAAC3/fKY=")</f>
        <v>#VALUE!</v>
      </c>
      <c r="FL139" t="e">
        <f>AND('Planilla_General_29-11-2012_10_'!P2088,"AAAAAC3/fKc=")</f>
        <v>#VALUE!</v>
      </c>
      <c r="FM139">
        <f>IF('Planilla_General_29-11-2012_10_'!2089:2089,"AAAAAC3/fKg=",0)</f>
        <v>0</v>
      </c>
      <c r="FN139" t="e">
        <f>AND('Planilla_General_29-11-2012_10_'!A2089,"AAAAAC3/fKk=")</f>
        <v>#VALUE!</v>
      </c>
      <c r="FO139" t="e">
        <f>AND('Planilla_General_29-11-2012_10_'!B2089,"AAAAAC3/fKo=")</f>
        <v>#VALUE!</v>
      </c>
      <c r="FP139" t="e">
        <f>AND('Planilla_General_29-11-2012_10_'!C2089,"AAAAAC3/fKs=")</f>
        <v>#VALUE!</v>
      </c>
      <c r="FQ139" t="e">
        <f>AND('Planilla_General_29-11-2012_10_'!D2089,"AAAAAC3/fKw=")</f>
        <v>#VALUE!</v>
      </c>
      <c r="FR139" t="e">
        <f>AND('Planilla_General_29-11-2012_10_'!E2089,"AAAAAC3/fK0=")</f>
        <v>#VALUE!</v>
      </c>
      <c r="FS139" t="e">
        <f>AND('Planilla_General_29-11-2012_10_'!F2089,"AAAAAC3/fK4=")</f>
        <v>#VALUE!</v>
      </c>
      <c r="FT139" t="e">
        <f>AND('Planilla_General_29-11-2012_10_'!G2089,"AAAAAC3/fK8=")</f>
        <v>#VALUE!</v>
      </c>
      <c r="FU139" t="e">
        <f>AND('Planilla_General_29-11-2012_10_'!H2089,"AAAAAC3/fLA=")</f>
        <v>#VALUE!</v>
      </c>
      <c r="FV139" t="e">
        <f>AND('Planilla_General_29-11-2012_10_'!I2089,"AAAAAC3/fLE=")</f>
        <v>#VALUE!</v>
      </c>
      <c r="FW139" t="e">
        <f>AND('Planilla_General_29-11-2012_10_'!J2089,"AAAAAC3/fLI=")</f>
        <v>#VALUE!</v>
      </c>
      <c r="FX139" t="e">
        <f>AND('Planilla_General_29-11-2012_10_'!K2089,"AAAAAC3/fLM=")</f>
        <v>#VALUE!</v>
      </c>
      <c r="FY139" t="e">
        <f>AND('Planilla_General_29-11-2012_10_'!L2089,"AAAAAC3/fLQ=")</f>
        <v>#VALUE!</v>
      </c>
      <c r="FZ139" t="e">
        <f>AND('Planilla_General_29-11-2012_10_'!M2089,"AAAAAC3/fLU=")</f>
        <v>#VALUE!</v>
      </c>
      <c r="GA139" t="e">
        <f>AND('Planilla_General_29-11-2012_10_'!N2089,"AAAAAC3/fLY=")</f>
        <v>#VALUE!</v>
      </c>
      <c r="GB139" t="e">
        <f>AND('Planilla_General_29-11-2012_10_'!O2089,"AAAAAC3/fLc=")</f>
        <v>#VALUE!</v>
      </c>
      <c r="GC139" t="e">
        <f>AND('Planilla_General_29-11-2012_10_'!P2089,"AAAAAC3/fLg=")</f>
        <v>#VALUE!</v>
      </c>
      <c r="GD139">
        <f>IF('Planilla_General_29-11-2012_10_'!2090:2090,"AAAAAC3/fLk=",0)</f>
        <v>0</v>
      </c>
      <c r="GE139" t="e">
        <f>AND('Planilla_General_29-11-2012_10_'!A2090,"AAAAAC3/fLo=")</f>
        <v>#VALUE!</v>
      </c>
      <c r="GF139" t="e">
        <f>AND('Planilla_General_29-11-2012_10_'!B2090,"AAAAAC3/fLs=")</f>
        <v>#VALUE!</v>
      </c>
      <c r="GG139" t="e">
        <f>AND('Planilla_General_29-11-2012_10_'!C2090,"AAAAAC3/fLw=")</f>
        <v>#VALUE!</v>
      </c>
      <c r="GH139" t="e">
        <f>AND('Planilla_General_29-11-2012_10_'!D2090,"AAAAAC3/fL0=")</f>
        <v>#VALUE!</v>
      </c>
      <c r="GI139" t="e">
        <f>AND('Planilla_General_29-11-2012_10_'!E2090,"AAAAAC3/fL4=")</f>
        <v>#VALUE!</v>
      </c>
      <c r="GJ139" t="e">
        <f>AND('Planilla_General_29-11-2012_10_'!F2090,"AAAAAC3/fL8=")</f>
        <v>#VALUE!</v>
      </c>
      <c r="GK139" t="e">
        <f>AND('Planilla_General_29-11-2012_10_'!G2090,"AAAAAC3/fMA=")</f>
        <v>#VALUE!</v>
      </c>
      <c r="GL139" t="e">
        <f>AND('Planilla_General_29-11-2012_10_'!H2090,"AAAAAC3/fME=")</f>
        <v>#VALUE!</v>
      </c>
      <c r="GM139" t="e">
        <f>AND('Planilla_General_29-11-2012_10_'!I2090,"AAAAAC3/fMI=")</f>
        <v>#VALUE!</v>
      </c>
      <c r="GN139" t="e">
        <f>AND('Planilla_General_29-11-2012_10_'!J2090,"AAAAAC3/fMM=")</f>
        <v>#VALUE!</v>
      </c>
      <c r="GO139" t="e">
        <f>AND('Planilla_General_29-11-2012_10_'!K2090,"AAAAAC3/fMQ=")</f>
        <v>#VALUE!</v>
      </c>
      <c r="GP139" t="e">
        <f>AND('Planilla_General_29-11-2012_10_'!L2090,"AAAAAC3/fMU=")</f>
        <v>#VALUE!</v>
      </c>
      <c r="GQ139" t="e">
        <f>AND('Planilla_General_29-11-2012_10_'!M2090,"AAAAAC3/fMY=")</f>
        <v>#VALUE!</v>
      </c>
      <c r="GR139" t="e">
        <f>AND('Planilla_General_29-11-2012_10_'!N2090,"AAAAAC3/fMc=")</f>
        <v>#VALUE!</v>
      </c>
      <c r="GS139" t="e">
        <f>AND('Planilla_General_29-11-2012_10_'!O2090,"AAAAAC3/fMg=")</f>
        <v>#VALUE!</v>
      </c>
      <c r="GT139" t="e">
        <f>AND('Planilla_General_29-11-2012_10_'!P2090,"AAAAAC3/fMk=")</f>
        <v>#VALUE!</v>
      </c>
      <c r="GU139">
        <f>IF('Planilla_General_29-11-2012_10_'!2091:2091,"AAAAAC3/fMo=",0)</f>
        <v>0</v>
      </c>
      <c r="GV139" t="e">
        <f>AND('Planilla_General_29-11-2012_10_'!A2091,"AAAAAC3/fMs=")</f>
        <v>#VALUE!</v>
      </c>
      <c r="GW139" t="e">
        <f>AND('Planilla_General_29-11-2012_10_'!B2091,"AAAAAC3/fMw=")</f>
        <v>#VALUE!</v>
      </c>
      <c r="GX139" t="e">
        <f>AND('Planilla_General_29-11-2012_10_'!C2091,"AAAAAC3/fM0=")</f>
        <v>#VALUE!</v>
      </c>
      <c r="GY139" t="e">
        <f>AND('Planilla_General_29-11-2012_10_'!D2091,"AAAAAC3/fM4=")</f>
        <v>#VALUE!</v>
      </c>
      <c r="GZ139" t="e">
        <f>AND('Planilla_General_29-11-2012_10_'!E2091,"AAAAAC3/fM8=")</f>
        <v>#VALUE!</v>
      </c>
      <c r="HA139" t="e">
        <f>AND('Planilla_General_29-11-2012_10_'!F2091,"AAAAAC3/fNA=")</f>
        <v>#VALUE!</v>
      </c>
      <c r="HB139" t="e">
        <f>AND('Planilla_General_29-11-2012_10_'!G2091,"AAAAAC3/fNE=")</f>
        <v>#VALUE!</v>
      </c>
      <c r="HC139" t="e">
        <f>AND('Planilla_General_29-11-2012_10_'!H2091,"AAAAAC3/fNI=")</f>
        <v>#VALUE!</v>
      </c>
      <c r="HD139" t="e">
        <f>AND('Planilla_General_29-11-2012_10_'!I2091,"AAAAAC3/fNM=")</f>
        <v>#VALUE!</v>
      </c>
      <c r="HE139" t="e">
        <f>AND('Planilla_General_29-11-2012_10_'!J2091,"AAAAAC3/fNQ=")</f>
        <v>#VALUE!</v>
      </c>
      <c r="HF139" t="e">
        <f>AND('Planilla_General_29-11-2012_10_'!K2091,"AAAAAC3/fNU=")</f>
        <v>#VALUE!</v>
      </c>
      <c r="HG139" t="e">
        <f>AND('Planilla_General_29-11-2012_10_'!L2091,"AAAAAC3/fNY=")</f>
        <v>#VALUE!</v>
      </c>
      <c r="HH139" t="e">
        <f>AND('Planilla_General_29-11-2012_10_'!M2091,"AAAAAC3/fNc=")</f>
        <v>#VALUE!</v>
      </c>
      <c r="HI139" t="e">
        <f>AND('Planilla_General_29-11-2012_10_'!N2091,"AAAAAC3/fNg=")</f>
        <v>#VALUE!</v>
      </c>
      <c r="HJ139" t="e">
        <f>AND('Planilla_General_29-11-2012_10_'!O2091,"AAAAAC3/fNk=")</f>
        <v>#VALUE!</v>
      </c>
      <c r="HK139" t="e">
        <f>AND('Planilla_General_29-11-2012_10_'!P2091,"AAAAAC3/fNo=")</f>
        <v>#VALUE!</v>
      </c>
      <c r="HL139">
        <f>IF('Planilla_General_29-11-2012_10_'!2092:2092,"AAAAAC3/fNs=",0)</f>
        <v>0</v>
      </c>
      <c r="HM139" t="e">
        <f>AND('Planilla_General_29-11-2012_10_'!A2092,"AAAAAC3/fNw=")</f>
        <v>#VALUE!</v>
      </c>
      <c r="HN139" t="e">
        <f>AND('Planilla_General_29-11-2012_10_'!B2092,"AAAAAC3/fN0=")</f>
        <v>#VALUE!</v>
      </c>
      <c r="HO139" t="e">
        <f>AND('Planilla_General_29-11-2012_10_'!C2092,"AAAAAC3/fN4=")</f>
        <v>#VALUE!</v>
      </c>
      <c r="HP139" t="e">
        <f>AND('Planilla_General_29-11-2012_10_'!D2092,"AAAAAC3/fN8=")</f>
        <v>#VALUE!</v>
      </c>
      <c r="HQ139" t="e">
        <f>AND('Planilla_General_29-11-2012_10_'!E2092,"AAAAAC3/fOA=")</f>
        <v>#VALUE!</v>
      </c>
      <c r="HR139" t="e">
        <f>AND('Planilla_General_29-11-2012_10_'!F2092,"AAAAAC3/fOE=")</f>
        <v>#VALUE!</v>
      </c>
      <c r="HS139" t="e">
        <f>AND('Planilla_General_29-11-2012_10_'!G2092,"AAAAAC3/fOI=")</f>
        <v>#VALUE!</v>
      </c>
      <c r="HT139" t="e">
        <f>AND('Planilla_General_29-11-2012_10_'!H2092,"AAAAAC3/fOM=")</f>
        <v>#VALUE!</v>
      </c>
      <c r="HU139" t="e">
        <f>AND('Planilla_General_29-11-2012_10_'!I2092,"AAAAAC3/fOQ=")</f>
        <v>#VALUE!</v>
      </c>
      <c r="HV139" t="e">
        <f>AND('Planilla_General_29-11-2012_10_'!J2092,"AAAAAC3/fOU=")</f>
        <v>#VALUE!</v>
      </c>
      <c r="HW139" t="e">
        <f>AND('Planilla_General_29-11-2012_10_'!K2092,"AAAAAC3/fOY=")</f>
        <v>#VALUE!</v>
      </c>
      <c r="HX139" t="e">
        <f>AND('Planilla_General_29-11-2012_10_'!L2092,"AAAAAC3/fOc=")</f>
        <v>#VALUE!</v>
      </c>
      <c r="HY139" t="e">
        <f>AND('Planilla_General_29-11-2012_10_'!M2092,"AAAAAC3/fOg=")</f>
        <v>#VALUE!</v>
      </c>
      <c r="HZ139" t="e">
        <f>AND('Planilla_General_29-11-2012_10_'!N2092,"AAAAAC3/fOk=")</f>
        <v>#VALUE!</v>
      </c>
      <c r="IA139" t="e">
        <f>AND('Planilla_General_29-11-2012_10_'!O2092,"AAAAAC3/fOo=")</f>
        <v>#VALUE!</v>
      </c>
      <c r="IB139" t="e">
        <f>AND('Planilla_General_29-11-2012_10_'!P2092,"AAAAAC3/fOs=")</f>
        <v>#VALUE!</v>
      </c>
      <c r="IC139">
        <f>IF('Planilla_General_29-11-2012_10_'!2093:2093,"AAAAAC3/fOw=",0)</f>
        <v>0</v>
      </c>
      <c r="ID139" t="e">
        <f>AND('Planilla_General_29-11-2012_10_'!A2093,"AAAAAC3/fO0=")</f>
        <v>#VALUE!</v>
      </c>
      <c r="IE139" t="e">
        <f>AND('Planilla_General_29-11-2012_10_'!B2093,"AAAAAC3/fO4=")</f>
        <v>#VALUE!</v>
      </c>
      <c r="IF139" t="e">
        <f>AND('Planilla_General_29-11-2012_10_'!C2093,"AAAAAC3/fO8=")</f>
        <v>#VALUE!</v>
      </c>
      <c r="IG139" t="e">
        <f>AND('Planilla_General_29-11-2012_10_'!D2093,"AAAAAC3/fPA=")</f>
        <v>#VALUE!</v>
      </c>
      <c r="IH139" t="e">
        <f>AND('Planilla_General_29-11-2012_10_'!E2093,"AAAAAC3/fPE=")</f>
        <v>#VALUE!</v>
      </c>
      <c r="II139" t="e">
        <f>AND('Planilla_General_29-11-2012_10_'!F2093,"AAAAAC3/fPI=")</f>
        <v>#VALUE!</v>
      </c>
      <c r="IJ139" t="e">
        <f>AND('Planilla_General_29-11-2012_10_'!G2093,"AAAAAC3/fPM=")</f>
        <v>#VALUE!</v>
      </c>
      <c r="IK139" t="e">
        <f>AND('Planilla_General_29-11-2012_10_'!H2093,"AAAAAC3/fPQ=")</f>
        <v>#VALUE!</v>
      </c>
      <c r="IL139" t="e">
        <f>AND('Planilla_General_29-11-2012_10_'!I2093,"AAAAAC3/fPU=")</f>
        <v>#VALUE!</v>
      </c>
      <c r="IM139" t="e">
        <f>AND('Planilla_General_29-11-2012_10_'!J2093,"AAAAAC3/fPY=")</f>
        <v>#VALUE!</v>
      </c>
      <c r="IN139" t="e">
        <f>AND('Planilla_General_29-11-2012_10_'!K2093,"AAAAAC3/fPc=")</f>
        <v>#VALUE!</v>
      </c>
      <c r="IO139" t="e">
        <f>AND('Planilla_General_29-11-2012_10_'!L2093,"AAAAAC3/fPg=")</f>
        <v>#VALUE!</v>
      </c>
      <c r="IP139" t="e">
        <f>AND('Planilla_General_29-11-2012_10_'!M2093,"AAAAAC3/fPk=")</f>
        <v>#VALUE!</v>
      </c>
      <c r="IQ139" t="e">
        <f>AND('Planilla_General_29-11-2012_10_'!N2093,"AAAAAC3/fPo=")</f>
        <v>#VALUE!</v>
      </c>
      <c r="IR139" t="e">
        <f>AND('Planilla_General_29-11-2012_10_'!O2093,"AAAAAC3/fPs=")</f>
        <v>#VALUE!</v>
      </c>
      <c r="IS139" t="e">
        <f>AND('Planilla_General_29-11-2012_10_'!P2093,"AAAAAC3/fPw=")</f>
        <v>#VALUE!</v>
      </c>
      <c r="IT139">
        <f>IF('Planilla_General_29-11-2012_10_'!2094:2094,"AAAAAC3/fP0=",0)</f>
        <v>0</v>
      </c>
      <c r="IU139" t="e">
        <f>AND('Planilla_General_29-11-2012_10_'!A2094,"AAAAAC3/fP4=")</f>
        <v>#VALUE!</v>
      </c>
      <c r="IV139" t="e">
        <f>AND('Planilla_General_29-11-2012_10_'!B2094,"AAAAAC3/fP8=")</f>
        <v>#VALUE!</v>
      </c>
    </row>
    <row r="140" spans="1:256" x14ac:dyDescent="0.25">
      <c r="A140" t="e">
        <f>AND('Planilla_General_29-11-2012_10_'!C2094,"AAAAAG/7PQA=")</f>
        <v>#VALUE!</v>
      </c>
      <c r="B140" t="e">
        <f>AND('Planilla_General_29-11-2012_10_'!D2094,"AAAAAG/7PQE=")</f>
        <v>#VALUE!</v>
      </c>
      <c r="C140" t="e">
        <f>AND('Planilla_General_29-11-2012_10_'!E2094,"AAAAAG/7PQI=")</f>
        <v>#VALUE!</v>
      </c>
      <c r="D140" t="e">
        <f>AND('Planilla_General_29-11-2012_10_'!F2094,"AAAAAG/7PQM=")</f>
        <v>#VALUE!</v>
      </c>
      <c r="E140" t="e">
        <f>AND('Planilla_General_29-11-2012_10_'!G2094,"AAAAAG/7PQQ=")</f>
        <v>#VALUE!</v>
      </c>
      <c r="F140" t="e">
        <f>AND('Planilla_General_29-11-2012_10_'!H2094,"AAAAAG/7PQU=")</f>
        <v>#VALUE!</v>
      </c>
      <c r="G140" t="e">
        <f>AND('Planilla_General_29-11-2012_10_'!I2094,"AAAAAG/7PQY=")</f>
        <v>#VALUE!</v>
      </c>
      <c r="H140" t="e">
        <f>AND('Planilla_General_29-11-2012_10_'!J2094,"AAAAAG/7PQc=")</f>
        <v>#VALUE!</v>
      </c>
      <c r="I140" t="e">
        <f>AND('Planilla_General_29-11-2012_10_'!K2094,"AAAAAG/7PQg=")</f>
        <v>#VALUE!</v>
      </c>
      <c r="J140" t="e">
        <f>AND('Planilla_General_29-11-2012_10_'!L2094,"AAAAAG/7PQk=")</f>
        <v>#VALUE!</v>
      </c>
      <c r="K140" t="e">
        <f>AND('Planilla_General_29-11-2012_10_'!M2094,"AAAAAG/7PQo=")</f>
        <v>#VALUE!</v>
      </c>
      <c r="L140" t="e">
        <f>AND('Planilla_General_29-11-2012_10_'!N2094,"AAAAAG/7PQs=")</f>
        <v>#VALUE!</v>
      </c>
      <c r="M140" t="e">
        <f>AND('Planilla_General_29-11-2012_10_'!O2094,"AAAAAG/7PQw=")</f>
        <v>#VALUE!</v>
      </c>
      <c r="N140" t="e">
        <f>AND('Planilla_General_29-11-2012_10_'!P2094,"AAAAAG/7PQ0=")</f>
        <v>#VALUE!</v>
      </c>
      <c r="O140" t="str">
        <f>IF('Planilla_General_29-11-2012_10_'!2095:2095,"AAAAAG/7PQ4=",0)</f>
        <v>AAAAAG/7PQ4=</v>
      </c>
      <c r="P140" t="e">
        <f>AND('Planilla_General_29-11-2012_10_'!A2095,"AAAAAG/7PQ8=")</f>
        <v>#VALUE!</v>
      </c>
      <c r="Q140" t="e">
        <f>AND('Planilla_General_29-11-2012_10_'!B2095,"AAAAAG/7PRA=")</f>
        <v>#VALUE!</v>
      </c>
      <c r="R140" t="e">
        <f>AND('Planilla_General_29-11-2012_10_'!C2095,"AAAAAG/7PRE=")</f>
        <v>#VALUE!</v>
      </c>
      <c r="S140" t="e">
        <f>AND('Planilla_General_29-11-2012_10_'!D2095,"AAAAAG/7PRI=")</f>
        <v>#VALUE!</v>
      </c>
      <c r="T140" t="e">
        <f>AND('Planilla_General_29-11-2012_10_'!E2095,"AAAAAG/7PRM=")</f>
        <v>#VALUE!</v>
      </c>
      <c r="U140" t="e">
        <f>AND('Planilla_General_29-11-2012_10_'!F2095,"AAAAAG/7PRQ=")</f>
        <v>#VALUE!</v>
      </c>
      <c r="V140" t="e">
        <f>AND('Planilla_General_29-11-2012_10_'!G2095,"AAAAAG/7PRU=")</f>
        <v>#VALUE!</v>
      </c>
      <c r="W140" t="e">
        <f>AND('Planilla_General_29-11-2012_10_'!H2095,"AAAAAG/7PRY=")</f>
        <v>#VALUE!</v>
      </c>
      <c r="X140" t="e">
        <f>AND('Planilla_General_29-11-2012_10_'!I2095,"AAAAAG/7PRc=")</f>
        <v>#VALUE!</v>
      </c>
      <c r="Y140" t="e">
        <f>AND('Planilla_General_29-11-2012_10_'!J2095,"AAAAAG/7PRg=")</f>
        <v>#VALUE!</v>
      </c>
      <c r="Z140" t="e">
        <f>AND('Planilla_General_29-11-2012_10_'!K2095,"AAAAAG/7PRk=")</f>
        <v>#VALUE!</v>
      </c>
      <c r="AA140" t="e">
        <f>AND('Planilla_General_29-11-2012_10_'!L2095,"AAAAAG/7PRo=")</f>
        <v>#VALUE!</v>
      </c>
      <c r="AB140" t="e">
        <f>AND('Planilla_General_29-11-2012_10_'!M2095,"AAAAAG/7PRs=")</f>
        <v>#VALUE!</v>
      </c>
      <c r="AC140" t="e">
        <f>AND('Planilla_General_29-11-2012_10_'!N2095,"AAAAAG/7PRw=")</f>
        <v>#VALUE!</v>
      </c>
      <c r="AD140" t="e">
        <f>AND('Planilla_General_29-11-2012_10_'!O2095,"AAAAAG/7PR0=")</f>
        <v>#VALUE!</v>
      </c>
      <c r="AE140" t="e">
        <f>AND('Planilla_General_29-11-2012_10_'!P2095,"AAAAAG/7PR4=")</f>
        <v>#VALUE!</v>
      </c>
      <c r="AF140">
        <f>IF('Planilla_General_29-11-2012_10_'!2096:2096,"AAAAAG/7PR8=",0)</f>
        <v>0</v>
      </c>
      <c r="AG140" t="e">
        <f>AND('Planilla_General_29-11-2012_10_'!A2096,"AAAAAG/7PSA=")</f>
        <v>#VALUE!</v>
      </c>
      <c r="AH140" t="e">
        <f>AND('Planilla_General_29-11-2012_10_'!B2096,"AAAAAG/7PSE=")</f>
        <v>#VALUE!</v>
      </c>
      <c r="AI140" t="e">
        <f>AND('Planilla_General_29-11-2012_10_'!C2096,"AAAAAG/7PSI=")</f>
        <v>#VALUE!</v>
      </c>
      <c r="AJ140" t="e">
        <f>AND('Planilla_General_29-11-2012_10_'!D2096,"AAAAAG/7PSM=")</f>
        <v>#VALUE!</v>
      </c>
      <c r="AK140" t="e">
        <f>AND('Planilla_General_29-11-2012_10_'!E2096,"AAAAAG/7PSQ=")</f>
        <v>#VALUE!</v>
      </c>
      <c r="AL140" t="e">
        <f>AND('Planilla_General_29-11-2012_10_'!F2096,"AAAAAG/7PSU=")</f>
        <v>#VALUE!</v>
      </c>
      <c r="AM140" t="e">
        <f>AND('Planilla_General_29-11-2012_10_'!G2096,"AAAAAG/7PSY=")</f>
        <v>#VALUE!</v>
      </c>
      <c r="AN140" t="e">
        <f>AND('Planilla_General_29-11-2012_10_'!H2096,"AAAAAG/7PSc=")</f>
        <v>#VALUE!</v>
      </c>
      <c r="AO140" t="e">
        <f>AND('Planilla_General_29-11-2012_10_'!I2096,"AAAAAG/7PSg=")</f>
        <v>#VALUE!</v>
      </c>
      <c r="AP140" t="e">
        <f>AND('Planilla_General_29-11-2012_10_'!J2096,"AAAAAG/7PSk=")</f>
        <v>#VALUE!</v>
      </c>
      <c r="AQ140" t="e">
        <f>AND('Planilla_General_29-11-2012_10_'!K2096,"AAAAAG/7PSo=")</f>
        <v>#VALUE!</v>
      </c>
      <c r="AR140" t="e">
        <f>AND('Planilla_General_29-11-2012_10_'!L2096,"AAAAAG/7PSs=")</f>
        <v>#VALUE!</v>
      </c>
      <c r="AS140" t="e">
        <f>AND('Planilla_General_29-11-2012_10_'!M2096,"AAAAAG/7PSw=")</f>
        <v>#VALUE!</v>
      </c>
      <c r="AT140" t="e">
        <f>AND('Planilla_General_29-11-2012_10_'!N2096,"AAAAAG/7PS0=")</f>
        <v>#VALUE!</v>
      </c>
      <c r="AU140" t="e">
        <f>AND('Planilla_General_29-11-2012_10_'!O2096,"AAAAAG/7PS4=")</f>
        <v>#VALUE!</v>
      </c>
      <c r="AV140" t="e">
        <f>AND('Planilla_General_29-11-2012_10_'!P2096,"AAAAAG/7PS8=")</f>
        <v>#VALUE!</v>
      </c>
      <c r="AW140">
        <f>IF('Planilla_General_29-11-2012_10_'!2097:2097,"AAAAAG/7PTA=",0)</f>
        <v>0</v>
      </c>
      <c r="AX140" t="e">
        <f>AND('Planilla_General_29-11-2012_10_'!A2097,"AAAAAG/7PTE=")</f>
        <v>#VALUE!</v>
      </c>
      <c r="AY140" t="e">
        <f>AND('Planilla_General_29-11-2012_10_'!B2097,"AAAAAG/7PTI=")</f>
        <v>#VALUE!</v>
      </c>
      <c r="AZ140" t="e">
        <f>AND('Planilla_General_29-11-2012_10_'!C2097,"AAAAAG/7PTM=")</f>
        <v>#VALUE!</v>
      </c>
      <c r="BA140" t="e">
        <f>AND('Planilla_General_29-11-2012_10_'!D2097,"AAAAAG/7PTQ=")</f>
        <v>#VALUE!</v>
      </c>
      <c r="BB140" t="e">
        <f>AND('Planilla_General_29-11-2012_10_'!E2097,"AAAAAG/7PTU=")</f>
        <v>#VALUE!</v>
      </c>
      <c r="BC140" t="e">
        <f>AND('Planilla_General_29-11-2012_10_'!F2097,"AAAAAG/7PTY=")</f>
        <v>#VALUE!</v>
      </c>
      <c r="BD140" t="e">
        <f>AND('Planilla_General_29-11-2012_10_'!G2097,"AAAAAG/7PTc=")</f>
        <v>#VALUE!</v>
      </c>
      <c r="BE140" t="e">
        <f>AND('Planilla_General_29-11-2012_10_'!H2097,"AAAAAG/7PTg=")</f>
        <v>#VALUE!</v>
      </c>
      <c r="BF140" t="e">
        <f>AND('Planilla_General_29-11-2012_10_'!I2097,"AAAAAG/7PTk=")</f>
        <v>#VALUE!</v>
      </c>
      <c r="BG140" t="e">
        <f>AND('Planilla_General_29-11-2012_10_'!J2097,"AAAAAG/7PTo=")</f>
        <v>#VALUE!</v>
      </c>
      <c r="BH140" t="e">
        <f>AND('Planilla_General_29-11-2012_10_'!K2097,"AAAAAG/7PTs=")</f>
        <v>#VALUE!</v>
      </c>
      <c r="BI140" t="e">
        <f>AND('Planilla_General_29-11-2012_10_'!L2097,"AAAAAG/7PTw=")</f>
        <v>#VALUE!</v>
      </c>
      <c r="BJ140" t="e">
        <f>AND('Planilla_General_29-11-2012_10_'!M2097,"AAAAAG/7PT0=")</f>
        <v>#VALUE!</v>
      </c>
      <c r="BK140" t="e">
        <f>AND('Planilla_General_29-11-2012_10_'!N2097,"AAAAAG/7PT4=")</f>
        <v>#VALUE!</v>
      </c>
      <c r="BL140" t="e">
        <f>AND('Planilla_General_29-11-2012_10_'!O2097,"AAAAAG/7PT8=")</f>
        <v>#VALUE!</v>
      </c>
      <c r="BM140" t="e">
        <f>AND('Planilla_General_29-11-2012_10_'!P2097,"AAAAAG/7PUA=")</f>
        <v>#VALUE!</v>
      </c>
      <c r="BN140">
        <f>IF('Planilla_General_29-11-2012_10_'!2098:2098,"AAAAAG/7PUE=",0)</f>
        <v>0</v>
      </c>
      <c r="BO140" t="e">
        <f>AND('Planilla_General_29-11-2012_10_'!A2098,"AAAAAG/7PUI=")</f>
        <v>#VALUE!</v>
      </c>
      <c r="BP140" t="e">
        <f>AND('Planilla_General_29-11-2012_10_'!B2098,"AAAAAG/7PUM=")</f>
        <v>#VALUE!</v>
      </c>
      <c r="BQ140" t="e">
        <f>AND('Planilla_General_29-11-2012_10_'!C2098,"AAAAAG/7PUQ=")</f>
        <v>#VALUE!</v>
      </c>
      <c r="BR140" t="e">
        <f>AND('Planilla_General_29-11-2012_10_'!D2098,"AAAAAG/7PUU=")</f>
        <v>#VALUE!</v>
      </c>
      <c r="BS140" t="e">
        <f>AND('Planilla_General_29-11-2012_10_'!E2098,"AAAAAG/7PUY=")</f>
        <v>#VALUE!</v>
      </c>
      <c r="BT140" t="e">
        <f>AND('Planilla_General_29-11-2012_10_'!F2098,"AAAAAG/7PUc=")</f>
        <v>#VALUE!</v>
      </c>
      <c r="BU140" t="e">
        <f>AND('Planilla_General_29-11-2012_10_'!G2098,"AAAAAG/7PUg=")</f>
        <v>#VALUE!</v>
      </c>
      <c r="BV140" t="e">
        <f>AND('Planilla_General_29-11-2012_10_'!H2098,"AAAAAG/7PUk=")</f>
        <v>#VALUE!</v>
      </c>
      <c r="BW140" t="e">
        <f>AND('Planilla_General_29-11-2012_10_'!I2098,"AAAAAG/7PUo=")</f>
        <v>#VALUE!</v>
      </c>
      <c r="BX140" t="e">
        <f>AND('Planilla_General_29-11-2012_10_'!J2098,"AAAAAG/7PUs=")</f>
        <v>#VALUE!</v>
      </c>
      <c r="BY140" t="e">
        <f>AND('Planilla_General_29-11-2012_10_'!K2098,"AAAAAG/7PUw=")</f>
        <v>#VALUE!</v>
      </c>
      <c r="BZ140" t="e">
        <f>AND('Planilla_General_29-11-2012_10_'!L2098,"AAAAAG/7PU0=")</f>
        <v>#VALUE!</v>
      </c>
      <c r="CA140" t="e">
        <f>AND('Planilla_General_29-11-2012_10_'!M2098,"AAAAAG/7PU4=")</f>
        <v>#VALUE!</v>
      </c>
      <c r="CB140" t="e">
        <f>AND('Planilla_General_29-11-2012_10_'!N2098,"AAAAAG/7PU8=")</f>
        <v>#VALUE!</v>
      </c>
      <c r="CC140" t="e">
        <f>AND('Planilla_General_29-11-2012_10_'!O2098,"AAAAAG/7PVA=")</f>
        <v>#VALUE!</v>
      </c>
      <c r="CD140" t="e">
        <f>AND('Planilla_General_29-11-2012_10_'!P2098,"AAAAAG/7PVE=")</f>
        <v>#VALUE!</v>
      </c>
      <c r="CE140">
        <f>IF('Planilla_General_29-11-2012_10_'!2099:2099,"AAAAAG/7PVI=",0)</f>
        <v>0</v>
      </c>
      <c r="CF140" t="e">
        <f>AND('Planilla_General_29-11-2012_10_'!A2099,"AAAAAG/7PVM=")</f>
        <v>#VALUE!</v>
      </c>
      <c r="CG140" t="e">
        <f>AND('Planilla_General_29-11-2012_10_'!B2099,"AAAAAG/7PVQ=")</f>
        <v>#VALUE!</v>
      </c>
      <c r="CH140" t="e">
        <f>AND('Planilla_General_29-11-2012_10_'!C2099,"AAAAAG/7PVU=")</f>
        <v>#VALUE!</v>
      </c>
      <c r="CI140" t="e">
        <f>AND('Planilla_General_29-11-2012_10_'!D2099,"AAAAAG/7PVY=")</f>
        <v>#VALUE!</v>
      </c>
      <c r="CJ140" t="e">
        <f>AND('Planilla_General_29-11-2012_10_'!E2099,"AAAAAG/7PVc=")</f>
        <v>#VALUE!</v>
      </c>
      <c r="CK140" t="e">
        <f>AND('Planilla_General_29-11-2012_10_'!F2099,"AAAAAG/7PVg=")</f>
        <v>#VALUE!</v>
      </c>
      <c r="CL140" t="e">
        <f>AND('Planilla_General_29-11-2012_10_'!G2099,"AAAAAG/7PVk=")</f>
        <v>#VALUE!</v>
      </c>
      <c r="CM140" t="e">
        <f>AND('Planilla_General_29-11-2012_10_'!H2099,"AAAAAG/7PVo=")</f>
        <v>#VALUE!</v>
      </c>
      <c r="CN140" t="e">
        <f>AND('Planilla_General_29-11-2012_10_'!I2099,"AAAAAG/7PVs=")</f>
        <v>#VALUE!</v>
      </c>
      <c r="CO140" t="e">
        <f>AND('Planilla_General_29-11-2012_10_'!J2099,"AAAAAG/7PVw=")</f>
        <v>#VALUE!</v>
      </c>
      <c r="CP140" t="e">
        <f>AND('Planilla_General_29-11-2012_10_'!K2099,"AAAAAG/7PV0=")</f>
        <v>#VALUE!</v>
      </c>
      <c r="CQ140" t="e">
        <f>AND('Planilla_General_29-11-2012_10_'!L2099,"AAAAAG/7PV4=")</f>
        <v>#VALUE!</v>
      </c>
      <c r="CR140" t="e">
        <f>AND('Planilla_General_29-11-2012_10_'!M2099,"AAAAAG/7PV8=")</f>
        <v>#VALUE!</v>
      </c>
      <c r="CS140" t="e">
        <f>AND('Planilla_General_29-11-2012_10_'!N2099,"AAAAAG/7PWA=")</f>
        <v>#VALUE!</v>
      </c>
      <c r="CT140" t="e">
        <f>AND('Planilla_General_29-11-2012_10_'!O2099,"AAAAAG/7PWE=")</f>
        <v>#VALUE!</v>
      </c>
      <c r="CU140" t="e">
        <f>AND('Planilla_General_29-11-2012_10_'!P2099,"AAAAAG/7PWI=")</f>
        <v>#VALUE!</v>
      </c>
      <c r="CV140">
        <f>IF('Planilla_General_29-11-2012_10_'!2100:2100,"AAAAAG/7PWM=",0)</f>
        <v>0</v>
      </c>
      <c r="CW140" t="e">
        <f>AND('Planilla_General_29-11-2012_10_'!A2100,"AAAAAG/7PWQ=")</f>
        <v>#VALUE!</v>
      </c>
      <c r="CX140" t="e">
        <f>AND('Planilla_General_29-11-2012_10_'!B2100,"AAAAAG/7PWU=")</f>
        <v>#VALUE!</v>
      </c>
      <c r="CY140" t="e">
        <f>AND('Planilla_General_29-11-2012_10_'!C2100,"AAAAAG/7PWY=")</f>
        <v>#VALUE!</v>
      </c>
      <c r="CZ140" t="e">
        <f>AND('Planilla_General_29-11-2012_10_'!D2100,"AAAAAG/7PWc=")</f>
        <v>#VALUE!</v>
      </c>
      <c r="DA140" t="e">
        <f>AND('Planilla_General_29-11-2012_10_'!E2100,"AAAAAG/7PWg=")</f>
        <v>#VALUE!</v>
      </c>
      <c r="DB140" t="e">
        <f>AND('Planilla_General_29-11-2012_10_'!F2100,"AAAAAG/7PWk=")</f>
        <v>#VALUE!</v>
      </c>
      <c r="DC140" t="e">
        <f>AND('Planilla_General_29-11-2012_10_'!G2100,"AAAAAG/7PWo=")</f>
        <v>#VALUE!</v>
      </c>
      <c r="DD140" t="e">
        <f>AND('Planilla_General_29-11-2012_10_'!H2100,"AAAAAG/7PWs=")</f>
        <v>#VALUE!</v>
      </c>
      <c r="DE140" t="e">
        <f>AND('Planilla_General_29-11-2012_10_'!I2100,"AAAAAG/7PWw=")</f>
        <v>#VALUE!</v>
      </c>
      <c r="DF140" t="e">
        <f>AND('Planilla_General_29-11-2012_10_'!J2100,"AAAAAG/7PW0=")</f>
        <v>#VALUE!</v>
      </c>
      <c r="DG140" t="e">
        <f>AND('Planilla_General_29-11-2012_10_'!K2100,"AAAAAG/7PW4=")</f>
        <v>#VALUE!</v>
      </c>
      <c r="DH140" t="e">
        <f>AND('Planilla_General_29-11-2012_10_'!L2100,"AAAAAG/7PW8=")</f>
        <v>#VALUE!</v>
      </c>
      <c r="DI140" t="e">
        <f>AND('Planilla_General_29-11-2012_10_'!M2100,"AAAAAG/7PXA=")</f>
        <v>#VALUE!</v>
      </c>
      <c r="DJ140" t="e">
        <f>AND('Planilla_General_29-11-2012_10_'!N2100,"AAAAAG/7PXE=")</f>
        <v>#VALUE!</v>
      </c>
      <c r="DK140" t="e">
        <f>AND('Planilla_General_29-11-2012_10_'!O2100,"AAAAAG/7PXI=")</f>
        <v>#VALUE!</v>
      </c>
      <c r="DL140" t="e">
        <f>AND('Planilla_General_29-11-2012_10_'!P2100,"AAAAAG/7PXM=")</f>
        <v>#VALUE!</v>
      </c>
      <c r="DM140">
        <f>IF('Planilla_General_29-11-2012_10_'!2101:2101,"AAAAAG/7PXQ=",0)</f>
        <v>0</v>
      </c>
      <c r="DN140" t="e">
        <f>AND('Planilla_General_29-11-2012_10_'!A2101,"AAAAAG/7PXU=")</f>
        <v>#VALUE!</v>
      </c>
      <c r="DO140" t="e">
        <f>AND('Planilla_General_29-11-2012_10_'!B2101,"AAAAAG/7PXY=")</f>
        <v>#VALUE!</v>
      </c>
      <c r="DP140" t="e">
        <f>AND('Planilla_General_29-11-2012_10_'!C2101,"AAAAAG/7PXc=")</f>
        <v>#VALUE!</v>
      </c>
      <c r="DQ140" t="e">
        <f>AND('Planilla_General_29-11-2012_10_'!D2101,"AAAAAG/7PXg=")</f>
        <v>#VALUE!</v>
      </c>
      <c r="DR140" t="e">
        <f>AND('Planilla_General_29-11-2012_10_'!E2101,"AAAAAG/7PXk=")</f>
        <v>#VALUE!</v>
      </c>
      <c r="DS140" t="e">
        <f>AND('Planilla_General_29-11-2012_10_'!F2101,"AAAAAG/7PXo=")</f>
        <v>#VALUE!</v>
      </c>
      <c r="DT140" t="e">
        <f>AND('Planilla_General_29-11-2012_10_'!G2101,"AAAAAG/7PXs=")</f>
        <v>#VALUE!</v>
      </c>
      <c r="DU140" t="e">
        <f>AND('Planilla_General_29-11-2012_10_'!H2101,"AAAAAG/7PXw=")</f>
        <v>#VALUE!</v>
      </c>
      <c r="DV140" t="e">
        <f>AND('Planilla_General_29-11-2012_10_'!I2101,"AAAAAG/7PX0=")</f>
        <v>#VALUE!</v>
      </c>
      <c r="DW140" t="e">
        <f>AND('Planilla_General_29-11-2012_10_'!J2101,"AAAAAG/7PX4=")</f>
        <v>#VALUE!</v>
      </c>
      <c r="DX140" t="e">
        <f>AND('Planilla_General_29-11-2012_10_'!K2101,"AAAAAG/7PX8=")</f>
        <v>#VALUE!</v>
      </c>
      <c r="DY140" t="e">
        <f>AND('Planilla_General_29-11-2012_10_'!L2101,"AAAAAG/7PYA=")</f>
        <v>#VALUE!</v>
      </c>
      <c r="DZ140" t="e">
        <f>AND('Planilla_General_29-11-2012_10_'!M2101,"AAAAAG/7PYE=")</f>
        <v>#VALUE!</v>
      </c>
      <c r="EA140" t="e">
        <f>AND('Planilla_General_29-11-2012_10_'!N2101,"AAAAAG/7PYI=")</f>
        <v>#VALUE!</v>
      </c>
      <c r="EB140" t="e">
        <f>AND('Planilla_General_29-11-2012_10_'!O2101,"AAAAAG/7PYM=")</f>
        <v>#VALUE!</v>
      </c>
      <c r="EC140" t="e">
        <f>AND('Planilla_General_29-11-2012_10_'!P2101,"AAAAAG/7PYQ=")</f>
        <v>#VALUE!</v>
      </c>
      <c r="ED140">
        <f>IF('Planilla_General_29-11-2012_10_'!2102:2102,"AAAAAG/7PYU=",0)</f>
        <v>0</v>
      </c>
      <c r="EE140" t="e">
        <f>AND('Planilla_General_29-11-2012_10_'!A2102,"AAAAAG/7PYY=")</f>
        <v>#VALUE!</v>
      </c>
      <c r="EF140" t="e">
        <f>AND('Planilla_General_29-11-2012_10_'!B2102,"AAAAAG/7PYc=")</f>
        <v>#VALUE!</v>
      </c>
      <c r="EG140" t="e">
        <f>AND('Planilla_General_29-11-2012_10_'!C2102,"AAAAAG/7PYg=")</f>
        <v>#VALUE!</v>
      </c>
      <c r="EH140" t="e">
        <f>AND('Planilla_General_29-11-2012_10_'!D2102,"AAAAAG/7PYk=")</f>
        <v>#VALUE!</v>
      </c>
      <c r="EI140" t="e">
        <f>AND('Planilla_General_29-11-2012_10_'!E2102,"AAAAAG/7PYo=")</f>
        <v>#VALUE!</v>
      </c>
      <c r="EJ140" t="e">
        <f>AND('Planilla_General_29-11-2012_10_'!F2102,"AAAAAG/7PYs=")</f>
        <v>#VALUE!</v>
      </c>
      <c r="EK140" t="e">
        <f>AND('Planilla_General_29-11-2012_10_'!G2102,"AAAAAG/7PYw=")</f>
        <v>#VALUE!</v>
      </c>
      <c r="EL140" t="e">
        <f>AND('Planilla_General_29-11-2012_10_'!H2102,"AAAAAG/7PY0=")</f>
        <v>#VALUE!</v>
      </c>
      <c r="EM140" t="e">
        <f>AND('Planilla_General_29-11-2012_10_'!I2102,"AAAAAG/7PY4=")</f>
        <v>#VALUE!</v>
      </c>
      <c r="EN140" t="e">
        <f>AND('Planilla_General_29-11-2012_10_'!J2102,"AAAAAG/7PY8=")</f>
        <v>#VALUE!</v>
      </c>
      <c r="EO140" t="e">
        <f>AND('Planilla_General_29-11-2012_10_'!K2102,"AAAAAG/7PZA=")</f>
        <v>#VALUE!</v>
      </c>
      <c r="EP140" t="e">
        <f>AND('Planilla_General_29-11-2012_10_'!L2102,"AAAAAG/7PZE=")</f>
        <v>#VALUE!</v>
      </c>
      <c r="EQ140" t="e">
        <f>AND('Planilla_General_29-11-2012_10_'!M2102,"AAAAAG/7PZI=")</f>
        <v>#VALUE!</v>
      </c>
      <c r="ER140" t="e">
        <f>AND('Planilla_General_29-11-2012_10_'!N2102,"AAAAAG/7PZM=")</f>
        <v>#VALUE!</v>
      </c>
      <c r="ES140" t="e">
        <f>AND('Planilla_General_29-11-2012_10_'!O2102,"AAAAAG/7PZQ=")</f>
        <v>#VALUE!</v>
      </c>
      <c r="ET140" t="e">
        <f>AND('Planilla_General_29-11-2012_10_'!P2102,"AAAAAG/7PZU=")</f>
        <v>#VALUE!</v>
      </c>
      <c r="EU140">
        <f>IF('Planilla_General_29-11-2012_10_'!2103:2103,"AAAAAG/7PZY=",0)</f>
        <v>0</v>
      </c>
      <c r="EV140" t="e">
        <f>AND('Planilla_General_29-11-2012_10_'!A2103,"AAAAAG/7PZc=")</f>
        <v>#VALUE!</v>
      </c>
      <c r="EW140" t="e">
        <f>AND('Planilla_General_29-11-2012_10_'!B2103,"AAAAAG/7PZg=")</f>
        <v>#VALUE!</v>
      </c>
      <c r="EX140" t="e">
        <f>AND('Planilla_General_29-11-2012_10_'!C2103,"AAAAAG/7PZk=")</f>
        <v>#VALUE!</v>
      </c>
      <c r="EY140" t="e">
        <f>AND('Planilla_General_29-11-2012_10_'!D2103,"AAAAAG/7PZo=")</f>
        <v>#VALUE!</v>
      </c>
      <c r="EZ140" t="e">
        <f>AND('Planilla_General_29-11-2012_10_'!E2103,"AAAAAG/7PZs=")</f>
        <v>#VALUE!</v>
      </c>
      <c r="FA140" t="e">
        <f>AND('Planilla_General_29-11-2012_10_'!F2103,"AAAAAG/7PZw=")</f>
        <v>#VALUE!</v>
      </c>
      <c r="FB140" t="e">
        <f>AND('Planilla_General_29-11-2012_10_'!G2103,"AAAAAG/7PZ0=")</f>
        <v>#VALUE!</v>
      </c>
      <c r="FC140" t="e">
        <f>AND('Planilla_General_29-11-2012_10_'!H2103,"AAAAAG/7PZ4=")</f>
        <v>#VALUE!</v>
      </c>
      <c r="FD140" t="e">
        <f>AND('Planilla_General_29-11-2012_10_'!I2103,"AAAAAG/7PZ8=")</f>
        <v>#VALUE!</v>
      </c>
      <c r="FE140" t="e">
        <f>AND('Planilla_General_29-11-2012_10_'!J2103,"AAAAAG/7PaA=")</f>
        <v>#VALUE!</v>
      </c>
      <c r="FF140" t="e">
        <f>AND('Planilla_General_29-11-2012_10_'!K2103,"AAAAAG/7PaE=")</f>
        <v>#VALUE!</v>
      </c>
      <c r="FG140" t="e">
        <f>AND('Planilla_General_29-11-2012_10_'!L2103,"AAAAAG/7PaI=")</f>
        <v>#VALUE!</v>
      </c>
      <c r="FH140" t="e">
        <f>AND('Planilla_General_29-11-2012_10_'!M2103,"AAAAAG/7PaM=")</f>
        <v>#VALUE!</v>
      </c>
      <c r="FI140" t="e">
        <f>AND('Planilla_General_29-11-2012_10_'!N2103,"AAAAAG/7PaQ=")</f>
        <v>#VALUE!</v>
      </c>
      <c r="FJ140" t="e">
        <f>AND('Planilla_General_29-11-2012_10_'!O2103,"AAAAAG/7PaU=")</f>
        <v>#VALUE!</v>
      </c>
      <c r="FK140" t="e">
        <f>AND('Planilla_General_29-11-2012_10_'!P2103,"AAAAAG/7PaY=")</f>
        <v>#VALUE!</v>
      </c>
      <c r="FL140">
        <f>IF('Planilla_General_29-11-2012_10_'!2104:2104,"AAAAAG/7Pac=",0)</f>
        <v>0</v>
      </c>
      <c r="FM140" t="e">
        <f>AND('Planilla_General_29-11-2012_10_'!A2104,"AAAAAG/7Pag=")</f>
        <v>#VALUE!</v>
      </c>
      <c r="FN140" t="e">
        <f>AND('Planilla_General_29-11-2012_10_'!B2104,"AAAAAG/7Pak=")</f>
        <v>#VALUE!</v>
      </c>
      <c r="FO140" t="e">
        <f>AND('Planilla_General_29-11-2012_10_'!C2104,"AAAAAG/7Pao=")</f>
        <v>#VALUE!</v>
      </c>
      <c r="FP140" t="e">
        <f>AND('Planilla_General_29-11-2012_10_'!D2104,"AAAAAG/7Pas=")</f>
        <v>#VALUE!</v>
      </c>
      <c r="FQ140" t="e">
        <f>AND('Planilla_General_29-11-2012_10_'!E2104,"AAAAAG/7Paw=")</f>
        <v>#VALUE!</v>
      </c>
      <c r="FR140" t="e">
        <f>AND('Planilla_General_29-11-2012_10_'!F2104,"AAAAAG/7Pa0=")</f>
        <v>#VALUE!</v>
      </c>
      <c r="FS140" t="e">
        <f>AND('Planilla_General_29-11-2012_10_'!G2104,"AAAAAG/7Pa4=")</f>
        <v>#VALUE!</v>
      </c>
      <c r="FT140" t="e">
        <f>AND('Planilla_General_29-11-2012_10_'!H2104,"AAAAAG/7Pa8=")</f>
        <v>#VALUE!</v>
      </c>
      <c r="FU140" t="e">
        <f>AND('Planilla_General_29-11-2012_10_'!I2104,"AAAAAG/7PbA=")</f>
        <v>#VALUE!</v>
      </c>
      <c r="FV140" t="e">
        <f>AND('Planilla_General_29-11-2012_10_'!J2104,"AAAAAG/7PbE=")</f>
        <v>#VALUE!</v>
      </c>
      <c r="FW140" t="e">
        <f>AND('Planilla_General_29-11-2012_10_'!K2104,"AAAAAG/7PbI=")</f>
        <v>#VALUE!</v>
      </c>
      <c r="FX140" t="e">
        <f>AND('Planilla_General_29-11-2012_10_'!L2104,"AAAAAG/7PbM=")</f>
        <v>#VALUE!</v>
      </c>
      <c r="FY140" t="e">
        <f>AND('Planilla_General_29-11-2012_10_'!M2104,"AAAAAG/7PbQ=")</f>
        <v>#VALUE!</v>
      </c>
      <c r="FZ140" t="e">
        <f>AND('Planilla_General_29-11-2012_10_'!N2104,"AAAAAG/7PbU=")</f>
        <v>#VALUE!</v>
      </c>
      <c r="GA140" t="e">
        <f>AND('Planilla_General_29-11-2012_10_'!O2104,"AAAAAG/7PbY=")</f>
        <v>#VALUE!</v>
      </c>
      <c r="GB140" t="e">
        <f>AND('Planilla_General_29-11-2012_10_'!P2104,"AAAAAG/7Pbc=")</f>
        <v>#VALUE!</v>
      </c>
      <c r="GC140">
        <f>IF('Planilla_General_29-11-2012_10_'!2105:2105,"AAAAAG/7Pbg=",0)</f>
        <v>0</v>
      </c>
      <c r="GD140" t="e">
        <f>AND('Planilla_General_29-11-2012_10_'!A2105,"AAAAAG/7Pbk=")</f>
        <v>#VALUE!</v>
      </c>
      <c r="GE140" t="e">
        <f>AND('Planilla_General_29-11-2012_10_'!B2105,"AAAAAG/7Pbo=")</f>
        <v>#VALUE!</v>
      </c>
      <c r="GF140" t="e">
        <f>AND('Planilla_General_29-11-2012_10_'!C2105,"AAAAAG/7Pbs=")</f>
        <v>#VALUE!</v>
      </c>
      <c r="GG140" t="e">
        <f>AND('Planilla_General_29-11-2012_10_'!D2105,"AAAAAG/7Pbw=")</f>
        <v>#VALUE!</v>
      </c>
      <c r="GH140" t="e">
        <f>AND('Planilla_General_29-11-2012_10_'!E2105,"AAAAAG/7Pb0=")</f>
        <v>#VALUE!</v>
      </c>
      <c r="GI140" t="e">
        <f>AND('Planilla_General_29-11-2012_10_'!F2105,"AAAAAG/7Pb4=")</f>
        <v>#VALUE!</v>
      </c>
      <c r="GJ140" t="e">
        <f>AND('Planilla_General_29-11-2012_10_'!G2105,"AAAAAG/7Pb8=")</f>
        <v>#VALUE!</v>
      </c>
      <c r="GK140" t="e">
        <f>AND('Planilla_General_29-11-2012_10_'!H2105,"AAAAAG/7PcA=")</f>
        <v>#VALUE!</v>
      </c>
      <c r="GL140" t="e">
        <f>AND('Planilla_General_29-11-2012_10_'!I2105,"AAAAAG/7PcE=")</f>
        <v>#VALUE!</v>
      </c>
      <c r="GM140" t="e">
        <f>AND('Planilla_General_29-11-2012_10_'!J2105,"AAAAAG/7PcI=")</f>
        <v>#VALUE!</v>
      </c>
      <c r="GN140" t="e">
        <f>AND('Planilla_General_29-11-2012_10_'!K2105,"AAAAAG/7PcM=")</f>
        <v>#VALUE!</v>
      </c>
      <c r="GO140" t="e">
        <f>AND('Planilla_General_29-11-2012_10_'!L2105,"AAAAAG/7PcQ=")</f>
        <v>#VALUE!</v>
      </c>
      <c r="GP140" t="e">
        <f>AND('Planilla_General_29-11-2012_10_'!M2105,"AAAAAG/7PcU=")</f>
        <v>#VALUE!</v>
      </c>
      <c r="GQ140" t="e">
        <f>AND('Planilla_General_29-11-2012_10_'!N2105,"AAAAAG/7PcY=")</f>
        <v>#VALUE!</v>
      </c>
      <c r="GR140" t="e">
        <f>AND('Planilla_General_29-11-2012_10_'!O2105,"AAAAAG/7Pcc=")</f>
        <v>#VALUE!</v>
      </c>
      <c r="GS140" t="e">
        <f>AND('Planilla_General_29-11-2012_10_'!P2105,"AAAAAG/7Pcg=")</f>
        <v>#VALUE!</v>
      </c>
      <c r="GT140">
        <f>IF('Planilla_General_29-11-2012_10_'!2106:2106,"AAAAAG/7Pck=",0)</f>
        <v>0</v>
      </c>
      <c r="GU140" t="e">
        <f>AND('Planilla_General_29-11-2012_10_'!A2106,"AAAAAG/7Pco=")</f>
        <v>#VALUE!</v>
      </c>
      <c r="GV140" t="e">
        <f>AND('Planilla_General_29-11-2012_10_'!B2106,"AAAAAG/7Pcs=")</f>
        <v>#VALUE!</v>
      </c>
      <c r="GW140" t="e">
        <f>AND('Planilla_General_29-11-2012_10_'!C2106,"AAAAAG/7Pcw=")</f>
        <v>#VALUE!</v>
      </c>
      <c r="GX140" t="e">
        <f>AND('Planilla_General_29-11-2012_10_'!D2106,"AAAAAG/7Pc0=")</f>
        <v>#VALUE!</v>
      </c>
      <c r="GY140" t="e">
        <f>AND('Planilla_General_29-11-2012_10_'!E2106,"AAAAAG/7Pc4=")</f>
        <v>#VALUE!</v>
      </c>
      <c r="GZ140" t="e">
        <f>AND('Planilla_General_29-11-2012_10_'!F2106,"AAAAAG/7Pc8=")</f>
        <v>#VALUE!</v>
      </c>
      <c r="HA140" t="e">
        <f>AND('Planilla_General_29-11-2012_10_'!G2106,"AAAAAG/7PdA=")</f>
        <v>#VALUE!</v>
      </c>
      <c r="HB140" t="e">
        <f>AND('Planilla_General_29-11-2012_10_'!H2106,"AAAAAG/7PdE=")</f>
        <v>#VALUE!</v>
      </c>
      <c r="HC140" t="e">
        <f>AND('Planilla_General_29-11-2012_10_'!I2106,"AAAAAG/7PdI=")</f>
        <v>#VALUE!</v>
      </c>
      <c r="HD140" t="e">
        <f>AND('Planilla_General_29-11-2012_10_'!J2106,"AAAAAG/7PdM=")</f>
        <v>#VALUE!</v>
      </c>
      <c r="HE140" t="e">
        <f>AND('Planilla_General_29-11-2012_10_'!K2106,"AAAAAG/7PdQ=")</f>
        <v>#VALUE!</v>
      </c>
      <c r="HF140" t="e">
        <f>AND('Planilla_General_29-11-2012_10_'!L2106,"AAAAAG/7PdU=")</f>
        <v>#VALUE!</v>
      </c>
      <c r="HG140" t="e">
        <f>AND('Planilla_General_29-11-2012_10_'!M2106,"AAAAAG/7PdY=")</f>
        <v>#VALUE!</v>
      </c>
      <c r="HH140" t="e">
        <f>AND('Planilla_General_29-11-2012_10_'!N2106,"AAAAAG/7Pdc=")</f>
        <v>#VALUE!</v>
      </c>
      <c r="HI140" t="e">
        <f>AND('Planilla_General_29-11-2012_10_'!O2106,"AAAAAG/7Pdg=")</f>
        <v>#VALUE!</v>
      </c>
      <c r="HJ140" t="e">
        <f>AND('Planilla_General_29-11-2012_10_'!P2106,"AAAAAG/7Pdk=")</f>
        <v>#VALUE!</v>
      </c>
      <c r="HK140">
        <f>IF('Planilla_General_29-11-2012_10_'!2107:2107,"AAAAAG/7Pdo=",0)</f>
        <v>0</v>
      </c>
      <c r="HL140" t="e">
        <f>AND('Planilla_General_29-11-2012_10_'!A2107,"AAAAAG/7Pds=")</f>
        <v>#VALUE!</v>
      </c>
      <c r="HM140" t="e">
        <f>AND('Planilla_General_29-11-2012_10_'!B2107,"AAAAAG/7Pdw=")</f>
        <v>#VALUE!</v>
      </c>
      <c r="HN140" t="e">
        <f>AND('Planilla_General_29-11-2012_10_'!C2107,"AAAAAG/7Pd0=")</f>
        <v>#VALUE!</v>
      </c>
      <c r="HO140" t="e">
        <f>AND('Planilla_General_29-11-2012_10_'!D2107,"AAAAAG/7Pd4=")</f>
        <v>#VALUE!</v>
      </c>
      <c r="HP140" t="e">
        <f>AND('Planilla_General_29-11-2012_10_'!E2107,"AAAAAG/7Pd8=")</f>
        <v>#VALUE!</v>
      </c>
      <c r="HQ140" t="e">
        <f>AND('Planilla_General_29-11-2012_10_'!F2107,"AAAAAG/7PeA=")</f>
        <v>#VALUE!</v>
      </c>
      <c r="HR140" t="e">
        <f>AND('Planilla_General_29-11-2012_10_'!G2107,"AAAAAG/7PeE=")</f>
        <v>#VALUE!</v>
      </c>
      <c r="HS140" t="e">
        <f>AND('Planilla_General_29-11-2012_10_'!H2107,"AAAAAG/7PeI=")</f>
        <v>#VALUE!</v>
      </c>
      <c r="HT140" t="e">
        <f>AND('Planilla_General_29-11-2012_10_'!I2107,"AAAAAG/7PeM=")</f>
        <v>#VALUE!</v>
      </c>
      <c r="HU140" t="e">
        <f>AND('Planilla_General_29-11-2012_10_'!J2107,"AAAAAG/7PeQ=")</f>
        <v>#VALUE!</v>
      </c>
      <c r="HV140" t="e">
        <f>AND('Planilla_General_29-11-2012_10_'!K2107,"AAAAAG/7PeU=")</f>
        <v>#VALUE!</v>
      </c>
      <c r="HW140" t="e">
        <f>AND('Planilla_General_29-11-2012_10_'!L2107,"AAAAAG/7PeY=")</f>
        <v>#VALUE!</v>
      </c>
      <c r="HX140" t="e">
        <f>AND('Planilla_General_29-11-2012_10_'!M2107,"AAAAAG/7Pec=")</f>
        <v>#VALUE!</v>
      </c>
      <c r="HY140" t="e">
        <f>AND('Planilla_General_29-11-2012_10_'!N2107,"AAAAAG/7Peg=")</f>
        <v>#VALUE!</v>
      </c>
      <c r="HZ140" t="e">
        <f>AND('Planilla_General_29-11-2012_10_'!O2107,"AAAAAG/7Pek=")</f>
        <v>#VALUE!</v>
      </c>
      <c r="IA140" t="e">
        <f>AND('Planilla_General_29-11-2012_10_'!P2107,"AAAAAG/7Peo=")</f>
        <v>#VALUE!</v>
      </c>
      <c r="IB140">
        <f>IF('Planilla_General_29-11-2012_10_'!2108:2108,"AAAAAG/7Pes=",0)</f>
        <v>0</v>
      </c>
      <c r="IC140" t="e">
        <f>AND('Planilla_General_29-11-2012_10_'!A2108,"AAAAAG/7Pew=")</f>
        <v>#VALUE!</v>
      </c>
      <c r="ID140" t="e">
        <f>AND('Planilla_General_29-11-2012_10_'!B2108,"AAAAAG/7Pe0=")</f>
        <v>#VALUE!</v>
      </c>
      <c r="IE140" t="e">
        <f>AND('Planilla_General_29-11-2012_10_'!C2108,"AAAAAG/7Pe4=")</f>
        <v>#VALUE!</v>
      </c>
      <c r="IF140" t="e">
        <f>AND('Planilla_General_29-11-2012_10_'!D2108,"AAAAAG/7Pe8=")</f>
        <v>#VALUE!</v>
      </c>
      <c r="IG140" t="e">
        <f>AND('Planilla_General_29-11-2012_10_'!E2108,"AAAAAG/7PfA=")</f>
        <v>#VALUE!</v>
      </c>
      <c r="IH140" t="e">
        <f>AND('Planilla_General_29-11-2012_10_'!F2108,"AAAAAG/7PfE=")</f>
        <v>#VALUE!</v>
      </c>
      <c r="II140" t="e">
        <f>AND('Planilla_General_29-11-2012_10_'!G2108,"AAAAAG/7PfI=")</f>
        <v>#VALUE!</v>
      </c>
      <c r="IJ140" t="e">
        <f>AND('Planilla_General_29-11-2012_10_'!H2108,"AAAAAG/7PfM=")</f>
        <v>#VALUE!</v>
      </c>
      <c r="IK140" t="e">
        <f>AND('Planilla_General_29-11-2012_10_'!I2108,"AAAAAG/7PfQ=")</f>
        <v>#VALUE!</v>
      </c>
      <c r="IL140" t="e">
        <f>AND('Planilla_General_29-11-2012_10_'!J2108,"AAAAAG/7PfU=")</f>
        <v>#VALUE!</v>
      </c>
      <c r="IM140" t="e">
        <f>AND('Planilla_General_29-11-2012_10_'!K2108,"AAAAAG/7PfY=")</f>
        <v>#VALUE!</v>
      </c>
      <c r="IN140" t="e">
        <f>AND('Planilla_General_29-11-2012_10_'!L2108,"AAAAAG/7Pfc=")</f>
        <v>#VALUE!</v>
      </c>
      <c r="IO140" t="e">
        <f>AND('Planilla_General_29-11-2012_10_'!M2108,"AAAAAG/7Pfg=")</f>
        <v>#VALUE!</v>
      </c>
      <c r="IP140" t="e">
        <f>AND('Planilla_General_29-11-2012_10_'!N2108,"AAAAAG/7Pfk=")</f>
        <v>#VALUE!</v>
      </c>
      <c r="IQ140" t="e">
        <f>AND('Planilla_General_29-11-2012_10_'!O2108,"AAAAAG/7Pfo=")</f>
        <v>#VALUE!</v>
      </c>
      <c r="IR140" t="e">
        <f>AND('Planilla_General_29-11-2012_10_'!P2108,"AAAAAG/7Pfs=")</f>
        <v>#VALUE!</v>
      </c>
      <c r="IS140">
        <f>IF('Planilla_General_29-11-2012_10_'!2109:2109,"AAAAAG/7Pfw=",0)</f>
        <v>0</v>
      </c>
      <c r="IT140" t="e">
        <f>AND('Planilla_General_29-11-2012_10_'!A2109,"AAAAAG/7Pf0=")</f>
        <v>#VALUE!</v>
      </c>
      <c r="IU140" t="e">
        <f>AND('Planilla_General_29-11-2012_10_'!B2109,"AAAAAG/7Pf4=")</f>
        <v>#VALUE!</v>
      </c>
      <c r="IV140" t="e">
        <f>AND('Planilla_General_29-11-2012_10_'!C2109,"AAAAAG/7Pf8=")</f>
        <v>#VALUE!</v>
      </c>
    </row>
    <row r="141" spans="1:256" x14ac:dyDescent="0.25">
      <c r="A141" t="e">
        <f>AND('Planilla_General_29-11-2012_10_'!D2109,"AAAAABq/zwA=")</f>
        <v>#VALUE!</v>
      </c>
      <c r="B141" t="e">
        <f>AND('Planilla_General_29-11-2012_10_'!E2109,"AAAAABq/zwE=")</f>
        <v>#VALUE!</v>
      </c>
      <c r="C141" t="e">
        <f>AND('Planilla_General_29-11-2012_10_'!F2109,"AAAAABq/zwI=")</f>
        <v>#VALUE!</v>
      </c>
      <c r="D141" t="e">
        <f>AND('Planilla_General_29-11-2012_10_'!G2109,"AAAAABq/zwM=")</f>
        <v>#VALUE!</v>
      </c>
      <c r="E141" t="e">
        <f>AND('Planilla_General_29-11-2012_10_'!H2109,"AAAAABq/zwQ=")</f>
        <v>#VALUE!</v>
      </c>
      <c r="F141" t="e">
        <f>AND('Planilla_General_29-11-2012_10_'!I2109,"AAAAABq/zwU=")</f>
        <v>#VALUE!</v>
      </c>
      <c r="G141" t="e">
        <f>AND('Planilla_General_29-11-2012_10_'!J2109,"AAAAABq/zwY=")</f>
        <v>#VALUE!</v>
      </c>
      <c r="H141" t="e">
        <f>AND('Planilla_General_29-11-2012_10_'!K2109,"AAAAABq/zwc=")</f>
        <v>#VALUE!</v>
      </c>
      <c r="I141" t="e">
        <f>AND('Planilla_General_29-11-2012_10_'!L2109,"AAAAABq/zwg=")</f>
        <v>#VALUE!</v>
      </c>
      <c r="J141" t="e">
        <f>AND('Planilla_General_29-11-2012_10_'!M2109,"AAAAABq/zwk=")</f>
        <v>#VALUE!</v>
      </c>
      <c r="K141" t="e">
        <f>AND('Planilla_General_29-11-2012_10_'!N2109,"AAAAABq/zwo=")</f>
        <v>#VALUE!</v>
      </c>
      <c r="L141" t="e">
        <f>AND('Planilla_General_29-11-2012_10_'!O2109,"AAAAABq/zws=")</f>
        <v>#VALUE!</v>
      </c>
      <c r="M141" t="e">
        <f>AND('Planilla_General_29-11-2012_10_'!P2109,"AAAAABq/zww=")</f>
        <v>#VALUE!</v>
      </c>
      <c r="N141" t="str">
        <f>IF('Planilla_General_29-11-2012_10_'!2110:2110,"AAAAABq/zw0=",0)</f>
        <v>AAAAABq/zw0=</v>
      </c>
      <c r="O141" t="e">
        <f>AND('Planilla_General_29-11-2012_10_'!A2110,"AAAAABq/zw4=")</f>
        <v>#VALUE!</v>
      </c>
      <c r="P141" t="e">
        <f>AND('Planilla_General_29-11-2012_10_'!B2110,"AAAAABq/zw8=")</f>
        <v>#VALUE!</v>
      </c>
      <c r="Q141" t="e">
        <f>AND('Planilla_General_29-11-2012_10_'!C2110,"AAAAABq/zxA=")</f>
        <v>#VALUE!</v>
      </c>
      <c r="R141" t="e">
        <f>AND('Planilla_General_29-11-2012_10_'!D2110,"AAAAABq/zxE=")</f>
        <v>#VALUE!</v>
      </c>
      <c r="S141" t="e">
        <f>AND('Planilla_General_29-11-2012_10_'!E2110,"AAAAABq/zxI=")</f>
        <v>#VALUE!</v>
      </c>
      <c r="T141" t="e">
        <f>AND('Planilla_General_29-11-2012_10_'!F2110,"AAAAABq/zxM=")</f>
        <v>#VALUE!</v>
      </c>
      <c r="U141" t="e">
        <f>AND('Planilla_General_29-11-2012_10_'!G2110,"AAAAABq/zxQ=")</f>
        <v>#VALUE!</v>
      </c>
      <c r="V141" t="e">
        <f>AND('Planilla_General_29-11-2012_10_'!H2110,"AAAAABq/zxU=")</f>
        <v>#VALUE!</v>
      </c>
      <c r="W141" t="e">
        <f>AND('Planilla_General_29-11-2012_10_'!I2110,"AAAAABq/zxY=")</f>
        <v>#VALUE!</v>
      </c>
      <c r="X141" t="e">
        <f>AND('Planilla_General_29-11-2012_10_'!J2110,"AAAAABq/zxc=")</f>
        <v>#VALUE!</v>
      </c>
      <c r="Y141" t="e">
        <f>AND('Planilla_General_29-11-2012_10_'!K2110,"AAAAABq/zxg=")</f>
        <v>#VALUE!</v>
      </c>
      <c r="Z141" t="e">
        <f>AND('Planilla_General_29-11-2012_10_'!L2110,"AAAAABq/zxk=")</f>
        <v>#VALUE!</v>
      </c>
      <c r="AA141" t="e">
        <f>AND('Planilla_General_29-11-2012_10_'!M2110,"AAAAABq/zxo=")</f>
        <v>#VALUE!</v>
      </c>
      <c r="AB141" t="e">
        <f>AND('Planilla_General_29-11-2012_10_'!N2110,"AAAAABq/zxs=")</f>
        <v>#VALUE!</v>
      </c>
      <c r="AC141" t="e">
        <f>AND('Planilla_General_29-11-2012_10_'!O2110,"AAAAABq/zxw=")</f>
        <v>#VALUE!</v>
      </c>
      <c r="AD141" t="e">
        <f>AND('Planilla_General_29-11-2012_10_'!P2110,"AAAAABq/zx0=")</f>
        <v>#VALUE!</v>
      </c>
      <c r="AE141">
        <f>IF('Planilla_General_29-11-2012_10_'!2111:2111,"AAAAABq/zx4=",0)</f>
        <v>0</v>
      </c>
      <c r="AF141" t="e">
        <f>AND('Planilla_General_29-11-2012_10_'!A2111,"AAAAABq/zx8=")</f>
        <v>#VALUE!</v>
      </c>
      <c r="AG141" t="e">
        <f>AND('Planilla_General_29-11-2012_10_'!B2111,"AAAAABq/zyA=")</f>
        <v>#VALUE!</v>
      </c>
      <c r="AH141" t="e">
        <f>AND('Planilla_General_29-11-2012_10_'!C2111,"AAAAABq/zyE=")</f>
        <v>#VALUE!</v>
      </c>
      <c r="AI141" t="e">
        <f>AND('Planilla_General_29-11-2012_10_'!D2111,"AAAAABq/zyI=")</f>
        <v>#VALUE!</v>
      </c>
      <c r="AJ141" t="e">
        <f>AND('Planilla_General_29-11-2012_10_'!E2111,"AAAAABq/zyM=")</f>
        <v>#VALUE!</v>
      </c>
      <c r="AK141" t="e">
        <f>AND('Planilla_General_29-11-2012_10_'!F2111,"AAAAABq/zyQ=")</f>
        <v>#VALUE!</v>
      </c>
      <c r="AL141" t="e">
        <f>AND('Planilla_General_29-11-2012_10_'!G2111,"AAAAABq/zyU=")</f>
        <v>#VALUE!</v>
      </c>
      <c r="AM141" t="e">
        <f>AND('Planilla_General_29-11-2012_10_'!H2111,"AAAAABq/zyY=")</f>
        <v>#VALUE!</v>
      </c>
      <c r="AN141" t="e">
        <f>AND('Planilla_General_29-11-2012_10_'!I2111,"AAAAABq/zyc=")</f>
        <v>#VALUE!</v>
      </c>
      <c r="AO141" t="e">
        <f>AND('Planilla_General_29-11-2012_10_'!J2111,"AAAAABq/zyg=")</f>
        <v>#VALUE!</v>
      </c>
      <c r="AP141" t="e">
        <f>AND('Planilla_General_29-11-2012_10_'!K2111,"AAAAABq/zyk=")</f>
        <v>#VALUE!</v>
      </c>
      <c r="AQ141" t="e">
        <f>AND('Planilla_General_29-11-2012_10_'!L2111,"AAAAABq/zyo=")</f>
        <v>#VALUE!</v>
      </c>
      <c r="AR141" t="e">
        <f>AND('Planilla_General_29-11-2012_10_'!M2111,"AAAAABq/zys=")</f>
        <v>#VALUE!</v>
      </c>
      <c r="AS141" t="e">
        <f>AND('Planilla_General_29-11-2012_10_'!N2111,"AAAAABq/zyw=")</f>
        <v>#VALUE!</v>
      </c>
      <c r="AT141" t="e">
        <f>AND('Planilla_General_29-11-2012_10_'!O2111,"AAAAABq/zy0=")</f>
        <v>#VALUE!</v>
      </c>
      <c r="AU141" t="e">
        <f>AND('Planilla_General_29-11-2012_10_'!P2111,"AAAAABq/zy4=")</f>
        <v>#VALUE!</v>
      </c>
      <c r="AV141">
        <f>IF('Planilla_General_29-11-2012_10_'!2112:2112,"AAAAABq/zy8=",0)</f>
        <v>0</v>
      </c>
      <c r="AW141" t="e">
        <f>AND('Planilla_General_29-11-2012_10_'!A2112,"AAAAABq/zzA=")</f>
        <v>#VALUE!</v>
      </c>
      <c r="AX141" t="e">
        <f>AND('Planilla_General_29-11-2012_10_'!B2112,"AAAAABq/zzE=")</f>
        <v>#VALUE!</v>
      </c>
      <c r="AY141" t="e">
        <f>AND('Planilla_General_29-11-2012_10_'!C2112,"AAAAABq/zzI=")</f>
        <v>#VALUE!</v>
      </c>
      <c r="AZ141" t="e">
        <f>AND('Planilla_General_29-11-2012_10_'!D2112,"AAAAABq/zzM=")</f>
        <v>#VALUE!</v>
      </c>
      <c r="BA141" t="e">
        <f>AND('Planilla_General_29-11-2012_10_'!E2112,"AAAAABq/zzQ=")</f>
        <v>#VALUE!</v>
      </c>
      <c r="BB141" t="e">
        <f>AND('Planilla_General_29-11-2012_10_'!F2112,"AAAAABq/zzU=")</f>
        <v>#VALUE!</v>
      </c>
      <c r="BC141" t="e">
        <f>AND('Planilla_General_29-11-2012_10_'!G2112,"AAAAABq/zzY=")</f>
        <v>#VALUE!</v>
      </c>
      <c r="BD141" t="e">
        <f>AND('Planilla_General_29-11-2012_10_'!H2112,"AAAAABq/zzc=")</f>
        <v>#VALUE!</v>
      </c>
      <c r="BE141" t="e">
        <f>AND('Planilla_General_29-11-2012_10_'!I2112,"AAAAABq/zzg=")</f>
        <v>#VALUE!</v>
      </c>
      <c r="BF141" t="e">
        <f>AND('Planilla_General_29-11-2012_10_'!J2112,"AAAAABq/zzk=")</f>
        <v>#VALUE!</v>
      </c>
      <c r="BG141" t="e">
        <f>AND('Planilla_General_29-11-2012_10_'!K2112,"AAAAABq/zzo=")</f>
        <v>#VALUE!</v>
      </c>
      <c r="BH141" t="e">
        <f>AND('Planilla_General_29-11-2012_10_'!L2112,"AAAAABq/zzs=")</f>
        <v>#VALUE!</v>
      </c>
      <c r="BI141" t="e">
        <f>AND('Planilla_General_29-11-2012_10_'!M2112,"AAAAABq/zzw=")</f>
        <v>#VALUE!</v>
      </c>
      <c r="BJ141" t="e">
        <f>AND('Planilla_General_29-11-2012_10_'!N2112,"AAAAABq/zz0=")</f>
        <v>#VALUE!</v>
      </c>
      <c r="BK141" t="e">
        <f>AND('Planilla_General_29-11-2012_10_'!O2112,"AAAAABq/zz4=")</f>
        <v>#VALUE!</v>
      </c>
      <c r="BL141" t="e">
        <f>AND('Planilla_General_29-11-2012_10_'!P2112,"AAAAABq/zz8=")</f>
        <v>#VALUE!</v>
      </c>
      <c r="BM141">
        <f>IF('Planilla_General_29-11-2012_10_'!2113:2113,"AAAAABq/z0A=",0)</f>
        <v>0</v>
      </c>
      <c r="BN141" t="e">
        <f>AND('Planilla_General_29-11-2012_10_'!A2113,"AAAAABq/z0E=")</f>
        <v>#VALUE!</v>
      </c>
      <c r="BO141" t="e">
        <f>AND('Planilla_General_29-11-2012_10_'!B2113,"AAAAABq/z0I=")</f>
        <v>#VALUE!</v>
      </c>
      <c r="BP141" t="e">
        <f>AND('Planilla_General_29-11-2012_10_'!C2113,"AAAAABq/z0M=")</f>
        <v>#VALUE!</v>
      </c>
      <c r="BQ141" t="e">
        <f>AND('Planilla_General_29-11-2012_10_'!D2113,"AAAAABq/z0Q=")</f>
        <v>#VALUE!</v>
      </c>
      <c r="BR141" t="e">
        <f>AND('Planilla_General_29-11-2012_10_'!E2113,"AAAAABq/z0U=")</f>
        <v>#VALUE!</v>
      </c>
      <c r="BS141" t="e">
        <f>AND('Planilla_General_29-11-2012_10_'!F2113,"AAAAABq/z0Y=")</f>
        <v>#VALUE!</v>
      </c>
      <c r="BT141" t="e">
        <f>AND('Planilla_General_29-11-2012_10_'!G2113,"AAAAABq/z0c=")</f>
        <v>#VALUE!</v>
      </c>
      <c r="BU141" t="e">
        <f>AND('Planilla_General_29-11-2012_10_'!H2113,"AAAAABq/z0g=")</f>
        <v>#VALUE!</v>
      </c>
      <c r="BV141" t="e">
        <f>AND('Planilla_General_29-11-2012_10_'!I2113,"AAAAABq/z0k=")</f>
        <v>#VALUE!</v>
      </c>
      <c r="BW141" t="e">
        <f>AND('Planilla_General_29-11-2012_10_'!J2113,"AAAAABq/z0o=")</f>
        <v>#VALUE!</v>
      </c>
      <c r="BX141" t="e">
        <f>AND('Planilla_General_29-11-2012_10_'!K2113,"AAAAABq/z0s=")</f>
        <v>#VALUE!</v>
      </c>
      <c r="BY141" t="e">
        <f>AND('Planilla_General_29-11-2012_10_'!L2113,"AAAAABq/z0w=")</f>
        <v>#VALUE!</v>
      </c>
      <c r="BZ141" t="e">
        <f>AND('Planilla_General_29-11-2012_10_'!M2113,"AAAAABq/z00=")</f>
        <v>#VALUE!</v>
      </c>
      <c r="CA141" t="e">
        <f>AND('Planilla_General_29-11-2012_10_'!N2113,"AAAAABq/z04=")</f>
        <v>#VALUE!</v>
      </c>
      <c r="CB141" t="e">
        <f>AND('Planilla_General_29-11-2012_10_'!O2113,"AAAAABq/z08=")</f>
        <v>#VALUE!</v>
      </c>
      <c r="CC141" t="e">
        <f>AND('Planilla_General_29-11-2012_10_'!P2113,"AAAAABq/z1A=")</f>
        <v>#VALUE!</v>
      </c>
      <c r="CD141">
        <f>IF('Planilla_General_29-11-2012_10_'!2114:2114,"AAAAABq/z1E=",0)</f>
        <v>0</v>
      </c>
      <c r="CE141" t="e">
        <f>AND('Planilla_General_29-11-2012_10_'!A2114,"AAAAABq/z1I=")</f>
        <v>#VALUE!</v>
      </c>
      <c r="CF141" t="e">
        <f>AND('Planilla_General_29-11-2012_10_'!B2114,"AAAAABq/z1M=")</f>
        <v>#VALUE!</v>
      </c>
      <c r="CG141" t="e">
        <f>AND('Planilla_General_29-11-2012_10_'!C2114,"AAAAABq/z1Q=")</f>
        <v>#VALUE!</v>
      </c>
      <c r="CH141" t="e">
        <f>AND('Planilla_General_29-11-2012_10_'!D2114,"AAAAABq/z1U=")</f>
        <v>#VALUE!</v>
      </c>
      <c r="CI141" t="e">
        <f>AND('Planilla_General_29-11-2012_10_'!E2114,"AAAAABq/z1Y=")</f>
        <v>#VALUE!</v>
      </c>
      <c r="CJ141" t="e">
        <f>AND('Planilla_General_29-11-2012_10_'!F2114,"AAAAABq/z1c=")</f>
        <v>#VALUE!</v>
      </c>
      <c r="CK141" t="e">
        <f>AND('Planilla_General_29-11-2012_10_'!G2114,"AAAAABq/z1g=")</f>
        <v>#VALUE!</v>
      </c>
      <c r="CL141" t="e">
        <f>AND('Planilla_General_29-11-2012_10_'!H2114,"AAAAABq/z1k=")</f>
        <v>#VALUE!</v>
      </c>
      <c r="CM141" t="e">
        <f>AND('Planilla_General_29-11-2012_10_'!I2114,"AAAAABq/z1o=")</f>
        <v>#VALUE!</v>
      </c>
      <c r="CN141" t="e">
        <f>AND('Planilla_General_29-11-2012_10_'!J2114,"AAAAABq/z1s=")</f>
        <v>#VALUE!</v>
      </c>
      <c r="CO141" t="e">
        <f>AND('Planilla_General_29-11-2012_10_'!K2114,"AAAAABq/z1w=")</f>
        <v>#VALUE!</v>
      </c>
      <c r="CP141" t="e">
        <f>AND('Planilla_General_29-11-2012_10_'!L2114,"AAAAABq/z10=")</f>
        <v>#VALUE!</v>
      </c>
      <c r="CQ141" t="e">
        <f>AND('Planilla_General_29-11-2012_10_'!M2114,"AAAAABq/z14=")</f>
        <v>#VALUE!</v>
      </c>
      <c r="CR141" t="e">
        <f>AND('Planilla_General_29-11-2012_10_'!N2114,"AAAAABq/z18=")</f>
        <v>#VALUE!</v>
      </c>
      <c r="CS141" t="e">
        <f>AND('Planilla_General_29-11-2012_10_'!O2114,"AAAAABq/z2A=")</f>
        <v>#VALUE!</v>
      </c>
      <c r="CT141" t="e">
        <f>AND('Planilla_General_29-11-2012_10_'!P2114,"AAAAABq/z2E=")</f>
        <v>#VALUE!</v>
      </c>
      <c r="CU141">
        <f>IF('Planilla_General_29-11-2012_10_'!2115:2115,"AAAAABq/z2I=",0)</f>
        <v>0</v>
      </c>
      <c r="CV141" t="e">
        <f>AND('Planilla_General_29-11-2012_10_'!A2115,"AAAAABq/z2M=")</f>
        <v>#VALUE!</v>
      </c>
      <c r="CW141" t="e">
        <f>AND('Planilla_General_29-11-2012_10_'!B2115,"AAAAABq/z2Q=")</f>
        <v>#VALUE!</v>
      </c>
      <c r="CX141" t="e">
        <f>AND('Planilla_General_29-11-2012_10_'!C2115,"AAAAABq/z2U=")</f>
        <v>#VALUE!</v>
      </c>
      <c r="CY141" t="e">
        <f>AND('Planilla_General_29-11-2012_10_'!D2115,"AAAAABq/z2Y=")</f>
        <v>#VALUE!</v>
      </c>
      <c r="CZ141" t="e">
        <f>AND('Planilla_General_29-11-2012_10_'!E2115,"AAAAABq/z2c=")</f>
        <v>#VALUE!</v>
      </c>
      <c r="DA141" t="e">
        <f>AND('Planilla_General_29-11-2012_10_'!F2115,"AAAAABq/z2g=")</f>
        <v>#VALUE!</v>
      </c>
      <c r="DB141" t="e">
        <f>AND('Planilla_General_29-11-2012_10_'!G2115,"AAAAABq/z2k=")</f>
        <v>#VALUE!</v>
      </c>
      <c r="DC141" t="e">
        <f>AND('Planilla_General_29-11-2012_10_'!H2115,"AAAAABq/z2o=")</f>
        <v>#VALUE!</v>
      </c>
      <c r="DD141" t="e">
        <f>AND('Planilla_General_29-11-2012_10_'!I2115,"AAAAABq/z2s=")</f>
        <v>#VALUE!</v>
      </c>
      <c r="DE141" t="e">
        <f>AND('Planilla_General_29-11-2012_10_'!J2115,"AAAAABq/z2w=")</f>
        <v>#VALUE!</v>
      </c>
      <c r="DF141" t="e">
        <f>AND('Planilla_General_29-11-2012_10_'!K2115,"AAAAABq/z20=")</f>
        <v>#VALUE!</v>
      </c>
      <c r="DG141" t="e">
        <f>AND('Planilla_General_29-11-2012_10_'!L2115,"AAAAABq/z24=")</f>
        <v>#VALUE!</v>
      </c>
      <c r="DH141" t="e">
        <f>AND('Planilla_General_29-11-2012_10_'!M2115,"AAAAABq/z28=")</f>
        <v>#VALUE!</v>
      </c>
      <c r="DI141" t="e">
        <f>AND('Planilla_General_29-11-2012_10_'!N2115,"AAAAABq/z3A=")</f>
        <v>#VALUE!</v>
      </c>
      <c r="DJ141" t="e">
        <f>AND('Planilla_General_29-11-2012_10_'!O2115,"AAAAABq/z3E=")</f>
        <v>#VALUE!</v>
      </c>
      <c r="DK141" t="e">
        <f>AND('Planilla_General_29-11-2012_10_'!P2115,"AAAAABq/z3I=")</f>
        <v>#VALUE!</v>
      </c>
      <c r="DL141">
        <f>IF('Planilla_General_29-11-2012_10_'!2116:2116,"AAAAABq/z3M=",0)</f>
        <v>0</v>
      </c>
      <c r="DM141" t="e">
        <f>AND('Planilla_General_29-11-2012_10_'!A2116,"AAAAABq/z3Q=")</f>
        <v>#VALUE!</v>
      </c>
      <c r="DN141" t="e">
        <f>AND('Planilla_General_29-11-2012_10_'!B2116,"AAAAABq/z3U=")</f>
        <v>#VALUE!</v>
      </c>
      <c r="DO141" t="e">
        <f>AND('Planilla_General_29-11-2012_10_'!C2116,"AAAAABq/z3Y=")</f>
        <v>#VALUE!</v>
      </c>
      <c r="DP141" t="e">
        <f>AND('Planilla_General_29-11-2012_10_'!D2116,"AAAAABq/z3c=")</f>
        <v>#VALUE!</v>
      </c>
      <c r="DQ141" t="e">
        <f>AND('Planilla_General_29-11-2012_10_'!E2116,"AAAAABq/z3g=")</f>
        <v>#VALUE!</v>
      </c>
      <c r="DR141" t="e">
        <f>AND('Planilla_General_29-11-2012_10_'!F2116,"AAAAABq/z3k=")</f>
        <v>#VALUE!</v>
      </c>
      <c r="DS141" t="e">
        <f>AND('Planilla_General_29-11-2012_10_'!G2116,"AAAAABq/z3o=")</f>
        <v>#VALUE!</v>
      </c>
      <c r="DT141" t="e">
        <f>AND('Planilla_General_29-11-2012_10_'!H2116,"AAAAABq/z3s=")</f>
        <v>#VALUE!</v>
      </c>
      <c r="DU141" t="e">
        <f>AND('Planilla_General_29-11-2012_10_'!I2116,"AAAAABq/z3w=")</f>
        <v>#VALUE!</v>
      </c>
      <c r="DV141" t="e">
        <f>AND('Planilla_General_29-11-2012_10_'!J2116,"AAAAABq/z30=")</f>
        <v>#VALUE!</v>
      </c>
      <c r="DW141" t="e">
        <f>AND('Planilla_General_29-11-2012_10_'!K2116,"AAAAABq/z34=")</f>
        <v>#VALUE!</v>
      </c>
      <c r="DX141" t="e">
        <f>AND('Planilla_General_29-11-2012_10_'!L2116,"AAAAABq/z38=")</f>
        <v>#VALUE!</v>
      </c>
      <c r="DY141" t="e">
        <f>AND('Planilla_General_29-11-2012_10_'!M2116,"AAAAABq/z4A=")</f>
        <v>#VALUE!</v>
      </c>
      <c r="DZ141" t="e">
        <f>AND('Planilla_General_29-11-2012_10_'!N2116,"AAAAABq/z4E=")</f>
        <v>#VALUE!</v>
      </c>
      <c r="EA141" t="e">
        <f>AND('Planilla_General_29-11-2012_10_'!O2116,"AAAAABq/z4I=")</f>
        <v>#VALUE!</v>
      </c>
      <c r="EB141" t="e">
        <f>AND('Planilla_General_29-11-2012_10_'!P2116,"AAAAABq/z4M=")</f>
        <v>#VALUE!</v>
      </c>
      <c r="EC141">
        <f>IF('Planilla_General_29-11-2012_10_'!2117:2117,"AAAAABq/z4Q=",0)</f>
        <v>0</v>
      </c>
      <c r="ED141" t="e">
        <f>AND('Planilla_General_29-11-2012_10_'!A2117,"AAAAABq/z4U=")</f>
        <v>#VALUE!</v>
      </c>
      <c r="EE141" t="e">
        <f>AND('Planilla_General_29-11-2012_10_'!B2117,"AAAAABq/z4Y=")</f>
        <v>#VALUE!</v>
      </c>
      <c r="EF141" t="e">
        <f>AND('Planilla_General_29-11-2012_10_'!C2117,"AAAAABq/z4c=")</f>
        <v>#VALUE!</v>
      </c>
      <c r="EG141" t="e">
        <f>AND('Planilla_General_29-11-2012_10_'!D2117,"AAAAABq/z4g=")</f>
        <v>#VALUE!</v>
      </c>
      <c r="EH141" t="e">
        <f>AND('Planilla_General_29-11-2012_10_'!E2117,"AAAAABq/z4k=")</f>
        <v>#VALUE!</v>
      </c>
      <c r="EI141" t="e">
        <f>AND('Planilla_General_29-11-2012_10_'!F2117,"AAAAABq/z4o=")</f>
        <v>#VALUE!</v>
      </c>
      <c r="EJ141" t="e">
        <f>AND('Planilla_General_29-11-2012_10_'!G2117,"AAAAABq/z4s=")</f>
        <v>#VALUE!</v>
      </c>
      <c r="EK141" t="e">
        <f>AND('Planilla_General_29-11-2012_10_'!H2117,"AAAAABq/z4w=")</f>
        <v>#VALUE!</v>
      </c>
      <c r="EL141" t="e">
        <f>AND('Planilla_General_29-11-2012_10_'!I2117,"AAAAABq/z40=")</f>
        <v>#VALUE!</v>
      </c>
      <c r="EM141" t="e">
        <f>AND('Planilla_General_29-11-2012_10_'!J2117,"AAAAABq/z44=")</f>
        <v>#VALUE!</v>
      </c>
      <c r="EN141" t="e">
        <f>AND('Planilla_General_29-11-2012_10_'!K2117,"AAAAABq/z48=")</f>
        <v>#VALUE!</v>
      </c>
      <c r="EO141" t="e">
        <f>AND('Planilla_General_29-11-2012_10_'!L2117,"AAAAABq/z5A=")</f>
        <v>#VALUE!</v>
      </c>
      <c r="EP141" t="e">
        <f>AND('Planilla_General_29-11-2012_10_'!M2117,"AAAAABq/z5E=")</f>
        <v>#VALUE!</v>
      </c>
      <c r="EQ141" t="e">
        <f>AND('Planilla_General_29-11-2012_10_'!N2117,"AAAAABq/z5I=")</f>
        <v>#VALUE!</v>
      </c>
      <c r="ER141" t="e">
        <f>AND('Planilla_General_29-11-2012_10_'!O2117,"AAAAABq/z5M=")</f>
        <v>#VALUE!</v>
      </c>
      <c r="ES141" t="e">
        <f>AND('Planilla_General_29-11-2012_10_'!P2117,"AAAAABq/z5Q=")</f>
        <v>#VALUE!</v>
      </c>
      <c r="ET141">
        <f>IF('Planilla_General_29-11-2012_10_'!2118:2118,"AAAAABq/z5U=",0)</f>
        <v>0</v>
      </c>
      <c r="EU141" t="e">
        <f>AND('Planilla_General_29-11-2012_10_'!A2118,"AAAAABq/z5Y=")</f>
        <v>#VALUE!</v>
      </c>
      <c r="EV141" t="e">
        <f>AND('Planilla_General_29-11-2012_10_'!B2118,"AAAAABq/z5c=")</f>
        <v>#VALUE!</v>
      </c>
      <c r="EW141" t="e">
        <f>AND('Planilla_General_29-11-2012_10_'!C2118,"AAAAABq/z5g=")</f>
        <v>#VALUE!</v>
      </c>
      <c r="EX141" t="e">
        <f>AND('Planilla_General_29-11-2012_10_'!D2118,"AAAAABq/z5k=")</f>
        <v>#VALUE!</v>
      </c>
      <c r="EY141" t="e">
        <f>AND('Planilla_General_29-11-2012_10_'!E2118,"AAAAABq/z5o=")</f>
        <v>#VALUE!</v>
      </c>
      <c r="EZ141" t="e">
        <f>AND('Planilla_General_29-11-2012_10_'!F2118,"AAAAABq/z5s=")</f>
        <v>#VALUE!</v>
      </c>
      <c r="FA141" t="e">
        <f>AND('Planilla_General_29-11-2012_10_'!G2118,"AAAAABq/z5w=")</f>
        <v>#VALUE!</v>
      </c>
      <c r="FB141" t="e">
        <f>AND('Planilla_General_29-11-2012_10_'!H2118,"AAAAABq/z50=")</f>
        <v>#VALUE!</v>
      </c>
      <c r="FC141" t="e">
        <f>AND('Planilla_General_29-11-2012_10_'!I2118,"AAAAABq/z54=")</f>
        <v>#VALUE!</v>
      </c>
      <c r="FD141" t="e">
        <f>AND('Planilla_General_29-11-2012_10_'!J2118,"AAAAABq/z58=")</f>
        <v>#VALUE!</v>
      </c>
      <c r="FE141" t="e">
        <f>AND('Planilla_General_29-11-2012_10_'!K2118,"AAAAABq/z6A=")</f>
        <v>#VALUE!</v>
      </c>
      <c r="FF141" t="e">
        <f>AND('Planilla_General_29-11-2012_10_'!L2118,"AAAAABq/z6E=")</f>
        <v>#VALUE!</v>
      </c>
      <c r="FG141" t="e">
        <f>AND('Planilla_General_29-11-2012_10_'!M2118,"AAAAABq/z6I=")</f>
        <v>#VALUE!</v>
      </c>
      <c r="FH141" t="e">
        <f>AND('Planilla_General_29-11-2012_10_'!N2118,"AAAAABq/z6M=")</f>
        <v>#VALUE!</v>
      </c>
      <c r="FI141" t="e">
        <f>AND('Planilla_General_29-11-2012_10_'!O2118,"AAAAABq/z6Q=")</f>
        <v>#VALUE!</v>
      </c>
      <c r="FJ141" t="e">
        <f>AND('Planilla_General_29-11-2012_10_'!P2118,"AAAAABq/z6U=")</f>
        <v>#VALUE!</v>
      </c>
      <c r="FK141">
        <f>IF('Planilla_General_29-11-2012_10_'!2119:2119,"AAAAABq/z6Y=",0)</f>
        <v>0</v>
      </c>
      <c r="FL141" t="e">
        <f>AND('Planilla_General_29-11-2012_10_'!A2119,"AAAAABq/z6c=")</f>
        <v>#VALUE!</v>
      </c>
      <c r="FM141" t="e">
        <f>AND('Planilla_General_29-11-2012_10_'!B2119,"AAAAABq/z6g=")</f>
        <v>#VALUE!</v>
      </c>
      <c r="FN141" t="e">
        <f>AND('Planilla_General_29-11-2012_10_'!C2119,"AAAAABq/z6k=")</f>
        <v>#VALUE!</v>
      </c>
      <c r="FO141" t="e">
        <f>AND('Planilla_General_29-11-2012_10_'!D2119,"AAAAABq/z6o=")</f>
        <v>#VALUE!</v>
      </c>
      <c r="FP141" t="e">
        <f>AND('Planilla_General_29-11-2012_10_'!E2119,"AAAAABq/z6s=")</f>
        <v>#VALUE!</v>
      </c>
      <c r="FQ141" t="e">
        <f>AND('Planilla_General_29-11-2012_10_'!F2119,"AAAAABq/z6w=")</f>
        <v>#VALUE!</v>
      </c>
      <c r="FR141" t="e">
        <f>AND('Planilla_General_29-11-2012_10_'!G2119,"AAAAABq/z60=")</f>
        <v>#VALUE!</v>
      </c>
      <c r="FS141" t="e">
        <f>AND('Planilla_General_29-11-2012_10_'!H2119,"AAAAABq/z64=")</f>
        <v>#VALUE!</v>
      </c>
      <c r="FT141" t="e">
        <f>AND('Planilla_General_29-11-2012_10_'!I2119,"AAAAABq/z68=")</f>
        <v>#VALUE!</v>
      </c>
      <c r="FU141" t="e">
        <f>AND('Planilla_General_29-11-2012_10_'!J2119,"AAAAABq/z7A=")</f>
        <v>#VALUE!</v>
      </c>
      <c r="FV141" t="e">
        <f>AND('Planilla_General_29-11-2012_10_'!K2119,"AAAAABq/z7E=")</f>
        <v>#VALUE!</v>
      </c>
      <c r="FW141" t="e">
        <f>AND('Planilla_General_29-11-2012_10_'!L2119,"AAAAABq/z7I=")</f>
        <v>#VALUE!</v>
      </c>
      <c r="FX141" t="e">
        <f>AND('Planilla_General_29-11-2012_10_'!M2119,"AAAAABq/z7M=")</f>
        <v>#VALUE!</v>
      </c>
      <c r="FY141" t="e">
        <f>AND('Planilla_General_29-11-2012_10_'!N2119,"AAAAABq/z7Q=")</f>
        <v>#VALUE!</v>
      </c>
      <c r="FZ141" t="e">
        <f>AND('Planilla_General_29-11-2012_10_'!O2119,"AAAAABq/z7U=")</f>
        <v>#VALUE!</v>
      </c>
      <c r="GA141" t="e">
        <f>AND('Planilla_General_29-11-2012_10_'!P2119,"AAAAABq/z7Y=")</f>
        <v>#VALUE!</v>
      </c>
      <c r="GB141">
        <f>IF('Planilla_General_29-11-2012_10_'!2120:2120,"AAAAABq/z7c=",0)</f>
        <v>0</v>
      </c>
      <c r="GC141" t="e">
        <f>AND('Planilla_General_29-11-2012_10_'!A2120,"AAAAABq/z7g=")</f>
        <v>#VALUE!</v>
      </c>
      <c r="GD141" t="e">
        <f>AND('Planilla_General_29-11-2012_10_'!B2120,"AAAAABq/z7k=")</f>
        <v>#VALUE!</v>
      </c>
      <c r="GE141" t="e">
        <f>AND('Planilla_General_29-11-2012_10_'!C2120,"AAAAABq/z7o=")</f>
        <v>#VALUE!</v>
      </c>
      <c r="GF141" t="e">
        <f>AND('Planilla_General_29-11-2012_10_'!D2120,"AAAAABq/z7s=")</f>
        <v>#VALUE!</v>
      </c>
      <c r="GG141" t="e">
        <f>AND('Planilla_General_29-11-2012_10_'!E2120,"AAAAABq/z7w=")</f>
        <v>#VALUE!</v>
      </c>
      <c r="GH141" t="e">
        <f>AND('Planilla_General_29-11-2012_10_'!F2120,"AAAAABq/z70=")</f>
        <v>#VALUE!</v>
      </c>
      <c r="GI141" t="e">
        <f>AND('Planilla_General_29-11-2012_10_'!G2120,"AAAAABq/z74=")</f>
        <v>#VALUE!</v>
      </c>
      <c r="GJ141" t="e">
        <f>AND('Planilla_General_29-11-2012_10_'!H2120,"AAAAABq/z78=")</f>
        <v>#VALUE!</v>
      </c>
      <c r="GK141" t="e">
        <f>AND('Planilla_General_29-11-2012_10_'!I2120,"AAAAABq/z8A=")</f>
        <v>#VALUE!</v>
      </c>
      <c r="GL141" t="e">
        <f>AND('Planilla_General_29-11-2012_10_'!J2120,"AAAAABq/z8E=")</f>
        <v>#VALUE!</v>
      </c>
      <c r="GM141" t="e">
        <f>AND('Planilla_General_29-11-2012_10_'!K2120,"AAAAABq/z8I=")</f>
        <v>#VALUE!</v>
      </c>
      <c r="GN141" t="e">
        <f>AND('Planilla_General_29-11-2012_10_'!L2120,"AAAAABq/z8M=")</f>
        <v>#VALUE!</v>
      </c>
      <c r="GO141" t="e">
        <f>AND('Planilla_General_29-11-2012_10_'!M2120,"AAAAABq/z8Q=")</f>
        <v>#VALUE!</v>
      </c>
      <c r="GP141" t="e">
        <f>AND('Planilla_General_29-11-2012_10_'!N2120,"AAAAABq/z8U=")</f>
        <v>#VALUE!</v>
      </c>
      <c r="GQ141" t="e">
        <f>AND('Planilla_General_29-11-2012_10_'!O2120,"AAAAABq/z8Y=")</f>
        <v>#VALUE!</v>
      </c>
      <c r="GR141" t="e">
        <f>AND('Planilla_General_29-11-2012_10_'!P2120,"AAAAABq/z8c=")</f>
        <v>#VALUE!</v>
      </c>
      <c r="GS141">
        <f>IF('Planilla_General_29-11-2012_10_'!2121:2121,"AAAAABq/z8g=",0)</f>
        <v>0</v>
      </c>
      <c r="GT141" t="e">
        <f>AND('Planilla_General_29-11-2012_10_'!A2121,"AAAAABq/z8k=")</f>
        <v>#VALUE!</v>
      </c>
      <c r="GU141" t="e">
        <f>AND('Planilla_General_29-11-2012_10_'!B2121,"AAAAABq/z8o=")</f>
        <v>#VALUE!</v>
      </c>
      <c r="GV141" t="e">
        <f>AND('Planilla_General_29-11-2012_10_'!C2121,"AAAAABq/z8s=")</f>
        <v>#VALUE!</v>
      </c>
      <c r="GW141" t="e">
        <f>AND('Planilla_General_29-11-2012_10_'!D2121,"AAAAABq/z8w=")</f>
        <v>#VALUE!</v>
      </c>
      <c r="GX141" t="e">
        <f>AND('Planilla_General_29-11-2012_10_'!E2121,"AAAAABq/z80=")</f>
        <v>#VALUE!</v>
      </c>
      <c r="GY141" t="e">
        <f>AND('Planilla_General_29-11-2012_10_'!F2121,"AAAAABq/z84=")</f>
        <v>#VALUE!</v>
      </c>
      <c r="GZ141" t="e">
        <f>AND('Planilla_General_29-11-2012_10_'!G2121,"AAAAABq/z88=")</f>
        <v>#VALUE!</v>
      </c>
      <c r="HA141" t="e">
        <f>AND('Planilla_General_29-11-2012_10_'!H2121,"AAAAABq/z9A=")</f>
        <v>#VALUE!</v>
      </c>
      <c r="HB141" t="e">
        <f>AND('Planilla_General_29-11-2012_10_'!I2121,"AAAAABq/z9E=")</f>
        <v>#VALUE!</v>
      </c>
      <c r="HC141" t="e">
        <f>AND('Planilla_General_29-11-2012_10_'!J2121,"AAAAABq/z9I=")</f>
        <v>#VALUE!</v>
      </c>
      <c r="HD141" t="e">
        <f>AND('Planilla_General_29-11-2012_10_'!K2121,"AAAAABq/z9M=")</f>
        <v>#VALUE!</v>
      </c>
      <c r="HE141" t="e">
        <f>AND('Planilla_General_29-11-2012_10_'!L2121,"AAAAABq/z9Q=")</f>
        <v>#VALUE!</v>
      </c>
      <c r="HF141" t="e">
        <f>AND('Planilla_General_29-11-2012_10_'!M2121,"AAAAABq/z9U=")</f>
        <v>#VALUE!</v>
      </c>
      <c r="HG141" t="e">
        <f>AND('Planilla_General_29-11-2012_10_'!N2121,"AAAAABq/z9Y=")</f>
        <v>#VALUE!</v>
      </c>
      <c r="HH141" t="e">
        <f>AND('Planilla_General_29-11-2012_10_'!O2121,"AAAAABq/z9c=")</f>
        <v>#VALUE!</v>
      </c>
      <c r="HI141" t="e">
        <f>AND('Planilla_General_29-11-2012_10_'!P2121,"AAAAABq/z9g=")</f>
        <v>#VALUE!</v>
      </c>
      <c r="HJ141">
        <f>IF('Planilla_General_29-11-2012_10_'!2122:2122,"AAAAABq/z9k=",0)</f>
        <v>0</v>
      </c>
      <c r="HK141" t="e">
        <f>AND('Planilla_General_29-11-2012_10_'!A2122,"AAAAABq/z9o=")</f>
        <v>#VALUE!</v>
      </c>
      <c r="HL141" t="e">
        <f>AND('Planilla_General_29-11-2012_10_'!B2122,"AAAAABq/z9s=")</f>
        <v>#VALUE!</v>
      </c>
      <c r="HM141" t="e">
        <f>AND('Planilla_General_29-11-2012_10_'!C2122,"AAAAABq/z9w=")</f>
        <v>#VALUE!</v>
      </c>
      <c r="HN141" t="e">
        <f>AND('Planilla_General_29-11-2012_10_'!D2122,"AAAAABq/z90=")</f>
        <v>#VALUE!</v>
      </c>
      <c r="HO141" t="e">
        <f>AND('Planilla_General_29-11-2012_10_'!E2122,"AAAAABq/z94=")</f>
        <v>#VALUE!</v>
      </c>
      <c r="HP141" t="e">
        <f>AND('Planilla_General_29-11-2012_10_'!F2122,"AAAAABq/z98=")</f>
        <v>#VALUE!</v>
      </c>
      <c r="HQ141" t="e">
        <f>AND('Planilla_General_29-11-2012_10_'!G2122,"AAAAABq/z+A=")</f>
        <v>#VALUE!</v>
      </c>
      <c r="HR141" t="e">
        <f>AND('Planilla_General_29-11-2012_10_'!H2122,"AAAAABq/z+E=")</f>
        <v>#VALUE!</v>
      </c>
      <c r="HS141" t="e">
        <f>AND('Planilla_General_29-11-2012_10_'!I2122,"AAAAABq/z+I=")</f>
        <v>#VALUE!</v>
      </c>
      <c r="HT141" t="e">
        <f>AND('Planilla_General_29-11-2012_10_'!J2122,"AAAAABq/z+M=")</f>
        <v>#VALUE!</v>
      </c>
      <c r="HU141" t="e">
        <f>AND('Planilla_General_29-11-2012_10_'!K2122,"AAAAABq/z+Q=")</f>
        <v>#VALUE!</v>
      </c>
      <c r="HV141" t="e">
        <f>AND('Planilla_General_29-11-2012_10_'!L2122,"AAAAABq/z+U=")</f>
        <v>#VALUE!</v>
      </c>
      <c r="HW141" t="e">
        <f>AND('Planilla_General_29-11-2012_10_'!M2122,"AAAAABq/z+Y=")</f>
        <v>#VALUE!</v>
      </c>
      <c r="HX141" t="e">
        <f>AND('Planilla_General_29-11-2012_10_'!N2122,"AAAAABq/z+c=")</f>
        <v>#VALUE!</v>
      </c>
      <c r="HY141" t="e">
        <f>AND('Planilla_General_29-11-2012_10_'!O2122,"AAAAABq/z+g=")</f>
        <v>#VALUE!</v>
      </c>
      <c r="HZ141" t="e">
        <f>AND('Planilla_General_29-11-2012_10_'!P2122,"AAAAABq/z+k=")</f>
        <v>#VALUE!</v>
      </c>
      <c r="IA141">
        <f>IF('Planilla_General_29-11-2012_10_'!2123:2123,"AAAAABq/z+o=",0)</f>
        <v>0</v>
      </c>
      <c r="IB141" t="e">
        <f>AND('Planilla_General_29-11-2012_10_'!A2123,"AAAAABq/z+s=")</f>
        <v>#VALUE!</v>
      </c>
      <c r="IC141" t="e">
        <f>AND('Planilla_General_29-11-2012_10_'!B2123,"AAAAABq/z+w=")</f>
        <v>#VALUE!</v>
      </c>
      <c r="ID141" t="e">
        <f>AND('Planilla_General_29-11-2012_10_'!C2123,"AAAAABq/z+0=")</f>
        <v>#VALUE!</v>
      </c>
      <c r="IE141" t="e">
        <f>AND('Planilla_General_29-11-2012_10_'!D2123,"AAAAABq/z+4=")</f>
        <v>#VALUE!</v>
      </c>
      <c r="IF141" t="e">
        <f>AND('Planilla_General_29-11-2012_10_'!E2123,"AAAAABq/z+8=")</f>
        <v>#VALUE!</v>
      </c>
      <c r="IG141" t="e">
        <f>AND('Planilla_General_29-11-2012_10_'!F2123,"AAAAABq/z/A=")</f>
        <v>#VALUE!</v>
      </c>
      <c r="IH141" t="e">
        <f>AND('Planilla_General_29-11-2012_10_'!G2123,"AAAAABq/z/E=")</f>
        <v>#VALUE!</v>
      </c>
      <c r="II141" t="e">
        <f>AND('Planilla_General_29-11-2012_10_'!H2123,"AAAAABq/z/I=")</f>
        <v>#VALUE!</v>
      </c>
      <c r="IJ141" t="e">
        <f>AND('Planilla_General_29-11-2012_10_'!I2123,"AAAAABq/z/M=")</f>
        <v>#VALUE!</v>
      </c>
      <c r="IK141" t="e">
        <f>AND('Planilla_General_29-11-2012_10_'!J2123,"AAAAABq/z/Q=")</f>
        <v>#VALUE!</v>
      </c>
      <c r="IL141" t="e">
        <f>AND('Planilla_General_29-11-2012_10_'!K2123,"AAAAABq/z/U=")</f>
        <v>#VALUE!</v>
      </c>
      <c r="IM141" t="e">
        <f>AND('Planilla_General_29-11-2012_10_'!L2123,"AAAAABq/z/Y=")</f>
        <v>#VALUE!</v>
      </c>
      <c r="IN141" t="e">
        <f>AND('Planilla_General_29-11-2012_10_'!M2123,"AAAAABq/z/c=")</f>
        <v>#VALUE!</v>
      </c>
      <c r="IO141" t="e">
        <f>AND('Planilla_General_29-11-2012_10_'!N2123,"AAAAABq/z/g=")</f>
        <v>#VALUE!</v>
      </c>
      <c r="IP141" t="e">
        <f>AND('Planilla_General_29-11-2012_10_'!O2123,"AAAAABq/z/k=")</f>
        <v>#VALUE!</v>
      </c>
      <c r="IQ141" t="e">
        <f>AND('Planilla_General_29-11-2012_10_'!P2123,"AAAAABq/z/o=")</f>
        <v>#VALUE!</v>
      </c>
      <c r="IR141">
        <f>IF('Planilla_General_29-11-2012_10_'!2124:2124,"AAAAABq/z/s=",0)</f>
        <v>0</v>
      </c>
      <c r="IS141" t="e">
        <f>AND('Planilla_General_29-11-2012_10_'!A2124,"AAAAABq/z/w=")</f>
        <v>#VALUE!</v>
      </c>
      <c r="IT141" t="e">
        <f>AND('Planilla_General_29-11-2012_10_'!B2124,"AAAAABq/z/0=")</f>
        <v>#VALUE!</v>
      </c>
      <c r="IU141" t="e">
        <f>AND('Planilla_General_29-11-2012_10_'!C2124,"AAAAABq/z/4=")</f>
        <v>#VALUE!</v>
      </c>
      <c r="IV141" t="e">
        <f>AND('Planilla_General_29-11-2012_10_'!D2124,"AAAAABq/z/8=")</f>
        <v>#VALUE!</v>
      </c>
    </row>
    <row r="142" spans="1:256" x14ac:dyDescent="0.25">
      <c r="A142" t="e">
        <f>AND('Planilla_General_29-11-2012_10_'!E2124,"AAAAAE/3/wA=")</f>
        <v>#VALUE!</v>
      </c>
      <c r="B142" t="e">
        <f>AND('Planilla_General_29-11-2012_10_'!F2124,"AAAAAE/3/wE=")</f>
        <v>#VALUE!</v>
      </c>
      <c r="C142" t="e">
        <f>AND('Planilla_General_29-11-2012_10_'!G2124,"AAAAAE/3/wI=")</f>
        <v>#VALUE!</v>
      </c>
      <c r="D142" t="e">
        <f>AND('Planilla_General_29-11-2012_10_'!H2124,"AAAAAE/3/wM=")</f>
        <v>#VALUE!</v>
      </c>
      <c r="E142" t="e">
        <f>AND('Planilla_General_29-11-2012_10_'!I2124,"AAAAAE/3/wQ=")</f>
        <v>#VALUE!</v>
      </c>
      <c r="F142" t="e">
        <f>AND('Planilla_General_29-11-2012_10_'!J2124,"AAAAAE/3/wU=")</f>
        <v>#VALUE!</v>
      </c>
      <c r="G142" t="e">
        <f>AND('Planilla_General_29-11-2012_10_'!K2124,"AAAAAE/3/wY=")</f>
        <v>#VALUE!</v>
      </c>
      <c r="H142" t="e">
        <f>AND('Planilla_General_29-11-2012_10_'!L2124,"AAAAAE/3/wc=")</f>
        <v>#VALUE!</v>
      </c>
      <c r="I142" t="e">
        <f>AND('Planilla_General_29-11-2012_10_'!M2124,"AAAAAE/3/wg=")</f>
        <v>#VALUE!</v>
      </c>
      <c r="J142" t="e">
        <f>AND('Planilla_General_29-11-2012_10_'!N2124,"AAAAAE/3/wk=")</f>
        <v>#VALUE!</v>
      </c>
      <c r="K142" t="e">
        <f>AND('Planilla_General_29-11-2012_10_'!O2124,"AAAAAE/3/wo=")</f>
        <v>#VALUE!</v>
      </c>
      <c r="L142" t="e">
        <f>AND('Planilla_General_29-11-2012_10_'!P2124,"AAAAAE/3/ws=")</f>
        <v>#VALUE!</v>
      </c>
      <c r="M142" t="str">
        <f>IF('Planilla_General_29-11-2012_10_'!2125:2125,"AAAAAE/3/ww=",0)</f>
        <v>AAAAAE/3/ww=</v>
      </c>
      <c r="N142" t="e">
        <f>AND('Planilla_General_29-11-2012_10_'!A2125,"AAAAAE/3/w0=")</f>
        <v>#VALUE!</v>
      </c>
      <c r="O142" t="e">
        <f>AND('Planilla_General_29-11-2012_10_'!B2125,"AAAAAE/3/w4=")</f>
        <v>#VALUE!</v>
      </c>
      <c r="P142" t="e">
        <f>AND('Planilla_General_29-11-2012_10_'!C2125,"AAAAAE/3/w8=")</f>
        <v>#VALUE!</v>
      </c>
      <c r="Q142" t="e">
        <f>AND('Planilla_General_29-11-2012_10_'!D2125,"AAAAAE/3/xA=")</f>
        <v>#VALUE!</v>
      </c>
      <c r="R142" t="e">
        <f>AND('Planilla_General_29-11-2012_10_'!E2125,"AAAAAE/3/xE=")</f>
        <v>#VALUE!</v>
      </c>
      <c r="S142" t="e">
        <f>AND('Planilla_General_29-11-2012_10_'!F2125,"AAAAAE/3/xI=")</f>
        <v>#VALUE!</v>
      </c>
      <c r="T142" t="e">
        <f>AND('Planilla_General_29-11-2012_10_'!G2125,"AAAAAE/3/xM=")</f>
        <v>#VALUE!</v>
      </c>
      <c r="U142" t="e">
        <f>AND('Planilla_General_29-11-2012_10_'!H2125,"AAAAAE/3/xQ=")</f>
        <v>#VALUE!</v>
      </c>
      <c r="V142" t="e">
        <f>AND('Planilla_General_29-11-2012_10_'!I2125,"AAAAAE/3/xU=")</f>
        <v>#VALUE!</v>
      </c>
      <c r="W142" t="e">
        <f>AND('Planilla_General_29-11-2012_10_'!J2125,"AAAAAE/3/xY=")</f>
        <v>#VALUE!</v>
      </c>
      <c r="X142" t="e">
        <f>AND('Planilla_General_29-11-2012_10_'!K2125,"AAAAAE/3/xc=")</f>
        <v>#VALUE!</v>
      </c>
      <c r="Y142" t="e">
        <f>AND('Planilla_General_29-11-2012_10_'!L2125,"AAAAAE/3/xg=")</f>
        <v>#VALUE!</v>
      </c>
      <c r="Z142" t="e">
        <f>AND('Planilla_General_29-11-2012_10_'!M2125,"AAAAAE/3/xk=")</f>
        <v>#VALUE!</v>
      </c>
      <c r="AA142" t="e">
        <f>AND('Planilla_General_29-11-2012_10_'!N2125,"AAAAAE/3/xo=")</f>
        <v>#VALUE!</v>
      </c>
      <c r="AB142" t="e">
        <f>AND('Planilla_General_29-11-2012_10_'!O2125,"AAAAAE/3/xs=")</f>
        <v>#VALUE!</v>
      </c>
      <c r="AC142" t="e">
        <f>AND('Planilla_General_29-11-2012_10_'!P2125,"AAAAAE/3/xw=")</f>
        <v>#VALUE!</v>
      </c>
      <c r="AD142">
        <f>IF('Planilla_General_29-11-2012_10_'!2126:2126,"AAAAAE/3/x0=",0)</f>
        <v>0</v>
      </c>
      <c r="AE142" t="e">
        <f>AND('Planilla_General_29-11-2012_10_'!A2126,"AAAAAE/3/x4=")</f>
        <v>#VALUE!</v>
      </c>
      <c r="AF142" t="e">
        <f>AND('Planilla_General_29-11-2012_10_'!B2126,"AAAAAE/3/x8=")</f>
        <v>#VALUE!</v>
      </c>
      <c r="AG142" t="e">
        <f>AND('Planilla_General_29-11-2012_10_'!C2126,"AAAAAE/3/yA=")</f>
        <v>#VALUE!</v>
      </c>
      <c r="AH142" t="e">
        <f>AND('Planilla_General_29-11-2012_10_'!D2126,"AAAAAE/3/yE=")</f>
        <v>#VALUE!</v>
      </c>
      <c r="AI142" t="e">
        <f>AND('Planilla_General_29-11-2012_10_'!E2126,"AAAAAE/3/yI=")</f>
        <v>#VALUE!</v>
      </c>
      <c r="AJ142" t="e">
        <f>AND('Planilla_General_29-11-2012_10_'!F2126,"AAAAAE/3/yM=")</f>
        <v>#VALUE!</v>
      </c>
      <c r="AK142" t="e">
        <f>AND('Planilla_General_29-11-2012_10_'!G2126,"AAAAAE/3/yQ=")</f>
        <v>#VALUE!</v>
      </c>
      <c r="AL142" t="e">
        <f>AND('Planilla_General_29-11-2012_10_'!H2126,"AAAAAE/3/yU=")</f>
        <v>#VALUE!</v>
      </c>
      <c r="AM142" t="e">
        <f>AND('Planilla_General_29-11-2012_10_'!I2126,"AAAAAE/3/yY=")</f>
        <v>#VALUE!</v>
      </c>
      <c r="AN142" t="e">
        <f>AND('Planilla_General_29-11-2012_10_'!J2126,"AAAAAE/3/yc=")</f>
        <v>#VALUE!</v>
      </c>
      <c r="AO142" t="e">
        <f>AND('Planilla_General_29-11-2012_10_'!K2126,"AAAAAE/3/yg=")</f>
        <v>#VALUE!</v>
      </c>
      <c r="AP142" t="e">
        <f>AND('Planilla_General_29-11-2012_10_'!L2126,"AAAAAE/3/yk=")</f>
        <v>#VALUE!</v>
      </c>
      <c r="AQ142" t="e">
        <f>AND('Planilla_General_29-11-2012_10_'!M2126,"AAAAAE/3/yo=")</f>
        <v>#VALUE!</v>
      </c>
      <c r="AR142" t="e">
        <f>AND('Planilla_General_29-11-2012_10_'!N2126,"AAAAAE/3/ys=")</f>
        <v>#VALUE!</v>
      </c>
      <c r="AS142" t="e">
        <f>AND('Planilla_General_29-11-2012_10_'!O2126,"AAAAAE/3/yw=")</f>
        <v>#VALUE!</v>
      </c>
      <c r="AT142" t="e">
        <f>AND('Planilla_General_29-11-2012_10_'!P2126,"AAAAAE/3/y0=")</f>
        <v>#VALUE!</v>
      </c>
      <c r="AU142">
        <f>IF('Planilla_General_29-11-2012_10_'!2127:2127,"AAAAAE/3/y4=",0)</f>
        <v>0</v>
      </c>
      <c r="AV142" t="e">
        <f>AND('Planilla_General_29-11-2012_10_'!A2127,"AAAAAE/3/y8=")</f>
        <v>#VALUE!</v>
      </c>
      <c r="AW142" t="e">
        <f>AND('Planilla_General_29-11-2012_10_'!B2127,"AAAAAE/3/zA=")</f>
        <v>#VALUE!</v>
      </c>
      <c r="AX142" t="e">
        <f>AND('Planilla_General_29-11-2012_10_'!C2127,"AAAAAE/3/zE=")</f>
        <v>#VALUE!</v>
      </c>
      <c r="AY142" t="e">
        <f>AND('Planilla_General_29-11-2012_10_'!D2127,"AAAAAE/3/zI=")</f>
        <v>#VALUE!</v>
      </c>
      <c r="AZ142" t="e">
        <f>AND('Planilla_General_29-11-2012_10_'!E2127,"AAAAAE/3/zM=")</f>
        <v>#VALUE!</v>
      </c>
      <c r="BA142" t="e">
        <f>AND('Planilla_General_29-11-2012_10_'!F2127,"AAAAAE/3/zQ=")</f>
        <v>#VALUE!</v>
      </c>
      <c r="BB142" t="e">
        <f>AND('Planilla_General_29-11-2012_10_'!G2127,"AAAAAE/3/zU=")</f>
        <v>#VALUE!</v>
      </c>
      <c r="BC142" t="e">
        <f>AND('Planilla_General_29-11-2012_10_'!H2127,"AAAAAE/3/zY=")</f>
        <v>#VALUE!</v>
      </c>
      <c r="BD142" t="e">
        <f>AND('Planilla_General_29-11-2012_10_'!I2127,"AAAAAE/3/zc=")</f>
        <v>#VALUE!</v>
      </c>
      <c r="BE142" t="e">
        <f>AND('Planilla_General_29-11-2012_10_'!J2127,"AAAAAE/3/zg=")</f>
        <v>#VALUE!</v>
      </c>
      <c r="BF142" t="e">
        <f>AND('Planilla_General_29-11-2012_10_'!K2127,"AAAAAE/3/zk=")</f>
        <v>#VALUE!</v>
      </c>
      <c r="BG142" t="e">
        <f>AND('Planilla_General_29-11-2012_10_'!L2127,"AAAAAE/3/zo=")</f>
        <v>#VALUE!</v>
      </c>
      <c r="BH142" t="e">
        <f>AND('Planilla_General_29-11-2012_10_'!M2127,"AAAAAE/3/zs=")</f>
        <v>#VALUE!</v>
      </c>
      <c r="BI142" t="e">
        <f>AND('Planilla_General_29-11-2012_10_'!N2127,"AAAAAE/3/zw=")</f>
        <v>#VALUE!</v>
      </c>
      <c r="BJ142" t="e">
        <f>AND('Planilla_General_29-11-2012_10_'!O2127,"AAAAAE/3/z0=")</f>
        <v>#VALUE!</v>
      </c>
      <c r="BK142" t="e">
        <f>AND('Planilla_General_29-11-2012_10_'!P2127,"AAAAAE/3/z4=")</f>
        <v>#VALUE!</v>
      </c>
      <c r="BL142">
        <f>IF('Planilla_General_29-11-2012_10_'!2128:2128,"AAAAAE/3/z8=",0)</f>
        <v>0</v>
      </c>
      <c r="BM142" t="e">
        <f>AND('Planilla_General_29-11-2012_10_'!A2128,"AAAAAE/3/0A=")</f>
        <v>#VALUE!</v>
      </c>
      <c r="BN142" t="e">
        <f>AND('Planilla_General_29-11-2012_10_'!B2128,"AAAAAE/3/0E=")</f>
        <v>#VALUE!</v>
      </c>
      <c r="BO142" t="e">
        <f>AND('Planilla_General_29-11-2012_10_'!C2128,"AAAAAE/3/0I=")</f>
        <v>#VALUE!</v>
      </c>
      <c r="BP142" t="e">
        <f>AND('Planilla_General_29-11-2012_10_'!D2128,"AAAAAE/3/0M=")</f>
        <v>#VALUE!</v>
      </c>
      <c r="BQ142" t="e">
        <f>AND('Planilla_General_29-11-2012_10_'!E2128,"AAAAAE/3/0Q=")</f>
        <v>#VALUE!</v>
      </c>
      <c r="BR142" t="e">
        <f>AND('Planilla_General_29-11-2012_10_'!F2128,"AAAAAE/3/0U=")</f>
        <v>#VALUE!</v>
      </c>
      <c r="BS142" t="e">
        <f>AND('Planilla_General_29-11-2012_10_'!G2128,"AAAAAE/3/0Y=")</f>
        <v>#VALUE!</v>
      </c>
      <c r="BT142" t="e">
        <f>AND('Planilla_General_29-11-2012_10_'!H2128,"AAAAAE/3/0c=")</f>
        <v>#VALUE!</v>
      </c>
      <c r="BU142" t="e">
        <f>AND('Planilla_General_29-11-2012_10_'!I2128,"AAAAAE/3/0g=")</f>
        <v>#VALUE!</v>
      </c>
      <c r="BV142" t="e">
        <f>AND('Planilla_General_29-11-2012_10_'!J2128,"AAAAAE/3/0k=")</f>
        <v>#VALUE!</v>
      </c>
      <c r="BW142" t="e">
        <f>AND('Planilla_General_29-11-2012_10_'!K2128,"AAAAAE/3/0o=")</f>
        <v>#VALUE!</v>
      </c>
      <c r="BX142" t="e">
        <f>AND('Planilla_General_29-11-2012_10_'!L2128,"AAAAAE/3/0s=")</f>
        <v>#VALUE!</v>
      </c>
      <c r="BY142" t="e">
        <f>AND('Planilla_General_29-11-2012_10_'!M2128,"AAAAAE/3/0w=")</f>
        <v>#VALUE!</v>
      </c>
      <c r="BZ142" t="e">
        <f>AND('Planilla_General_29-11-2012_10_'!N2128,"AAAAAE/3/00=")</f>
        <v>#VALUE!</v>
      </c>
      <c r="CA142" t="e">
        <f>AND('Planilla_General_29-11-2012_10_'!O2128,"AAAAAE/3/04=")</f>
        <v>#VALUE!</v>
      </c>
      <c r="CB142" t="e">
        <f>AND('Planilla_General_29-11-2012_10_'!P2128,"AAAAAE/3/08=")</f>
        <v>#VALUE!</v>
      </c>
      <c r="CC142">
        <f>IF('Planilla_General_29-11-2012_10_'!2129:2129,"AAAAAE/3/1A=",0)</f>
        <v>0</v>
      </c>
      <c r="CD142" t="e">
        <f>AND('Planilla_General_29-11-2012_10_'!A2129,"AAAAAE/3/1E=")</f>
        <v>#VALUE!</v>
      </c>
      <c r="CE142" t="e">
        <f>AND('Planilla_General_29-11-2012_10_'!B2129,"AAAAAE/3/1I=")</f>
        <v>#VALUE!</v>
      </c>
      <c r="CF142" t="e">
        <f>AND('Planilla_General_29-11-2012_10_'!C2129,"AAAAAE/3/1M=")</f>
        <v>#VALUE!</v>
      </c>
      <c r="CG142" t="e">
        <f>AND('Planilla_General_29-11-2012_10_'!D2129,"AAAAAE/3/1Q=")</f>
        <v>#VALUE!</v>
      </c>
      <c r="CH142" t="e">
        <f>AND('Planilla_General_29-11-2012_10_'!E2129,"AAAAAE/3/1U=")</f>
        <v>#VALUE!</v>
      </c>
      <c r="CI142" t="e">
        <f>AND('Planilla_General_29-11-2012_10_'!F2129,"AAAAAE/3/1Y=")</f>
        <v>#VALUE!</v>
      </c>
      <c r="CJ142" t="e">
        <f>AND('Planilla_General_29-11-2012_10_'!G2129,"AAAAAE/3/1c=")</f>
        <v>#VALUE!</v>
      </c>
      <c r="CK142" t="e">
        <f>AND('Planilla_General_29-11-2012_10_'!H2129,"AAAAAE/3/1g=")</f>
        <v>#VALUE!</v>
      </c>
      <c r="CL142" t="e">
        <f>AND('Planilla_General_29-11-2012_10_'!I2129,"AAAAAE/3/1k=")</f>
        <v>#VALUE!</v>
      </c>
      <c r="CM142" t="e">
        <f>AND('Planilla_General_29-11-2012_10_'!J2129,"AAAAAE/3/1o=")</f>
        <v>#VALUE!</v>
      </c>
      <c r="CN142" t="e">
        <f>AND('Planilla_General_29-11-2012_10_'!K2129,"AAAAAE/3/1s=")</f>
        <v>#VALUE!</v>
      </c>
      <c r="CO142" t="e">
        <f>AND('Planilla_General_29-11-2012_10_'!L2129,"AAAAAE/3/1w=")</f>
        <v>#VALUE!</v>
      </c>
      <c r="CP142" t="e">
        <f>AND('Planilla_General_29-11-2012_10_'!M2129,"AAAAAE/3/10=")</f>
        <v>#VALUE!</v>
      </c>
      <c r="CQ142" t="e">
        <f>AND('Planilla_General_29-11-2012_10_'!N2129,"AAAAAE/3/14=")</f>
        <v>#VALUE!</v>
      </c>
      <c r="CR142" t="e">
        <f>AND('Planilla_General_29-11-2012_10_'!O2129,"AAAAAE/3/18=")</f>
        <v>#VALUE!</v>
      </c>
      <c r="CS142" t="e">
        <f>AND('Planilla_General_29-11-2012_10_'!P2129,"AAAAAE/3/2A=")</f>
        <v>#VALUE!</v>
      </c>
      <c r="CT142">
        <f>IF('Planilla_General_29-11-2012_10_'!2130:2130,"AAAAAE/3/2E=",0)</f>
        <v>0</v>
      </c>
      <c r="CU142" t="e">
        <f>AND('Planilla_General_29-11-2012_10_'!A2130,"AAAAAE/3/2I=")</f>
        <v>#VALUE!</v>
      </c>
      <c r="CV142" t="e">
        <f>AND('Planilla_General_29-11-2012_10_'!B2130,"AAAAAE/3/2M=")</f>
        <v>#VALUE!</v>
      </c>
      <c r="CW142" t="e">
        <f>AND('Planilla_General_29-11-2012_10_'!C2130,"AAAAAE/3/2Q=")</f>
        <v>#VALUE!</v>
      </c>
      <c r="CX142" t="e">
        <f>AND('Planilla_General_29-11-2012_10_'!D2130,"AAAAAE/3/2U=")</f>
        <v>#VALUE!</v>
      </c>
      <c r="CY142" t="e">
        <f>AND('Planilla_General_29-11-2012_10_'!E2130,"AAAAAE/3/2Y=")</f>
        <v>#VALUE!</v>
      </c>
      <c r="CZ142" t="e">
        <f>AND('Planilla_General_29-11-2012_10_'!F2130,"AAAAAE/3/2c=")</f>
        <v>#VALUE!</v>
      </c>
      <c r="DA142" t="e">
        <f>AND('Planilla_General_29-11-2012_10_'!G2130,"AAAAAE/3/2g=")</f>
        <v>#VALUE!</v>
      </c>
      <c r="DB142" t="e">
        <f>AND('Planilla_General_29-11-2012_10_'!H2130,"AAAAAE/3/2k=")</f>
        <v>#VALUE!</v>
      </c>
      <c r="DC142" t="e">
        <f>AND('Planilla_General_29-11-2012_10_'!I2130,"AAAAAE/3/2o=")</f>
        <v>#VALUE!</v>
      </c>
      <c r="DD142" t="e">
        <f>AND('Planilla_General_29-11-2012_10_'!J2130,"AAAAAE/3/2s=")</f>
        <v>#VALUE!</v>
      </c>
      <c r="DE142" t="e">
        <f>AND('Planilla_General_29-11-2012_10_'!K2130,"AAAAAE/3/2w=")</f>
        <v>#VALUE!</v>
      </c>
      <c r="DF142" t="e">
        <f>AND('Planilla_General_29-11-2012_10_'!L2130,"AAAAAE/3/20=")</f>
        <v>#VALUE!</v>
      </c>
      <c r="DG142" t="e">
        <f>AND('Planilla_General_29-11-2012_10_'!M2130,"AAAAAE/3/24=")</f>
        <v>#VALUE!</v>
      </c>
      <c r="DH142" t="e">
        <f>AND('Planilla_General_29-11-2012_10_'!N2130,"AAAAAE/3/28=")</f>
        <v>#VALUE!</v>
      </c>
      <c r="DI142" t="e">
        <f>AND('Planilla_General_29-11-2012_10_'!O2130,"AAAAAE/3/3A=")</f>
        <v>#VALUE!</v>
      </c>
      <c r="DJ142" t="e">
        <f>AND('Planilla_General_29-11-2012_10_'!P2130,"AAAAAE/3/3E=")</f>
        <v>#VALUE!</v>
      </c>
      <c r="DK142">
        <f>IF('Planilla_General_29-11-2012_10_'!2131:2131,"AAAAAE/3/3I=",0)</f>
        <v>0</v>
      </c>
      <c r="DL142" t="e">
        <f>AND('Planilla_General_29-11-2012_10_'!A2131,"AAAAAE/3/3M=")</f>
        <v>#VALUE!</v>
      </c>
      <c r="DM142" t="e">
        <f>AND('Planilla_General_29-11-2012_10_'!B2131,"AAAAAE/3/3Q=")</f>
        <v>#VALUE!</v>
      </c>
      <c r="DN142" t="e">
        <f>AND('Planilla_General_29-11-2012_10_'!C2131,"AAAAAE/3/3U=")</f>
        <v>#VALUE!</v>
      </c>
      <c r="DO142" t="e">
        <f>AND('Planilla_General_29-11-2012_10_'!D2131,"AAAAAE/3/3Y=")</f>
        <v>#VALUE!</v>
      </c>
      <c r="DP142" t="e">
        <f>AND('Planilla_General_29-11-2012_10_'!E2131,"AAAAAE/3/3c=")</f>
        <v>#VALUE!</v>
      </c>
      <c r="DQ142" t="e">
        <f>AND('Planilla_General_29-11-2012_10_'!F2131,"AAAAAE/3/3g=")</f>
        <v>#VALUE!</v>
      </c>
      <c r="DR142" t="e">
        <f>AND('Planilla_General_29-11-2012_10_'!G2131,"AAAAAE/3/3k=")</f>
        <v>#VALUE!</v>
      </c>
      <c r="DS142" t="e">
        <f>AND('Planilla_General_29-11-2012_10_'!H2131,"AAAAAE/3/3o=")</f>
        <v>#VALUE!</v>
      </c>
      <c r="DT142" t="e">
        <f>AND('Planilla_General_29-11-2012_10_'!I2131,"AAAAAE/3/3s=")</f>
        <v>#VALUE!</v>
      </c>
      <c r="DU142" t="e">
        <f>AND('Planilla_General_29-11-2012_10_'!J2131,"AAAAAE/3/3w=")</f>
        <v>#VALUE!</v>
      </c>
      <c r="DV142" t="e">
        <f>AND('Planilla_General_29-11-2012_10_'!K2131,"AAAAAE/3/30=")</f>
        <v>#VALUE!</v>
      </c>
      <c r="DW142" t="e">
        <f>AND('Planilla_General_29-11-2012_10_'!L2131,"AAAAAE/3/34=")</f>
        <v>#VALUE!</v>
      </c>
      <c r="DX142" t="e">
        <f>AND('Planilla_General_29-11-2012_10_'!M2131,"AAAAAE/3/38=")</f>
        <v>#VALUE!</v>
      </c>
      <c r="DY142" t="e">
        <f>AND('Planilla_General_29-11-2012_10_'!N2131,"AAAAAE/3/4A=")</f>
        <v>#VALUE!</v>
      </c>
      <c r="DZ142" t="e">
        <f>AND('Planilla_General_29-11-2012_10_'!O2131,"AAAAAE/3/4E=")</f>
        <v>#VALUE!</v>
      </c>
      <c r="EA142" t="e">
        <f>AND('Planilla_General_29-11-2012_10_'!P2131,"AAAAAE/3/4I=")</f>
        <v>#VALUE!</v>
      </c>
      <c r="EB142">
        <f>IF('Planilla_General_29-11-2012_10_'!2132:2132,"AAAAAE/3/4M=",0)</f>
        <v>0</v>
      </c>
      <c r="EC142" t="e">
        <f>AND('Planilla_General_29-11-2012_10_'!A2132,"AAAAAE/3/4Q=")</f>
        <v>#VALUE!</v>
      </c>
      <c r="ED142" t="e">
        <f>AND('Planilla_General_29-11-2012_10_'!B2132,"AAAAAE/3/4U=")</f>
        <v>#VALUE!</v>
      </c>
      <c r="EE142" t="e">
        <f>AND('Planilla_General_29-11-2012_10_'!C2132,"AAAAAE/3/4Y=")</f>
        <v>#VALUE!</v>
      </c>
      <c r="EF142" t="e">
        <f>AND('Planilla_General_29-11-2012_10_'!D2132,"AAAAAE/3/4c=")</f>
        <v>#VALUE!</v>
      </c>
      <c r="EG142" t="e">
        <f>AND('Planilla_General_29-11-2012_10_'!E2132,"AAAAAE/3/4g=")</f>
        <v>#VALUE!</v>
      </c>
      <c r="EH142" t="e">
        <f>AND('Planilla_General_29-11-2012_10_'!F2132,"AAAAAE/3/4k=")</f>
        <v>#VALUE!</v>
      </c>
      <c r="EI142" t="e">
        <f>AND('Planilla_General_29-11-2012_10_'!G2132,"AAAAAE/3/4o=")</f>
        <v>#VALUE!</v>
      </c>
      <c r="EJ142" t="e">
        <f>AND('Planilla_General_29-11-2012_10_'!H2132,"AAAAAE/3/4s=")</f>
        <v>#VALUE!</v>
      </c>
      <c r="EK142" t="e">
        <f>AND('Planilla_General_29-11-2012_10_'!I2132,"AAAAAE/3/4w=")</f>
        <v>#VALUE!</v>
      </c>
      <c r="EL142" t="e">
        <f>AND('Planilla_General_29-11-2012_10_'!J2132,"AAAAAE/3/40=")</f>
        <v>#VALUE!</v>
      </c>
      <c r="EM142" t="e">
        <f>AND('Planilla_General_29-11-2012_10_'!K2132,"AAAAAE/3/44=")</f>
        <v>#VALUE!</v>
      </c>
      <c r="EN142" t="e">
        <f>AND('Planilla_General_29-11-2012_10_'!L2132,"AAAAAE/3/48=")</f>
        <v>#VALUE!</v>
      </c>
      <c r="EO142" t="e">
        <f>AND('Planilla_General_29-11-2012_10_'!M2132,"AAAAAE/3/5A=")</f>
        <v>#VALUE!</v>
      </c>
      <c r="EP142" t="e">
        <f>AND('Planilla_General_29-11-2012_10_'!N2132,"AAAAAE/3/5E=")</f>
        <v>#VALUE!</v>
      </c>
      <c r="EQ142" t="e">
        <f>AND('Planilla_General_29-11-2012_10_'!O2132,"AAAAAE/3/5I=")</f>
        <v>#VALUE!</v>
      </c>
      <c r="ER142" t="e">
        <f>AND('Planilla_General_29-11-2012_10_'!P2132,"AAAAAE/3/5M=")</f>
        <v>#VALUE!</v>
      </c>
      <c r="ES142">
        <f>IF('Planilla_General_29-11-2012_10_'!2133:2133,"AAAAAE/3/5Q=",0)</f>
        <v>0</v>
      </c>
      <c r="ET142" t="e">
        <f>AND('Planilla_General_29-11-2012_10_'!A2133,"AAAAAE/3/5U=")</f>
        <v>#VALUE!</v>
      </c>
      <c r="EU142" t="e">
        <f>AND('Planilla_General_29-11-2012_10_'!B2133,"AAAAAE/3/5Y=")</f>
        <v>#VALUE!</v>
      </c>
      <c r="EV142" t="e">
        <f>AND('Planilla_General_29-11-2012_10_'!C2133,"AAAAAE/3/5c=")</f>
        <v>#VALUE!</v>
      </c>
      <c r="EW142" t="e">
        <f>AND('Planilla_General_29-11-2012_10_'!D2133,"AAAAAE/3/5g=")</f>
        <v>#VALUE!</v>
      </c>
      <c r="EX142" t="e">
        <f>AND('Planilla_General_29-11-2012_10_'!E2133,"AAAAAE/3/5k=")</f>
        <v>#VALUE!</v>
      </c>
      <c r="EY142" t="e">
        <f>AND('Planilla_General_29-11-2012_10_'!F2133,"AAAAAE/3/5o=")</f>
        <v>#VALUE!</v>
      </c>
      <c r="EZ142" t="e">
        <f>AND('Planilla_General_29-11-2012_10_'!G2133,"AAAAAE/3/5s=")</f>
        <v>#VALUE!</v>
      </c>
      <c r="FA142" t="e">
        <f>AND('Planilla_General_29-11-2012_10_'!H2133,"AAAAAE/3/5w=")</f>
        <v>#VALUE!</v>
      </c>
      <c r="FB142" t="e">
        <f>AND('Planilla_General_29-11-2012_10_'!I2133,"AAAAAE/3/50=")</f>
        <v>#VALUE!</v>
      </c>
      <c r="FC142" t="e">
        <f>AND('Planilla_General_29-11-2012_10_'!J2133,"AAAAAE/3/54=")</f>
        <v>#VALUE!</v>
      </c>
      <c r="FD142" t="e">
        <f>AND('Planilla_General_29-11-2012_10_'!K2133,"AAAAAE/3/58=")</f>
        <v>#VALUE!</v>
      </c>
      <c r="FE142" t="e">
        <f>AND('Planilla_General_29-11-2012_10_'!L2133,"AAAAAE/3/6A=")</f>
        <v>#VALUE!</v>
      </c>
      <c r="FF142" t="e">
        <f>AND('Planilla_General_29-11-2012_10_'!M2133,"AAAAAE/3/6E=")</f>
        <v>#VALUE!</v>
      </c>
      <c r="FG142" t="e">
        <f>AND('Planilla_General_29-11-2012_10_'!N2133,"AAAAAE/3/6I=")</f>
        <v>#VALUE!</v>
      </c>
      <c r="FH142" t="e">
        <f>AND('Planilla_General_29-11-2012_10_'!O2133,"AAAAAE/3/6M=")</f>
        <v>#VALUE!</v>
      </c>
      <c r="FI142" t="e">
        <f>AND('Planilla_General_29-11-2012_10_'!P2133,"AAAAAE/3/6Q=")</f>
        <v>#VALUE!</v>
      </c>
      <c r="FJ142">
        <f>IF('Planilla_General_29-11-2012_10_'!2134:2134,"AAAAAE/3/6U=",0)</f>
        <v>0</v>
      </c>
      <c r="FK142" t="e">
        <f>AND('Planilla_General_29-11-2012_10_'!A2134,"AAAAAE/3/6Y=")</f>
        <v>#VALUE!</v>
      </c>
      <c r="FL142" t="e">
        <f>AND('Planilla_General_29-11-2012_10_'!B2134,"AAAAAE/3/6c=")</f>
        <v>#VALUE!</v>
      </c>
      <c r="FM142" t="e">
        <f>AND('Planilla_General_29-11-2012_10_'!C2134,"AAAAAE/3/6g=")</f>
        <v>#VALUE!</v>
      </c>
      <c r="FN142" t="e">
        <f>AND('Planilla_General_29-11-2012_10_'!D2134,"AAAAAE/3/6k=")</f>
        <v>#VALUE!</v>
      </c>
      <c r="FO142" t="e">
        <f>AND('Planilla_General_29-11-2012_10_'!E2134,"AAAAAE/3/6o=")</f>
        <v>#VALUE!</v>
      </c>
      <c r="FP142" t="e">
        <f>AND('Planilla_General_29-11-2012_10_'!F2134,"AAAAAE/3/6s=")</f>
        <v>#VALUE!</v>
      </c>
      <c r="FQ142" t="e">
        <f>AND('Planilla_General_29-11-2012_10_'!G2134,"AAAAAE/3/6w=")</f>
        <v>#VALUE!</v>
      </c>
      <c r="FR142" t="e">
        <f>AND('Planilla_General_29-11-2012_10_'!H2134,"AAAAAE/3/60=")</f>
        <v>#VALUE!</v>
      </c>
      <c r="FS142" t="e">
        <f>AND('Planilla_General_29-11-2012_10_'!I2134,"AAAAAE/3/64=")</f>
        <v>#VALUE!</v>
      </c>
      <c r="FT142" t="e">
        <f>AND('Planilla_General_29-11-2012_10_'!J2134,"AAAAAE/3/68=")</f>
        <v>#VALUE!</v>
      </c>
      <c r="FU142" t="e">
        <f>AND('Planilla_General_29-11-2012_10_'!K2134,"AAAAAE/3/7A=")</f>
        <v>#VALUE!</v>
      </c>
      <c r="FV142" t="e">
        <f>AND('Planilla_General_29-11-2012_10_'!L2134,"AAAAAE/3/7E=")</f>
        <v>#VALUE!</v>
      </c>
      <c r="FW142" t="e">
        <f>AND('Planilla_General_29-11-2012_10_'!M2134,"AAAAAE/3/7I=")</f>
        <v>#VALUE!</v>
      </c>
      <c r="FX142" t="e">
        <f>AND('Planilla_General_29-11-2012_10_'!N2134,"AAAAAE/3/7M=")</f>
        <v>#VALUE!</v>
      </c>
      <c r="FY142" t="e">
        <f>AND('Planilla_General_29-11-2012_10_'!O2134,"AAAAAE/3/7Q=")</f>
        <v>#VALUE!</v>
      </c>
      <c r="FZ142" t="e">
        <f>AND('Planilla_General_29-11-2012_10_'!P2134,"AAAAAE/3/7U=")</f>
        <v>#VALUE!</v>
      </c>
      <c r="GA142">
        <f>IF('Planilla_General_29-11-2012_10_'!2135:2135,"AAAAAE/3/7Y=",0)</f>
        <v>0</v>
      </c>
      <c r="GB142" t="e">
        <f>AND('Planilla_General_29-11-2012_10_'!A2135,"AAAAAE/3/7c=")</f>
        <v>#VALUE!</v>
      </c>
      <c r="GC142" t="e">
        <f>AND('Planilla_General_29-11-2012_10_'!B2135,"AAAAAE/3/7g=")</f>
        <v>#VALUE!</v>
      </c>
      <c r="GD142" t="e">
        <f>AND('Planilla_General_29-11-2012_10_'!C2135,"AAAAAE/3/7k=")</f>
        <v>#VALUE!</v>
      </c>
      <c r="GE142" t="e">
        <f>AND('Planilla_General_29-11-2012_10_'!D2135,"AAAAAE/3/7o=")</f>
        <v>#VALUE!</v>
      </c>
      <c r="GF142" t="e">
        <f>AND('Planilla_General_29-11-2012_10_'!E2135,"AAAAAE/3/7s=")</f>
        <v>#VALUE!</v>
      </c>
      <c r="GG142" t="e">
        <f>AND('Planilla_General_29-11-2012_10_'!F2135,"AAAAAE/3/7w=")</f>
        <v>#VALUE!</v>
      </c>
      <c r="GH142" t="e">
        <f>AND('Planilla_General_29-11-2012_10_'!G2135,"AAAAAE/3/70=")</f>
        <v>#VALUE!</v>
      </c>
      <c r="GI142" t="e">
        <f>AND('Planilla_General_29-11-2012_10_'!H2135,"AAAAAE/3/74=")</f>
        <v>#VALUE!</v>
      </c>
      <c r="GJ142" t="e">
        <f>AND('Planilla_General_29-11-2012_10_'!I2135,"AAAAAE/3/78=")</f>
        <v>#VALUE!</v>
      </c>
      <c r="GK142" t="e">
        <f>AND('Planilla_General_29-11-2012_10_'!J2135,"AAAAAE/3/8A=")</f>
        <v>#VALUE!</v>
      </c>
      <c r="GL142" t="e">
        <f>AND('Planilla_General_29-11-2012_10_'!K2135,"AAAAAE/3/8E=")</f>
        <v>#VALUE!</v>
      </c>
      <c r="GM142" t="e">
        <f>AND('Planilla_General_29-11-2012_10_'!L2135,"AAAAAE/3/8I=")</f>
        <v>#VALUE!</v>
      </c>
      <c r="GN142" t="e">
        <f>AND('Planilla_General_29-11-2012_10_'!M2135,"AAAAAE/3/8M=")</f>
        <v>#VALUE!</v>
      </c>
      <c r="GO142" t="e">
        <f>AND('Planilla_General_29-11-2012_10_'!N2135,"AAAAAE/3/8Q=")</f>
        <v>#VALUE!</v>
      </c>
      <c r="GP142" t="e">
        <f>AND('Planilla_General_29-11-2012_10_'!O2135,"AAAAAE/3/8U=")</f>
        <v>#VALUE!</v>
      </c>
      <c r="GQ142" t="e">
        <f>AND('Planilla_General_29-11-2012_10_'!P2135,"AAAAAE/3/8Y=")</f>
        <v>#VALUE!</v>
      </c>
      <c r="GR142">
        <f>IF('Planilla_General_29-11-2012_10_'!2136:2136,"AAAAAE/3/8c=",0)</f>
        <v>0</v>
      </c>
      <c r="GS142" t="e">
        <f>AND('Planilla_General_29-11-2012_10_'!A2136,"AAAAAE/3/8g=")</f>
        <v>#VALUE!</v>
      </c>
      <c r="GT142" t="e">
        <f>AND('Planilla_General_29-11-2012_10_'!B2136,"AAAAAE/3/8k=")</f>
        <v>#VALUE!</v>
      </c>
      <c r="GU142" t="e">
        <f>AND('Planilla_General_29-11-2012_10_'!C2136,"AAAAAE/3/8o=")</f>
        <v>#VALUE!</v>
      </c>
      <c r="GV142" t="e">
        <f>AND('Planilla_General_29-11-2012_10_'!D2136,"AAAAAE/3/8s=")</f>
        <v>#VALUE!</v>
      </c>
      <c r="GW142" t="e">
        <f>AND('Planilla_General_29-11-2012_10_'!E2136,"AAAAAE/3/8w=")</f>
        <v>#VALUE!</v>
      </c>
      <c r="GX142" t="e">
        <f>AND('Planilla_General_29-11-2012_10_'!F2136,"AAAAAE/3/80=")</f>
        <v>#VALUE!</v>
      </c>
      <c r="GY142" t="e">
        <f>AND('Planilla_General_29-11-2012_10_'!G2136,"AAAAAE/3/84=")</f>
        <v>#VALUE!</v>
      </c>
      <c r="GZ142" t="e">
        <f>AND('Planilla_General_29-11-2012_10_'!H2136,"AAAAAE/3/88=")</f>
        <v>#VALUE!</v>
      </c>
      <c r="HA142" t="e">
        <f>AND('Planilla_General_29-11-2012_10_'!I2136,"AAAAAE/3/9A=")</f>
        <v>#VALUE!</v>
      </c>
      <c r="HB142" t="e">
        <f>AND('Planilla_General_29-11-2012_10_'!J2136,"AAAAAE/3/9E=")</f>
        <v>#VALUE!</v>
      </c>
      <c r="HC142" t="e">
        <f>AND('Planilla_General_29-11-2012_10_'!K2136,"AAAAAE/3/9I=")</f>
        <v>#VALUE!</v>
      </c>
      <c r="HD142" t="e">
        <f>AND('Planilla_General_29-11-2012_10_'!L2136,"AAAAAE/3/9M=")</f>
        <v>#VALUE!</v>
      </c>
      <c r="HE142" t="e">
        <f>AND('Planilla_General_29-11-2012_10_'!M2136,"AAAAAE/3/9Q=")</f>
        <v>#VALUE!</v>
      </c>
      <c r="HF142" t="e">
        <f>AND('Planilla_General_29-11-2012_10_'!N2136,"AAAAAE/3/9U=")</f>
        <v>#VALUE!</v>
      </c>
      <c r="HG142" t="e">
        <f>AND('Planilla_General_29-11-2012_10_'!O2136,"AAAAAE/3/9Y=")</f>
        <v>#VALUE!</v>
      </c>
      <c r="HH142" t="e">
        <f>AND('Planilla_General_29-11-2012_10_'!P2136,"AAAAAE/3/9c=")</f>
        <v>#VALUE!</v>
      </c>
      <c r="HI142">
        <f>IF('Planilla_General_29-11-2012_10_'!2137:2137,"AAAAAE/3/9g=",0)</f>
        <v>0</v>
      </c>
      <c r="HJ142" t="e">
        <f>AND('Planilla_General_29-11-2012_10_'!A2137,"AAAAAE/3/9k=")</f>
        <v>#VALUE!</v>
      </c>
      <c r="HK142" t="e">
        <f>AND('Planilla_General_29-11-2012_10_'!B2137,"AAAAAE/3/9o=")</f>
        <v>#VALUE!</v>
      </c>
      <c r="HL142" t="e">
        <f>AND('Planilla_General_29-11-2012_10_'!C2137,"AAAAAE/3/9s=")</f>
        <v>#VALUE!</v>
      </c>
      <c r="HM142" t="e">
        <f>AND('Planilla_General_29-11-2012_10_'!D2137,"AAAAAE/3/9w=")</f>
        <v>#VALUE!</v>
      </c>
      <c r="HN142" t="e">
        <f>AND('Planilla_General_29-11-2012_10_'!E2137,"AAAAAE/3/90=")</f>
        <v>#VALUE!</v>
      </c>
      <c r="HO142" t="e">
        <f>AND('Planilla_General_29-11-2012_10_'!F2137,"AAAAAE/3/94=")</f>
        <v>#VALUE!</v>
      </c>
      <c r="HP142" t="e">
        <f>AND('Planilla_General_29-11-2012_10_'!G2137,"AAAAAE/3/98=")</f>
        <v>#VALUE!</v>
      </c>
      <c r="HQ142" t="e">
        <f>AND('Planilla_General_29-11-2012_10_'!H2137,"AAAAAE/3/+A=")</f>
        <v>#VALUE!</v>
      </c>
      <c r="HR142" t="e">
        <f>AND('Planilla_General_29-11-2012_10_'!I2137,"AAAAAE/3/+E=")</f>
        <v>#VALUE!</v>
      </c>
      <c r="HS142" t="e">
        <f>AND('Planilla_General_29-11-2012_10_'!J2137,"AAAAAE/3/+I=")</f>
        <v>#VALUE!</v>
      </c>
      <c r="HT142" t="e">
        <f>AND('Planilla_General_29-11-2012_10_'!K2137,"AAAAAE/3/+M=")</f>
        <v>#VALUE!</v>
      </c>
      <c r="HU142" t="e">
        <f>AND('Planilla_General_29-11-2012_10_'!L2137,"AAAAAE/3/+Q=")</f>
        <v>#VALUE!</v>
      </c>
      <c r="HV142" t="e">
        <f>AND('Planilla_General_29-11-2012_10_'!M2137,"AAAAAE/3/+U=")</f>
        <v>#VALUE!</v>
      </c>
      <c r="HW142" t="e">
        <f>AND('Planilla_General_29-11-2012_10_'!N2137,"AAAAAE/3/+Y=")</f>
        <v>#VALUE!</v>
      </c>
      <c r="HX142" t="e">
        <f>AND('Planilla_General_29-11-2012_10_'!O2137,"AAAAAE/3/+c=")</f>
        <v>#VALUE!</v>
      </c>
      <c r="HY142" t="e">
        <f>AND('Planilla_General_29-11-2012_10_'!P2137,"AAAAAE/3/+g=")</f>
        <v>#VALUE!</v>
      </c>
      <c r="HZ142">
        <f>IF('Planilla_General_29-11-2012_10_'!2138:2138,"AAAAAE/3/+k=",0)</f>
        <v>0</v>
      </c>
      <c r="IA142" t="e">
        <f>AND('Planilla_General_29-11-2012_10_'!A2138,"AAAAAE/3/+o=")</f>
        <v>#VALUE!</v>
      </c>
      <c r="IB142" t="e">
        <f>AND('Planilla_General_29-11-2012_10_'!B2138,"AAAAAE/3/+s=")</f>
        <v>#VALUE!</v>
      </c>
      <c r="IC142" t="e">
        <f>AND('Planilla_General_29-11-2012_10_'!C2138,"AAAAAE/3/+w=")</f>
        <v>#VALUE!</v>
      </c>
      <c r="ID142" t="e">
        <f>AND('Planilla_General_29-11-2012_10_'!D2138,"AAAAAE/3/+0=")</f>
        <v>#VALUE!</v>
      </c>
      <c r="IE142" t="e">
        <f>AND('Planilla_General_29-11-2012_10_'!E2138,"AAAAAE/3/+4=")</f>
        <v>#VALUE!</v>
      </c>
      <c r="IF142" t="e">
        <f>AND('Planilla_General_29-11-2012_10_'!F2138,"AAAAAE/3/+8=")</f>
        <v>#VALUE!</v>
      </c>
      <c r="IG142" t="e">
        <f>AND('Planilla_General_29-11-2012_10_'!G2138,"AAAAAE/3//A=")</f>
        <v>#VALUE!</v>
      </c>
      <c r="IH142" t="e">
        <f>AND('Planilla_General_29-11-2012_10_'!H2138,"AAAAAE/3//E=")</f>
        <v>#VALUE!</v>
      </c>
      <c r="II142" t="e">
        <f>AND('Planilla_General_29-11-2012_10_'!I2138,"AAAAAE/3//I=")</f>
        <v>#VALUE!</v>
      </c>
      <c r="IJ142" t="e">
        <f>AND('Planilla_General_29-11-2012_10_'!J2138,"AAAAAE/3//M=")</f>
        <v>#VALUE!</v>
      </c>
      <c r="IK142" t="e">
        <f>AND('Planilla_General_29-11-2012_10_'!K2138,"AAAAAE/3//Q=")</f>
        <v>#VALUE!</v>
      </c>
      <c r="IL142" t="e">
        <f>AND('Planilla_General_29-11-2012_10_'!L2138,"AAAAAE/3//U=")</f>
        <v>#VALUE!</v>
      </c>
      <c r="IM142" t="e">
        <f>AND('Planilla_General_29-11-2012_10_'!M2138,"AAAAAE/3//Y=")</f>
        <v>#VALUE!</v>
      </c>
      <c r="IN142" t="e">
        <f>AND('Planilla_General_29-11-2012_10_'!N2138,"AAAAAE/3//c=")</f>
        <v>#VALUE!</v>
      </c>
      <c r="IO142" t="e">
        <f>AND('Planilla_General_29-11-2012_10_'!O2138,"AAAAAE/3//g=")</f>
        <v>#VALUE!</v>
      </c>
      <c r="IP142" t="e">
        <f>AND('Planilla_General_29-11-2012_10_'!P2138,"AAAAAE/3//k=")</f>
        <v>#VALUE!</v>
      </c>
      <c r="IQ142">
        <f>IF('Planilla_General_29-11-2012_10_'!2139:2139,"AAAAAE/3//o=",0)</f>
        <v>0</v>
      </c>
      <c r="IR142" t="e">
        <f>AND('Planilla_General_29-11-2012_10_'!A2139,"AAAAAE/3//s=")</f>
        <v>#VALUE!</v>
      </c>
      <c r="IS142" t="e">
        <f>AND('Planilla_General_29-11-2012_10_'!B2139,"AAAAAE/3//w=")</f>
        <v>#VALUE!</v>
      </c>
      <c r="IT142" t="e">
        <f>AND('Planilla_General_29-11-2012_10_'!C2139,"AAAAAE/3//0=")</f>
        <v>#VALUE!</v>
      </c>
      <c r="IU142" t="e">
        <f>AND('Planilla_General_29-11-2012_10_'!D2139,"AAAAAE/3//4=")</f>
        <v>#VALUE!</v>
      </c>
      <c r="IV142" t="e">
        <f>AND('Planilla_General_29-11-2012_10_'!E2139,"AAAAAE/3//8=")</f>
        <v>#VALUE!</v>
      </c>
    </row>
    <row r="143" spans="1:256" x14ac:dyDescent="0.25">
      <c r="A143" t="e">
        <f>AND('Planilla_General_29-11-2012_10_'!F2139,"AAAAAFZ78wA=")</f>
        <v>#VALUE!</v>
      </c>
      <c r="B143" t="e">
        <f>AND('Planilla_General_29-11-2012_10_'!G2139,"AAAAAFZ78wE=")</f>
        <v>#VALUE!</v>
      </c>
      <c r="C143" t="e">
        <f>AND('Planilla_General_29-11-2012_10_'!H2139,"AAAAAFZ78wI=")</f>
        <v>#VALUE!</v>
      </c>
      <c r="D143" t="e">
        <f>AND('Planilla_General_29-11-2012_10_'!I2139,"AAAAAFZ78wM=")</f>
        <v>#VALUE!</v>
      </c>
      <c r="E143" t="e">
        <f>AND('Planilla_General_29-11-2012_10_'!J2139,"AAAAAFZ78wQ=")</f>
        <v>#VALUE!</v>
      </c>
      <c r="F143" t="e">
        <f>AND('Planilla_General_29-11-2012_10_'!K2139,"AAAAAFZ78wU=")</f>
        <v>#VALUE!</v>
      </c>
      <c r="G143" t="e">
        <f>AND('Planilla_General_29-11-2012_10_'!L2139,"AAAAAFZ78wY=")</f>
        <v>#VALUE!</v>
      </c>
      <c r="H143" t="e">
        <f>AND('Planilla_General_29-11-2012_10_'!M2139,"AAAAAFZ78wc=")</f>
        <v>#VALUE!</v>
      </c>
      <c r="I143" t="e">
        <f>AND('Planilla_General_29-11-2012_10_'!N2139,"AAAAAFZ78wg=")</f>
        <v>#VALUE!</v>
      </c>
      <c r="J143" t="e">
        <f>AND('Planilla_General_29-11-2012_10_'!O2139,"AAAAAFZ78wk=")</f>
        <v>#VALUE!</v>
      </c>
      <c r="K143" t="e">
        <f>AND('Planilla_General_29-11-2012_10_'!P2139,"AAAAAFZ78wo=")</f>
        <v>#VALUE!</v>
      </c>
      <c r="L143" t="str">
        <f>IF('Planilla_General_29-11-2012_10_'!2140:2140,"AAAAAFZ78ws=",0)</f>
        <v>AAAAAFZ78ws=</v>
      </c>
      <c r="M143" t="e">
        <f>AND('Planilla_General_29-11-2012_10_'!A2140,"AAAAAFZ78ww=")</f>
        <v>#VALUE!</v>
      </c>
      <c r="N143" t="e">
        <f>AND('Planilla_General_29-11-2012_10_'!B2140,"AAAAAFZ78w0=")</f>
        <v>#VALUE!</v>
      </c>
      <c r="O143" t="e">
        <f>AND('Planilla_General_29-11-2012_10_'!C2140,"AAAAAFZ78w4=")</f>
        <v>#VALUE!</v>
      </c>
      <c r="P143" t="e">
        <f>AND('Planilla_General_29-11-2012_10_'!D2140,"AAAAAFZ78w8=")</f>
        <v>#VALUE!</v>
      </c>
      <c r="Q143" t="e">
        <f>AND('Planilla_General_29-11-2012_10_'!E2140,"AAAAAFZ78xA=")</f>
        <v>#VALUE!</v>
      </c>
      <c r="R143" t="e">
        <f>AND('Planilla_General_29-11-2012_10_'!F2140,"AAAAAFZ78xE=")</f>
        <v>#VALUE!</v>
      </c>
      <c r="S143" t="e">
        <f>AND('Planilla_General_29-11-2012_10_'!G2140,"AAAAAFZ78xI=")</f>
        <v>#VALUE!</v>
      </c>
      <c r="T143" t="e">
        <f>AND('Planilla_General_29-11-2012_10_'!H2140,"AAAAAFZ78xM=")</f>
        <v>#VALUE!</v>
      </c>
      <c r="U143" t="e">
        <f>AND('Planilla_General_29-11-2012_10_'!I2140,"AAAAAFZ78xQ=")</f>
        <v>#VALUE!</v>
      </c>
      <c r="V143" t="e">
        <f>AND('Planilla_General_29-11-2012_10_'!J2140,"AAAAAFZ78xU=")</f>
        <v>#VALUE!</v>
      </c>
      <c r="W143" t="e">
        <f>AND('Planilla_General_29-11-2012_10_'!K2140,"AAAAAFZ78xY=")</f>
        <v>#VALUE!</v>
      </c>
      <c r="X143" t="e">
        <f>AND('Planilla_General_29-11-2012_10_'!L2140,"AAAAAFZ78xc=")</f>
        <v>#VALUE!</v>
      </c>
      <c r="Y143" t="e">
        <f>AND('Planilla_General_29-11-2012_10_'!M2140,"AAAAAFZ78xg=")</f>
        <v>#VALUE!</v>
      </c>
      <c r="Z143" t="e">
        <f>AND('Planilla_General_29-11-2012_10_'!N2140,"AAAAAFZ78xk=")</f>
        <v>#VALUE!</v>
      </c>
      <c r="AA143" t="e">
        <f>AND('Planilla_General_29-11-2012_10_'!O2140,"AAAAAFZ78xo=")</f>
        <v>#VALUE!</v>
      </c>
      <c r="AB143" t="e">
        <f>AND('Planilla_General_29-11-2012_10_'!P2140,"AAAAAFZ78xs=")</f>
        <v>#VALUE!</v>
      </c>
      <c r="AC143">
        <f>IF('Planilla_General_29-11-2012_10_'!2141:2141,"AAAAAFZ78xw=",0)</f>
        <v>0</v>
      </c>
      <c r="AD143" t="e">
        <f>AND('Planilla_General_29-11-2012_10_'!A2141,"AAAAAFZ78x0=")</f>
        <v>#VALUE!</v>
      </c>
      <c r="AE143" t="e">
        <f>AND('Planilla_General_29-11-2012_10_'!B2141,"AAAAAFZ78x4=")</f>
        <v>#VALUE!</v>
      </c>
      <c r="AF143" t="e">
        <f>AND('Planilla_General_29-11-2012_10_'!C2141,"AAAAAFZ78x8=")</f>
        <v>#VALUE!</v>
      </c>
      <c r="AG143" t="e">
        <f>AND('Planilla_General_29-11-2012_10_'!D2141,"AAAAAFZ78yA=")</f>
        <v>#VALUE!</v>
      </c>
      <c r="AH143" t="e">
        <f>AND('Planilla_General_29-11-2012_10_'!E2141,"AAAAAFZ78yE=")</f>
        <v>#VALUE!</v>
      </c>
      <c r="AI143" t="e">
        <f>AND('Planilla_General_29-11-2012_10_'!F2141,"AAAAAFZ78yI=")</f>
        <v>#VALUE!</v>
      </c>
      <c r="AJ143" t="e">
        <f>AND('Planilla_General_29-11-2012_10_'!G2141,"AAAAAFZ78yM=")</f>
        <v>#VALUE!</v>
      </c>
      <c r="AK143" t="e">
        <f>AND('Planilla_General_29-11-2012_10_'!H2141,"AAAAAFZ78yQ=")</f>
        <v>#VALUE!</v>
      </c>
      <c r="AL143" t="e">
        <f>AND('Planilla_General_29-11-2012_10_'!I2141,"AAAAAFZ78yU=")</f>
        <v>#VALUE!</v>
      </c>
      <c r="AM143" t="e">
        <f>AND('Planilla_General_29-11-2012_10_'!J2141,"AAAAAFZ78yY=")</f>
        <v>#VALUE!</v>
      </c>
      <c r="AN143" t="e">
        <f>AND('Planilla_General_29-11-2012_10_'!K2141,"AAAAAFZ78yc=")</f>
        <v>#VALUE!</v>
      </c>
      <c r="AO143" t="e">
        <f>AND('Planilla_General_29-11-2012_10_'!L2141,"AAAAAFZ78yg=")</f>
        <v>#VALUE!</v>
      </c>
      <c r="AP143" t="e">
        <f>AND('Planilla_General_29-11-2012_10_'!M2141,"AAAAAFZ78yk=")</f>
        <v>#VALUE!</v>
      </c>
      <c r="AQ143" t="e">
        <f>AND('Planilla_General_29-11-2012_10_'!N2141,"AAAAAFZ78yo=")</f>
        <v>#VALUE!</v>
      </c>
      <c r="AR143" t="e">
        <f>AND('Planilla_General_29-11-2012_10_'!O2141,"AAAAAFZ78ys=")</f>
        <v>#VALUE!</v>
      </c>
      <c r="AS143" t="e">
        <f>AND('Planilla_General_29-11-2012_10_'!P2141,"AAAAAFZ78yw=")</f>
        <v>#VALUE!</v>
      </c>
      <c r="AT143">
        <f>IF('Planilla_General_29-11-2012_10_'!2142:2142,"AAAAAFZ78y0=",0)</f>
        <v>0</v>
      </c>
      <c r="AU143" t="e">
        <f>AND('Planilla_General_29-11-2012_10_'!A2142,"AAAAAFZ78y4=")</f>
        <v>#VALUE!</v>
      </c>
      <c r="AV143" t="e">
        <f>AND('Planilla_General_29-11-2012_10_'!B2142,"AAAAAFZ78y8=")</f>
        <v>#VALUE!</v>
      </c>
      <c r="AW143" t="e">
        <f>AND('Planilla_General_29-11-2012_10_'!C2142,"AAAAAFZ78zA=")</f>
        <v>#VALUE!</v>
      </c>
      <c r="AX143" t="e">
        <f>AND('Planilla_General_29-11-2012_10_'!D2142,"AAAAAFZ78zE=")</f>
        <v>#VALUE!</v>
      </c>
      <c r="AY143" t="e">
        <f>AND('Planilla_General_29-11-2012_10_'!E2142,"AAAAAFZ78zI=")</f>
        <v>#VALUE!</v>
      </c>
      <c r="AZ143" t="e">
        <f>AND('Planilla_General_29-11-2012_10_'!F2142,"AAAAAFZ78zM=")</f>
        <v>#VALUE!</v>
      </c>
      <c r="BA143" t="e">
        <f>AND('Planilla_General_29-11-2012_10_'!G2142,"AAAAAFZ78zQ=")</f>
        <v>#VALUE!</v>
      </c>
      <c r="BB143" t="e">
        <f>AND('Planilla_General_29-11-2012_10_'!H2142,"AAAAAFZ78zU=")</f>
        <v>#VALUE!</v>
      </c>
      <c r="BC143" t="e">
        <f>AND('Planilla_General_29-11-2012_10_'!I2142,"AAAAAFZ78zY=")</f>
        <v>#VALUE!</v>
      </c>
      <c r="BD143" t="e">
        <f>AND('Planilla_General_29-11-2012_10_'!J2142,"AAAAAFZ78zc=")</f>
        <v>#VALUE!</v>
      </c>
      <c r="BE143" t="e">
        <f>AND('Planilla_General_29-11-2012_10_'!K2142,"AAAAAFZ78zg=")</f>
        <v>#VALUE!</v>
      </c>
      <c r="BF143" t="e">
        <f>AND('Planilla_General_29-11-2012_10_'!L2142,"AAAAAFZ78zk=")</f>
        <v>#VALUE!</v>
      </c>
      <c r="BG143" t="e">
        <f>AND('Planilla_General_29-11-2012_10_'!M2142,"AAAAAFZ78zo=")</f>
        <v>#VALUE!</v>
      </c>
      <c r="BH143" t="e">
        <f>AND('Planilla_General_29-11-2012_10_'!N2142,"AAAAAFZ78zs=")</f>
        <v>#VALUE!</v>
      </c>
      <c r="BI143" t="e">
        <f>AND('Planilla_General_29-11-2012_10_'!O2142,"AAAAAFZ78zw=")</f>
        <v>#VALUE!</v>
      </c>
      <c r="BJ143" t="e">
        <f>AND('Planilla_General_29-11-2012_10_'!P2142,"AAAAAFZ78z0=")</f>
        <v>#VALUE!</v>
      </c>
      <c r="BK143">
        <f>IF('Planilla_General_29-11-2012_10_'!2143:2143,"AAAAAFZ78z4=",0)</f>
        <v>0</v>
      </c>
      <c r="BL143" t="e">
        <f>AND('Planilla_General_29-11-2012_10_'!A2143,"AAAAAFZ78z8=")</f>
        <v>#VALUE!</v>
      </c>
      <c r="BM143" t="e">
        <f>AND('Planilla_General_29-11-2012_10_'!B2143,"AAAAAFZ780A=")</f>
        <v>#VALUE!</v>
      </c>
      <c r="BN143" t="e">
        <f>AND('Planilla_General_29-11-2012_10_'!C2143,"AAAAAFZ780E=")</f>
        <v>#VALUE!</v>
      </c>
      <c r="BO143" t="e">
        <f>AND('Planilla_General_29-11-2012_10_'!D2143,"AAAAAFZ780I=")</f>
        <v>#VALUE!</v>
      </c>
      <c r="BP143" t="e">
        <f>AND('Planilla_General_29-11-2012_10_'!E2143,"AAAAAFZ780M=")</f>
        <v>#VALUE!</v>
      </c>
      <c r="BQ143" t="e">
        <f>AND('Planilla_General_29-11-2012_10_'!F2143,"AAAAAFZ780Q=")</f>
        <v>#VALUE!</v>
      </c>
      <c r="BR143" t="e">
        <f>AND('Planilla_General_29-11-2012_10_'!G2143,"AAAAAFZ780U=")</f>
        <v>#VALUE!</v>
      </c>
      <c r="BS143" t="e">
        <f>AND('Planilla_General_29-11-2012_10_'!H2143,"AAAAAFZ780Y=")</f>
        <v>#VALUE!</v>
      </c>
      <c r="BT143" t="e">
        <f>AND('Planilla_General_29-11-2012_10_'!I2143,"AAAAAFZ780c=")</f>
        <v>#VALUE!</v>
      </c>
      <c r="BU143" t="e">
        <f>AND('Planilla_General_29-11-2012_10_'!J2143,"AAAAAFZ780g=")</f>
        <v>#VALUE!</v>
      </c>
      <c r="BV143" t="e">
        <f>AND('Planilla_General_29-11-2012_10_'!K2143,"AAAAAFZ780k=")</f>
        <v>#VALUE!</v>
      </c>
      <c r="BW143" t="e">
        <f>AND('Planilla_General_29-11-2012_10_'!L2143,"AAAAAFZ780o=")</f>
        <v>#VALUE!</v>
      </c>
      <c r="BX143" t="e">
        <f>AND('Planilla_General_29-11-2012_10_'!M2143,"AAAAAFZ780s=")</f>
        <v>#VALUE!</v>
      </c>
      <c r="BY143" t="e">
        <f>AND('Planilla_General_29-11-2012_10_'!N2143,"AAAAAFZ780w=")</f>
        <v>#VALUE!</v>
      </c>
      <c r="BZ143" t="e">
        <f>AND('Planilla_General_29-11-2012_10_'!O2143,"AAAAAFZ7800=")</f>
        <v>#VALUE!</v>
      </c>
      <c r="CA143" t="e">
        <f>AND('Planilla_General_29-11-2012_10_'!P2143,"AAAAAFZ7804=")</f>
        <v>#VALUE!</v>
      </c>
      <c r="CB143">
        <f>IF('Planilla_General_29-11-2012_10_'!2144:2144,"AAAAAFZ7808=",0)</f>
        <v>0</v>
      </c>
      <c r="CC143" t="e">
        <f>AND('Planilla_General_29-11-2012_10_'!A2144,"AAAAAFZ781A=")</f>
        <v>#VALUE!</v>
      </c>
      <c r="CD143" t="e">
        <f>AND('Planilla_General_29-11-2012_10_'!B2144,"AAAAAFZ781E=")</f>
        <v>#VALUE!</v>
      </c>
      <c r="CE143" t="e">
        <f>AND('Planilla_General_29-11-2012_10_'!C2144,"AAAAAFZ781I=")</f>
        <v>#VALUE!</v>
      </c>
      <c r="CF143" t="e">
        <f>AND('Planilla_General_29-11-2012_10_'!D2144,"AAAAAFZ781M=")</f>
        <v>#VALUE!</v>
      </c>
      <c r="CG143" t="e">
        <f>AND('Planilla_General_29-11-2012_10_'!E2144,"AAAAAFZ781Q=")</f>
        <v>#VALUE!</v>
      </c>
      <c r="CH143" t="e">
        <f>AND('Planilla_General_29-11-2012_10_'!F2144,"AAAAAFZ781U=")</f>
        <v>#VALUE!</v>
      </c>
      <c r="CI143" t="e">
        <f>AND('Planilla_General_29-11-2012_10_'!G2144,"AAAAAFZ781Y=")</f>
        <v>#VALUE!</v>
      </c>
      <c r="CJ143" t="e">
        <f>AND('Planilla_General_29-11-2012_10_'!H2144,"AAAAAFZ781c=")</f>
        <v>#VALUE!</v>
      </c>
      <c r="CK143" t="e">
        <f>AND('Planilla_General_29-11-2012_10_'!I2144,"AAAAAFZ781g=")</f>
        <v>#VALUE!</v>
      </c>
      <c r="CL143" t="e">
        <f>AND('Planilla_General_29-11-2012_10_'!J2144,"AAAAAFZ781k=")</f>
        <v>#VALUE!</v>
      </c>
      <c r="CM143" t="e">
        <f>AND('Planilla_General_29-11-2012_10_'!K2144,"AAAAAFZ781o=")</f>
        <v>#VALUE!</v>
      </c>
      <c r="CN143" t="e">
        <f>AND('Planilla_General_29-11-2012_10_'!L2144,"AAAAAFZ781s=")</f>
        <v>#VALUE!</v>
      </c>
      <c r="CO143" t="e">
        <f>AND('Planilla_General_29-11-2012_10_'!M2144,"AAAAAFZ781w=")</f>
        <v>#VALUE!</v>
      </c>
      <c r="CP143" t="e">
        <f>AND('Planilla_General_29-11-2012_10_'!N2144,"AAAAAFZ7810=")</f>
        <v>#VALUE!</v>
      </c>
      <c r="CQ143" t="e">
        <f>AND('Planilla_General_29-11-2012_10_'!O2144,"AAAAAFZ7814=")</f>
        <v>#VALUE!</v>
      </c>
      <c r="CR143" t="e">
        <f>AND('Planilla_General_29-11-2012_10_'!P2144,"AAAAAFZ7818=")</f>
        <v>#VALUE!</v>
      </c>
      <c r="CS143">
        <f>IF('Planilla_General_29-11-2012_10_'!2145:2145,"AAAAAFZ782A=",0)</f>
        <v>0</v>
      </c>
      <c r="CT143" t="e">
        <f>AND('Planilla_General_29-11-2012_10_'!A2145,"AAAAAFZ782E=")</f>
        <v>#VALUE!</v>
      </c>
      <c r="CU143" t="e">
        <f>AND('Planilla_General_29-11-2012_10_'!B2145,"AAAAAFZ782I=")</f>
        <v>#VALUE!</v>
      </c>
      <c r="CV143" t="e">
        <f>AND('Planilla_General_29-11-2012_10_'!C2145,"AAAAAFZ782M=")</f>
        <v>#VALUE!</v>
      </c>
      <c r="CW143" t="e">
        <f>AND('Planilla_General_29-11-2012_10_'!D2145,"AAAAAFZ782Q=")</f>
        <v>#VALUE!</v>
      </c>
      <c r="CX143" t="e">
        <f>AND('Planilla_General_29-11-2012_10_'!E2145,"AAAAAFZ782U=")</f>
        <v>#VALUE!</v>
      </c>
      <c r="CY143" t="e">
        <f>AND('Planilla_General_29-11-2012_10_'!F2145,"AAAAAFZ782Y=")</f>
        <v>#VALUE!</v>
      </c>
      <c r="CZ143" t="e">
        <f>AND('Planilla_General_29-11-2012_10_'!G2145,"AAAAAFZ782c=")</f>
        <v>#VALUE!</v>
      </c>
      <c r="DA143" t="e">
        <f>AND('Planilla_General_29-11-2012_10_'!H2145,"AAAAAFZ782g=")</f>
        <v>#VALUE!</v>
      </c>
      <c r="DB143" t="e">
        <f>AND('Planilla_General_29-11-2012_10_'!I2145,"AAAAAFZ782k=")</f>
        <v>#VALUE!</v>
      </c>
      <c r="DC143" t="e">
        <f>AND('Planilla_General_29-11-2012_10_'!J2145,"AAAAAFZ782o=")</f>
        <v>#VALUE!</v>
      </c>
      <c r="DD143" t="e">
        <f>AND('Planilla_General_29-11-2012_10_'!K2145,"AAAAAFZ782s=")</f>
        <v>#VALUE!</v>
      </c>
      <c r="DE143" t="e">
        <f>AND('Planilla_General_29-11-2012_10_'!L2145,"AAAAAFZ782w=")</f>
        <v>#VALUE!</v>
      </c>
      <c r="DF143" t="e">
        <f>AND('Planilla_General_29-11-2012_10_'!M2145,"AAAAAFZ7820=")</f>
        <v>#VALUE!</v>
      </c>
      <c r="DG143" t="e">
        <f>AND('Planilla_General_29-11-2012_10_'!N2145,"AAAAAFZ7824=")</f>
        <v>#VALUE!</v>
      </c>
      <c r="DH143" t="e">
        <f>AND('Planilla_General_29-11-2012_10_'!O2145,"AAAAAFZ7828=")</f>
        <v>#VALUE!</v>
      </c>
      <c r="DI143" t="e">
        <f>AND('Planilla_General_29-11-2012_10_'!P2145,"AAAAAFZ783A=")</f>
        <v>#VALUE!</v>
      </c>
      <c r="DJ143">
        <f>IF('Planilla_General_29-11-2012_10_'!2146:2146,"AAAAAFZ783E=",0)</f>
        <v>0</v>
      </c>
      <c r="DK143" t="e">
        <f>AND('Planilla_General_29-11-2012_10_'!A2146,"AAAAAFZ783I=")</f>
        <v>#VALUE!</v>
      </c>
      <c r="DL143" t="e">
        <f>AND('Planilla_General_29-11-2012_10_'!B2146,"AAAAAFZ783M=")</f>
        <v>#VALUE!</v>
      </c>
      <c r="DM143" t="e">
        <f>AND('Planilla_General_29-11-2012_10_'!C2146,"AAAAAFZ783Q=")</f>
        <v>#VALUE!</v>
      </c>
      <c r="DN143" t="e">
        <f>AND('Planilla_General_29-11-2012_10_'!D2146,"AAAAAFZ783U=")</f>
        <v>#VALUE!</v>
      </c>
      <c r="DO143" t="e">
        <f>AND('Planilla_General_29-11-2012_10_'!E2146,"AAAAAFZ783Y=")</f>
        <v>#VALUE!</v>
      </c>
      <c r="DP143" t="e">
        <f>AND('Planilla_General_29-11-2012_10_'!F2146,"AAAAAFZ783c=")</f>
        <v>#VALUE!</v>
      </c>
      <c r="DQ143" t="e">
        <f>AND('Planilla_General_29-11-2012_10_'!G2146,"AAAAAFZ783g=")</f>
        <v>#VALUE!</v>
      </c>
      <c r="DR143" t="e">
        <f>AND('Planilla_General_29-11-2012_10_'!H2146,"AAAAAFZ783k=")</f>
        <v>#VALUE!</v>
      </c>
      <c r="DS143" t="e">
        <f>AND('Planilla_General_29-11-2012_10_'!I2146,"AAAAAFZ783o=")</f>
        <v>#VALUE!</v>
      </c>
      <c r="DT143" t="e">
        <f>AND('Planilla_General_29-11-2012_10_'!J2146,"AAAAAFZ783s=")</f>
        <v>#VALUE!</v>
      </c>
      <c r="DU143" t="e">
        <f>AND('Planilla_General_29-11-2012_10_'!K2146,"AAAAAFZ783w=")</f>
        <v>#VALUE!</v>
      </c>
      <c r="DV143" t="e">
        <f>AND('Planilla_General_29-11-2012_10_'!L2146,"AAAAAFZ7830=")</f>
        <v>#VALUE!</v>
      </c>
      <c r="DW143" t="e">
        <f>AND('Planilla_General_29-11-2012_10_'!M2146,"AAAAAFZ7834=")</f>
        <v>#VALUE!</v>
      </c>
      <c r="DX143" t="e">
        <f>AND('Planilla_General_29-11-2012_10_'!N2146,"AAAAAFZ7838=")</f>
        <v>#VALUE!</v>
      </c>
      <c r="DY143" t="e">
        <f>AND('Planilla_General_29-11-2012_10_'!O2146,"AAAAAFZ784A=")</f>
        <v>#VALUE!</v>
      </c>
      <c r="DZ143" t="e">
        <f>AND('Planilla_General_29-11-2012_10_'!P2146,"AAAAAFZ784E=")</f>
        <v>#VALUE!</v>
      </c>
      <c r="EA143">
        <f>IF('Planilla_General_29-11-2012_10_'!2147:2147,"AAAAAFZ784I=",0)</f>
        <v>0</v>
      </c>
      <c r="EB143" t="e">
        <f>AND('Planilla_General_29-11-2012_10_'!A2147,"AAAAAFZ784M=")</f>
        <v>#VALUE!</v>
      </c>
      <c r="EC143" t="e">
        <f>AND('Planilla_General_29-11-2012_10_'!B2147,"AAAAAFZ784Q=")</f>
        <v>#VALUE!</v>
      </c>
      <c r="ED143" t="e">
        <f>AND('Planilla_General_29-11-2012_10_'!C2147,"AAAAAFZ784U=")</f>
        <v>#VALUE!</v>
      </c>
      <c r="EE143" t="e">
        <f>AND('Planilla_General_29-11-2012_10_'!D2147,"AAAAAFZ784Y=")</f>
        <v>#VALUE!</v>
      </c>
      <c r="EF143" t="e">
        <f>AND('Planilla_General_29-11-2012_10_'!E2147,"AAAAAFZ784c=")</f>
        <v>#VALUE!</v>
      </c>
      <c r="EG143" t="e">
        <f>AND('Planilla_General_29-11-2012_10_'!F2147,"AAAAAFZ784g=")</f>
        <v>#VALUE!</v>
      </c>
      <c r="EH143" t="e">
        <f>AND('Planilla_General_29-11-2012_10_'!G2147,"AAAAAFZ784k=")</f>
        <v>#VALUE!</v>
      </c>
      <c r="EI143" t="e">
        <f>AND('Planilla_General_29-11-2012_10_'!H2147,"AAAAAFZ784o=")</f>
        <v>#VALUE!</v>
      </c>
      <c r="EJ143" t="e">
        <f>AND('Planilla_General_29-11-2012_10_'!I2147,"AAAAAFZ784s=")</f>
        <v>#VALUE!</v>
      </c>
      <c r="EK143" t="e">
        <f>AND('Planilla_General_29-11-2012_10_'!J2147,"AAAAAFZ784w=")</f>
        <v>#VALUE!</v>
      </c>
      <c r="EL143" t="e">
        <f>AND('Planilla_General_29-11-2012_10_'!K2147,"AAAAAFZ7840=")</f>
        <v>#VALUE!</v>
      </c>
      <c r="EM143" t="e">
        <f>AND('Planilla_General_29-11-2012_10_'!L2147,"AAAAAFZ7844=")</f>
        <v>#VALUE!</v>
      </c>
      <c r="EN143" t="e">
        <f>AND('Planilla_General_29-11-2012_10_'!M2147,"AAAAAFZ7848=")</f>
        <v>#VALUE!</v>
      </c>
      <c r="EO143" t="e">
        <f>AND('Planilla_General_29-11-2012_10_'!N2147,"AAAAAFZ785A=")</f>
        <v>#VALUE!</v>
      </c>
      <c r="EP143" t="e">
        <f>AND('Planilla_General_29-11-2012_10_'!O2147,"AAAAAFZ785E=")</f>
        <v>#VALUE!</v>
      </c>
      <c r="EQ143" t="e">
        <f>AND('Planilla_General_29-11-2012_10_'!P2147,"AAAAAFZ785I=")</f>
        <v>#VALUE!</v>
      </c>
      <c r="ER143">
        <f>IF('Planilla_General_29-11-2012_10_'!2148:2148,"AAAAAFZ785M=",0)</f>
        <v>0</v>
      </c>
      <c r="ES143" t="e">
        <f>AND('Planilla_General_29-11-2012_10_'!A2148,"AAAAAFZ785Q=")</f>
        <v>#VALUE!</v>
      </c>
      <c r="ET143" t="e">
        <f>AND('Planilla_General_29-11-2012_10_'!B2148,"AAAAAFZ785U=")</f>
        <v>#VALUE!</v>
      </c>
      <c r="EU143" t="e">
        <f>AND('Planilla_General_29-11-2012_10_'!C2148,"AAAAAFZ785Y=")</f>
        <v>#VALUE!</v>
      </c>
      <c r="EV143" t="e">
        <f>AND('Planilla_General_29-11-2012_10_'!D2148,"AAAAAFZ785c=")</f>
        <v>#VALUE!</v>
      </c>
      <c r="EW143" t="e">
        <f>AND('Planilla_General_29-11-2012_10_'!E2148,"AAAAAFZ785g=")</f>
        <v>#VALUE!</v>
      </c>
      <c r="EX143" t="e">
        <f>AND('Planilla_General_29-11-2012_10_'!F2148,"AAAAAFZ785k=")</f>
        <v>#VALUE!</v>
      </c>
      <c r="EY143" t="e">
        <f>AND('Planilla_General_29-11-2012_10_'!G2148,"AAAAAFZ785o=")</f>
        <v>#VALUE!</v>
      </c>
      <c r="EZ143" t="e">
        <f>AND('Planilla_General_29-11-2012_10_'!H2148,"AAAAAFZ785s=")</f>
        <v>#VALUE!</v>
      </c>
      <c r="FA143" t="e">
        <f>AND('Planilla_General_29-11-2012_10_'!I2148,"AAAAAFZ785w=")</f>
        <v>#VALUE!</v>
      </c>
      <c r="FB143" t="e">
        <f>AND('Planilla_General_29-11-2012_10_'!J2148,"AAAAAFZ7850=")</f>
        <v>#VALUE!</v>
      </c>
      <c r="FC143" t="e">
        <f>AND('Planilla_General_29-11-2012_10_'!K2148,"AAAAAFZ7854=")</f>
        <v>#VALUE!</v>
      </c>
      <c r="FD143" t="e">
        <f>AND('Planilla_General_29-11-2012_10_'!L2148,"AAAAAFZ7858=")</f>
        <v>#VALUE!</v>
      </c>
      <c r="FE143" t="e">
        <f>AND('Planilla_General_29-11-2012_10_'!M2148,"AAAAAFZ786A=")</f>
        <v>#VALUE!</v>
      </c>
      <c r="FF143" t="e">
        <f>AND('Planilla_General_29-11-2012_10_'!N2148,"AAAAAFZ786E=")</f>
        <v>#VALUE!</v>
      </c>
      <c r="FG143" t="e">
        <f>AND('Planilla_General_29-11-2012_10_'!O2148,"AAAAAFZ786I=")</f>
        <v>#VALUE!</v>
      </c>
      <c r="FH143" t="e">
        <f>AND('Planilla_General_29-11-2012_10_'!P2148,"AAAAAFZ786M=")</f>
        <v>#VALUE!</v>
      </c>
      <c r="FI143">
        <f>IF('Planilla_General_29-11-2012_10_'!2149:2149,"AAAAAFZ786Q=",0)</f>
        <v>0</v>
      </c>
      <c r="FJ143" t="e">
        <f>AND('Planilla_General_29-11-2012_10_'!A2149,"AAAAAFZ786U=")</f>
        <v>#VALUE!</v>
      </c>
      <c r="FK143" t="e">
        <f>AND('Planilla_General_29-11-2012_10_'!B2149,"AAAAAFZ786Y=")</f>
        <v>#VALUE!</v>
      </c>
      <c r="FL143" t="e">
        <f>AND('Planilla_General_29-11-2012_10_'!C2149,"AAAAAFZ786c=")</f>
        <v>#VALUE!</v>
      </c>
      <c r="FM143" t="e">
        <f>AND('Planilla_General_29-11-2012_10_'!D2149,"AAAAAFZ786g=")</f>
        <v>#VALUE!</v>
      </c>
      <c r="FN143" t="e">
        <f>AND('Planilla_General_29-11-2012_10_'!E2149,"AAAAAFZ786k=")</f>
        <v>#VALUE!</v>
      </c>
      <c r="FO143" t="e">
        <f>AND('Planilla_General_29-11-2012_10_'!F2149,"AAAAAFZ786o=")</f>
        <v>#VALUE!</v>
      </c>
      <c r="FP143" t="e">
        <f>AND('Planilla_General_29-11-2012_10_'!G2149,"AAAAAFZ786s=")</f>
        <v>#VALUE!</v>
      </c>
      <c r="FQ143" t="e">
        <f>AND('Planilla_General_29-11-2012_10_'!H2149,"AAAAAFZ786w=")</f>
        <v>#VALUE!</v>
      </c>
      <c r="FR143" t="e">
        <f>AND('Planilla_General_29-11-2012_10_'!I2149,"AAAAAFZ7860=")</f>
        <v>#VALUE!</v>
      </c>
      <c r="FS143" t="e">
        <f>AND('Planilla_General_29-11-2012_10_'!J2149,"AAAAAFZ7864=")</f>
        <v>#VALUE!</v>
      </c>
      <c r="FT143" t="e">
        <f>AND('Planilla_General_29-11-2012_10_'!K2149,"AAAAAFZ7868=")</f>
        <v>#VALUE!</v>
      </c>
      <c r="FU143" t="e">
        <f>AND('Planilla_General_29-11-2012_10_'!L2149,"AAAAAFZ787A=")</f>
        <v>#VALUE!</v>
      </c>
      <c r="FV143" t="e">
        <f>AND('Planilla_General_29-11-2012_10_'!M2149,"AAAAAFZ787E=")</f>
        <v>#VALUE!</v>
      </c>
      <c r="FW143" t="e">
        <f>AND('Planilla_General_29-11-2012_10_'!N2149,"AAAAAFZ787I=")</f>
        <v>#VALUE!</v>
      </c>
      <c r="FX143" t="e">
        <f>AND('Planilla_General_29-11-2012_10_'!O2149,"AAAAAFZ787M=")</f>
        <v>#VALUE!</v>
      </c>
      <c r="FY143" t="e">
        <f>AND('Planilla_General_29-11-2012_10_'!P2149,"AAAAAFZ787Q=")</f>
        <v>#VALUE!</v>
      </c>
      <c r="FZ143">
        <f>IF('Planilla_General_29-11-2012_10_'!2150:2150,"AAAAAFZ787U=",0)</f>
        <v>0</v>
      </c>
      <c r="GA143" t="e">
        <f>AND('Planilla_General_29-11-2012_10_'!A2150,"AAAAAFZ787Y=")</f>
        <v>#VALUE!</v>
      </c>
      <c r="GB143" t="e">
        <f>AND('Planilla_General_29-11-2012_10_'!B2150,"AAAAAFZ787c=")</f>
        <v>#VALUE!</v>
      </c>
      <c r="GC143" t="e">
        <f>AND('Planilla_General_29-11-2012_10_'!C2150,"AAAAAFZ787g=")</f>
        <v>#VALUE!</v>
      </c>
      <c r="GD143" t="e">
        <f>AND('Planilla_General_29-11-2012_10_'!D2150,"AAAAAFZ787k=")</f>
        <v>#VALUE!</v>
      </c>
      <c r="GE143" t="e">
        <f>AND('Planilla_General_29-11-2012_10_'!E2150,"AAAAAFZ787o=")</f>
        <v>#VALUE!</v>
      </c>
      <c r="GF143" t="e">
        <f>AND('Planilla_General_29-11-2012_10_'!F2150,"AAAAAFZ787s=")</f>
        <v>#VALUE!</v>
      </c>
      <c r="GG143" t="e">
        <f>AND('Planilla_General_29-11-2012_10_'!G2150,"AAAAAFZ787w=")</f>
        <v>#VALUE!</v>
      </c>
      <c r="GH143" t="e">
        <f>AND('Planilla_General_29-11-2012_10_'!H2150,"AAAAAFZ7870=")</f>
        <v>#VALUE!</v>
      </c>
      <c r="GI143" t="e">
        <f>AND('Planilla_General_29-11-2012_10_'!I2150,"AAAAAFZ7874=")</f>
        <v>#VALUE!</v>
      </c>
      <c r="GJ143" t="e">
        <f>AND('Planilla_General_29-11-2012_10_'!J2150,"AAAAAFZ7878=")</f>
        <v>#VALUE!</v>
      </c>
      <c r="GK143" t="e">
        <f>AND('Planilla_General_29-11-2012_10_'!K2150,"AAAAAFZ788A=")</f>
        <v>#VALUE!</v>
      </c>
      <c r="GL143" t="e">
        <f>AND('Planilla_General_29-11-2012_10_'!L2150,"AAAAAFZ788E=")</f>
        <v>#VALUE!</v>
      </c>
      <c r="GM143" t="e">
        <f>AND('Planilla_General_29-11-2012_10_'!M2150,"AAAAAFZ788I=")</f>
        <v>#VALUE!</v>
      </c>
      <c r="GN143" t="e">
        <f>AND('Planilla_General_29-11-2012_10_'!N2150,"AAAAAFZ788M=")</f>
        <v>#VALUE!</v>
      </c>
      <c r="GO143" t="e">
        <f>AND('Planilla_General_29-11-2012_10_'!O2150,"AAAAAFZ788Q=")</f>
        <v>#VALUE!</v>
      </c>
      <c r="GP143" t="e">
        <f>AND('Planilla_General_29-11-2012_10_'!P2150,"AAAAAFZ788U=")</f>
        <v>#VALUE!</v>
      </c>
      <c r="GQ143">
        <f>IF('Planilla_General_29-11-2012_10_'!2151:2151,"AAAAAFZ788Y=",0)</f>
        <v>0</v>
      </c>
      <c r="GR143" t="e">
        <f>AND('Planilla_General_29-11-2012_10_'!A2151,"AAAAAFZ788c=")</f>
        <v>#VALUE!</v>
      </c>
      <c r="GS143" t="e">
        <f>AND('Planilla_General_29-11-2012_10_'!B2151,"AAAAAFZ788g=")</f>
        <v>#VALUE!</v>
      </c>
      <c r="GT143" t="e">
        <f>AND('Planilla_General_29-11-2012_10_'!C2151,"AAAAAFZ788k=")</f>
        <v>#VALUE!</v>
      </c>
      <c r="GU143" t="e">
        <f>AND('Planilla_General_29-11-2012_10_'!D2151,"AAAAAFZ788o=")</f>
        <v>#VALUE!</v>
      </c>
      <c r="GV143" t="e">
        <f>AND('Planilla_General_29-11-2012_10_'!E2151,"AAAAAFZ788s=")</f>
        <v>#VALUE!</v>
      </c>
      <c r="GW143" t="e">
        <f>AND('Planilla_General_29-11-2012_10_'!F2151,"AAAAAFZ788w=")</f>
        <v>#VALUE!</v>
      </c>
      <c r="GX143" t="e">
        <f>AND('Planilla_General_29-11-2012_10_'!G2151,"AAAAAFZ7880=")</f>
        <v>#VALUE!</v>
      </c>
      <c r="GY143" t="e">
        <f>AND('Planilla_General_29-11-2012_10_'!H2151,"AAAAAFZ7884=")</f>
        <v>#VALUE!</v>
      </c>
      <c r="GZ143" t="e">
        <f>AND('Planilla_General_29-11-2012_10_'!I2151,"AAAAAFZ7888=")</f>
        <v>#VALUE!</v>
      </c>
      <c r="HA143" t="e">
        <f>AND('Planilla_General_29-11-2012_10_'!J2151,"AAAAAFZ789A=")</f>
        <v>#VALUE!</v>
      </c>
      <c r="HB143" t="e">
        <f>AND('Planilla_General_29-11-2012_10_'!K2151,"AAAAAFZ789E=")</f>
        <v>#VALUE!</v>
      </c>
      <c r="HC143" t="e">
        <f>AND('Planilla_General_29-11-2012_10_'!L2151,"AAAAAFZ789I=")</f>
        <v>#VALUE!</v>
      </c>
      <c r="HD143" t="e">
        <f>AND('Planilla_General_29-11-2012_10_'!M2151,"AAAAAFZ789M=")</f>
        <v>#VALUE!</v>
      </c>
      <c r="HE143" t="e">
        <f>AND('Planilla_General_29-11-2012_10_'!N2151,"AAAAAFZ789Q=")</f>
        <v>#VALUE!</v>
      </c>
      <c r="HF143" t="e">
        <f>AND('Planilla_General_29-11-2012_10_'!O2151,"AAAAAFZ789U=")</f>
        <v>#VALUE!</v>
      </c>
      <c r="HG143" t="e">
        <f>AND('Planilla_General_29-11-2012_10_'!P2151,"AAAAAFZ789Y=")</f>
        <v>#VALUE!</v>
      </c>
      <c r="HH143">
        <f>IF('Planilla_General_29-11-2012_10_'!2152:2152,"AAAAAFZ789c=",0)</f>
        <v>0</v>
      </c>
      <c r="HI143" t="e">
        <f>AND('Planilla_General_29-11-2012_10_'!A2152,"AAAAAFZ789g=")</f>
        <v>#VALUE!</v>
      </c>
      <c r="HJ143" t="e">
        <f>AND('Planilla_General_29-11-2012_10_'!B2152,"AAAAAFZ789k=")</f>
        <v>#VALUE!</v>
      </c>
      <c r="HK143" t="e">
        <f>AND('Planilla_General_29-11-2012_10_'!C2152,"AAAAAFZ789o=")</f>
        <v>#VALUE!</v>
      </c>
      <c r="HL143" t="e">
        <f>AND('Planilla_General_29-11-2012_10_'!D2152,"AAAAAFZ789s=")</f>
        <v>#VALUE!</v>
      </c>
      <c r="HM143" t="e">
        <f>AND('Planilla_General_29-11-2012_10_'!E2152,"AAAAAFZ789w=")</f>
        <v>#VALUE!</v>
      </c>
      <c r="HN143" t="e">
        <f>AND('Planilla_General_29-11-2012_10_'!F2152,"AAAAAFZ7890=")</f>
        <v>#VALUE!</v>
      </c>
      <c r="HO143" t="e">
        <f>AND('Planilla_General_29-11-2012_10_'!G2152,"AAAAAFZ7894=")</f>
        <v>#VALUE!</v>
      </c>
      <c r="HP143" t="e">
        <f>AND('Planilla_General_29-11-2012_10_'!H2152,"AAAAAFZ7898=")</f>
        <v>#VALUE!</v>
      </c>
      <c r="HQ143" t="e">
        <f>AND('Planilla_General_29-11-2012_10_'!I2152,"AAAAAFZ78+A=")</f>
        <v>#VALUE!</v>
      </c>
      <c r="HR143" t="e">
        <f>AND('Planilla_General_29-11-2012_10_'!J2152,"AAAAAFZ78+E=")</f>
        <v>#VALUE!</v>
      </c>
      <c r="HS143" t="e">
        <f>AND('Planilla_General_29-11-2012_10_'!K2152,"AAAAAFZ78+I=")</f>
        <v>#VALUE!</v>
      </c>
      <c r="HT143" t="e">
        <f>AND('Planilla_General_29-11-2012_10_'!L2152,"AAAAAFZ78+M=")</f>
        <v>#VALUE!</v>
      </c>
      <c r="HU143" t="e">
        <f>AND('Planilla_General_29-11-2012_10_'!M2152,"AAAAAFZ78+Q=")</f>
        <v>#VALUE!</v>
      </c>
      <c r="HV143" t="e">
        <f>AND('Planilla_General_29-11-2012_10_'!N2152,"AAAAAFZ78+U=")</f>
        <v>#VALUE!</v>
      </c>
      <c r="HW143" t="e">
        <f>AND('Planilla_General_29-11-2012_10_'!O2152,"AAAAAFZ78+Y=")</f>
        <v>#VALUE!</v>
      </c>
      <c r="HX143" t="e">
        <f>AND('Planilla_General_29-11-2012_10_'!P2152,"AAAAAFZ78+c=")</f>
        <v>#VALUE!</v>
      </c>
      <c r="HY143">
        <f>IF('Planilla_General_29-11-2012_10_'!2153:2153,"AAAAAFZ78+g=",0)</f>
        <v>0</v>
      </c>
      <c r="HZ143" t="e">
        <f>AND('Planilla_General_29-11-2012_10_'!A2153,"AAAAAFZ78+k=")</f>
        <v>#VALUE!</v>
      </c>
      <c r="IA143" t="e">
        <f>AND('Planilla_General_29-11-2012_10_'!B2153,"AAAAAFZ78+o=")</f>
        <v>#VALUE!</v>
      </c>
      <c r="IB143" t="e">
        <f>AND('Planilla_General_29-11-2012_10_'!C2153,"AAAAAFZ78+s=")</f>
        <v>#VALUE!</v>
      </c>
      <c r="IC143" t="e">
        <f>AND('Planilla_General_29-11-2012_10_'!D2153,"AAAAAFZ78+w=")</f>
        <v>#VALUE!</v>
      </c>
      <c r="ID143" t="e">
        <f>AND('Planilla_General_29-11-2012_10_'!E2153,"AAAAAFZ78+0=")</f>
        <v>#VALUE!</v>
      </c>
      <c r="IE143" t="e">
        <f>AND('Planilla_General_29-11-2012_10_'!F2153,"AAAAAFZ78+4=")</f>
        <v>#VALUE!</v>
      </c>
      <c r="IF143" t="e">
        <f>AND('Planilla_General_29-11-2012_10_'!G2153,"AAAAAFZ78+8=")</f>
        <v>#VALUE!</v>
      </c>
      <c r="IG143" t="e">
        <f>AND('Planilla_General_29-11-2012_10_'!H2153,"AAAAAFZ78/A=")</f>
        <v>#VALUE!</v>
      </c>
      <c r="IH143" t="e">
        <f>AND('Planilla_General_29-11-2012_10_'!I2153,"AAAAAFZ78/E=")</f>
        <v>#VALUE!</v>
      </c>
      <c r="II143" t="e">
        <f>AND('Planilla_General_29-11-2012_10_'!J2153,"AAAAAFZ78/I=")</f>
        <v>#VALUE!</v>
      </c>
      <c r="IJ143" t="e">
        <f>AND('Planilla_General_29-11-2012_10_'!K2153,"AAAAAFZ78/M=")</f>
        <v>#VALUE!</v>
      </c>
      <c r="IK143" t="e">
        <f>AND('Planilla_General_29-11-2012_10_'!L2153,"AAAAAFZ78/Q=")</f>
        <v>#VALUE!</v>
      </c>
      <c r="IL143" t="e">
        <f>AND('Planilla_General_29-11-2012_10_'!M2153,"AAAAAFZ78/U=")</f>
        <v>#VALUE!</v>
      </c>
      <c r="IM143" t="e">
        <f>AND('Planilla_General_29-11-2012_10_'!N2153,"AAAAAFZ78/Y=")</f>
        <v>#VALUE!</v>
      </c>
      <c r="IN143" t="e">
        <f>AND('Planilla_General_29-11-2012_10_'!O2153,"AAAAAFZ78/c=")</f>
        <v>#VALUE!</v>
      </c>
      <c r="IO143" t="e">
        <f>AND('Planilla_General_29-11-2012_10_'!P2153,"AAAAAFZ78/g=")</f>
        <v>#VALUE!</v>
      </c>
      <c r="IP143">
        <f>IF('Planilla_General_29-11-2012_10_'!2154:2154,"AAAAAFZ78/k=",0)</f>
        <v>0</v>
      </c>
      <c r="IQ143" t="e">
        <f>AND('Planilla_General_29-11-2012_10_'!A2154,"AAAAAFZ78/o=")</f>
        <v>#VALUE!</v>
      </c>
      <c r="IR143" t="e">
        <f>AND('Planilla_General_29-11-2012_10_'!B2154,"AAAAAFZ78/s=")</f>
        <v>#VALUE!</v>
      </c>
      <c r="IS143" t="e">
        <f>AND('Planilla_General_29-11-2012_10_'!C2154,"AAAAAFZ78/w=")</f>
        <v>#VALUE!</v>
      </c>
      <c r="IT143" t="e">
        <f>AND('Planilla_General_29-11-2012_10_'!D2154,"AAAAAFZ78/0=")</f>
        <v>#VALUE!</v>
      </c>
      <c r="IU143" t="e">
        <f>AND('Planilla_General_29-11-2012_10_'!E2154,"AAAAAFZ78/4=")</f>
        <v>#VALUE!</v>
      </c>
      <c r="IV143" t="e">
        <f>AND('Planilla_General_29-11-2012_10_'!F2154,"AAAAAFZ78/8=")</f>
        <v>#VALUE!</v>
      </c>
    </row>
    <row r="144" spans="1:256" x14ac:dyDescent="0.25">
      <c r="A144" t="e">
        <f>AND('Planilla_General_29-11-2012_10_'!G2154,"AAAAAHP/7wA=")</f>
        <v>#VALUE!</v>
      </c>
      <c r="B144" t="e">
        <f>AND('Planilla_General_29-11-2012_10_'!H2154,"AAAAAHP/7wE=")</f>
        <v>#VALUE!</v>
      </c>
      <c r="C144" t="e">
        <f>AND('Planilla_General_29-11-2012_10_'!I2154,"AAAAAHP/7wI=")</f>
        <v>#VALUE!</v>
      </c>
      <c r="D144" t="e">
        <f>AND('Planilla_General_29-11-2012_10_'!J2154,"AAAAAHP/7wM=")</f>
        <v>#VALUE!</v>
      </c>
      <c r="E144" t="e">
        <f>AND('Planilla_General_29-11-2012_10_'!K2154,"AAAAAHP/7wQ=")</f>
        <v>#VALUE!</v>
      </c>
      <c r="F144" t="e">
        <f>AND('Planilla_General_29-11-2012_10_'!L2154,"AAAAAHP/7wU=")</f>
        <v>#VALUE!</v>
      </c>
      <c r="G144" t="e">
        <f>AND('Planilla_General_29-11-2012_10_'!M2154,"AAAAAHP/7wY=")</f>
        <v>#VALUE!</v>
      </c>
      <c r="H144" t="e">
        <f>AND('Planilla_General_29-11-2012_10_'!N2154,"AAAAAHP/7wc=")</f>
        <v>#VALUE!</v>
      </c>
      <c r="I144" t="e">
        <f>AND('Planilla_General_29-11-2012_10_'!O2154,"AAAAAHP/7wg=")</f>
        <v>#VALUE!</v>
      </c>
      <c r="J144" t="e">
        <f>AND('Planilla_General_29-11-2012_10_'!P2154,"AAAAAHP/7wk=")</f>
        <v>#VALUE!</v>
      </c>
      <c r="K144" t="str">
        <f>IF('Planilla_General_29-11-2012_10_'!2155:2155,"AAAAAHP/7wo=",0)</f>
        <v>AAAAAHP/7wo=</v>
      </c>
      <c r="L144" t="e">
        <f>AND('Planilla_General_29-11-2012_10_'!A2155,"AAAAAHP/7ws=")</f>
        <v>#VALUE!</v>
      </c>
      <c r="M144" t="e">
        <f>AND('Planilla_General_29-11-2012_10_'!B2155,"AAAAAHP/7ww=")</f>
        <v>#VALUE!</v>
      </c>
      <c r="N144" t="e">
        <f>AND('Planilla_General_29-11-2012_10_'!C2155,"AAAAAHP/7w0=")</f>
        <v>#VALUE!</v>
      </c>
      <c r="O144" t="e">
        <f>AND('Planilla_General_29-11-2012_10_'!D2155,"AAAAAHP/7w4=")</f>
        <v>#VALUE!</v>
      </c>
      <c r="P144" t="e">
        <f>AND('Planilla_General_29-11-2012_10_'!E2155,"AAAAAHP/7w8=")</f>
        <v>#VALUE!</v>
      </c>
      <c r="Q144" t="e">
        <f>AND('Planilla_General_29-11-2012_10_'!F2155,"AAAAAHP/7xA=")</f>
        <v>#VALUE!</v>
      </c>
      <c r="R144" t="e">
        <f>AND('Planilla_General_29-11-2012_10_'!G2155,"AAAAAHP/7xE=")</f>
        <v>#VALUE!</v>
      </c>
      <c r="S144" t="e">
        <f>AND('Planilla_General_29-11-2012_10_'!H2155,"AAAAAHP/7xI=")</f>
        <v>#VALUE!</v>
      </c>
      <c r="T144" t="e">
        <f>AND('Planilla_General_29-11-2012_10_'!I2155,"AAAAAHP/7xM=")</f>
        <v>#VALUE!</v>
      </c>
      <c r="U144" t="e">
        <f>AND('Planilla_General_29-11-2012_10_'!J2155,"AAAAAHP/7xQ=")</f>
        <v>#VALUE!</v>
      </c>
      <c r="V144" t="e">
        <f>AND('Planilla_General_29-11-2012_10_'!K2155,"AAAAAHP/7xU=")</f>
        <v>#VALUE!</v>
      </c>
      <c r="W144" t="e">
        <f>AND('Planilla_General_29-11-2012_10_'!L2155,"AAAAAHP/7xY=")</f>
        <v>#VALUE!</v>
      </c>
      <c r="X144" t="e">
        <f>AND('Planilla_General_29-11-2012_10_'!M2155,"AAAAAHP/7xc=")</f>
        <v>#VALUE!</v>
      </c>
      <c r="Y144" t="e">
        <f>AND('Planilla_General_29-11-2012_10_'!N2155,"AAAAAHP/7xg=")</f>
        <v>#VALUE!</v>
      </c>
      <c r="Z144" t="e">
        <f>AND('Planilla_General_29-11-2012_10_'!O2155,"AAAAAHP/7xk=")</f>
        <v>#VALUE!</v>
      </c>
      <c r="AA144" t="e">
        <f>AND('Planilla_General_29-11-2012_10_'!P2155,"AAAAAHP/7xo=")</f>
        <v>#VALUE!</v>
      </c>
      <c r="AB144">
        <f>IF('Planilla_General_29-11-2012_10_'!2156:2156,"AAAAAHP/7xs=",0)</f>
        <v>0</v>
      </c>
      <c r="AC144" t="e">
        <f>AND('Planilla_General_29-11-2012_10_'!A2156,"AAAAAHP/7xw=")</f>
        <v>#VALUE!</v>
      </c>
      <c r="AD144" t="e">
        <f>AND('Planilla_General_29-11-2012_10_'!B2156,"AAAAAHP/7x0=")</f>
        <v>#VALUE!</v>
      </c>
      <c r="AE144" t="e">
        <f>AND('Planilla_General_29-11-2012_10_'!C2156,"AAAAAHP/7x4=")</f>
        <v>#VALUE!</v>
      </c>
      <c r="AF144" t="e">
        <f>AND('Planilla_General_29-11-2012_10_'!D2156,"AAAAAHP/7x8=")</f>
        <v>#VALUE!</v>
      </c>
      <c r="AG144" t="e">
        <f>AND('Planilla_General_29-11-2012_10_'!E2156,"AAAAAHP/7yA=")</f>
        <v>#VALUE!</v>
      </c>
      <c r="AH144" t="e">
        <f>AND('Planilla_General_29-11-2012_10_'!F2156,"AAAAAHP/7yE=")</f>
        <v>#VALUE!</v>
      </c>
      <c r="AI144" t="e">
        <f>AND('Planilla_General_29-11-2012_10_'!G2156,"AAAAAHP/7yI=")</f>
        <v>#VALUE!</v>
      </c>
      <c r="AJ144" t="e">
        <f>AND('Planilla_General_29-11-2012_10_'!H2156,"AAAAAHP/7yM=")</f>
        <v>#VALUE!</v>
      </c>
      <c r="AK144" t="e">
        <f>AND('Planilla_General_29-11-2012_10_'!I2156,"AAAAAHP/7yQ=")</f>
        <v>#VALUE!</v>
      </c>
      <c r="AL144" t="e">
        <f>AND('Planilla_General_29-11-2012_10_'!J2156,"AAAAAHP/7yU=")</f>
        <v>#VALUE!</v>
      </c>
      <c r="AM144" t="e">
        <f>AND('Planilla_General_29-11-2012_10_'!K2156,"AAAAAHP/7yY=")</f>
        <v>#VALUE!</v>
      </c>
      <c r="AN144" t="e">
        <f>AND('Planilla_General_29-11-2012_10_'!L2156,"AAAAAHP/7yc=")</f>
        <v>#VALUE!</v>
      </c>
      <c r="AO144" t="e">
        <f>AND('Planilla_General_29-11-2012_10_'!M2156,"AAAAAHP/7yg=")</f>
        <v>#VALUE!</v>
      </c>
      <c r="AP144" t="e">
        <f>AND('Planilla_General_29-11-2012_10_'!N2156,"AAAAAHP/7yk=")</f>
        <v>#VALUE!</v>
      </c>
      <c r="AQ144" t="e">
        <f>AND('Planilla_General_29-11-2012_10_'!O2156,"AAAAAHP/7yo=")</f>
        <v>#VALUE!</v>
      </c>
      <c r="AR144" t="e">
        <f>AND('Planilla_General_29-11-2012_10_'!P2156,"AAAAAHP/7ys=")</f>
        <v>#VALUE!</v>
      </c>
      <c r="AS144">
        <f>IF('Planilla_General_29-11-2012_10_'!2157:2157,"AAAAAHP/7yw=",0)</f>
        <v>0</v>
      </c>
      <c r="AT144" t="e">
        <f>AND('Planilla_General_29-11-2012_10_'!A2157,"AAAAAHP/7y0=")</f>
        <v>#VALUE!</v>
      </c>
      <c r="AU144" t="e">
        <f>AND('Planilla_General_29-11-2012_10_'!B2157,"AAAAAHP/7y4=")</f>
        <v>#VALUE!</v>
      </c>
      <c r="AV144" t="e">
        <f>AND('Planilla_General_29-11-2012_10_'!C2157,"AAAAAHP/7y8=")</f>
        <v>#VALUE!</v>
      </c>
      <c r="AW144" t="e">
        <f>AND('Planilla_General_29-11-2012_10_'!D2157,"AAAAAHP/7zA=")</f>
        <v>#VALUE!</v>
      </c>
      <c r="AX144" t="e">
        <f>AND('Planilla_General_29-11-2012_10_'!E2157,"AAAAAHP/7zE=")</f>
        <v>#VALUE!</v>
      </c>
      <c r="AY144" t="e">
        <f>AND('Planilla_General_29-11-2012_10_'!F2157,"AAAAAHP/7zI=")</f>
        <v>#VALUE!</v>
      </c>
      <c r="AZ144" t="e">
        <f>AND('Planilla_General_29-11-2012_10_'!G2157,"AAAAAHP/7zM=")</f>
        <v>#VALUE!</v>
      </c>
      <c r="BA144" t="e">
        <f>AND('Planilla_General_29-11-2012_10_'!H2157,"AAAAAHP/7zQ=")</f>
        <v>#VALUE!</v>
      </c>
      <c r="BB144" t="e">
        <f>AND('Planilla_General_29-11-2012_10_'!I2157,"AAAAAHP/7zU=")</f>
        <v>#VALUE!</v>
      </c>
      <c r="BC144" t="e">
        <f>AND('Planilla_General_29-11-2012_10_'!J2157,"AAAAAHP/7zY=")</f>
        <v>#VALUE!</v>
      </c>
      <c r="BD144" t="e">
        <f>AND('Planilla_General_29-11-2012_10_'!K2157,"AAAAAHP/7zc=")</f>
        <v>#VALUE!</v>
      </c>
      <c r="BE144" t="e">
        <f>AND('Planilla_General_29-11-2012_10_'!L2157,"AAAAAHP/7zg=")</f>
        <v>#VALUE!</v>
      </c>
      <c r="BF144" t="e">
        <f>AND('Planilla_General_29-11-2012_10_'!M2157,"AAAAAHP/7zk=")</f>
        <v>#VALUE!</v>
      </c>
      <c r="BG144" t="e">
        <f>AND('Planilla_General_29-11-2012_10_'!N2157,"AAAAAHP/7zo=")</f>
        <v>#VALUE!</v>
      </c>
      <c r="BH144" t="e">
        <f>AND('Planilla_General_29-11-2012_10_'!O2157,"AAAAAHP/7zs=")</f>
        <v>#VALUE!</v>
      </c>
      <c r="BI144" t="e">
        <f>AND('Planilla_General_29-11-2012_10_'!P2157,"AAAAAHP/7zw=")</f>
        <v>#VALUE!</v>
      </c>
      <c r="BJ144">
        <f>IF('Planilla_General_29-11-2012_10_'!2158:2158,"AAAAAHP/7z0=",0)</f>
        <v>0</v>
      </c>
      <c r="BK144" t="e">
        <f>AND('Planilla_General_29-11-2012_10_'!A2158,"AAAAAHP/7z4=")</f>
        <v>#VALUE!</v>
      </c>
      <c r="BL144" t="e">
        <f>AND('Planilla_General_29-11-2012_10_'!B2158,"AAAAAHP/7z8=")</f>
        <v>#VALUE!</v>
      </c>
      <c r="BM144" t="e">
        <f>AND('Planilla_General_29-11-2012_10_'!C2158,"AAAAAHP/70A=")</f>
        <v>#VALUE!</v>
      </c>
      <c r="BN144" t="e">
        <f>AND('Planilla_General_29-11-2012_10_'!D2158,"AAAAAHP/70E=")</f>
        <v>#VALUE!</v>
      </c>
      <c r="BO144" t="e">
        <f>AND('Planilla_General_29-11-2012_10_'!E2158,"AAAAAHP/70I=")</f>
        <v>#VALUE!</v>
      </c>
      <c r="BP144" t="e">
        <f>AND('Planilla_General_29-11-2012_10_'!F2158,"AAAAAHP/70M=")</f>
        <v>#VALUE!</v>
      </c>
      <c r="BQ144" t="e">
        <f>AND('Planilla_General_29-11-2012_10_'!G2158,"AAAAAHP/70Q=")</f>
        <v>#VALUE!</v>
      </c>
      <c r="BR144" t="e">
        <f>AND('Planilla_General_29-11-2012_10_'!H2158,"AAAAAHP/70U=")</f>
        <v>#VALUE!</v>
      </c>
      <c r="BS144" t="e">
        <f>AND('Planilla_General_29-11-2012_10_'!I2158,"AAAAAHP/70Y=")</f>
        <v>#VALUE!</v>
      </c>
      <c r="BT144" t="e">
        <f>AND('Planilla_General_29-11-2012_10_'!J2158,"AAAAAHP/70c=")</f>
        <v>#VALUE!</v>
      </c>
      <c r="BU144" t="e">
        <f>AND('Planilla_General_29-11-2012_10_'!K2158,"AAAAAHP/70g=")</f>
        <v>#VALUE!</v>
      </c>
      <c r="BV144" t="e">
        <f>AND('Planilla_General_29-11-2012_10_'!L2158,"AAAAAHP/70k=")</f>
        <v>#VALUE!</v>
      </c>
      <c r="BW144" t="e">
        <f>AND('Planilla_General_29-11-2012_10_'!M2158,"AAAAAHP/70o=")</f>
        <v>#VALUE!</v>
      </c>
      <c r="BX144" t="e">
        <f>AND('Planilla_General_29-11-2012_10_'!N2158,"AAAAAHP/70s=")</f>
        <v>#VALUE!</v>
      </c>
      <c r="BY144" t="e">
        <f>AND('Planilla_General_29-11-2012_10_'!O2158,"AAAAAHP/70w=")</f>
        <v>#VALUE!</v>
      </c>
      <c r="BZ144" t="e">
        <f>AND('Planilla_General_29-11-2012_10_'!P2158,"AAAAAHP/700=")</f>
        <v>#VALUE!</v>
      </c>
      <c r="CA144">
        <f>IF('Planilla_General_29-11-2012_10_'!2159:2159,"AAAAAHP/704=",0)</f>
        <v>0</v>
      </c>
      <c r="CB144" t="e">
        <f>AND('Planilla_General_29-11-2012_10_'!A2159,"AAAAAHP/708=")</f>
        <v>#VALUE!</v>
      </c>
      <c r="CC144" t="e">
        <f>AND('Planilla_General_29-11-2012_10_'!B2159,"AAAAAHP/71A=")</f>
        <v>#VALUE!</v>
      </c>
      <c r="CD144" t="e">
        <f>AND('Planilla_General_29-11-2012_10_'!C2159,"AAAAAHP/71E=")</f>
        <v>#VALUE!</v>
      </c>
      <c r="CE144" t="e">
        <f>AND('Planilla_General_29-11-2012_10_'!D2159,"AAAAAHP/71I=")</f>
        <v>#VALUE!</v>
      </c>
      <c r="CF144" t="e">
        <f>AND('Planilla_General_29-11-2012_10_'!E2159,"AAAAAHP/71M=")</f>
        <v>#VALUE!</v>
      </c>
      <c r="CG144" t="e">
        <f>AND('Planilla_General_29-11-2012_10_'!F2159,"AAAAAHP/71Q=")</f>
        <v>#VALUE!</v>
      </c>
      <c r="CH144" t="e">
        <f>AND('Planilla_General_29-11-2012_10_'!G2159,"AAAAAHP/71U=")</f>
        <v>#VALUE!</v>
      </c>
      <c r="CI144" t="e">
        <f>AND('Planilla_General_29-11-2012_10_'!H2159,"AAAAAHP/71Y=")</f>
        <v>#VALUE!</v>
      </c>
      <c r="CJ144" t="e">
        <f>AND('Planilla_General_29-11-2012_10_'!I2159,"AAAAAHP/71c=")</f>
        <v>#VALUE!</v>
      </c>
      <c r="CK144" t="e">
        <f>AND('Planilla_General_29-11-2012_10_'!J2159,"AAAAAHP/71g=")</f>
        <v>#VALUE!</v>
      </c>
      <c r="CL144" t="e">
        <f>AND('Planilla_General_29-11-2012_10_'!K2159,"AAAAAHP/71k=")</f>
        <v>#VALUE!</v>
      </c>
      <c r="CM144" t="e">
        <f>AND('Planilla_General_29-11-2012_10_'!L2159,"AAAAAHP/71o=")</f>
        <v>#VALUE!</v>
      </c>
      <c r="CN144" t="e">
        <f>AND('Planilla_General_29-11-2012_10_'!M2159,"AAAAAHP/71s=")</f>
        <v>#VALUE!</v>
      </c>
      <c r="CO144" t="e">
        <f>AND('Planilla_General_29-11-2012_10_'!N2159,"AAAAAHP/71w=")</f>
        <v>#VALUE!</v>
      </c>
      <c r="CP144" t="e">
        <f>AND('Planilla_General_29-11-2012_10_'!O2159,"AAAAAHP/710=")</f>
        <v>#VALUE!</v>
      </c>
      <c r="CQ144" t="e">
        <f>AND('Planilla_General_29-11-2012_10_'!P2159,"AAAAAHP/714=")</f>
        <v>#VALUE!</v>
      </c>
      <c r="CR144">
        <f>IF('Planilla_General_29-11-2012_10_'!2160:2160,"AAAAAHP/718=",0)</f>
        <v>0</v>
      </c>
      <c r="CS144" t="e">
        <f>AND('Planilla_General_29-11-2012_10_'!A2160,"AAAAAHP/72A=")</f>
        <v>#VALUE!</v>
      </c>
      <c r="CT144" t="e">
        <f>AND('Planilla_General_29-11-2012_10_'!B2160,"AAAAAHP/72E=")</f>
        <v>#VALUE!</v>
      </c>
      <c r="CU144" t="e">
        <f>AND('Planilla_General_29-11-2012_10_'!C2160,"AAAAAHP/72I=")</f>
        <v>#VALUE!</v>
      </c>
      <c r="CV144" t="e">
        <f>AND('Planilla_General_29-11-2012_10_'!D2160,"AAAAAHP/72M=")</f>
        <v>#VALUE!</v>
      </c>
      <c r="CW144" t="e">
        <f>AND('Planilla_General_29-11-2012_10_'!E2160,"AAAAAHP/72Q=")</f>
        <v>#VALUE!</v>
      </c>
      <c r="CX144" t="e">
        <f>AND('Planilla_General_29-11-2012_10_'!F2160,"AAAAAHP/72U=")</f>
        <v>#VALUE!</v>
      </c>
      <c r="CY144" t="e">
        <f>AND('Planilla_General_29-11-2012_10_'!G2160,"AAAAAHP/72Y=")</f>
        <v>#VALUE!</v>
      </c>
      <c r="CZ144" t="e">
        <f>AND('Planilla_General_29-11-2012_10_'!H2160,"AAAAAHP/72c=")</f>
        <v>#VALUE!</v>
      </c>
      <c r="DA144" t="e">
        <f>AND('Planilla_General_29-11-2012_10_'!I2160,"AAAAAHP/72g=")</f>
        <v>#VALUE!</v>
      </c>
      <c r="DB144" t="e">
        <f>AND('Planilla_General_29-11-2012_10_'!J2160,"AAAAAHP/72k=")</f>
        <v>#VALUE!</v>
      </c>
      <c r="DC144" t="e">
        <f>AND('Planilla_General_29-11-2012_10_'!K2160,"AAAAAHP/72o=")</f>
        <v>#VALUE!</v>
      </c>
      <c r="DD144" t="e">
        <f>AND('Planilla_General_29-11-2012_10_'!L2160,"AAAAAHP/72s=")</f>
        <v>#VALUE!</v>
      </c>
      <c r="DE144" t="e">
        <f>AND('Planilla_General_29-11-2012_10_'!M2160,"AAAAAHP/72w=")</f>
        <v>#VALUE!</v>
      </c>
      <c r="DF144" t="e">
        <f>AND('Planilla_General_29-11-2012_10_'!N2160,"AAAAAHP/720=")</f>
        <v>#VALUE!</v>
      </c>
      <c r="DG144" t="e">
        <f>AND('Planilla_General_29-11-2012_10_'!O2160,"AAAAAHP/724=")</f>
        <v>#VALUE!</v>
      </c>
      <c r="DH144" t="e">
        <f>AND('Planilla_General_29-11-2012_10_'!P2160,"AAAAAHP/728=")</f>
        <v>#VALUE!</v>
      </c>
      <c r="DI144">
        <f>IF('Planilla_General_29-11-2012_10_'!2161:2161,"AAAAAHP/73A=",0)</f>
        <v>0</v>
      </c>
      <c r="DJ144" t="e">
        <f>AND('Planilla_General_29-11-2012_10_'!A2161,"AAAAAHP/73E=")</f>
        <v>#VALUE!</v>
      </c>
      <c r="DK144" t="e">
        <f>AND('Planilla_General_29-11-2012_10_'!B2161,"AAAAAHP/73I=")</f>
        <v>#VALUE!</v>
      </c>
      <c r="DL144" t="e">
        <f>AND('Planilla_General_29-11-2012_10_'!C2161,"AAAAAHP/73M=")</f>
        <v>#VALUE!</v>
      </c>
      <c r="DM144" t="e">
        <f>AND('Planilla_General_29-11-2012_10_'!D2161,"AAAAAHP/73Q=")</f>
        <v>#VALUE!</v>
      </c>
      <c r="DN144" t="e">
        <f>AND('Planilla_General_29-11-2012_10_'!E2161,"AAAAAHP/73U=")</f>
        <v>#VALUE!</v>
      </c>
      <c r="DO144" t="e">
        <f>AND('Planilla_General_29-11-2012_10_'!F2161,"AAAAAHP/73Y=")</f>
        <v>#VALUE!</v>
      </c>
      <c r="DP144" t="e">
        <f>AND('Planilla_General_29-11-2012_10_'!G2161,"AAAAAHP/73c=")</f>
        <v>#VALUE!</v>
      </c>
      <c r="DQ144" t="e">
        <f>AND('Planilla_General_29-11-2012_10_'!H2161,"AAAAAHP/73g=")</f>
        <v>#VALUE!</v>
      </c>
      <c r="DR144" t="e">
        <f>AND('Planilla_General_29-11-2012_10_'!I2161,"AAAAAHP/73k=")</f>
        <v>#VALUE!</v>
      </c>
      <c r="DS144" t="e">
        <f>AND('Planilla_General_29-11-2012_10_'!J2161,"AAAAAHP/73o=")</f>
        <v>#VALUE!</v>
      </c>
      <c r="DT144" t="e">
        <f>AND('Planilla_General_29-11-2012_10_'!K2161,"AAAAAHP/73s=")</f>
        <v>#VALUE!</v>
      </c>
      <c r="DU144" t="e">
        <f>AND('Planilla_General_29-11-2012_10_'!L2161,"AAAAAHP/73w=")</f>
        <v>#VALUE!</v>
      </c>
      <c r="DV144" t="e">
        <f>AND('Planilla_General_29-11-2012_10_'!M2161,"AAAAAHP/730=")</f>
        <v>#VALUE!</v>
      </c>
      <c r="DW144" t="e">
        <f>AND('Planilla_General_29-11-2012_10_'!N2161,"AAAAAHP/734=")</f>
        <v>#VALUE!</v>
      </c>
      <c r="DX144" t="e">
        <f>AND('Planilla_General_29-11-2012_10_'!O2161,"AAAAAHP/738=")</f>
        <v>#VALUE!</v>
      </c>
      <c r="DY144" t="e">
        <f>AND('Planilla_General_29-11-2012_10_'!P2161,"AAAAAHP/74A=")</f>
        <v>#VALUE!</v>
      </c>
      <c r="DZ144">
        <f>IF('Planilla_General_29-11-2012_10_'!2162:2162,"AAAAAHP/74E=",0)</f>
        <v>0</v>
      </c>
      <c r="EA144" t="e">
        <f>AND('Planilla_General_29-11-2012_10_'!A2162,"AAAAAHP/74I=")</f>
        <v>#VALUE!</v>
      </c>
      <c r="EB144" t="e">
        <f>AND('Planilla_General_29-11-2012_10_'!B2162,"AAAAAHP/74M=")</f>
        <v>#VALUE!</v>
      </c>
      <c r="EC144" t="e">
        <f>AND('Planilla_General_29-11-2012_10_'!C2162,"AAAAAHP/74Q=")</f>
        <v>#VALUE!</v>
      </c>
      <c r="ED144" t="e">
        <f>AND('Planilla_General_29-11-2012_10_'!D2162,"AAAAAHP/74U=")</f>
        <v>#VALUE!</v>
      </c>
      <c r="EE144" t="e">
        <f>AND('Planilla_General_29-11-2012_10_'!E2162,"AAAAAHP/74Y=")</f>
        <v>#VALUE!</v>
      </c>
      <c r="EF144" t="e">
        <f>AND('Planilla_General_29-11-2012_10_'!F2162,"AAAAAHP/74c=")</f>
        <v>#VALUE!</v>
      </c>
      <c r="EG144" t="e">
        <f>AND('Planilla_General_29-11-2012_10_'!G2162,"AAAAAHP/74g=")</f>
        <v>#VALUE!</v>
      </c>
      <c r="EH144" t="e">
        <f>AND('Planilla_General_29-11-2012_10_'!H2162,"AAAAAHP/74k=")</f>
        <v>#VALUE!</v>
      </c>
      <c r="EI144" t="e">
        <f>AND('Planilla_General_29-11-2012_10_'!I2162,"AAAAAHP/74o=")</f>
        <v>#VALUE!</v>
      </c>
      <c r="EJ144" t="e">
        <f>AND('Planilla_General_29-11-2012_10_'!J2162,"AAAAAHP/74s=")</f>
        <v>#VALUE!</v>
      </c>
      <c r="EK144" t="e">
        <f>AND('Planilla_General_29-11-2012_10_'!K2162,"AAAAAHP/74w=")</f>
        <v>#VALUE!</v>
      </c>
      <c r="EL144" t="e">
        <f>AND('Planilla_General_29-11-2012_10_'!L2162,"AAAAAHP/740=")</f>
        <v>#VALUE!</v>
      </c>
      <c r="EM144" t="e">
        <f>AND('Planilla_General_29-11-2012_10_'!M2162,"AAAAAHP/744=")</f>
        <v>#VALUE!</v>
      </c>
      <c r="EN144" t="e">
        <f>AND('Planilla_General_29-11-2012_10_'!N2162,"AAAAAHP/748=")</f>
        <v>#VALUE!</v>
      </c>
      <c r="EO144" t="e">
        <f>AND('Planilla_General_29-11-2012_10_'!O2162,"AAAAAHP/75A=")</f>
        <v>#VALUE!</v>
      </c>
      <c r="EP144" t="e">
        <f>AND('Planilla_General_29-11-2012_10_'!P2162,"AAAAAHP/75E=")</f>
        <v>#VALUE!</v>
      </c>
      <c r="EQ144">
        <f>IF('Planilla_General_29-11-2012_10_'!2163:2163,"AAAAAHP/75I=",0)</f>
        <v>0</v>
      </c>
      <c r="ER144" t="e">
        <f>AND('Planilla_General_29-11-2012_10_'!A2163,"AAAAAHP/75M=")</f>
        <v>#VALUE!</v>
      </c>
      <c r="ES144" t="e">
        <f>AND('Planilla_General_29-11-2012_10_'!B2163,"AAAAAHP/75Q=")</f>
        <v>#VALUE!</v>
      </c>
      <c r="ET144" t="e">
        <f>AND('Planilla_General_29-11-2012_10_'!C2163,"AAAAAHP/75U=")</f>
        <v>#VALUE!</v>
      </c>
      <c r="EU144" t="e">
        <f>AND('Planilla_General_29-11-2012_10_'!D2163,"AAAAAHP/75Y=")</f>
        <v>#VALUE!</v>
      </c>
      <c r="EV144" t="e">
        <f>AND('Planilla_General_29-11-2012_10_'!E2163,"AAAAAHP/75c=")</f>
        <v>#VALUE!</v>
      </c>
      <c r="EW144" t="e">
        <f>AND('Planilla_General_29-11-2012_10_'!F2163,"AAAAAHP/75g=")</f>
        <v>#VALUE!</v>
      </c>
      <c r="EX144" t="e">
        <f>AND('Planilla_General_29-11-2012_10_'!G2163,"AAAAAHP/75k=")</f>
        <v>#VALUE!</v>
      </c>
      <c r="EY144" t="e">
        <f>AND('Planilla_General_29-11-2012_10_'!H2163,"AAAAAHP/75o=")</f>
        <v>#VALUE!</v>
      </c>
      <c r="EZ144" t="e">
        <f>AND('Planilla_General_29-11-2012_10_'!I2163,"AAAAAHP/75s=")</f>
        <v>#VALUE!</v>
      </c>
      <c r="FA144" t="e">
        <f>AND('Planilla_General_29-11-2012_10_'!J2163,"AAAAAHP/75w=")</f>
        <v>#VALUE!</v>
      </c>
      <c r="FB144" t="e">
        <f>AND('Planilla_General_29-11-2012_10_'!K2163,"AAAAAHP/750=")</f>
        <v>#VALUE!</v>
      </c>
      <c r="FC144" t="e">
        <f>AND('Planilla_General_29-11-2012_10_'!L2163,"AAAAAHP/754=")</f>
        <v>#VALUE!</v>
      </c>
      <c r="FD144" t="e">
        <f>AND('Planilla_General_29-11-2012_10_'!M2163,"AAAAAHP/758=")</f>
        <v>#VALUE!</v>
      </c>
      <c r="FE144" t="e">
        <f>AND('Planilla_General_29-11-2012_10_'!N2163,"AAAAAHP/76A=")</f>
        <v>#VALUE!</v>
      </c>
      <c r="FF144" t="e">
        <f>AND('Planilla_General_29-11-2012_10_'!O2163,"AAAAAHP/76E=")</f>
        <v>#VALUE!</v>
      </c>
      <c r="FG144" t="e">
        <f>AND('Planilla_General_29-11-2012_10_'!P2163,"AAAAAHP/76I=")</f>
        <v>#VALUE!</v>
      </c>
      <c r="FH144">
        <f>IF('Planilla_General_29-11-2012_10_'!2164:2164,"AAAAAHP/76M=",0)</f>
        <v>0</v>
      </c>
      <c r="FI144" t="e">
        <f>AND('Planilla_General_29-11-2012_10_'!A2164,"AAAAAHP/76Q=")</f>
        <v>#VALUE!</v>
      </c>
      <c r="FJ144" t="e">
        <f>AND('Planilla_General_29-11-2012_10_'!B2164,"AAAAAHP/76U=")</f>
        <v>#VALUE!</v>
      </c>
      <c r="FK144" t="e">
        <f>AND('Planilla_General_29-11-2012_10_'!C2164,"AAAAAHP/76Y=")</f>
        <v>#VALUE!</v>
      </c>
      <c r="FL144" t="e">
        <f>AND('Planilla_General_29-11-2012_10_'!D2164,"AAAAAHP/76c=")</f>
        <v>#VALUE!</v>
      </c>
      <c r="FM144" t="e">
        <f>AND('Planilla_General_29-11-2012_10_'!E2164,"AAAAAHP/76g=")</f>
        <v>#VALUE!</v>
      </c>
      <c r="FN144" t="e">
        <f>AND('Planilla_General_29-11-2012_10_'!F2164,"AAAAAHP/76k=")</f>
        <v>#VALUE!</v>
      </c>
      <c r="FO144" t="e">
        <f>AND('Planilla_General_29-11-2012_10_'!G2164,"AAAAAHP/76o=")</f>
        <v>#VALUE!</v>
      </c>
      <c r="FP144" t="e">
        <f>AND('Planilla_General_29-11-2012_10_'!H2164,"AAAAAHP/76s=")</f>
        <v>#VALUE!</v>
      </c>
      <c r="FQ144" t="e">
        <f>AND('Planilla_General_29-11-2012_10_'!I2164,"AAAAAHP/76w=")</f>
        <v>#VALUE!</v>
      </c>
      <c r="FR144" t="e">
        <f>AND('Planilla_General_29-11-2012_10_'!J2164,"AAAAAHP/760=")</f>
        <v>#VALUE!</v>
      </c>
      <c r="FS144" t="e">
        <f>AND('Planilla_General_29-11-2012_10_'!K2164,"AAAAAHP/764=")</f>
        <v>#VALUE!</v>
      </c>
      <c r="FT144" t="e">
        <f>AND('Planilla_General_29-11-2012_10_'!L2164,"AAAAAHP/768=")</f>
        <v>#VALUE!</v>
      </c>
      <c r="FU144" t="e">
        <f>AND('Planilla_General_29-11-2012_10_'!M2164,"AAAAAHP/77A=")</f>
        <v>#VALUE!</v>
      </c>
      <c r="FV144" t="e">
        <f>AND('Planilla_General_29-11-2012_10_'!N2164,"AAAAAHP/77E=")</f>
        <v>#VALUE!</v>
      </c>
      <c r="FW144" t="e">
        <f>AND('Planilla_General_29-11-2012_10_'!O2164,"AAAAAHP/77I=")</f>
        <v>#VALUE!</v>
      </c>
      <c r="FX144" t="e">
        <f>AND('Planilla_General_29-11-2012_10_'!P2164,"AAAAAHP/77M=")</f>
        <v>#VALUE!</v>
      </c>
      <c r="FY144">
        <f>IF('Planilla_General_29-11-2012_10_'!2165:2165,"AAAAAHP/77Q=",0)</f>
        <v>0</v>
      </c>
      <c r="FZ144" t="e">
        <f>AND('Planilla_General_29-11-2012_10_'!A2165,"AAAAAHP/77U=")</f>
        <v>#VALUE!</v>
      </c>
      <c r="GA144" t="e">
        <f>AND('Planilla_General_29-11-2012_10_'!B2165,"AAAAAHP/77Y=")</f>
        <v>#VALUE!</v>
      </c>
      <c r="GB144" t="e">
        <f>AND('Planilla_General_29-11-2012_10_'!C2165,"AAAAAHP/77c=")</f>
        <v>#VALUE!</v>
      </c>
      <c r="GC144" t="e">
        <f>AND('Planilla_General_29-11-2012_10_'!D2165,"AAAAAHP/77g=")</f>
        <v>#VALUE!</v>
      </c>
      <c r="GD144" t="e">
        <f>AND('Planilla_General_29-11-2012_10_'!E2165,"AAAAAHP/77k=")</f>
        <v>#VALUE!</v>
      </c>
      <c r="GE144" t="e">
        <f>AND('Planilla_General_29-11-2012_10_'!F2165,"AAAAAHP/77o=")</f>
        <v>#VALUE!</v>
      </c>
      <c r="GF144" t="e">
        <f>AND('Planilla_General_29-11-2012_10_'!G2165,"AAAAAHP/77s=")</f>
        <v>#VALUE!</v>
      </c>
      <c r="GG144" t="e">
        <f>AND('Planilla_General_29-11-2012_10_'!H2165,"AAAAAHP/77w=")</f>
        <v>#VALUE!</v>
      </c>
      <c r="GH144" t="e">
        <f>AND('Planilla_General_29-11-2012_10_'!I2165,"AAAAAHP/770=")</f>
        <v>#VALUE!</v>
      </c>
      <c r="GI144" t="e">
        <f>AND('Planilla_General_29-11-2012_10_'!J2165,"AAAAAHP/774=")</f>
        <v>#VALUE!</v>
      </c>
      <c r="GJ144" t="e">
        <f>AND('Planilla_General_29-11-2012_10_'!K2165,"AAAAAHP/778=")</f>
        <v>#VALUE!</v>
      </c>
      <c r="GK144" t="e">
        <f>AND('Planilla_General_29-11-2012_10_'!L2165,"AAAAAHP/78A=")</f>
        <v>#VALUE!</v>
      </c>
      <c r="GL144" t="e">
        <f>AND('Planilla_General_29-11-2012_10_'!M2165,"AAAAAHP/78E=")</f>
        <v>#VALUE!</v>
      </c>
      <c r="GM144" t="e">
        <f>AND('Planilla_General_29-11-2012_10_'!N2165,"AAAAAHP/78I=")</f>
        <v>#VALUE!</v>
      </c>
      <c r="GN144" t="e">
        <f>AND('Planilla_General_29-11-2012_10_'!O2165,"AAAAAHP/78M=")</f>
        <v>#VALUE!</v>
      </c>
      <c r="GO144" t="e">
        <f>AND('Planilla_General_29-11-2012_10_'!P2165,"AAAAAHP/78Q=")</f>
        <v>#VALUE!</v>
      </c>
      <c r="GP144">
        <f>IF('Planilla_General_29-11-2012_10_'!2166:2166,"AAAAAHP/78U=",0)</f>
        <v>0</v>
      </c>
      <c r="GQ144" t="e">
        <f>AND('Planilla_General_29-11-2012_10_'!A2166,"AAAAAHP/78Y=")</f>
        <v>#VALUE!</v>
      </c>
      <c r="GR144" t="e">
        <f>AND('Planilla_General_29-11-2012_10_'!B2166,"AAAAAHP/78c=")</f>
        <v>#VALUE!</v>
      </c>
      <c r="GS144" t="e">
        <f>AND('Planilla_General_29-11-2012_10_'!C2166,"AAAAAHP/78g=")</f>
        <v>#VALUE!</v>
      </c>
      <c r="GT144" t="e">
        <f>AND('Planilla_General_29-11-2012_10_'!D2166,"AAAAAHP/78k=")</f>
        <v>#VALUE!</v>
      </c>
      <c r="GU144" t="e">
        <f>AND('Planilla_General_29-11-2012_10_'!E2166,"AAAAAHP/78o=")</f>
        <v>#VALUE!</v>
      </c>
      <c r="GV144" t="e">
        <f>AND('Planilla_General_29-11-2012_10_'!F2166,"AAAAAHP/78s=")</f>
        <v>#VALUE!</v>
      </c>
      <c r="GW144" t="e">
        <f>AND('Planilla_General_29-11-2012_10_'!G2166,"AAAAAHP/78w=")</f>
        <v>#VALUE!</v>
      </c>
      <c r="GX144" t="e">
        <f>AND('Planilla_General_29-11-2012_10_'!H2166,"AAAAAHP/780=")</f>
        <v>#VALUE!</v>
      </c>
      <c r="GY144" t="e">
        <f>AND('Planilla_General_29-11-2012_10_'!I2166,"AAAAAHP/784=")</f>
        <v>#VALUE!</v>
      </c>
      <c r="GZ144" t="e">
        <f>AND('Planilla_General_29-11-2012_10_'!J2166,"AAAAAHP/788=")</f>
        <v>#VALUE!</v>
      </c>
      <c r="HA144" t="e">
        <f>AND('Planilla_General_29-11-2012_10_'!K2166,"AAAAAHP/79A=")</f>
        <v>#VALUE!</v>
      </c>
      <c r="HB144" t="e">
        <f>AND('Planilla_General_29-11-2012_10_'!L2166,"AAAAAHP/79E=")</f>
        <v>#VALUE!</v>
      </c>
      <c r="HC144" t="e">
        <f>AND('Planilla_General_29-11-2012_10_'!M2166,"AAAAAHP/79I=")</f>
        <v>#VALUE!</v>
      </c>
      <c r="HD144" t="e">
        <f>AND('Planilla_General_29-11-2012_10_'!N2166,"AAAAAHP/79M=")</f>
        <v>#VALUE!</v>
      </c>
      <c r="HE144" t="e">
        <f>AND('Planilla_General_29-11-2012_10_'!O2166,"AAAAAHP/79Q=")</f>
        <v>#VALUE!</v>
      </c>
      <c r="HF144" t="e">
        <f>AND('Planilla_General_29-11-2012_10_'!P2166,"AAAAAHP/79U=")</f>
        <v>#VALUE!</v>
      </c>
      <c r="HG144">
        <f>IF('Planilla_General_29-11-2012_10_'!2167:2167,"AAAAAHP/79Y=",0)</f>
        <v>0</v>
      </c>
      <c r="HH144" t="e">
        <f>AND('Planilla_General_29-11-2012_10_'!A2167,"AAAAAHP/79c=")</f>
        <v>#VALUE!</v>
      </c>
      <c r="HI144" t="e">
        <f>AND('Planilla_General_29-11-2012_10_'!B2167,"AAAAAHP/79g=")</f>
        <v>#VALUE!</v>
      </c>
      <c r="HJ144" t="e">
        <f>AND('Planilla_General_29-11-2012_10_'!C2167,"AAAAAHP/79k=")</f>
        <v>#VALUE!</v>
      </c>
      <c r="HK144" t="e">
        <f>AND('Planilla_General_29-11-2012_10_'!D2167,"AAAAAHP/79o=")</f>
        <v>#VALUE!</v>
      </c>
      <c r="HL144" t="e">
        <f>AND('Planilla_General_29-11-2012_10_'!E2167,"AAAAAHP/79s=")</f>
        <v>#VALUE!</v>
      </c>
      <c r="HM144" t="e">
        <f>AND('Planilla_General_29-11-2012_10_'!F2167,"AAAAAHP/79w=")</f>
        <v>#VALUE!</v>
      </c>
      <c r="HN144" t="e">
        <f>AND('Planilla_General_29-11-2012_10_'!G2167,"AAAAAHP/790=")</f>
        <v>#VALUE!</v>
      </c>
      <c r="HO144" t="e">
        <f>AND('Planilla_General_29-11-2012_10_'!H2167,"AAAAAHP/794=")</f>
        <v>#VALUE!</v>
      </c>
      <c r="HP144" t="e">
        <f>AND('Planilla_General_29-11-2012_10_'!I2167,"AAAAAHP/798=")</f>
        <v>#VALUE!</v>
      </c>
      <c r="HQ144" t="e">
        <f>AND('Planilla_General_29-11-2012_10_'!J2167,"AAAAAHP/7+A=")</f>
        <v>#VALUE!</v>
      </c>
      <c r="HR144" t="e">
        <f>AND('Planilla_General_29-11-2012_10_'!K2167,"AAAAAHP/7+E=")</f>
        <v>#VALUE!</v>
      </c>
      <c r="HS144" t="e">
        <f>AND('Planilla_General_29-11-2012_10_'!L2167,"AAAAAHP/7+I=")</f>
        <v>#VALUE!</v>
      </c>
      <c r="HT144" t="e">
        <f>AND('Planilla_General_29-11-2012_10_'!M2167,"AAAAAHP/7+M=")</f>
        <v>#VALUE!</v>
      </c>
      <c r="HU144" t="e">
        <f>AND('Planilla_General_29-11-2012_10_'!N2167,"AAAAAHP/7+Q=")</f>
        <v>#VALUE!</v>
      </c>
      <c r="HV144" t="e">
        <f>AND('Planilla_General_29-11-2012_10_'!O2167,"AAAAAHP/7+U=")</f>
        <v>#VALUE!</v>
      </c>
      <c r="HW144" t="e">
        <f>AND('Planilla_General_29-11-2012_10_'!P2167,"AAAAAHP/7+Y=")</f>
        <v>#VALUE!</v>
      </c>
      <c r="HX144">
        <f>IF('Planilla_General_29-11-2012_10_'!2168:2168,"AAAAAHP/7+c=",0)</f>
        <v>0</v>
      </c>
      <c r="HY144" t="e">
        <f>AND('Planilla_General_29-11-2012_10_'!A2168,"AAAAAHP/7+g=")</f>
        <v>#VALUE!</v>
      </c>
      <c r="HZ144" t="e">
        <f>AND('Planilla_General_29-11-2012_10_'!B2168,"AAAAAHP/7+k=")</f>
        <v>#VALUE!</v>
      </c>
      <c r="IA144" t="e">
        <f>AND('Planilla_General_29-11-2012_10_'!C2168,"AAAAAHP/7+o=")</f>
        <v>#VALUE!</v>
      </c>
      <c r="IB144" t="e">
        <f>AND('Planilla_General_29-11-2012_10_'!D2168,"AAAAAHP/7+s=")</f>
        <v>#VALUE!</v>
      </c>
      <c r="IC144" t="e">
        <f>AND('Planilla_General_29-11-2012_10_'!E2168,"AAAAAHP/7+w=")</f>
        <v>#VALUE!</v>
      </c>
      <c r="ID144" t="e">
        <f>AND('Planilla_General_29-11-2012_10_'!F2168,"AAAAAHP/7+0=")</f>
        <v>#VALUE!</v>
      </c>
      <c r="IE144" t="e">
        <f>AND('Planilla_General_29-11-2012_10_'!G2168,"AAAAAHP/7+4=")</f>
        <v>#VALUE!</v>
      </c>
      <c r="IF144" t="e">
        <f>AND('Planilla_General_29-11-2012_10_'!H2168,"AAAAAHP/7+8=")</f>
        <v>#VALUE!</v>
      </c>
      <c r="IG144" t="e">
        <f>AND('Planilla_General_29-11-2012_10_'!I2168,"AAAAAHP/7/A=")</f>
        <v>#VALUE!</v>
      </c>
      <c r="IH144" t="e">
        <f>AND('Planilla_General_29-11-2012_10_'!J2168,"AAAAAHP/7/E=")</f>
        <v>#VALUE!</v>
      </c>
      <c r="II144" t="e">
        <f>AND('Planilla_General_29-11-2012_10_'!K2168,"AAAAAHP/7/I=")</f>
        <v>#VALUE!</v>
      </c>
      <c r="IJ144" t="e">
        <f>AND('Planilla_General_29-11-2012_10_'!L2168,"AAAAAHP/7/M=")</f>
        <v>#VALUE!</v>
      </c>
      <c r="IK144" t="e">
        <f>AND('Planilla_General_29-11-2012_10_'!M2168,"AAAAAHP/7/Q=")</f>
        <v>#VALUE!</v>
      </c>
      <c r="IL144" t="e">
        <f>AND('Planilla_General_29-11-2012_10_'!N2168,"AAAAAHP/7/U=")</f>
        <v>#VALUE!</v>
      </c>
      <c r="IM144" t="e">
        <f>AND('Planilla_General_29-11-2012_10_'!O2168,"AAAAAHP/7/Y=")</f>
        <v>#VALUE!</v>
      </c>
      <c r="IN144" t="e">
        <f>AND('Planilla_General_29-11-2012_10_'!P2168,"AAAAAHP/7/c=")</f>
        <v>#VALUE!</v>
      </c>
      <c r="IO144">
        <f>IF('Planilla_General_29-11-2012_10_'!2169:2169,"AAAAAHP/7/g=",0)</f>
        <v>0</v>
      </c>
      <c r="IP144" t="e">
        <f>AND('Planilla_General_29-11-2012_10_'!A2169,"AAAAAHP/7/k=")</f>
        <v>#VALUE!</v>
      </c>
      <c r="IQ144" t="e">
        <f>AND('Planilla_General_29-11-2012_10_'!B2169,"AAAAAHP/7/o=")</f>
        <v>#VALUE!</v>
      </c>
      <c r="IR144" t="e">
        <f>AND('Planilla_General_29-11-2012_10_'!C2169,"AAAAAHP/7/s=")</f>
        <v>#VALUE!</v>
      </c>
      <c r="IS144" t="e">
        <f>AND('Planilla_General_29-11-2012_10_'!D2169,"AAAAAHP/7/w=")</f>
        <v>#VALUE!</v>
      </c>
      <c r="IT144" t="e">
        <f>AND('Planilla_General_29-11-2012_10_'!E2169,"AAAAAHP/7/0=")</f>
        <v>#VALUE!</v>
      </c>
      <c r="IU144" t="e">
        <f>AND('Planilla_General_29-11-2012_10_'!F2169,"AAAAAHP/7/4=")</f>
        <v>#VALUE!</v>
      </c>
      <c r="IV144" t="e">
        <f>AND('Planilla_General_29-11-2012_10_'!G2169,"AAAAAHP/7/8=")</f>
        <v>#VALUE!</v>
      </c>
    </row>
    <row r="145" spans="1:256" x14ac:dyDescent="0.25">
      <c r="A145" t="e">
        <f>AND('Planilla_General_29-11-2012_10_'!H2169,"AAAAAHv/vwA=")</f>
        <v>#VALUE!</v>
      </c>
      <c r="B145" t="e">
        <f>AND('Planilla_General_29-11-2012_10_'!I2169,"AAAAAHv/vwE=")</f>
        <v>#VALUE!</v>
      </c>
      <c r="C145" t="e">
        <f>AND('Planilla_General_29-11-2012_10_'!J2169,"AAAAAHv/vwI=")</f>
        <v>#VALUE!</v>
      </c>
      <c r="D145" t="e">
        <f>AND('Planilla_General_29-11-2012_10_'!K2169,"AAAAAHv/vwM=")</f>
        <v>#VALUE!</v>
      </c>
      <c r="E145" t="e">
        <f>AND('Planilla_General_29-11-2012_10_'!L2169,"AAAAAHv/vwQ=")</f>
        <v>#VALUE!</v>
      </c>
      <c r="F145" t="e">
        <f>AND('Planilla_General_29-11-2012_10_'!M2169,"AAAAAHv/vwU=")</f>
        <v>#VALUE!</v>
      </c>
      <c r="G145" t="e">
        <f>AND('Planilla_General_29-11-2012_10_'!N2169,"AAAAAHv/vwY=")</f>
        <v>#VALUE!</v>
      </c>
      <c r="H145" t="e">
        <f>AND('Planilla_General_29-11-2012_10_'!O2169,"AAAAAHv/vwc=")</f>
        <v>#VALUE!</v>
      </c>
      <c r="I145" t="e">
        <f>AND('Planilla_General_29-11-2012_10_'!P2169,"AAAAAHv/vwg=")</f>
        <v>#VALUE!</v>
      </c>
      <c r="J145" t="e">
        <f>IF('Planilla_General_29-11-2012_10_'!2170:2170,"AAAAAHv/vwk=",0)</f>
        <v>#VALUE!</v>
      </c>
      <c r="K145" t="e">
        <f>AND('Planilla_General_29-11-2012_10_'!A2170,"AAAAAHv/vwo=")</f>
        <v>#VALUE!</v>
      </c>
      <c r="L145" t="e">
        <f>AND('Planilla_General_29-11-2012_10_'!B2170,"AAAAAHv/vws=")</f>
        <v>#VALUE!</v>
      </c>
      <c r="M145" t="e">
        <f>AND('Planilla_General_29-11-2012_10_'!C2170,"AAAAAHv/vww=")</f>
        <v>#VALUE!</v>
      </c>
      <c r="N145" t="e">
        <f>AND('Planilla_General_29-11-2012_10_'!D2170,"AAAAAHv/vw0=")</f>
        <v>#VALUE!</v>
      </c>
      <c r="O145" t="e">
        <f>AND('Planilla_General_29-11-2012_10_'!E2170,"AAAAAHv/vw4=")</f>
        <v>#VALUE!</v>
      </c>
      <c r="P145" t="e">
        <f>AND('Planilla_General_29-11-2012_10_'!F2170,"AAAAAHv/vw8=")</f>
        <v>#VALUE!</v>
      </c>
      <c r="Q145" t="e">
        <f>AND('Planilla_General_29-11-2012_10_'!G2170,"AAAAAHv/vxA=")</f>
        <v>#VALUE!</v>
      </c>
      <c r="R145" t="e">
        <f>AND('Planilla_General_29-11-2012_10_'!H2170,"AAAAAHv/vxE=")</f>
        <v>#VALUE!</v>
      </c>
      <c r="S145" t="e">
        <f>AND('Planilla_General_29-11-2012_10_'!I2170,"AAAAAHv/vxI=")</f>
        <v>#VALUE!</v>
      </c>
      <c r="T145" t="e">
        <f>AND('Planilla_General_29-11-2012_10_'!J2170,"AAAAAHv/vxM=")</f>
        <v>#VALUE!</v>
      </c>
      <c r="U145" t="e">
        <f>AND('Planilla_General_29-11-2012_10_'!K2170,"AAAAAHv/vxQ=")</f>
        <v>#VALUE!</v>
      </c>
      <c r="V145" t="e">
        <f>AND('Planilla_General_29-11-2012_10_'!L2170,"AAAAAHv/vxU=")</f>
        <v>#VALUE!</v>
      </c>
      <c r="W145" t="e">
        <f>AND('Planilla_General_29-11-2012_10_'!M2170,"AAAAAHv/vxY=")</f>
        <v>#VALUE!</v>
      </c>
      <c r="X145" t="e">
        <f>AND('Planilla_General_29-11-2012_10_'!N2170,"AAAAAHv/vxc=")</f>
        <v>#VALUE!</v>
      </c>
      <c r="Y145" t="e">
        <f>AND('Planilla_General_29-11-2012_10_'!O2170,"AAAAAHv/vxg=")</f>
        <v>#VALUE!</v>
      </c>
      <c r="Z145" t="e">
        <f>AND('Planilla_General_29-11-2012_10_'!P2170,"AAAAAHv/vxk=")</f>
        <v>#VALUE!</v>
      </c>
      <c r="AA145">
        <f>IF('Planilla_General_29-11-2012_10_'!2171:2171,"AAAAAHv/vxo=",0)</f>
        <v>0</v>
      </c>
      <c r="AB145" t="e">
        <f>AND('Planilla_General_29-11-2012_10_'!A2171,"AAAAAHv/vxs=")</f>
        <v>#VALUE!</v>
      </c>
      <c r="AC145" t="e">
        <f>AND('Planilla_General_29-11-2012_10_'!B2171,"AAAAAHv/vxw=")</f>
        <v>#VALUE!</v>
      </c>
      <c r="AD145" t="e">
        <f>AND('Planilla_General_29-11-2012_10_'!C2171,"AAAAAHv/vx0=")</f>
        <v>#VALUE!</v>
      </c>
      <c r="AE145" t="e">
        <f>AND('Planilla_General_29-11-2012_10_'!D2171,"AAAAAHv/vx4=")</f>
        <v>#VALUE!</v>
      </c>
      <c r="AF145" t="e">
        <f>AND('Planilla_General_29-11-2012_10_'!E2171,"AAAAAHv/vx8=")</f>
        <v>#VALUE!</v>
      </c>
      <c r="AG145" t="e">
        <f>AND('Planilla_General_29-11-2012_10_'!F2171,"AAAAAHv/vyA=")</f>
        <v>#VALUE!</v>
      </c>
      <c r="AH145" t="e">
        <f>AND('Planilla_General_29-11-2012_10_'!G2171,"AAAAAHv/vyE=")</f>
        <v>#VALUE!</v>
      </c>
      <c r="AI145" t="e">
        <f>AND('Planilla_General_29-11-2012_10_'!H2171,"AAAAAHv/vyI=")</f>
        <v>#VALUE!</v>
      </c>
      <c r="AJ145" t="e">
        <f>AND('Planilla_General_29-11-2012_10_'!I2171,"AAAAAHv/vyM=")</f>
        <v>#VALUE!</v>
      </c>
      <c r="AK145" t="e">
        <f>AND('Planilla_General_29-11-2012_10_'!J2171,"AAAAAHv/vyQ=")</f>
        <v>#VALUE!</v>
      </c>
      <c r="AL145" t="e">
        <f>AND('Planilla_General_29-11-2012_10_'!K2171,"AAAAAHv/vyU=")</f>
        <v>#VALUE!</v>
      </c>
      <c r="AM145" t="e">
        <f>AND('Planilla_General_29-11-2012_10_'!L2171,"AAAAAHv/vyY=")</f>
        <v>#VALUE!</v>
      </c>
      <c r="AN145" t="e">
        <f>AND('Planilla_General_29-11-2012_10_'!M2171,"AAAAAHv/vyc=")</f>
        <v>#VALUE!</v>
      </c>
      <c r="AO145" t="e">
        <f>AND('Planilla_General_29-11-2012_10_'!N2171,"AAAAAHv/vyg=")</f>
        <v>#VALUE!</v>
      </c>
      <c r="AP145" t="e">
        <f>AND('Planilla_General_29-11-2012_10_'!O2171,"AAAAAHv/vyk=")</f>
        <v>#VALUE!</v>
      </c>
      <c r="AQ145" t="e">
        <f>AND('Planilla_General_29-11-2012_10_'!P2171,"AAAAAHv/vyo=")</f>
        <v>#VALUE!</v>
      </c>
      <c r="AR145">
        <f>IF('Planilla_General_29-11-2012_10_'!2172:2172,"AAAAAHv/vys=",0)</f>
        <v>0</v>
      </c>
      <c r="AS145" t="e">
        <f>AND('Planilla_General_29-11-2012_10_'!A2172,"AAAAAHv/vyw=")</f>
        <v>#VALUE!</v>
      </c>
      <c r="AT145" t="e">
        <f>AND('Planilla_General_29-11-2012_10_'!B2172,"AAAAAHv/vy0=")</f>
        <v>#VALUE!</v>
      </c>
      <c r="AU145" t="e">
        <f>AND('Planilla_General_29-11-2012_10_'!C2172,"AAAAAHv/vy4=")</f>
        <v>#VALUE!</v>
      </c>
      <c r="AV145" t="e">
        <f>AND('Planilla_General_29-11-2012_10_'!D2172,"AAAAAHv/vy8=")</f>
        <v>#VALUE!</v>
      </c>
      <c r="AW145" t="e">
        <f>AND('Planilla_General_29-11-2012_10_'!E2172,"AAAAAHv/vzA=")</f>
        <v>#VALUE!</v>
      </c>
      <c r="AX145" t="e">
        <f>AND('Planilla_General_29-11-2012_10_'!F2172,"AAAAAHv/vzE=")</f>
        <v>#VALUE!</v>
      </c>
      <c r="AY145" t="e">
        <f>AND('Planilla_General_29-11-2012_10_'!G2172,"AAAAAHv/vzI=")</f>
        <v>#VALUE!</v>
      </c>
      <c r="AZ145" t="e">
        <f>AND('Planilla_General_29-11-2012_10_'!H2172,"AAAAAHv/vzM=")</f>
        <v>#VALUE!</v>
      </c>
      <c r="BA145" t="e">
        <f>AND('Planilla_General_29-11-2012_10_'!I2172,"AAAAAHv/vzQ=")</f>
        <v>#VALUE!</v>
      </c>
      <c r="BB145" t="e">
        <f>AND('Planilla_General_29-11-2012_10_'!J2172,"AAAAAHv/vzU=")</f>
        <v>#VALUE!</v>
      </c>
      <c r="BC145" t="e">
        <f>AND('Planilla_General_29-11-2012_10_'!K2172,"AAAAAHv/vzY=")</f>
        <v>#VALUE!</v>
      </c>
      <c r="BD145" t="e">
        <f>AND('Planilla_General_29-11-2012_10_'!L2172,"AAAAAHv/vzc=")</f>
        <v>#VALUE!</v>
      </c>
      <c r="BE145" t="e">
        <f>AND('Planilla_General_29-11-2012_10_'!M2172,"AAAAAHv/vzg=")</f>
        <v>#VALUE!</v>
      </c>
      <c r="BF145" t="e">
        <f>AND('Planilla_General_29-11-2012_10_'!N2172,"AAAAAHv/vzk=")</f>
        <v>#VALUE!</v>
      </c>
      <c r="BG145" t="e">
        <f>AND('Planilla_General_29-11-2012_10_'!O2172,"AAAAAHv/vzo=")</f>
        <v>#VALUE!</v>
      </c>
      <c r="BH145" t="e">
        <f>AND('Planilla_General_29-11-2012_10_'!P2172,"AAAAAHv/vzs=")</f>
        <v>#VALUE!</v>
      </c>
      <c r="BI145">
        <f>IF('Planilla_General_29-11-2012_10_'!2173:2173,"AAAAAHv/vzw=",0)</f>
        <v>0</v>
      </c>
      <c r="BJ145" t="e">
        <f>AND('Planilla_General_29-11-2012_10_'!A2173,"AAAAAHv/vz0=")</f>
        <v>#VALUE!</v>
      </c>
      <c r="BK145" t="e">
        <f>AND('Planilla_General_29-11-2012_10_'!B2173,"AAAAAHv/vz4=")</f>
        <v>#VALUE!</v>
      </c>
      <c r="BL145" t="e">
        <f>AND('Planilla_General_29-11-2012_10_'!C2173,"AAAAAHv/vz8=")</f>
        <v>#VALUE!</v>
      </c>
      <c r="BM145" t="e">
        <f>AND('Planilla_General_29-11-2012_10_'!D2173,"AAAAAHv/v0A=")</f>
        <v>#VALUE!</v>
      </c>
      <c r="BN145" t="e">
        <f>AND('Planilla_General_29-11-2012_10_'!E2173,"AAAAAHv/v0E=")</f>
        <v>#VALUE!</v>
      </c>
      <c r="BO145" t="e">
        <f>AND('Planilla_General_29-11-2012_10_'!F2173,"AAAAAHv/v0I=")</f>
        <v>#VALUE!</v>
      </c>
      <c r="BP145" t="e">
        <f>AND('Planilla_General_29-11-2012_10_'!G2173,"AAAAAHv/v0M=")</f>
        <v>#VALUE!</v>
      </c>
      <c r="BQ145" t="e">
        <f>AND('Planilla_General_29-11-2012_10_'!H2173,"AAAAAHv/v0Q=")</f>
        <v>#VALUE!</v>
      </c>
      <c r="BR145" t="e">
        <f>AND('Planilla_General_29-11-2012_10_'!I2173,"AAAAAHv/v0U=")</f>
        <v>#VALUE!</v>
      </c>
      <c r="BS145" t="e">
        <f>AND('Planilla_General_29-11-2012_10_'!J2173,"AAAAAHv/v0Y=")</f>
        <v>#VALUE!</v>
      </c>
      <c r="BT145" t="e">
        <f>AND('Planilla_General_29-11-2012_10_'!K2173,"AAAAAHv/v0c=")</f>
        <v>#VALUE!</v>
      </c>
      <c r="BU145" t="e">
        <f>AND('Planilla_General_29-11-2012_10_'!L2173,"AAAAAHv/v0g=")</f>
        <v>#VALUE!</v>
      </c>
      <c r="BV145" t="e">
        <f>AND('Planilla_General_29-11-2012_10_'!M2173,"AAAAAHv/v0k=")</f>
        <v>#VALUE!</v>
      </c>
      <c r="BW145" t="e">
        <f>AND('Planilla_General_29-11-2012_10_'!N2173,"AAAAAHv/v0o=")</f>
        <v>#VALUE!</v>
      </c>
      <c r="BX145" t="e">
        <f>AND('Planilla_General_29-11-2012_10_'!O2173,"AAAAAHv/v0s=")</f>
        <v>#VALUE!</v>
      </c>
      <c r="BY145" t="e">
        <f>AND('Planilla_General_29-11-2012_10_'!P2173,"AAAAAHv/v0w=")</f>
        <v>#VALUE!</v>
      </c>
      <c r="BZ145">
        <f>IF('Planilla_General_29-11-2012_10_'!2174:2174,"AAAAAHv/v00=",0)</f>
        <v>0</v>
      </c>
      <c r="CA145" t="e">
        <f>AND('Planilla_General_29-11-2012_10_'!A2174,"AAAAAHv/v04=")</f>
        <v>#VALUE!</v>
      </c>
      <c r="CB145" t="e">
        <f>AND('Planilla_General_29-11-2012_10_'!B2174,"AAAAAHv/v08=")</f>
        <v>#VALUE!</v>
      </c>
      <c r="CC145" t="e">
        <f>AND('Planilla_General_29-11-2012_10_'!C2174,"AAAAAHv/v1A=")</f>
        <v>#VALUE!</v>
      </c>
      <c r="CD145" t="e">
        <f>AND('Planilla_General_29-11-2012_10_'!D2174,"AAAAAHv/v1E=")</f>
        <v>#VALUE!</v>
      </c>
      <c r="CE145" t="e">
        <f>AND('Planilla_General_29-11-2012_10_'!E2174,"AAAAAHv/v1I=")</f>
        <v>#VALUE!</v>
      </c>
      <c r="CF145" t="e">
        <f>AND('Planilla_General_29-11-2012_10_'!F2174,"AAAAAHv/v1M=")</f>
        <v>#VALUE!</v>
      </c>
      <c r="CG145" t="e">
        <f>AND('Planilla_General_29-11-2012_10_'!G2174,"AAAAAHv/v1Q=")</f>
        <v>#VALUE!</v>
      </c>
      <c r="CH145" t="e">
        <f>AND('Planilla_General_29-11-2012_10_'!H2174,"AAAAAHv/v1U=")</f>
        <v>#VALUE!</v>
      </c>
      <c r="CI145" t="e">
        <f>AND('Planilla_General_29-11-2012_10_'!I2174,"AAAAAHv/v1Y=")</f>
        <v>#VALUE!</v>
      </c>
      <c r="CJ145" t="e">
        <f>AND('Planilla_General_29-11-2012_10_'!J2174,"AAAAAHv/v1c=")</f>
        <v>#VALUE!</v>
      </c>
      <c r="CK145" t="e">
        <f>AND('Planilla_General_29-11-2012_10_'!K2174,"AAAAAHv/v1g=")</f>
        <v>#VALUE!</v>
      </c>
      <c r="CL145" t="e">
        <f>AND('Planilla_General_29-11-2012_10_'!L2174,"AAAAAHv/v1k=")</f>
        <v>#VALUE!</v>
      </c>
      <c r="CM145" t="e">
        <f>AND('Planilla_General_29-11-2012_10_'!M2174,"AAAAAHv/v1o=")</f>
        <v>#VALUE!</v>
      </c>
      <c r="CN145" t="e">
        <f>AND('Planilla_General_29-11-2012_10_'!N2174,"AAAAAHv/v1s=")</f>
        <v>#VALUE!</v>
      </c>
      <c r="CO145" t="e">
        <f>AND('Planilla_General_29-11-2012_10_'!O2174,"AAAAAHv/v1w=")</f>
        <v>#VALUE!</v>
      </c>
      <c r="CP145" t="e">
        <f>AND('Planilla_General_29-11-2012_10_'!P2174,"AAAAAHv/v10=")</f>
        <v>#VALUE!</v>
      </c>
      <c r="CQ145">
        <f>IF('Planilla_General_29-11-2012_10_'!2175:2175,"AAAAAHv/v14=",0)</f>
        <v>0</v>
      </c>
      <c r="CR145" t="e">
        <f>AND('Planilla_General_29-11-2012_10_'!A2175,"AAAAAHv/v18=")</f>
        <v>#VALUE!</v>
      </c>
      <c r="CS145" t="e">
        <f>AND('Planilla_General_29-11-2012_10_'!B2175,"AAAAAHv/v2A=")</f>
        <v>#VALUE!</v>
      </c>
      <c r="CT145" t="e">
        <f>AND('Planilla_General_29-11-2012_10_'!C2175,"AAAAAHv/v2E=")</f>
        <v>#VALUE!</v>
      </c>
      <c r="CU145" t="e">
        <f>AND('Planilla_General_29-11-2012_10_'!D2175,"AAAAAHv/v2I=")</f>
        <v>#VALUE!</v>
      </c>
      <c r="CV145" t="e">
        <f>AND('Planilla_General_29-11-2012_10_'!E2175,"AAAAAHv/v2M=")</f>
        <v>#VALUE!</v>
      </c>
      <c r="CW145" t="e">
        <f>AND('Planilla_General_29-11-2012_10_'!F2175,"AAAAAHv/v2Q=")</f>
        <v>#VALUE!</v>
      </c>
      <c r="CX145" t="e">
        <f>AND('Planilla_General_29-11-2012_10_'!G2175,"AAAAAHv/v2U=")</f>
        <v>#VALUE!</v>
      </c>
      <c r="CY145" t="e">
        <f>AND('Planilla_General_29-11-2012_10_'!H2175,"AAAAAHv/v2Y=")</f>
        <v>#VALUE!</v>
      </c>
      <c r="CZ145" t="e">
        <f>AND('Planilla_General_29-11-2012_10_'!I2175,"AAAAAHv/v2c=")</f>
        <v>#VALUE!</v>
      </c>
      <c r="DA145" t="e">
        <f>AND('Planilla_General_29-11-2012_10_'!J2175,"AAAAAHv/v2g=")</f>
        <v>#VALUE!</v>
      </c>
      <c r="DB145" t="e">
        <f>AND('Planilla_General_29-11-2012_10_'!K2175,"AAAAAHv/v2k=")</f>
        <v>#VALUE!</v>
      </c>
      <c r="DC145" t="e">
        <f>AND('Planilla_General_29-11-2012_10_'!L2175,"AAAAAHv/v2o=")</f>
        <v>#VALUE!</v>
      </c>
      <c r="DD145" t="e">
        <f>AND('Planilla_General_29-11-2012_10_'!M2175,"AAAAAHv/v2s=")</f>
        <v>#VALUE!</v>
      </c>
      <c r="DE145" t="e">
        <f>AND('Planilla_General_29-11-2012_10_'!N2175,"AAAAAHv/v2w=")</f>
        <v>#VALUE!</v>
      </c>
      <c r="DF145" t="e">
        <f>AND('Planilla_General_29-11-2012_10_'!O2175,"AAAAAHv/v20=")</f>
        <v>#VALUE!</v>
      </c>
      <c r="DG145" t="e">
        <f>AND('Planilla_General_29-11-2012_10_'!P2175,"AAAAAHv/v24=")</f>
        <v>#VALUE!</v>
      </c>
      <c r="DH145">
        <f>IF('Planilla_General_29-11-2012_10_'!2176:2176,"AAAAAHv/v28=",0)</f>
        <v>0</v>
      </c>
      <c r="DI145" t="e">
        <f>AND('Planilla_General_29-11-2012_10_'!A2176,"AAAAAHv/v3A=")</f>
        <v>#VALUE!</v>
      </c>
      <c r="DJ145" t="e">
        <f>AND('Planilla_General_29-11-2012_10_'!B2176,"AAAAAHv/v3E=")</f>
        <v>#VALUE!</v>
      </c>
      <c r="DK145" t="e">
        <f>AND('Planilla_General_29-11-2012_10_'!C2176,"AAAAAHv/v3I=")</f>
        <v>#VALUE!</v>
      </c>
      <c r="DL145" t="e">
        <f>AND('Planilla_General_29-11-2012_10_'!D2176,"AAAAAHv/v3M=")</f>
        <v>#VALUE!</v>
      </c>
      <c r="DM145" t="e">
        <f>AND('Planilla_General_29-11-2012_10_'!E2176,"AAAAAHv/v3Q=")</f>
        <v>#VALUE!</v>
      </c>
      <c r="DN145" t="e">
        <f>AND('Planilla_General_29-11-2012_10_'!F2176,"AAAAAHv/v3U=")</f>
        <v>#VALUE!</v>
      </c>
      <c r="DO145" t="e">
        <f>AND('Planilla_General_29-11-2012_10_'!G2176,"AAAAAHv/v3Y=")</f>
        <v>#VALUE!</v>
      </c>
      <c r="DP145" t="e">
        <f>AND('Planilla_General_29-11-2012_10_'!H2176,"AAAAAHv/v3c=")</f>
        <v>#VALUE!</v>
      </c>
      <c r="DQ145" t="e">
        <f>AND('Planilla_General_29-11-2012_10_'!I2176,"AAAAAHv/v3g=")</f>
        <v>#VALUE!</v>
      </c>
      <c r="DR145" t="e">
        <f>AND('Planilla_General_29-11-2012_10_'!J2176,"AAAAAHv/v3k=")</f>
        <v>#VALUE!</v>
      </c>
      <c r="DS145" t="e">
        <f>AND('Planilla_General_29-11-2012_10_'!K2176,"AAAAAHv/v3o=")</f>
        <v>#VALUE!</v>
      </c>
      <c r="DT145" t="e">
        <f>AND('Planilla_General_29-11-2012_10_'!L2176,"AAAAAHv/v3s=")</f>
        <v>#VALUE!</v>
      </c>
      <c r="DU145" t="e">
        <f>AND('Planilla_General_29-11-2012_10_'!M2176,"AAAAAHv/v3w=")</f>
        <v>#VALUE!</v>
      </c>
      <c r="DV145" t="e">
        <f>AND('Planilla_General_29-11-2012_10_'!N2176,"AAAAAHv/v30=")</f>
        <v>#VALUE!</v>
      </c>
      <c r="DW145" t="e">
        <f>AND('Planilla_General_29-11-2012_10_'!O2176,"AAAAAHv/v34=")</f>
        <v>#VALUE!</v>
      </c>
      <c r="DX145" t="e">
        <f>AND('Planilla_General_29-11-2012_10_'!P2176,"AAAAAHv/v38=")</f>
        <v>#VALUE!</v>
      </c>
      <c r="DY145">
        <f>IF('Planilla_General_29-11-2012_10_'!2177:2177,"AAAAAHv/v4A=",0)</f>
        <v>0</v>
      </c>
      <c r="DZ145" t="e">
        <f>AND('Planilla_General_29-11-2012_10_'!A2177,"AAAAAHv/v4E=")</f>
        <v>#VALUE!</v>
      </c>
      <c r="EA145" t="e">
        <f>AND('Planilla_General_29-11-2012_10_'!B2177,"AAAAAHv/v4I=")</f>
        <v>#VALUE!</v>
      </c>
      <c r="EB145" t="e">
        <f>AND('Planilla_General_29-11-2012_10_'!C2177,"AAAAAHv/v4M=")</f>
        <v>#VALUE!</v>
      </c>
      <c r="EC145" t="e">
        <f>AND('Planilla_General_29-11-2012_10_'!D2177,"AAAAAHv/v4Q=")</f>
        <v>#VALUE!</v>
      </c>
      <c r="ED145" t="e">
        <f>AND('Planilla_General_29-11-2012_10_'!E2177,"AAAAAHv/v4U=")</f>
        <v>#VALUE!</v>
      </c>
      <c r="EE145" t="e">
        <f>AND('Planilla_General_29-11-2012_10_'!F2177,"AAAAAHv/v4Y=")</f>
        <v>#VALUE!</v>
      </c>
      <c r="EF145" t="e">
        <f>AND('Planilla_General_29-11-2012_10_'!G2177,"AAAAAHv/v4c=")</f>
        <v>#VALUE!</v>
      </c>
      <c r="EG145" t="e">
        <f>AND('Planilla_General_29-11-2012_10_'!H2177,"AAAAAHv/v4g=")</f>
        <v>#VALUE!</v>
      </c>
      <c r="EH145" t="e">
        <f>AND('Planilla_General_29-11-2012_10_'!I2177,"AAAAAHv/v4k=")</f>
        <v>#VALUE!</v>
      </c>
      <c r="EI145" t="e">
        <f>AND('Planilla_General_29-11-2012_10_'!J2177,"AAAAAHv/v4o=")</f>
        <v>#VALUE!</v>
      </c>
      <c r="EJ145" t="e">
        <f>AND('Planilla_General_29-11-2012_10_'!K2177,"AAAAAHv/v4s=")</f>
        <v>#VALUE!</v>
      </c>
      <c r="EK145" t="e">
        <f>AND('Planilla_General_29-11-2012_10_'!L2177,"AAAAAHv/v4w=")</f>
        <v>#VALUE!</v>
      </c>
      <c r="EL145" t="e">
        <f>AND('Planilla_General_29-11-2012_10_'!M2177,"AAAAAHv/v40=")</f>
        <v>#VALUE!</v>
      </c>
      <c r="EM145" t="e">
        <f>AND('Planilla_General_29-11-2012_10_'!N2177,"AAAAAHv/v44=")</f>
        <v>#VALUE!</v>
      </c>
      <c r="EN145" t="e">
        <f>AND('Planilla_General_29-11-2012_10_'!O2177,"AAAAAHv/v48=")</f>
        <v>#VALUE!</v>
      </c>
      <c r="EO145" t="e">
        <f>AND('Planilla_General_29-11-2012_10_'!P2177,"AAAAAHv/v5A=")</f>
        <v>#VALUE!</v>
      </c>
      <c r="EP145">
        <f>IF('Planilla_General_29-11-2012_10_'!2178:2178,"AAAAAHv/v5E=",0)</f>
        <v>0</v>
      </c>
      <c r="EQ145" t="e">
        <f>AND('Planilla_General_29-11-2012_10_'!A2178,"AAAAAHv/v5I=")</f>
        <v>#VALUE!</v>
      </c>
      <c r="ER145" t="e">
        <f>AND('Planilla_General_29-11-2012_10_'!B2178,"AAAAAHv/v5M=")</f>
        <v>#VALUE!</v>
      </c>
      <c r="ES145" t="e">
        <f>AND('Planilla_General_29-11-2012_10_'!C2178,"AAAAAHv/v5Q=")</f>
        <v>#VALUE!</v>
      </c>
      <c r="ET145" t="e">
        <f>AND('Planilla_General_29-11-2012_10_'!D2178,"AAAAAHv/v5U=")</f>
        <v>#VALUE!</v>
      </c>
      <c r="EU145" t="e">
        <f>AND('Planilla_General_29-11-2012_10_'!E2178,"AAAAAHv/v5Y=")</f>
        <v>#VALUE!</v>
      </c>
      <c r="EV145" t="e">
        <f>AND('Planilla_General_29-11-2012_10_'!F2178,"AAAAAHv/v5c=")</f>
        <v>#VALUE!</v>
      </c>
      <c r="EW145" t="e">
        <f>AND('Planilla_General_29-11-2012_10_'!G2178,"AAAAAHv/v5g=")</f>
        <v>#VALUE!</v>
      </c>
      <c r="EX145" t="e">
        <f>AND('Planilla_General_29-11-2012_10_'!H2178,"AAAAAHv/v5k=")</f>
        <v>#VALUE!</v>
      </c>
      <c r="EY145" t="e">
        <f>AND('Planilla_General_29-11-2012_10_'!I2178,"AAAAAHv/v5o=")</f>
        <v>#VALUE!</v>
      </c>
      <c r="EZ145" t="e">
        <f>AND('Planilla_General_29-11-2012_10_'!J2178,"AAAAAHv/v5s=")</f>
        <v>#VALUE!</v>
      </c>
      <c r="FA145" t="e">
        <f>AND('Planilla_General_29-11-2012_10_'!K2178,"AAAAAHv/v5w=")</f>
        <v>#VALUE!</v>
      </c>
      <c r="FB145" t="e">
        <f>AND('Planilla_General_29-11-2012_10_'!L2178,"AAAAAHv/v50=")</f>
        <v>#VALUE!</v>
      </c>
      <c r="FC145" t="e">
        <f>AND('Planilla_General_29-11-2012_10_'!M2178,"AAAAAHv/v54=")</f>
        <v>#VALUE!</v>
      </c>
      <c r="FD145" t="e">
        <f>AND('Planilla_General_29-11-2012_10_'!N2178,"AAAAAHv/v58=")</f>
        <v>#VALUE!</v>
      </c>
      <c r="FE145" t="e">
        <f>AND('Planilla_General_29-11-2012_10_'!O2178,"AAAAAHv/v6A=")</f>
        <v>#VALUE!</v>
      </c>
      <c r="FF145" t="e">
        <f>AND('Planilla_General_29-11-2012_10_'!P2178,"AAAAAHv/v6E=")</f>
        <v>#VALUE!</v>
      </c>
      <c r="FG145">
        <f>IF('Planilla_General_29-11-2012_10_'!2179:2179,"AAAAAHv/v6I=",0)</f>
        <v>0</v>
      </c>
      <c r="FH145" t="e">
        <f>AND('Planilla_General_29-11-2012_10_'!A2179,"AAAAAHv/v6M=")</f>
        <v>#VALUE!</v>
      </c>
      <c r="FI145" t="e">
        <f>AND('Planilla_General_29-11-2012_10_'!B2179,"AAAAAHv/v6Q=")</f>
        <v>#VALUE!</v>
      </c>
      <c r="FJ145" t="e">
        <f>AND('Planilla_General_29-11-2012_10_'!C2179,"AAAAAHv/v6U=")</f>
        <v>#VALUE!</v>
      </c>
      <c r="FK145" t="e">
        <f>AND('Planilla_General_29-11-2012_10_'!D2179,"AAAAAHv/v6Y=")</f>
        <v>#VALUE!</v>
      </c>
      <c r="FL145" t="e">
        <f>AND('Planilla_General_29-11-2012_10_'!E2179,"AAAAAHv/v6c=")</f>
        <v>#VALUE!</v>
      </c>
      <c r="FM145" t="e">
        <f>AND('Planilla_General_29-11-2012_10_'!F2179,"AAAAAHv/v6g=")</f>
        <v>#VALUE!</v>
      </c>
      <c r="FN145" t="e">
        <f>AND('Planilla_General_29-11-2012_10_'!G2179,"AAAAAHv/v6k=")</f>
        <v>#VALUE!</v>
      </c>
      <c r="FO145" t="e">
        <f>AND('Planilla_General_29-11-2012_10_'!H2179,"AAAAAHv/v6o=")</f>
        <v>#VALUE!</v>
      </c>
      <c r="FP145" t="e">
        <f>AND('Planilla_General_29-11-2012_10_'!I2179,"AAAAAHv/v6s=")</f>
        <v>#VALUE!</v>
      </c>
      <c r="FQ145" t="e">
        <f>AND('Planilla_General_29-11-2012_10_'!J2179,"AAAAAHv/v6w=")</f>
        <v>#VALUE!</v>
      </c>
      <c r="FR145" t="e">
        <f>AND('Planilla_General_29-11-2012_10_'!K2179,"AAAAAHv/v60=")</f>
        <v>#VALUE!</v>
      </c>
      <c r="FS145" t="e">
        <f>AND('Planilla_General_29-11-2012_10_'!L2179,"AAAAAHv/v64=")</f>
        <v>#VALUE!</v>
      </c>
      <c r="FT145" t="e">
        <f>AND('Planilla_General_29-11-2012_10_'!M2179,"AAAAAHv/v68=")</f>
        <v>#VALUE!</v>
      </c>
      <c r="FU145" t="e">
        <f>AND('Planilla_General_29-11-2012_10_'!N2179,"AAAAAHv/v7A=")</f>
        <v>#VALUE!</v>
      </c>
      <c r="FV145" t="e">
        <f>AND('Planilla_General_29-11-2012_10_'!O2179,"AAAAAHv/v7E=")</f>
        <v>#VALUE!</v>
      </c>
      <c r="FW145" t="e">
        <f>AND('Planilla_General_29-11-2012_10_'!P2179,"AAAAAHv/v7I=")</f>
        <v>#VALUE!</v>
      </c>
      <c r="FX145">
        <f>IF('Planilla_General_29-11-2012_10_'!2180:2180,"AAAAAHv/v7M=",0)</f>
        <v>0</v>
      </c>
      <c r="FY145" t="e">
        <f>AND('Planilla_General_29-11-2012_10_'!A2180,"AAAAAHv/v7Q=")</f>
        <v>#VALUE!</v>
      </c>
      <c r="FZ145" t="e">
        <f>AND('Planilla_General_29-11-2012_10_'!B2180,"AAAAAHv/v7U=")</f>
        <v>#VALUE!</v>
      </c>
      <c r="GA145" t="e">
        <f>AND('Planilla_General_29-11-2012_10_'!C2180,"AAAAAHv/v7Y=")</f>
        <v>#VALUE!</v>
      </c>
      <c r="GB145" t="e">
        <f>AND('Planilla_General_29-11-2012_10_'!D2180,"AAAAAHv/v7c=")</f>
        <v>#VALUE!</v>
      </c>
      <c r="GC145" t="e">
        <f>AND('Planilla_General_29-11-2012_10_'!E2180,"AAAAAHv/v7g=")</f>
        <v>#VALUE!</v>
      </c>
      <c r="GD145" t="e">
        <f>AND('Planilla_General_29-11-2012_10_'!F2180,"AAAAAHv/v7k=")</f>
        <v>#VALUE!</v>
      </c>
      <c r="GE145" t="e">
        <f>AND('Planilla_General_29-11-2012_10_'!G2180,"AAAAAHv/v7o=")</f>
        <v>#VALUE!</v>
      </c>
      <c r="GF145" t="e">
        <f>AND('Planilla_General_29-11-2012_10_'!H2180,"AAAAAHv/v7s=")</f>
        <v>#VALUE!</v>
      </c>
      <c r="GG145" t="e">
        <f>AND('Planilla_General_29-11-2012_10_'!I2180,"AAAAAHv/v7w=")</f>
        <v>#VALUE!</v>
      </c>
      <c r="GH145" t="e">
        <f>AND('Planilla_General_29-11-2012_10_'!J2180,"AAAAAHv/v70=")</f>
        <v>#VALUE!</v>
      </c>
      <c r="GI145" t="e">
        <f>AND('Planilla_General_29-11-2012_10_'!K2180,"AAAAAHv/v74=")</f>
        <v>#VALUE!</v>
      </c>
      <c r="GJ145" t="e">
        <f>AND('Planilla_General_29-11-2012_10_'!L2180,"AAAAAHv/v78=")</f>
        <v>#VALUE!</v>
      </c>
      <c r="GK145" t="e">
        <f>AND('Planilla_General_29-11-2012_10_'!M2180,"AAAAAHv/v8A=")</f>
        <v>#VALUE!</v>
      </c>
      <c r="GL145" t="e">
        <f>AND('Planilla_General_29-11-2012_10_'!N2180,"AAAAAHv/v8E=")</f>
        <v>#VALUE!</v>
      </c>
      <c r="GM145" t="e">
        <f>AND('Planilla_General_29-11-2012_10_'!O2180,"AAAAAHv/v8I=")</f>
        <v>#VALUE!</v>
      </c>
      <c r="GN145" t="e">
        <f>AND('Planilla_General_29-11-2012_10_'!P2180,"AAAAAHv/v8M=")</f>
        <v>#VALUE!</v>
      </c>
      <c r="GO145">
        <f>IF('Planilla_General_29-11-2012_10_'!2181:2181,"AAAAAHv/v8Q=",0)</f>
        <v>0</v>
      </c>
      <c r="GP145" t="e">
        <f>AND('Planilla_General_29-11-2012_10_'!A2181,"AAAAAHv/v8U=")</f>
        <v>#VALUE!</v>
      </c>
      <c r="GQ145" t="e">
        <f>AND('Planilla_General_29-11-2012_10_'!B2181,"AAAAAHv/v8Y=")</f>
        <v>#VALUE!</v>
      </c>
      <c r="GR145" t="e">
        <f>AND('Planilla_General_29-11-2012_10_'!C2181,"AAAAAHv/v8c=")</f>
        <v>#VALUE!</v>
      </c>
      <c r="GS145" t="e">
        <f>AND('Planilla_General_29-11-2012_10_'!D2181,"AAAAAHv/v8g=")</f>
        <v>#VALUE!</v>
      </c>
      <c r="GT145" t="e">
        <f>AND('Planilla_General_29-11-2012_10_'!E2181,"AAAAAHv/v8k=")</f>
        <v>#VALUE!</v>
      </c>
      <c r="GU145" t="e">
        <f>AND('Planilla_General_29-11-2012_10_'!F2181,"AAAAAHv/v8o=")</f>
        <v>#VALUE!</v>
      </c>
      <c r="GV145" t="e">
        <f>AND('Planilla_General_29-11-2012_10_'!G2181,"AAAAAHv/v8s=")</f>
        <v>#VALUE!</v>
      </c>
      <c r="GW145" t="e">
        <f>AND('Planilla_General_29-11-2012_10_'!H2181,"AAAAAHv/v8w=")</f>
        <v>#VALUE!</v>
      </c>
      <c r="GX145" t="e">
        <f>AND('Planilla_General_29-11-2012_10_'!I2181,"AAAAAHv/v80=")</f>
        <v>#VALUE!</v>
      </c>
      <c r="GY145" t="e">
        <f>AND('Planilla_General_29-11-2012_10_'!J2181,"AAAAAHv/v84=")</f>
        <v>#VALUE!</v>
      </c>
      <c r="GZ145" t="e">
        <f>AND('Planilla_General_29-11-2012_10_'!K2181,"AAAAAHv/v88=")</f>
        <v>#VALUE!</v>
      </c>
      <c r="HA145" t="e">
        <f>AND('Planilla_General_29-11-2012_10_'!L2181,"AAAAAHv/v9A=")</f>
        <v>#VALUE!</v>
      </c>
      <c r="HB145" t="e">
        <f>AND('Planilla_General_29-11-2012_10_'!M2181,"AAAAAHv/v9E=")</f>
        <v>#VALUE!</v>
      </c>
      <c r="HC145" t="e">
        <f>AND('Planilla_General_29-11-2012_10_'!N2181,"AAAAAHv/v9I=")</f>
        <v>#VALUE!</v>
      </c>
      <c r="HD145" t="e">
        <f>AND('Planilla_General_29-11-2012_10_'!O2181,"AAAAAHv/v9M=")</f>
        <v>#VALUE!</v>
      </c>
      <c r="HE145" t="e">
        <f>AND('Planilla_General_29-11-2012_10_'!P2181,"AAAAAHv/v9Q=")</f>
        <v>#VALUE!</v>
      </c>
      <c r="HF145">
        <f>IF('Planilla_General_29-11-2012_10_'!2182:2182,"AAAAAHv/v9U=",0)</f>
        <v>0</v>
      </c>
      <c r="HG145" t="e">
        <f>AND('Planilla_General_29-11-2012_10_'!A2182,"AAAAAHv/v9Y=")</f>
        <v>#VALUE!</v>
      </c>
      <c r="HH145" t="e">
        <f>AND('Planilla_General_29-11-2012_10_'!B2182,"AAAAAHv/v9c=")</f>
        <v>#VALUE!</v>
      </c>
      <c r="HI145" t="e">
        <f>AND('Planilla_General_29-11-2012_10_'!C2182,"AAAAAHv/v9g=")</f>
        <v>#VALUE!</v>
      </c>
      <c r="HJ145" t="e">
        <f>AND('Planilla_General_29-11-2012_10_'!D2182,"AAAAAHv/v9k=")</f>
        <v>#VALUE!</v>
      </c>
      <c r="HK145" t="e">
        <f>AND('Planilla_General_29-11-2012_10_'!E2182,"AAAAAHv/v9o=")</f>
        <v>#VALUE!</v>
      </c>
      <c r="HL145" t="e">
        <f>AND('Planilla_General_29-11-2012_10_'!F2182,"AAAAAHv/v9s=")</f>
        <v>#VALUE!</v>
      </c>
      <c r="HM145" t="e">
        <f>AND('Planilla_General_29-11-2012_10_'!G2182,"AAAAAHv/v9w=")</f>
        <v>#VALUE!</v>
      </c>
      <c r="HN145" t="e">
        <f>AND('Planilla_General_29-11-2012_10_'!H2182,"AAAAAHv/v90=")</f>
        <v>#VALUE!</v>
      </c>
      <c r="HO145" t="e">
        <f>AND('Planilla_General_29-11-2012_10_'!I2182,"AAAAAHv/v94=")</f>
        <v>#VALUE!</v>
      </c>
      <c r="HP145" t="e">
        <f>AND('Planilla_General_29-11-2012_10_'!J2182,"AAAAAHv/v98=")</f>
        <v>#VALUE!</v>
      </c>
      <c r="HQ145" t="e">
        <f>AND('Planilla_General_29-11-2012_10_'!K2182,"AAAAAHv/v+A=")</f>
        <v>#VALUE!</v>
      </c>
      <c r="HR145" t="e">
        <f>AND('Planilla_General_29-11-2012_10_'!L2182,"AAAAAHv/v+E=")</f>
        <v>#VALUE!</v>
      </c>
      <c r="HS145" t="e">
        <f>AND('Planilla_General_29-11-2012_10_'!M2182,"AAAAAHv/v+I=")</f>
        <v>#VALUE!</v>
      </c>
      <c r="HT145" t="e">
        <f>AND('Planilla_General_29-11-2012_10_'!N2182,"AAAAAHv/v+M=")</f>
        <v>#VALUE!</v>
      </c>
      <c r="HU145" t="e">
        <f>AND('Planilla_General_29-11-2012_10_'!O2182,"AAAAAHv/v+Q=")</f>
        <v>#VALUE!</v>
      </c>
      <c r="HV145" t="e">
        <f>AND('Planilla_General_29-11-2012_10_'!P2182,"AAAAAHv/v+U=")</f>
        <v>#VALUE!</v>
      </c>
      <c r="HW145">
        <f>IF('Planilla_General_29-11-2012_10_'!2183:2183,"AAAAAHv/v+Y=",0)</f>
        <v>0</v>
      </c>
      <c r="HX145" t="e">
        <f>AND('Planilla_General_29-11-2012_10_'!A2183,"AAAAAHv/v+c=")</f>
        <v>#VALUE!</v>
      </c>
      <c r="HY145" t="e">
        <f>AND('Planilla_General_29-11-2012_10_'!B2183,"AAAAAHv/v+g=")</f>
        <v>#VALUE!</v>
      </c>
      <c r="HZ145" t="e">
        <f>AND('Planilla_General_29-11-2012_10_'!C2183,"AAAAAHv/v+k=")</f>
        <v>#VALUE!</v>
      </c>
      <c r="IA145" t="e">
        <f>AND('Planilla_General_29-11-2012_10_'!D2183,"AAAAAHv/v+o=")</f>
        <v>#VALUE!</v>
      </c>
      <c r="IB145" t="e">
        <f>AND('Planilla_General_29-11-2012_10_'!E2183,"AAAAAHv/v+s=")</f>
        <v>#VALUE!</v>
      </c>
      <c r="IC145" t="e">
        <f>AND('Planilla_General_29-11-2012_10_'!F2183,"AAAAAHv/v+w=")</f>
        <v>#VALUE!</v>
      </c>
      <c r="ID145" t="e">
        <f>AND('Planilla_General_29-11-2012_10_'!G2183,"AAAAAHv/v+0=")</f>
        <v>#VALUE!</v>
      </c>
      <c r="IE145" t="e">
        <f>AND('Planilla_General_29-11-2012_10_'!H2183,"AAAAAHv/v+4=")</f>
        <v>#VALUE!</v>
      </c>
      <c r="IF145" t="e">
        <f>AND('Planilla_General_29-11-2012_10_'!I2183,"AAAAAHv/v+8=")</f>
        <v>#VALUE!</v>
      </c>
      <c r="IG145" t="e">
        <f>AND('Planilla_General_29-11-2012_10_'!J2183,"AAAAAHv/v/A=")</f>
        <v>#VALUE!</v>
      </c>
      <c r="IH145" t="e">
        <f>AND('Planilla_General_29-11-2012_10_'!K2183,"AAAAAHv/v/E=")</f>
        <v>#VALUE!</v>
      </c>
      <c r="II145" t="e">
        <f>AND('Planilla_General_29-11-2012_10_'!L2183,"AAAAAHv/v/I=")</f>
        <v>#VALUE!</v>
      </c>
      <c r="IJ145" t="e">
        <f>AND('Planilla_General_29-11-2012_10_'!M2183,"AAAAAHv/v/M=")</f>
        <v>#VALUE!</v>
      </c>
      <c r="IK145" t="e">
        <f>AND('Planilla_General_29-11-2012_10_'!N2183,"AAAAAHv/v/Q=")</f>
        <v>#VALUE!</v>
      </c>
      <c r="IL145" t="e">
        <f>AND('Planilla_General_29-11-2012_10_'!O2183,"AAAAAHv/v/U=")</f>
        <v>#VALUE!</v>
      </c>
      <c r="IM145" t="e">
        <f>AND('Planilla_General_29-11-2012_10_'!P2183,"AAAAAHv/v/Y=")</f>
        <v>#VALUE!</v>
      </c>
      <c r="IN145">
        <f>IF('Planilla_General_29-11-2012_10_'!2184:2184,"AAAAAHv/v/c=",0)</f>
        <v>0</v>
      </c>
      <c r="IO145" t="e">
        <f>AND('Planilla_General_29-11-2012_10_'!A2184,"AAAAAHv/v/g=")</f>
        <v>#VALUE!</v>
      </c>
      <c r="IP145" t="e">
        <f>AND('Planilla_General_29-11-2012_10_'!B2184,"AAAAAHv/v/k=")</f>
        <v>#VALUE!</v>
      </c>
      <c r="IQ145" t="e">
        <f>AND('Planilla_General_29-11-2012_10_'!C2184,"AAAAAHv/v/o=")</f>
        <v>#VALUE!</v>
      </c>
      <c r="IR145" t="e">
        <f>AND('Planilla_General_29-11-2012_10_'!D2184,"AAAAAHv/v/s=")</f>
        <v>#VALUE!</v>
      </c>
      <c r="IS145" t="e">
        <f>AND('Planilla_General_29-11-2012_10_'!E2184,"AAAAAHv/v/w=")</f>
        <v>#VALUE!</v>
      </c>
      <c r="IT145" t="e">
        <f>AND('Planilla_General_29-11-2012_10_'!F2184,"AAAAAHv/v/0=")</f>
        <v>#VALUE!</v>
      </c>
      <c r="IU145" t="e">
        <f>AND('Planilla_General_29-11-2012_10_'!G2184,"AAAAAHv/v/4=")</f>
        <v>#VALUE!</v>
      </c>
      <c r="IV145" t="e">
        <f>AND('Planilla_General_29-11-2012_10_'!H2184,"AAAAAHv/v/8=")</f>
        <v>#VALUE!</v>
      </c>
    </row>
    <row r="146" spans="1:256" x14ac:dyDescent="0.25">
      <c r="A146" t="e">
        <f>AND('Planilla_General_29-11-2012_10_'!I2184,"AAAAAF+7/wA=")</f>
        <v>#VALUE!</v>
      </c>
      <c r="B146" t="e">
        <f>AND('Planilla_General_29-11-2012_10_'!J2184,"AAAAAF+7/wE=")</f>
        <v>#VALUE!</v>
      </c>
      <c r="C146" t="e">
        <f>AND('Planilla_General_29-11-2012_10_'!K2184,"AAAAAF+7/wI=")</f>
        <v>#VALUE!</v>
      </c>
      <c r="D146" t="e">
        <f>AND('Planilla_General_29-11-2012_10_'!L2184,"AAAAAF+7/wM=")</f>
        <v>#VALUE!</v>
      </c>
      <c r="E146" t="e">
        <f>AND('Planilla_General_29-11-2012_10_'!M2184,"AAAAAF+7/wQ=")</f>
        <v>#VALUE!</v>
      </c>
      <c r="F146" t="e">
        <f>AND('Planilla_General_29-11-2012_10_'!N2184,"AAAAAF+7/wU=")</f>
        <v>#VALUE!</v>
      </c>
      <c r="G146" t="e">
        <f>AND('Planilla_General_29-11-2012_10_'!O2184,"AAAAAF+7/wY=")</f>
        <v>#VALUE!</v>
      </c>
      <c r="H146" t="e">
        <f>AND('Planilla_General_29-11-2012_10_'!P2184,"AAAAAF+7/wc=")</f>
        <v>#VALUE!</v>
      </c>
      <c r="I146" t="e">
        <f>IF('Planilla_General_29-11-2012_10_'!2185:2185,"AAAAAF+7/wg=",0)</f>
        <v>#VALUE!</v>
      </c>
      <c r="J146" t="e">
        <f>AND('Planilla_General_29-11-2012_10_'!A2185,"AAAAAF+7/wk=")</f>
        <v>#VALUE!</v>
      </c>
      <c r="K146" t="e">
        <f>AND('Planilla_General_29-11-2012_10_'!B2185,"AAAAAF+7/wo=")</f>
        <v>#VALUE!</v>
      </c>
      <c r="L146" t="e">
        <f>AND('Planilla_General_29-11-2012_10_'!C2185,"AAAAAF+7/ws=")</f>
        <v>#VALUE!</v>
      </c>
      <c r="M146" t="e">
        <f>AND('Planilla_General_29-11-2012_10_'!D2185,"AAAAAF+7/ww=")</f>
        <v>#VALUE!</v>
      </c>
      <c r="N146" t="e">
        <f>AND('Planilla_General_29-11-2012_10_'!E2185,"AAAAAF+7/w0=")</f>
        <v>#VALUE!</v>
      </c>
      <c r="O146" t="e">
        <f>AND('Planilla_General_29-11-2012_10_'!F2185,"AAAAAF+7/w4=")</f>
        <v>#VALUE!</v>
      </c>
      <c r="P146" t="e">
        <f>AND('Planilla_General_29-11-2012_10_'!G2185,"AAAAAF+7/w8=")</f>
        <v>#VALUE!</v>
      </c>
      <c r="Q146" t="e">
        <f>AND('Planilla_General_29-11-2012_10_'!H2185,"AAAAAF+7/xA=")</f>
        <v>#VALUE!</v>
      </c>
      <c r="R146" t="e">
        <f>AND('Planilla_General_29-11-2012_10_'!I2185,"AAAAAF+7/xE=")</f>
        <v>#VALUE!</v>
      </c>
      <c r="S146" t="e">
        <f>AND('Planilla_General_29-11-2012_10_'!J2185,"AAAAAF+7/xI=")</f>
        <v>#VALUE!</v>
      </c>
      <c r="T146" t="e">
        <f>AND('Planilla_General_29-11-2012_10_'!K2185,"AAAAAF+7/xM=")</f>
        <v>#VALUE!</v>
      </c>
      <c r="U146" t="e">
        <f>AND('Planilla_General_29-11-2012_10_'!L2185,"AAAAAF+7/xQ=")</f>
        <v>#VALUE!</v>
      </c>
      <c r="V146" t="e">
        <f>AND('Planilla_General_29-11-2012_10_'!M2185,"AAAAAF+7/xU=")</f>
        <v>#VALUE!</v>
      </c>
      <c r="W146" t="e">
        <f>AND('Planilla_General_29-11-2012_10_'!N2185,"AAAAAF+7/xY=")</f>
        <v>#VALUE!</v>
      </c>
      <c r="X146" t="e">
        <f>AND('Planilla_General_29-11-2012_10_'!O2185,"AAAAAF+7/xc=")</f>
        <v>#VALUE!</v>
      </c>
      <c r="Y146" t="e">
        <f>AND('Planilla_General_29-11-2012_10_'!P2185,"AAAAAF+7/xg=")</f>
        <v>#VALUE!</v>
      </c>
      <c r="Z146">
        <f>IF('Planilla_General_29-11-2012_10_'!2186:2186,"AAAAAF+7/xk=",0)</f>
        <v>0</v>
      </c>
      <c r="AA146" t="e">
        <f>AND('Planilla_General_29-11-2012_10_'!A2186,"AAAAAF+7/xo=")</f>
        <v>#VALUE!</v>
      </c>
      <c r="AB146" t="e">
        <f>AND('Planilla_General_29-11-2012_10_'!B2186,"AAAAAF+7/xs=")</f>
        <v>#VALUE!</v>
      </c>
      <c r="AC146" t="e">
        <f>AND('Planilla_General_29-11-2012_10_'!C2186,"AAAAAF+7/xw=")</f>
        <v>#VALUE!</v>
      </c>
      <c r="AD146" t="e">
        <f>AND('Planilla_General_29-11-2012_10_'!D2186,"AAAAAF+7/x0=")</f>
        <v>#VALUE!</v>
      </c>
      <c r="AE146" t="e">
        <f>AND('Planilla_General_29-11-2012_10_'!E2186,"AAAAAF+7/x4=")</f>
        <v>#VALUE!</v>
      </c>
      <c r="AF146" t="e">
        <f>AND('Planilla_General_29-11-2012_10_'!F2186,"AAAAAF+7/x8=")</f>
        <v>#VALUE!</v>
      </c>
      <c r="AG146" t="e">
        <f>AND('Planilla_General_29-11-2012_10_'!G2186,"AAAAAF+7/yA=")</f>
        <v>#VALUE!</v>
      </c>
      <c r="AH146" t="e">
        <f>AND('Planilla_General_29-11-2012_10_'!H2186,"AAAAAF+7/yE=")</f>
        <v>#VALUE!</v>
      </c>
      <c r="AI146" t="e">
        <f>AND('Planilla_General_29-11-2012_10_'!I2186,"AAAAAF+7/yI=")</f>
        <v>#VALUE!</v>
      </c>
      <c r="AJ146" t="e">
        <f>AND('Planilla_General_29-11-2012_10_'!J2186,"AAAAAF+7/yM=")</f>
        <v>#VALUE!</v>
      </c>
      <c r="AK146" t="e">
        <f>AND('Planilla_General_29-11-2012_10_'!K2186,"AAAAAF+7/yQ=")</f>
        <v>#VALUE!</v>
      </c>
      <c r="AL146" t="e">
        <f>AND('Planilla_General_29-11-2012_10_'!L2186,"AAAAAF+7/yU=")</f>
        <v>#VALUE!</v>
      </c>
      <c r="AM146" t="e">
        <f>AND('Planilla_General_29-11-2012_10_'!M2186,"AAAAAF+7/yY=")</f>
        <v>#VALUE!</v>
      </c>
      <c r="AN146" t="e">
        <f>AND('Planilla_General_29-11-2012_10_'!N2186,"AAAAAF+7/yc=")</f>
        <v>#VALUE!</v>
      </c>
      <c r="AO146" t="e">
        <f>AND('Planilla_General_29-11-2012_10_'!O2186,"AAAAAF+7/yg=")</f>
        <v>#VALUE!</v>
      </c>
      <c r="AP146" t="e">
        <f>AND('Planilla_General_29-11-2012_10_'!P2186,"AAAAAF+7/yk=")</f>
        <v>#VALUE!</v>
      </c>
      <c r="AQ146">
        <f>IF('Planilla_General_29-11-2012_10_'!2187:2187,"AAAAAF+7/yo=",0)</f>
        <v>0</v>
      </c>
      <c r="AR146" t="e">
        <f>AND('Planilla_General_29-11-2012_10_'!A2187,"AAAAAF+7/ys=")</f>
        <v>#VALUE!</v>
      </c>
      <c r="AS146" t="e">
        <f>AND('Planilla_General_29-11-2012_10_'!B2187,"AAAAAF+7/yw=")</f>
        <v>#VALUE!</v>
      </c>
      <c r="AT146" t="e">
        <f>AND('Planilla_General_29-11-2012_10_'!C2187,"AAAAAF+7/y0=")</f>
        <v>#VALUE!</v>
      </c>
      <c r="AU146" t="e">
        <f>AND('Planilla_General_29-11-2012_10_'!D2187,"AAAAAF+7/y4=")</f>
        <v>#VALUE!</v>
      </c>
      <c r="AV146" t="e">
        <f>AND('Planilla_General_29-11-2012_10_'!E2187,"AAAAAF+7/y8=")</f>
        <v>#VALUE!</v>
      </c>
      <c r="AW146" t="e">
        <f>AND('Planilla_General_29-11-2012_10_'!F2187,"AAAAAF+7/zA=")</f>
        <v>#VALUE!</v>
      </c>
      <c r="AX146" t="e">
        <f>AND('Planilla_General_29-11-2012_10_'!G2187,"AAAAAF+7/zE=")</f>
        <v>#VALUE!</v>
      </c>
      <c r="AY146" t="e">
        <f>AND('Planilla_General_29-11-2012_10_'!H2187,"AAAAAF+7/zI=")</f>
        <v>#VALUE!</v>
      </c>
      <c r="AZ146" t="e">
        <f>AND('Planilla_General_29-11-2012_10_'!I2187,"AAAAAF+7/zM=")</f>
        <v>#VALUE!</v>
      </c>
      <c r="BA146" t="e">
        <f>AND('Planilla_General_29-11-2012_10_'!J2187,"AAAAAF+7/zQ=")</f>
        <v>#VALUE!</v>
      </c>
      <c r="BB146" t="e">
        <f>AND('Planilla_General_29-11-2012_10_'!K2187,"AAAAAF+7/zU=")</f>
        <v>#VALUE!</v>
      </c>
      <c r="BC146" t="e">
        <f>AND('Planilla_General_29-11-2012_10_'!L2187,"AAAAAF+7/zY=")</f>
        <v>#VALUE!</v>
      </c>
      <c r="BD146" t="e">
        <f>AND('Planilla_General_29-11-2012_10_'!M2187,"AAAAAF+7/zc=")</f>
        <v>#VALUE!</v>
      </c>
      <c r="BE146" t="e">
        <f>AND('Planilla_General_29-11-2012_10_'!N2187,"AAAAAF+7/zg=")</f>
        <v>#VALUE!</v>
      </c>
      <c r="BF146" t="e">
        <f>AND('Planilla_General_29-11-2012_10_'!O2187,"AAAAAF+7/zk=")</f>
        <v>#VALUE!</v>
      </c>
      <c r="BG146" t="e">
        <f>AND('Planilla_General_29-11-2012_10_'!P2187,"AAAAAF+7/zo=")</f>
        <v>#VALUE!</v>
      </c>
      <c r="BH146">
        <f>IF('Planilla_General_29-11-2012_10_'!2188:2188,"AAAAAF+7/zs=",0)</f>
        <v>0</v>
      </c>
      <c r="BI146" t="e">
        <f>AND('Planilla_General_29-11-2012_10_'!A2188,"AAAAAF+7/zw=")</f>
        <v>#VALUE!</v>
      </c>
      <c r="BJ146" t="e">
        <f>AND('Planilla_General_29-11-2012_10_'!B2188,"AAAAAF+7/z0=")</f>
        <v>#VALUE!</v>
      </c>
      <c r="BK146" t="e">
        <f>AND('Planilla_General_29-11-2012_10_'!C2188,"AAAAAF+7/z4=")</f>
        <v>#VALUE!</v>
      </c>
      <c r="BL146" t="e">
        <f>AND('Planilla_General_29-11-2012_10_'!D2188,"AAAAAF+7/z8=")</f>
        <v>#VALUE!</v>
      </c>
      <c r="BM146" t="e">
        <f>AND('Planilla_General_29-11-2012_10_'!E2188,"AAAAAF+7/0A=")</f>
        <v>#VALUE!</v>
      </c>
      <c r="BN146" t="e">
        <f>AND('Planilla_General_29-11-2012_10_'!F2188,"AAAAAF+7/0E=")</f>
        <v>#VALUE!</v>
      </c>
      <c r="BO146" t="e">
        <f>AND('Planilla_General_29-11-2012_10_'!G2188,"AAAAAF+7/0I=")</f>
        <v>#VALUE!</v>
      </c>
      <c r="BP146" t="e">
        <f>AND('Planilla_General_29-11-2012_10_'!H2188,"AAAAAF+7/0M=")</f>
        <v>#VALUE!</v>
      </c>
      <c r="BQ146" t="e">
        <f>AND('Planilla_General_29-11-2012_10_'!I2188,"AAAAAF+7/0Q=")</f>
        <v>#VALUE!</v>
      </c>
      <c r="BR146" t="e">
        <f>AND('Planilla_General_29-11-2012_10_'!J2188,"AAAAAF+7/0U=")</f>
        <v>#VALUE!</v>
      </c>
      <c r="BS146" t="e">
        <f>AND('Planilla_General_29-11-2012_10_'!K2188,"AAAAAF+7/0Y=")</f>
        <v>#VALUE!</v>
      </c>
      <c r="BT146" t="e">
        <f>AND('Planilla_General_29-11-2012_10_'!L2188,"AAAAAF+7/0c=")</f>
        <v>#VALUE!</v>
      </c>
      <c r="BU146" t="e">
        <f>AND('Planilla_General_29-11-2012_10_'!M2188,"AAAAAF+7/0g=")</f>
        <v>#VALUE!</v>
      </c>
      <c r="BV146" t="e">
        <f>AND('Planilla_General_29-11-2012_10_'!N2188,"AAAAAF+7/0k=")</f>
        <v>#VALUE!</v>
      </c>
      <c r="BW146" t="e">
        <f>AND('Planilla_General_29-11-2012_10_'!O2188,"AAAAAF+7/0o=")</f>
        <v>#VALUE!</v>
      </c>
      <c r="BX146" t="e">
        <f>AND('Planilla_General_29-11-2012_10_'!P2188,"AAAAAF+7/0s=")</f>
        <v>#VALUE!</v>
      </c>
      <c r="BY146">
        <f>IF('Planilla_General_29-11-2012_10_'!2189:2189,"AAAAAF+7/0w=",0)</f>
        <v>0</v>
      </c>
      <c r="BZ146" t="e">
        <f>AND('Planilla_General_29-11-2012_10_'!A2189,"AAAAAF+7/00=")</f>
        <v>#VALUE!</v>
      </c>
      <c r="CA146" t="e">
        <f>AND('Planilla_General_29-11-2012_10_'!B2189,"AAAAAF+7/04=")</f>
        <v>#VALUE!</v>
      </c>
      <c r="CB146" t="e">
        <f>AND('Planilla_General_29-11-2012_10_'!C2189,"AAAAAF+7/08=")</f>
        <v>#VALUE!</v>
      </c>
      <c r="CC146" t="e">
        <f>AND('Planilla_General_29-11-2012_10_'!D2189,"AAAAAF+7/1A=")</f>
        <v>#VALUE!</v>
      </c>
      <c r="CD146" t="e">
        <f>AND('Planilla_General_29-11-2012_10_'!E2189,"AAAAAF+7/1E=")</f>
        <v>#VALUE!</v>
      </c>
      <c r="CE146" t="e">
        <f>AND('Planilla_General_29-11-2012_10_'!F2189,"AAAAAF+7/1I=")</f>
        <v>#VALUE!</v>
      </c>
      <c r="CF146" t="e">
        <f>AND('Planilla_General_29-11-2012_10_'!G2189,"AAAAAF+7/1M=")</f>
        <v>#VALUE!</v>
      </c>
      <c r="CG146" t="e">
        <f>AND('Planilla_General_29-11-2012_10_'!H2189,"AAAAAF+7/1Q=")</f>
        <v>#VALUE!</v>
      </c>
      <c r="CH146" t="e">
        <f>AND('Planilla_General_29-11-2012_10_'!I2189,"AAAAAF+7/1U=")</f>
        <v>#VALUE!</v>
      </c>
      <c r="CI146" t="e">
        <f>AND('Planilla_General_29-11-2012_10_'!J2189,"AAAAAF+7/1Y=")</f>
        <v>#VALUE!</v>
      </c>
      <c r="CJ146" t="e">
        <f>AND('Planilla_General_29-11-2012_10_'!K2189,"AAAAAF+7/1c=")</f>
        <v>#VALUE!</v>
      </c>
      <c r="CK146" t="e">
        <f>AND('Planilla_General_29-11-2012_10_'!L2189,"AAAAAF+7/1g=")</f>
        <v>#VALUE!</v>
      </c>
      <c r="CL146" t="e">
        <f>AND('Planilla_General_29-11-2012_10_'!M2189,"AAAAAF+7/1k=")</f>
        <v>#VALUE!</v>
      </c>
      <c r="CM146" t="e">
        <f>AND('Planilla_General_29-11-2012_10_'!N2189,"AAAAAF+7/1o=")</f>
        <v>#VALUE!</v>
      </c>
      <c r="CN146" t="e">
        <f>AND('Planilla_General_29-11-2012_10_'!O2189,"AAAAAF+7/1s=")</f>
        <v>#VALUE!</v>
      </c>
      <c r="CO146" t="e">
        <f>AND('Planilla_General_29-11-2012_10_'!P2189,"AAAAAF+7/1w=")</f>
        <v>#VALUE!</v>
      </c>
      <c r="CP146">
        <f>IF('Planilla_General_29-11-2012_10_'!2190:2190,"AAAAAF+7/10=",0)</f>
        <v>0</v>
      </c>
      <c r="CQ146" t="e">
        <f>AND('Planilla_General_29-11-2012_10_'!A2190,"AAAAAF+7/14=")</f>
        <v>#VALUE!</v>
      </c>
      <c r="CR146" t="e">
        <f>AND('Planilla_General_29-11-2012_10_'!B2190,"AAAAAF+7/18=")</f>
        <v>#VALUE!</v>
      </c>
      <c r="CS146" t="e">
        <f>AND('Planilla_General_29-11-2012_10_'!C2190,"AAAAAF+7/2A=")</f>
        <v>#VALUE!</v>
      </c>
      <c r="CT146" t="e">
        <f>AND('Planilla_General_29-11-2012_10_'!D2190,"AAAAAF+7/2E=")</f>
        <v>#VALUE!</v>
      </c>
      <c r="CU146" t="e">
        <f>AND('Planilla_General_29-11-2012_10_'!E2190,"AAAAAF+7/2I=")</f>
        <v>#VALUE!</v>
      </c>
      <c r="CV146" t="e">
        <f>AND('Planilla_General_29-11-2012_10_'!F2190,"AAAAAF+7/2M=")</f>
        <v>#VALUE!</v>
      </c>
      <c r="CW146" t="e">
        <f>AND('Planilla_General_29-11-2012_10_'!G2190,"AAAAAF+7/2Q=")</f>
        <v>#VALUE!</v>
      </c>
      <c r="CX146" t="e">
        <f>AND('Planilla_General_29-11-2012_10_'!H2190,"AAAAAF+7/2U=")</f>
        <v>#VALUE!</v>
      </c>
      <c r="CY146" t="e">
        <f>AND('Planilla_General_29-11-2012_10_'!I2190,"AAAAAF+7/2Y=")</f>
        <v>#VALUE!</v>
      </c>
      <c r="CZ146" t="e">
        <f>AND('Planilla_General_29-11-2012_10_'!J2190,"AAAAAF+7/2c=")</f>
        <v>#VALUE!</v>
      </c>
      <c r="DA146" t="e">
        <f>AND('Planilla_General_29-11-2012_10_'!K2190,"AAAAAF+7/2g=")</f>
        <v>#VALUE!</v>
      </c>
      <c r="DB146" t="e">
        <f>AND('Planilla_General_29-11-2012_10_'!L2190,"AAAAAF+7/2k=")</f>
        <v>#VALUE!</v>
      </c>
      <c r="DC146" t="e">
        <f>AND('Planilla_General_29-11-2012_10_'!M2190,"AAAAAF+7/2o=")</f>
        <v>#VALUE!</v>
      </c>
      <c r="DD146" t="e">
        <f>AND('Planilla_General_29-11-2012_10_'!N2190,"AAAAAF+7/2s=")</f>
        <v>#VALUE!</v>
      </c>
      <c r="DE146" t="e">
        <f>AND('Planilla_General_29-11-2012_10_'!O2190,"AAAAAF+7/2w=")</f>
        <v>#VALUE!</v>
      </c>
      <c r="DF146" t="e">
        <f>AND('Planilla_General_29-11-2012_10_'!P2190,"AAAAAF+7/20=")</f>
        <v>#VALUE!</v>
      </c>
      <c r="DG146">
        <f>IF('Planilla_General_29-11-2012_10_'!2191:2191,"AAAAAF+7/24=",0)</f>
        <v>0</v>
      </c>
      <c r="DH146" t="e">
        <f>AND('Planilla_General_29-11-2012_10_'!A2191,"AAAAAF+7/28=")</f>
        <v>#VALUE!</v>
      </c>
      <c r="DI146" t="e">
        <f>AND('Planilla_General_29-11-2012_10_'!B2191,"AAAAAF+7/3A=")</f>
        <v>#VALUE!</v>
      </c>
      <c r="DJ146" t="e">
        <f>AND('Planilla_General_29-11-2012_10_'!C2191,"AAAAAF+7/3E=")</f>
        <v>#VALUE!</v>
      </c>
      <c r="DK146" t="e">
        <f>AND('Planilla_General_29-11-2012_10_'!D2191,"AAAAAF+7/3I=")</f>
        <v>#VALUE!</v>
      </c>
      <c r="DL146" t="e">
        <f>AND('Planilla_General_29-11-2012_10_'!E2191,"AAAAAF+7/3M=")</f>
        <v>#VALUE!</v>
      </c>
      <c r="DM146" t="e">
        <f>AND('Planilla_General_29-11-2012_10_'!F2191,"AAAAAF+7/3Q=")</f>
        <v>#VALUE!</v>
      </c>
      <c r="DN146" t="e">
        <f>AND('Planilla_General_29-11-2012_10_'!G2191,"AAAAAF+7/3U=")</f>
        <v>#VALUE!</v>
      </c>
      <c r="DO146" t="e">
        <f>AND('Planilla_General_29-11-2012_10_'!H2191,"AAAAAF+7/3Y=")</f>
        <v>#VALUE!</v>
      </c>
      <c r="DP146" t="e">
        <f>AND('Planilla_General_29-11-2012_10_'!I2191,"AAAAAF+7/3c=")</f>
        <v>#VALUE!</v>
      </c>
      <c r="DQ146" t="e">
        <f>AND('Planilla_General_29-11-2012_10_'!J2191,"AAAAAF+7/3g=")</f>
        <v>#VALUE!</v>
      </c>
      <c r="DR146" t="e">
        <f>AND('Planilla_General_29-11-2012_10_'!K2191,"AAAAAF+7/3k=")</f>
        <v>#VALUE!</v>
      </c>
      <c r="DS146" t="e">
        <f>AND('Planilla_General_29-11-2012_10_'!L2191,"AAAAAF+7/3o=")</f>
        <v>#VALUE!</v>
      </c>
      <c r="DT146" t="e">
        <f>AND('Planilla_General_29-11-2012_10_'!M2191,"AAAAAF+7/3s=")</f>
        <v>#VALUE!</v>
      </c>
      <c r="DU146" t="e">
        <f>AND('Planilla_General_29-11-2012_10_'!N2191,"AAAAAF+7/3w=")</f>
        <v>#VALUE!</v>
      </c>
      <c r="DV146" t="e">
        <f>AND('Planilla_General_29-11-2012_10_'!O2191,"AAAAAF+7/30=")</f>
        <v>#VALUE!</v>
      </c>
      <c r="DW146" t="e">
        <f>AND('Planilla_General_29-11-2012_10_'!P2191,"AAAAAF+7/34=")</f>
        <v>#VALUE!</v>
      </c>
      <c r="DX146">
        <f>IF('Planilla_General_29-11-2012_10_'!2192:2192,"AAAAAF+7/38=",0)</f>
        <v>0</v>
      </c>
      <c r="DY146" t="e">
        <f>AND('Planilla_General_29-11-2012_10_'!A2192,"AAAAAF+7/4A=")</f>
        <v>#VALUE!</v>
      </c>
      <c r="DZ146" t="e">
        <f>AND('Planilla_General_29-11-2012_10_'!B2192,"AAAAAF+7/4E=")</f>
        <v>#VALUE!</v>
      </c>
      <c r="EA146" t="e">
        <f>AND('Planilla_General_29-11-2012_10_'!C2192,"AAAAAF+7/4I=")</f>
        <v>#VALUE!</v>
      </c>
      <c r="EB146" t="e">
        <f>AND('Planilla_General_29-11-2012_10_'!D2192,"AAAAAF+7/4M=")</f>
        <v>#VALUE!</v>
      </c>
      <c r="EC146" t="e">
        <f>AND('Planilla_General_29-11-2012_10_'!E2192,"AAAAAF+7/4Q=")</f>
        <v>#VALUE!</v>
      </c>
      <c r="ED146" t="e">
        <f>AND('Planilla_General_29-11-2012_10_'!F2192,"AAAAAF+7/4U=")</f>
        <v>#VALUE!</v>
      </c>
      <c r="EE146" t="e">
        <f>AND('Planilla_General_29-11-2012_10_'!G2192,"AAAAAF+7/4Y=")</f>
        <v>#VALUE!</v>
      </c>
      <c r="EF146" t="e">
        <f>AND('Planilla_General_29-11-2012_10_'!H2192,"AAAAAF+7/4c=")</f>
        <v>#VALUE!</v>
      </c>
      <c r="EG146" t="e">
        <f>AND('Planilla_General_29-11-2012_10_'!I2192,"AAAAAF+7/4g=")</f>
        <v>#VALUE!</v>
      </c>
      <c r="EH146" t="e">
        <f>AND('Planilla_General_29-11-2012_10_'!J2192,"AAAAAF+7/4k=")</f>
        <v>#VALUE!</v>
      </c>
      <c r="EI146" t="e">
        <f>AND('Planilla_General_29-11-2012_10_'!K2192,"AAAAAF+7/4o=")</f>
        <v>#VALUE!</v>
      </c>
      <c r="EJ146" t="e">
        <f>AND('Planilla_General_29-11-2012_10_'!L2192,"AAAAAF+7/4s=")</f>
        <v>#VALUE!</v>
      </c>
      <c r="EK146" t="e">
        <f>AND('Planilla_General_29-11-2012_10_'!M2192,"AAAAAF+7/4w=")</f>
        <v>#VALUE!</v>
      </c>
      <c r="EL146" t="e">
        <f>AND('Planilla_General_29-11-2012_10_'!N2192,"AAAAAF+7/40=")</f>
        <v>#VALUE!</v>
      </c>
      <c r="EM146" t="e">
        <f>AND('Planilla_General_29-11-2012_10_'!O2192,"AAAAAF+7/44=")</f>
        <v>#VALUE!</v>
      </c>
      <c r="EN146" t="e">
        <f>AND('Planilla_General_29-11-2012_10_'!P2192,"AAAAAF+7/48=")</f>
        <v>#VALUE!</v>
      </c>
      <c r="EO146">
        <f>IF('Planilla_General_29-11-2012_10_'!2193:2193,"AAAAAF+7/5A=",0)</f>
        <v>0</v>
      </c>
      <c r="EP146" t="e">
        <f>AND('Planilla_General_29-11-2012_10_'!A2193,"AAAAAF+7/5E=")</f>
        <v>#VALUE!</v>
      </c>
      <c r="EQ146" t="e">
        <f>AND('Planilla_General_29-11-2012_10_'!B2193,"AAAAAF+7/5I=")</f>
        <v>#VALUE!</v>
      </c>
      <c r="ER146" t="e">
        <f>AND('Planilla_General_29-11-2012_10_'!C2193,"AAAAAF+7/5M=")</f>
        <v>#VALUE!</v>
      </c>
      <c r="ES146" t="e">
        <f>AND('Planilla_General_29-11-2012_10_'!D2193,"AAAAAF+7/5Q=")</f>
        <v>#VALUE!</v>
      </c>
      <c r="ET146" t="e">
        <f>AND('Planilla_General_29-11-2012_10_'!E2193,"AAAAAF+7/5U=")</f>
        <v>#VALUE!</v>
      </c>
      <c r="EU146" t="e">
        <f>AND('Planilla_General_29-11-2012_10_'!F2193,"AAAAAF+7/5Y=")</f>
        <v>#VALUE!</v>
      </c>
      <c r="EV146" t="e">
        <f>AND('Planilla_General_29-11-2012_10_'!G2193,"AAAAAF+7/5c=")</f>
        <v>#VALUE!</v>
      </c>
      <c r="EW146" t="e">
        <f>AND('Planilla_General_29-11-2012_10_'!H2193,"AAAAAF+7/5g=")</f>
        <v>#VALUE!</v>
      </c>
      <c r="EX146" t="e">
        <f>AND('Planilla_General_29-11-2012_10_'!I2193,"AAAAAF+7/5k=")</f>
        <v>#VALUE!</v>
      </c>
      <c r="EY146" t="e">
        <f>AND('Planilla_General_29-11-2012_10_'!J2193,"AAAAAF+7/5o=")</f>
        <v>#VALUE!</v>
      </c>
      <c r="EZ146" t="e">
        <f>AND('Planilla_General_29-11-2012_10_'!K2193,"AAAAAF+7/5s=")</f>
        <v>#VALUE!</v>
      </c>
      <c r="FA146" t="e">
        <f>AND('Planilla_General_29-11-2012_10_'!L2193,"AAAAAF+7/5w=")</f>
        <v>#VALUE!</v>
      </c>
      <c r="FB146" t="e">
        <f>AND('Planilla_General_29-11-2012_10_'!M2193,"AAAAAF+7/50=")</f>
        <v>#VALUE!</v>
      </c>
      <c r="FC146" t="e">
        <f>AND('Planilla_General_29-11-2012_10_'!N2193,"AAAAAF+7/54=")</f>
        <v>#VALUE!</v>
      </c>
      <c r="FD146" t="e">
        <f>AND('Planilla_General_29-11-2012_10_'!O2193,"AAAAAF+7/58=")</f>
        <v>#VALUE!</v>
      </c>
      <c r="FE146" t="e">
        <f>AND('Planilla_General_29-11-2012_10_'!P2193,"AAAAAF+7/6A=")</f>
        <v>#VALUE!</v>
      </c>
      <c r="FF146">
        <f>IF('Planilla_General_29-11-2012_10_'!2194:2194,"AAAAAF+7/6E=",0)</f>
        <v>0</v>
      </c>
      <c r="FG146" t="e">
        <f>AND('Planilla_General_29-11-2012_10_'!A2194,"AAAAAF+7/6I=")</f>
        <v>#VALUE!</v>
      </c>
      <c r="FH146" t="e">
        <f>AND('Planilla_General_29-11-2012_10_'!B2194,"AAAAAF+7/6M=")</f>
        <v>#VALUE!</v>
      </c>
      <c r="FI146" t="e">
        <f>AND('Planilla_General_29-11-2012_10_'!C2194,"AAAAAF+7/6Q=")</f>
        <v>#VALUE!</v>
      </c>
      <c r="FJ146" t="e">
        <f>AND('Planilla_General_29-11-2012_10_'!D2194,"AAAAAF+7/6U=")</f>
        <v>#VALUE!</v>
      </c>
      <c r="FK146" t="e">
        <f>AND('Planilla_General_29-11-2012_10_'!E2194,"AAAAAF+7/6Y=")</f>
        <v>#VALUE!</v>
      </c>
      <c r="FL146" t="e">
        <f>AND('Planilla_General_29-11-2012_10_'!F2194,"AAAAAF+7/6c=")</f>
        <v>#VALUE!</v>
      </c>
      <c r="FM146" t="e">
        <f>AND('Planilla_General_29-11-2012_10_'!G2194,"AAAAAF+7/6g=")</f>
        <v>#VALUE!</v>
      </c>
      <c r="FN146" t="e">
        <f>AND('Planilla_General_29-11-2012_10_'!H2194,"AAAAAF+7/6k=")</f>
        <v>#VALUE!</v>
      </c>
      <c r="FO146" t="e">
        <f>AND('Planilla_General_29-11-2012_10_'!I2194,"AAAAAF+7/6o=")</f>
        <v>#VALUE!</v>
      </c>
      <c r="FP146" t="e">
        <f>AND('Planilla_General_29-11-2012_10_'!J2194,"AAAAAF+7/6s=")</f>
        <v>#VALUE!</v>
      </c>
      <c r="FQ146" t="e">
        <f>AND('Planilla_General_29-11-2012_10_'!K2194,"AAAAAF+7/6w=")</f>
        <v>#VALUE!</v>
      </c>
      <c r="FR146" t="e">
        <f>AND('Planilla_General_29-11-2012_10_'!L2194,"AAAAAF+7/60=")</f>
        <v>#VALUE!</v>
      </c>
      <c r="FS146" t="e">
        <f>AND('Planilla_General_29-11-2012_10_'!M2194,"AAAAAF+7/64=")</f>
        <v>#VALUE!</v>
      </c>
      <c r="FT146" t="e">
        <f>AND('Planilla_General_29-11-2012_10_'!N2194,"AAAAAF+7/68=")</f>
        <v>#VALUE!</v>
      </c>
      <c r="FU146" t="e">
        <f>AND('Planilla_General_29-11-2012_10_'!O2194,"AAAAAF+7/7A=")</f>
        <v>#VALUE!</v>
      </c>
      <c r="FV146" t="e">
        <f>AND('Planilla_General_29-11-2012_10_'!P2194,"AAAAAF+7/7E=")</f>
        <v>#VALUE!</v>
      </c>
      <c r="FW146">
        <f>IF('Planilla_General_29-11-2012_10_'!2195:2195,"AAAAAF+7/7I=",0)</f>
        <v>0</v>
      </c>
      <c r="FX146" t="e">
        <f>AND('Planilla_General_29-11-2012_10_'!A2195,"AAAAAF+7/7M=")</f>
        <v>#VALUE!</v>
      </c>
      <c r="FY146" t="e">
        <f>AND('Planilla_General_29-11-2012_10_'!B2195,"AAAAAF+7/7Q=")</f>
        <v>#VALUE!</v>
      </c>
      <c r="FZ146" t="e">
        <f>AND('Planilla_General_29-11-2012_10_'!C2195,"AAAAAF+7/7U=")</f>
        <v>#VALUE!</v>
      </c>
      <c r="GA146" t="e">
        <f>AND('Planilla_General_29-11-2012_10_'!D2195,"AAAAAF+7/7Y=")</f>
        <v>#VALUE!</v>
      </c>
      <c r="GB146" t="e">
        <f>AND('Planilla_General_29-11-2012_10_'!E2195,"AAAAAF+7/7c=")</f>
        <v>#VALUE!</v>
      </c>
      <c r="GC146" t="e">
        <f>AND('Planilla_General_29-11-2012_10_'!F2195,"AAAAAF+7/7g=")</f>
        <v>#VALUE!</v>
      </c>
      <c r="GD146" t="e">
        <f>AND('Planilla_General_29-11-2012_10_'!G2195,"AAAAAF+7/7k=")</f>
        <v>#VALUE!</v>
      </c>
      <c r="GE146" t="e">
        <f>AND('Planilla_General_29-11-2012_10_'!H2195,"AAAAAF+7/7o=")</f>
        <v>#VALUE!</v>
      </c>
      <c r="GF146" t="e">
        <f>AND('Planilla_General_29-11-2012_10_'!I2195,"AAAAAF+7/7s=")</f>
        <v>#VALUE!</v>
      </c>
      <c r="GG146" t="e">
        <f>AND('Planilla_General_29-11-2012_10_'!J2195,"AAAAAF+7/7w=")</f>
        <v>#VALUE!</v>
      </c>
      <c r="GH146" t="e">
        <f>AND('Planilla_General_29-11-2012_10_'!K2195,"AAAAAF+7/70=")</f>
        <v>#VALUE!</v>
      </c>
      <c r="GI146" t="e">
        <f>AND('Planilla_General_29-11-2012_10_'!L2195,"AAAAAF+7/74=")</f>
        <v>#VALUE!</v>
      </c>
      <c r="GJ146" t="e">
        <f>AND('Planilla_General_29-11-2012_10_'!M2195,"AAAAAF+7/78=")</f>
        <v>#VALUE!</v>
      </c>
      <c r="GK146" t="e">
        <f>AND('Planilla_General_29-11-2012_10_'!N2195,"AAAAAF+7/8A=")</f>
        <v>#VALUE!</v>
      </c>
      <c r="GL146" t="e">
        <f>AND('Planilla_General_29-11-2012_10_'!O2195,"AAAAAF+7/8E=")</f>
        <v>#VALUE!</v>
      </c>
      <c r="GM146" t="e">
        <f>AND('Planilla_General_29-11-2012_10_'!P2195,"AAAAAF+7/8I=")</f>
        <v>#VALUE!</v>
      </c>
      <c r="GN146">
        <f>IF('Planilla_General_29-11-2012_10_'!2196:2196,"AAAAAF+7/8M=",0)</f>
        <v>0</v>
      </c>
      <c r="GO146" t="e">
        <f>AND('Planilla_General_29-11-2012_10_'!A2196,"AAAAAF+7/8Q=")</f>
        <v>#VALUE!</v>
      </c>
      <c r="GP146" t="e">
        <f>AND('Planilla_General_29-11-2012_10_'!B2196,"AAAAAF+7/8U=")</f>
        <v>#VALUE!</v>
      </c>
      <c r="GQ146" t="e">
        <f>AND('Planilla_General_29-11-2012_10_'!C2196,"AAAAAF+7/8Y=")</f>
        <v>#VALUE!</v>
      </c>
      <c r="GR146" t="e">
        <f>AND('Planilla_General_29-11-2012_10_'!D2196,"AAAAAF+7/8c=")</f>
        <v>#VALUE!</v>
      </c>
      <c r="GS146" t="e">
        <f>AND('Planilla_General_29-11-2012_10_'!E2196,"AAAAAF+7/8g=")</f>
        <v>#VALUE!</v>
      </c>
      <c r="GT146" t="e">
        <f>AND('Planilla_General_29-11-2012_10_'!F2196,"AAAAAF+7/8k=")</f>
        <v>#VALUE!</v>
      </c>
      <c r="GU146" t="e">
        <f>AND('Planilla_General_29-11-2012_10_'!G2196,"AAAAAF+7/8o=")</f>
        <v>#VALUE!</v>
      </c>
      <c r="GV146" t="e">
        <f>AND('Planilla_General_29-11-2012_10_'!H2196,"AAAAAF+7/8s=")</f>
        <v>#VALUE!</v>
      </c>
      <c r="GW146" t="e">
        <f>AND('Planilla_General_29-11-2012_10_'!I2196,"AAAAAF+7/8w=")</f>
        <v>#VALUE!</v>
      </c>
      <c r="GX146" t="e">
        <f>AND('Planilla_General_29-11-2012_10_'!J2196,"AAAAAF+7/80=")</f>
        <v>#VALUE!</v>
      </c>
      <c r="GY146" t="e">
        <f>AND('Planilla_General_29-11-2012_10_'!K2196,"AAAAAF+7/84=")</f>
        <v>#VALUE!</v>
      </c>
      <c r="GZ146" t="e">
        <f>AND('Planilla_General_29-11-2012_10_'!L2196,"AAAAAF+7/88=")</f>
        <v>#VALUE!</v>
      </c>
      <c r="HA146" t="e">
        <f>AND('Planilla_General_29-11-2012_10_'!M2196,"AAAAAF+7/9A=")</f>
        <v>#VALUE!</v>
      </c>
      <c r="HB146" t="e">
        <f>AND('Planilla_General_29-11-2012_10_'!N2196,"AAAAAF+7/9E=")</f>
        <v>#VALUE!</v>
      </c>
      <c r="HC146" t="e">
        <f>AND('Planilla_General_29-11-2012_10_'!O2196,"AAAAAF+7/9I=")</f>
        <v>#VALUE!</v>
      </c>
      <c r="HD146" t="e">
        <f>AND('Planilla_General_29-11-2012_10_'!P2196,"AAAAAF+7/9M=")</f>
        <v>#VALUE!</v>
      </c>
      <c r="HE146">
        <f>IF('Planilla_General_29-11-2012_10_'!2197:2197,"AAAAAF+7/9Q=",0)</f>
        <v>0</v>
      </c>
      <c r="HF146" t="e">
        <f>AND('Planilla_General_29-11-2012_10_'!A2197,"AAAAAF+7/9U=")</f>
        <v>#VALUE!</v>
      </c>
      <c r="HG146" t="e">
        <f>AND('Planilla_General_29-11-2012_10_'!B2197,"AAAAAF+7/9Y=")</f>
        <v>#VALUE!</v>
      </c>
      <c r="HH146" t="e">
        <f>AND('Planilla_General_29-11-2012_10_'!C2197,"AAAAAF+7/9c=")</f>
        <v>#VALUE!</v>
      </c>
      <c r="HI146" t="e">
        <f>AND('Planilla_General_29-11-2012_10_'!D2197,"AAAAAF+7/9g=")</f>
        <v>#VALUE!</v>
      </c>
      <c r="HJ146" t="e">
        <f>AND('Planilla_General_29-11-2012_10_'!E2197,"AAAAAF+7/9k=")</f>
        <v>#VALUE!</v>
      </c>
      <c r="HK146" t="e">
        <f>AND('Planilla_General_29-11-2012_10_'!F2197,"AAAAAF+7/9o=")</f>
        <v>#VALUE!</v>
      </c>
      <c r="HL146" t="e">
        <f>AND('Planilla_General_29-11-2012_10_'!G2197,"AAAAAF+7/9s=")</f>
        <v>#VALUE!</v>
      </c>
      <c r="HM146" t="e">
        <f>AND('Planilla_General_29-11-2012_10_'!H2197,"AAAAAF+7/9w=")</f>
        <v>#VALUE!</v>
      </c>
      <c r="HN146" t="e">
        <f>AND('Planilla_General_29-11-2012_10_'!I2197,"AAAAAF+7/90=")</f>
        <v>#VALUE!</v>
      </c>
      <c r="HO146" t="e">
        <f>AND('Planilla_General_29-11-2012_10_'!J2197,"AAAAAF+7/94=")</f>
        <v>#VALUE!</v>
      </c>
      <c r="HP146" t="e">
        <f>AND('Planilla_General_29-11-2012_10_'!K2197,"AAAAAF+7/98=")</f>
        <v>#VALUE!</v>
      </c>
      <c r="HQ146" t="e">
        <f>AND('Planilla_General_29-11-2012_10_'!L2197,"AAAAAF+7/+A=")</f>
        <v>#VALUE!</v>
      </c>
      <c r="HR146" t="e">
        <f>AND('Planilla_General_29-11-2012_10_'!M2197,"AAAAAF+7/+E=")</f>
        <v>#VALUE!</v>
      </c>
      <c r="HS146" t="e">
        <f>AND('Planilla_General_29-11-2012_10_'!N2197,"AAAAAF+7/+I=")</f>
        <v>#VALUE!</v>
      </c>
      <c r="HT146" t="e">
        <f>AND('Planilla_General_29-11-2012_10_'!O2197,"AAAAAF+7/+M=")</f>
        <v>#VALUE!</v>
      </c>
      <c r="HU146" t="e">
        <f>AND('Planilla_General_29-11-2012_10_'!P2197,"AAAAAF+7/+Q=")</f>
        <v>#VALUE!</v>
      </c>
      <c r="HV146">
        <f>IF('Planilla_General_29-11-2012_10_'!2198:2198,"AAAAAF+7/+U=",0)</f>
        <v>0</v>
      </c>
      <c r="HW146" t="e">
        <f>AND('Planilla_General_29-11-2012_10_'!A2198,"AAAAAF+7/+Y=")</f>
        <v>#VALUE!</v>
      </c>
      <c r="HX146" t="e">
        <f>AND('Planilla_General_29-11-2012_10_'!B2198,"AAAAAF+7/+c=")</f>
        <v>#VALUE!</v>
      </c>
      <c r="HY146" t="e">
        <f>AND('Planilla_General_29-11-2012_10_'!C2198,"AAAAAF+7/+g=")</f>
        <v>#VALUE!</v>
      </c>
      <c r="HZ146" t="e">
        <f>AND('Planilla_General_29-11-2012_10_'!D2198,"AAAAAF+7/+k=")</f>
        <v>#VALUE!</v>
      </c>
      <c r="IA146" t="e">
        <f>AND('Planilla_General_29-11-2012_10_'!E2198,"AAAAAF+7/+o=")</f>
        <v>#VALUE!</v>
      </c>
      <c r="IB146" t="e">
        <f>AND('Planilla_General_29-11-2012_10_'!F2198,"AAAAAF+7/+s=")</f>
        <v>#VALUE!</v>
      </c>
      <c r="IC146" t="e">
        <f>AND('Planilla_General_29-11-2012_10_'!G2198,"AAAAAF+7/+w=")</f>
        <v>#VALUE!</v>
      </c>
      <c r="ID146" t="e">
        <f>AND('Planilla_General_29-11-2012_10_'!H2198,"AAAAAF+7/+0=")</f>
        <v>#VALUE!</v>
      </c>
      <c r="IE146" t="e">
        <f>AND('Planilla_General_29-11-2012_10_'!I2198,"AAAAAF+7/+4=")</f>
        <v>#VALUE!</v>
      </c>
      <c r="IF146" t="e">
        <f>AND('Planilla_General_29-11-2012_10_'!J2198,"AAAAAF+7/+8=")</f>
        <v>#VALUE!</v>
      </c>
      <c r="IG146" t="e">
        <f>AND('Planilla_General_29-11-2012_10_'!K2198,"AAAAAF+7//A=")</f>
        <v>#VALUE!</v>
      </c>
      <c r="IH146" t="e">
        <f>AND('Planilla_General_29-11-2012_10_'!L2198,"AAAAAF+7//E=")</f>
        <v>#VALUE!</v>
      </c>
      <c r="II146" t="e">
        <f>AND('Planilla_General_29-11-2012_10_'!M2198,"AAAAAF+7//I=")</f>
        <v>#VALUE!</v>
      </c>
      <c r="IJ146" t="e">
        <f>AND('Planilla_General_29-11-2012_10_'!N2198,"AAAAAF+7//M=")</f>
        <v>#VALUE!</v>
      </c>
      <c r="IK146" t="e">
        <f>AND('Planilla_General_29-11-2012_10_'!O2198,"AAAAAF+7//Q=")</f>
        <v>#VALUE!</v>
      </c>
      <c r="IL146" t="e">
        <f>AND('Planilla_General_29-11-2012_10_'!P2198,"AAAAAF+7//U=")</f>
        <v>#VALUE!</v>
      </c>
      <c r="IM146">
        <f>IF('Planilla_General_29-11-2012_10_'!2199:2199,"AAAAAF+7//Y=",0)</f>
        <v>0</v>
      </c>
      <c r="IN146" t="e">
        <f>AND('Planilla_General_29-11-2012_10_'!A2199,"AAAAAF+7//c=")</f>
        <v>#VALUE!</v>
      </c>
      <c r="IO146" t="e">
        <f>AND('Planilla_General_29-11-2012_10_'!B2199,"AAAAAF+7//g=")</f>
        <v>#VALUE!</v>
      </c>
      <c r="IP146" t="e">
        <f>AND('Planilla_General_29-11-2012_10_'!C2199,"AAAAAF+7//k=")</f>
        <v>#VALUE!</v>
      </c>
      <c r="IQ146" t="e">
        <f>AND('Planilla_General_29-11-2012_10_'!D2199,"AAAAAF+7//o=")</f>
        <v>#VALUE!</v>
      </c>
      <c r="IR146" t="e">
        <f>AND('Planilla_General_29-11-2012_10_'!E2199,"AAAAAF+7//s=")</f>
        <v>#VALUE!</v>
      </c>
      <c r="IS146" t="e">
        <f>AND('Planilla_General_29-11-2012_10_'!F2199,"AAAAAF+7//w=")</f>
        <v>#VALUE!</v>
      </c>
      <c r="IT146" t="e">
        <f>AND('Planilla_General_29-11-2012_10_'!G2199,"AAAAAF+7//0=")</f>
        <v>#VALUE!</v>
      </c>
      <c r="IU146" t="e">
        <f>AND('Planilla_General_29-11-2012_10_'!H2199,"AAAAAF+7//4=")</f>
        <v>#VALUE!</v>
      </c>
      <c r="IV146" t="e">
        <f>AND('Planilla_General_29-11-2012_10_'!I2199,"AAAAAF+7//8=")</f>
        <v>#VALUE!</v>
      </c>
    </row>
    <row r="147" spans="1:256" x14ac:dyDescent="0.25">
      <c r="A147" t="e">
        <f>AND('Planilla_General_29-11-2012_10_'!J2199,"AAAAAH9/8QA=")</f>
        <v>#VALUE!</v>
      </c>
      <c r="B147" t="e">
        <f>AND('Planilla_General_29-11-2012_10_'!K2199,"AAAAAH9/8QE=")</f>
        <v>#VALUE!</v>
      </c>
      <c r="C147" t="e">
        <f>AND('Planilla_General_29-11-2012_10_'!L2199,"AAAAAH9/8QI=")</f>
        <v>#VALUE!</v>
      </c>
      <c r="D147" t="e">
        <f>AND('Planilla_General_29-11-2012_10_'!M2199,"AAAAAH9/8QM=")</f>
        <v>#VALUE!</v>
      </c>
      <c r="E147" t="e">
        <f>AND('Planilla_General_29-11-2012_10_'!N2199,"AAAAAH9/8QQ=")</f>
        <v>#VALUE!</v>
      </c>
      <c r="F147" t="e">
        <f>AND('Planilla_General_29-11-2012_10_'!O2199,"AAAAAH9/8QU=")</f>
        <v>#VALUE!</v>
      </c>
      <c r="G147" t="e">
        <f>AND('Planilla_General_29-11-2012_10_'!P2199,"AAAAAH9/8QY=")</f>
        <v>#VALUE!</v>
      </c>
      <c r="H147" t="e">
        <f>IF('Planilla_General_29-11-2012_10_'!2200:2200,"AAAAAH9/8Qc=",0)</f>
        <v>#VALUE!</v>
      </c>
      <c r="I147" t="e">
        <f>AND('Planilla_General_29-11-2012_10_'!A2200,"AAAAAH9/8Qg=")</f>
        <v>#VALUE!</v>
      </c>
      <c r="J147" t="e">
        <f>AND('Planilla_General_29-11-2012_10_'!B2200,"AAAAAH9/8Qk=")</f>
        <v>#VALUE!</v>
      </c>
      <c r="K147" t="e">
        <f>AND('Planilla_General_29-11-2012_10_'!C2200,"AAAAAH9/8Qo=")</f>
        <v>#VALUE!</v>
      </c>
      <c r="L147" t="e">
        <f>AND('Planilla_General_29-11-2012_10_'!D2200,"AAAAAH9/8Qs=")</f>
        <v>#VALUE!</v>
      </c>
      <c r="M147" t="e">
        <f>AND('Planilla_General_29-11-2012_10_'!E2200,"AAAAAH9/8Qw=")</f>
        <v>#VALUE!</v>
      </c>
      <c r="N147" t="e">
        <f>AND('Planilla_General_29-11-2012_10_'!F2200,"AAAAAH9/8Q0=")</f>
        <v>#VALUE!</v>
      </c>
      <c r="O147" t="e">
        <f>AND('Planilla_General_29-11-2012_10_'!G2200,"AAAAAH9/8Q4=")</f>
        <v>#VALUE!</v>
      </c>
      <c r="P147" t="e">
        <f>AND('Planilla_General_29-11-2012_10_'!H2200,"AAAAAH9/8Q8=")</f>
        <v>#VALUE!</v>
      </c>
      <c r="Q147" t="e">
        <f>AND('Planilla_General_29-11-2012_10_'!I2200,"AAAAAH9/8RA=")</f>
        <v>#VALUE!</v>
      </c>
      <c r="R147" t="e">
        <f>AND('Planilla_General_29-11-2012_10_'!J2200,"AAAAAH9/8RE=")</f>
        <v>#VALUE!</v>
      </c>
      <c r="S147" t="e">
        <f>AND('Planilla_General_29-11-2012_10_'!K2200,"AAAAAH9/8RI=")</f>
        <v>#VALUE!</v>
      </c>
      <c r="T147" t="e">
        <f>AND('Planilla_General_29-11-2012_10_'!L2200,"AAAAAH9/8RM=")</f>
        <v>#VALUE!</v>
      </c>
      <c r="U147" t="e">
        <f>AND('Planilla_General_29-11-2012_10_'!M2200,"AAAAAH9/8RQ=")</f>
        <v>#VALUE!</v>
      </c>
      <c r="V147" t="e">
        <f>AND('Planilla_General_29-11-2012_10_'!N2200,"AAAAAH9/8RU=")</f>
        <v>#VALUE!</v>
      </c>
      <c r="W147" t="e">
        <f>AND('Planilla_General_29-11-2012_10_'!O2200,"AAAAAH9/8RY=")</f>
        <v>#VALUE!</v>
      </c>
      <c r="X147" t="e">
        <f>AND('Planilla_General_29-11-2012_10_'!P2200,"AAAAAH9/8Rc=")</f>
        <v>#VALUE!</v>
      </c>
      <c r="Y147">
        <f>IF('Planilla_General_29-11-2012_10_'!2201:2201,"AAAAAH9/8Rg=",0)</f>
        <v>0</v>
      </c>
      <c r="Z147" t="e">
        <f>AND('Planilla_General_29-11-2012_10_'!A2201,"AAAAAH9/8Rk=")</f>
        <v>#VALUE!</v>
      </c>
      <c r="AA147" t="e">
        <f>AND('Planilla_General_29-11-2012_10_'!B2201,"AAAAAH9/8Ro=")</f>
        <v>#VALUE!</v>
      </c>
      <c r="AB147" t="e">
        <f>AND('Planilla_General_29-11-2012_10_'!C2201,"AAAAAH9/8Rs=")</f>
        <v>#VALUE!</v>
      </c>
      <c r="AC147" t="e">
        <f>AND('Planilla_General_29-11-2012_10_'!D2201,"AAAAAH9/8Rw=")</f>
        <v>#VALUE!</v>
      </c>
      <c r="AD147" t="e">
        <f>AND('Planilla_General_29-11-2012_10_'!E2201,"AAAAAH9/8R0=")</f>
        <v>#VALUE!</v>
      </c>
      <c r="AE147" t="e">
        <f>AND('Planilla_General_29-11-2012_10_'!F2201,"AAAAAH9/8R4=")</f>
        <v>#VALUE!</v>
      </c>
      <c r="AF147" t="e">
        <f>AND('Planilla_General_29-11-2012_10_'!G2201,"AAAAAH9/8R8=")</f>
        <v>#VALUE!</v>
      </c>
      <c r="AG147" t="e">
        <f>AND('Planilla_General_29-11-2012_10_'!H2201,"AAAAAH9/8SA=")</f>
        <v>#VALUE!</v>
      </c>
      <c r="AH147" t="e">
        <f>AND('Planilla_General_29-11-2012_10_'!I2201,"AAAAAH9/8SE=")</f>
        <v>#VALUE!</v>
      </c>
      <c r="AI147" t="e">
        <f>AND('Planilla_General_29-11-2012_10_'!J2201,"AAAAAH9/8SI=")</f>
        <v>#VALUE!</v>
      </c>
      <c r="AJ147" t="e">
        <f>AND('Planilla_General_29-11-2012_10_'!K2201,"AAAAAH9/8SM=")</f>
        <v>#VALUE!</v>
      </c>
      <c r="AK147" t="e">
        <f>AND('Planilla_General_29-11-2012_10_'!L2201,"AAAAAH9/8SQ=")</f>
        <v>#VALUE!</v>
      </c>
      <c r="AL147" t="e">
        <f>AND('Planilla_General_29-11-2012_10_'!M2201,"AAAAAH9/8SU=")</f>
        <v>#VALUE!</v>
      </c>
      <c r="AM147" t="e">
        <f>AND('Planilla_General_29-11-2012_10_'!N2201,"AAAAAH9/8SY=")</f>
        <v>#VALUE!</v>
      </c>
      <c r="AN147" t="e">
        <f>AND('Planilla_General_29-11-2012_10_'!O2201,"AAAAAH9/8Sc=")</f>
        <v>#VALUE!</v>
      </c>
      <c r="AO147" t="e">
        <f>AND('Planilla_General_29-11-2012_10_'!P2201,"AAAAAH9/8Sg=")</f>
        <v>#VALUE!</v>
      </c>
      <c r="AP147">
        <f>IF('Planilla_General_29-11-2012_10_'!2202:2202,"AAAAAH9/8Sk=",0)</f>
        <v>0</v>
      </c>
      <c r="AQ147" t="e">
        <f>AND('Planilla_General_29-11-2012_10_'!A2202,"AAAAAH9/8So=")</f>
        <v>#VALUE!</v>
      </c>
      <c r="AR147" t="e">
        <f>AND('Planilla_General_29-11-2012_10_'!B2202,"AAAAAH9/8Ss=")</f>
        <v>#VALUE!</v>
      </c>
      <c r="AS147" t="e">
        <f>AND('Planilla_General_29-11-2012_10_'!C2202,"AAAAAH9/8Sw=")</f>
        <v>#VALUE!</v>
      </c>
      <c r="AT147" t="e">
        <f>AND('Planilla_General_29-11-2012_10_'!D2202,"AAAAAH9/8S0=")</f>
        <v>#VALUE!</v>
      </c>
      <c r="AU147" t="e">
        <f>AND('Planilla_General_29-11-2012_10_'!E2202,"AAAAAH9/8S4=")</f>
        <v>#VALUE!</v>
      </c>
      <c r="AV147" t="e">
        <f>AND('Planilla_General_29-11-2012_10_'!F2202,"AAAAAH9/8S8=")</f>
        <v>#VALUE!</v>
      </c>
      <c r="AW147" t="e">
        <f>AND('Planilla_General_29-11-2012_10_'!G2202,"AAAAAH9/8TA=")</f>
        <v>#VALUE!</v>
      </c>
      <c r="AX147" t="e">
        <f>AND('Planilla_General_29-11-2012_10_'!H2202,"AAAAAH9/8TE=")</f>
        <v>#VALUE!</v>
      </c>
      <c r="AY147" t="e">
        <f>AND('Planilla_General_29-11-2012_10_'!I2202,"AAAAAH9/8TI=")</f>
        <v>#VALUE!</v>
      </c>
      <c r="AZ147" t="e">
        <f>AND('Planilla_General_29-11-2012_10_'!J2202,"AAAAAH9/8TM=")</f>
        <v>#VALUE!</v>
      </c>
      <c r="BA147" t="e">
        <f>AND('Planilla_General_29-11-2012_10_'!K2202,"AAAAAH9/8TQ=")</f>
        <v>#VALUE!</v>
      </c>
      <c r="BB147" t="e">
        <f>AND('Planilla_General_29-11-2012_10_'!L2202,"AAAAAH9/8TU=")</f>
        <v>#VALUE!</v>
      </c>
      <c r="BC147" t="e">
        <f>AND('Planilla_General_29-11-2012_10_'!M2202,"AAAAAH9/8TY=")</f>
        <v>#VALUE!</v>
      </c>
      <c r="BD147" t="e">
        <f>AND('Planilla_General_29-11-2012_10_'!N2202,"AAAAAH9/8Tc=")</f>
        <v>#VALUE!</v>
      </c>
      <c r="BE147" t="e">
        <f>AND('Planilla_General_29-11-2012_10_'!O2202,"AAAAAH9/8Tg=")</f>
        <v>#VALUE!</v>
      </c>
      <c r="BF147" t="e">
        <f>AND('Planilla_General_29-11-2012_10_'!P2202,"AAAAAH9/8Tk=")</f>
        <v>#VALUE!</v>
      </c>
      <c r="BG147">
        <f>IF('Planilla_General_29-11-2012_10_'!2203:2203,"AAAAAH9/8To=",0)</f>
        <v>0</v>
      </c>
      <c r="BH147" t="e">
        <f>AND('Planilla_General_29-11-2012_10_'!A2203,"AAAAAH9/8Ts=")</f>
        <v>#VALUE!</v>
      </c>
      <c r="BI147" t="e">
        <f>AND('Planilla_General_29-11-2012_10_'!B2203,"AAAAAH9/8Tw=")</f>
        <v>#VALUE!</v>
      </c>
      <c r="BJ147" t="e">
        <f>AND('Planilla_General_29-11-2012_10_'!C2203,"AAAAAH9/8T0=")</f>
        <v>#VALUE!</v>
      </c>
      <c r="BK147" t="e">
        <f>AND('Planilla_General_29-11-2012_10_'!D2203,"AAAAAH9/8T4=")</f>
        <v>#VALUE!</v>
      </c>
      <c r="BL147" t="e">
        <f>AND('Planilla_General_29-11-2012_10_'!E2203,"AAAAAH9/8T8=")</f>
        <v>#VALUE!</v>
      </c>
      <c r="BM147" t="e">
        <f>AND('Planilla_General_29-11-2012_10_'!F2203,"AAAAAH9/8UA=")</f>
        <v>#VALUE!</v>
      </c>
      <c r="BN147" t="e">
        <f>AND('Planilla_General_29-11-2012_10_'!G2203,"AAAAAH9/8UE=")</f>
        <v>#VALUE!</v>
      </c>
      <c r="BO147" t="e">
        <f>AND('Planilla_General_29-11-2012_10_'!H2203,"AAAAAH9/8UI=")</f>
        <v>#VALUE!</v>
      </c>
      <c r="BP147" t="e">
        <f>AND('Planilla_General_29-11-2012_10_'!I2203,"AAAAAH9/8UM=")</f>
        <v>#VALUE!</v>
      </c>
      <c r="BQ147" t="e">
        <f>AND('Planilla_General_29-11-2012_10_'!J2203,"AAAAAH9/8UQ=")</f>
        <v>#VALUE!</v>
      </c>
      <c r="BR147" t="e">
        <f>AND('Planilla_General_29-11-2012_10_'!K2203,"AAAAAH9/8UU=")</f>
        <v>#VALUE!</v>
      </c>
      <c r="BS147" t="e">
        <f>AND('Planilla_General_29-11-2012_10_'!L2203,"AAAAAH9/8UY=")</f>
        <v>#VALUE!</v>
      </c>
      <c r="BT147" t="e">
        <f>AND('Planilla_General_29-11-2012_10_'!M2203,"AAAAAH9/8Uc=")</f>
        <v>#VALUE!</v>
      </c>
      <c r="BU147" t="e">
        <f>AND('Planilla_General_29-11-2012_10_'!N2203,"AAAAAH9/8Ug=")</f>
        <v>#VALUE!</v>
      </c>
      <c r="BV147" t="e">
        <f>AND('Planilla_General_29-11-2012_10_'!O2203,"AAAAAH9/8Uk=")</f>
        <v>#VALUE!</v>
      </c>
      <c r="BW147" t="e">
        <f>AND('Planilla_General_29-11-2012_10_'!P2203,"AAAAAH9/8Uo=")</f>
        <v>#VALUE!</v>
      </c>
      <c r="BX147">
        <f>IF('Planilla_General_29-11-2012_10_'!2204:2204,"AAAAAH9/8Us=",0)</f>
        <v>0</v>
      </c>
      <c r="BY147" t="e">
        <f>AND('Planilla_General_29-11-2012_10_'!A2204,"AAAAAH9/8Uw=")</f>
        <v>#VALUE!</v>
      </c>
      <c r="BZ147" t="e">
        <f>AND('Planilla_General_29-11-2012_10_'!B2204,"AAAAAH9/8U0=")</f>
        <v>#VALUE!</v>
      </c>
      <c r="CA147" t="e">
        <f>AND('Planilla_General_29-11-2012_10_'!C2204,"AAAAAH9/8U4=")</f>
        <v>#VALUE!</v>
      </c>
      <c r="CB147" t="e">
        <f>AND('Planilla_General_29-11-2012_10_'!D2204,"AAAAAH9/8U8=")</f>
        <v>#VALUE!</v>
      </c>
      <c r="CC147" t="e">
        <f>AND('Planilla_General_29-11-2012_10_'!E2204,"AAAAAH9/8VA=")</f>
        <v>#VALUE!</v>
      </c>
      <c r="CD147" t="e">
        <f>AND('Planilla_General_29-11-2012_10_'!F2204,"AAAAAH9/8VE=")</f>
        <v>#VALUE!</v>
      </c>
      <c r="CE147" t="e">
        <f>AND('Planilla_General_29-11-2012_10_'!G2204,"AAAAAH9/8VI=")</f>
        <v>#VALUE!</v>
      </c>
      <c r="CF147" t="e">
        <f>AND('Planilla_General_29-11-2012_10_'!H2204,"AAAAAH9/8VM=")</f>
        <v>#VALUE!</v>
      </c>
      <c r="CG147" t="e">
        <f>AND('Planilla_General_29-11-2012_10_'!I2204,"AAAAAH9/8VQ=")</f>
        <v>#VALUE!</v>
      </c>
      <c r="CH147" t="e">
        <f>AND('Planilla_General_29-11-2012_10_'!J2204,"AAAAAH9/8VU=")</f>
        <v>#VALUE!</v>
      </c>
      <c r="CI147" t="e">
        <f>AND('Planilla_General_29-11-2012_10_'!K2204,"AAAAAH9/8VY=")</f>
        <v>#VALUE!</v>
      </c>
      <c r="CJ147" t="e">
        <f>AND('Planilla_General_29-11-2012_10_'!L2204,"AAAAAH9/8Vc=")</f>
        <v>#VALUE!</v>
      </c>
      <c r="CK147" t="e">
        <f>AND('Planilla_General_29-11-2012_10_'!M2204,"AAAAAH9/8Vg=")</f>
        <v>#VALUE!</v>
      </c>
      <c r="CL147" t="e">
        <f>AND('Planilla_General_29-11-2012_10_'!N2204,"AAAAAH9/8Vk=")</f>
        <v>#VALUE!</v>
      </c>
      <c r="CM147" t="e">
        <f>AND('Planilla_General_29-11-2012_10_'!O2204,"AAAAAH9/8Vo=")</f>
        <v>#VALUE!</v>
      </c>
      <c r="CN147" t="e">
        <f>AND('Planilla_General_29-11-2012_10_'!P2204,"AAAAAH9/8Vs=")</f>
        <v>#VALUE!</v>
      </c>
      <c r="CO147">
        <f>IF('Planilla_General_29-11-2012_10_'!2205:2205,"AAAAAH9/8Vw=",0)</f>
        <v>0</v>
      </c>
      <c r="CP147" t="e">
        <f>AND('Planilla_General_29-11-2012_10_'!A2205,"AAAAAH9/8V0=")</f>
        <v>#VALUE!</v>
      </c>
      <c r="CQ147" t="e">
        <f>AND('Planilla_General_29-11-2012_10_'!B2205,"AAAAAH9/8V4=")</f>
        <v>#VALUE!</v>
      </c>
      <c r="CR147" t="e">
        <f>AND('Planilla_General_29-11-2012_10_'!C2205,"AAAAAH9/8V8=")</f>
        <v>#VALUE!</v>
      </c>
      <c r="CS147" t="e">
        <f>AND('Planilla_General_29-11-2012_10_'!D2205,"AAAAAH9/8WA=")</f>
        <v>#VALUE!</v>
      </c>
      <c r="CT147" t="e">
        <f>AND('Planilla_General_29-11-2012_10_'!E2205,"AAAAAH9/8WE=")</f>
        <v>#VALUE!</v>
      </c>
      <c r="CU147" t="e">
        <f>AND('Planilla_General_29-11-2012_10_'!F2205,"AAAAAH9/8WI=")</f>
        <v>#VALUE!</v>
      </c>
      <c r="CV147" t="e">
        <f>AND('Planilla_General_29-11-2012_10_'!G2205,"AAAAAH9/8WM=")</f>
        <v>#VALUE!</v>
      </c>
      <c r="CW147" t="e">
        <f>AND('Planilla_General_29-11-2012_10_'!H2205,"AAAAAH9/8WQ=")</f>
        <v>#VALUE!</v>
      </c>
      <c r="CX147" t="e">
        <f>AND('Planilla_General_29-11-2012_10_'!I2205,"AAAAAH9/8WU=")</f>
        <v>#VALUE!</v>
      </c>
      <c r="CY147" t="e">
        <f>AND('Planilla_General_29-11-2012_10_'!J2205,"AAAAAH9/8WY=")</f>
        <v>#VALUE!</v>
      </c>
      <c r="CZ147" t="e">
        <f>AND('Planilla_General_29-11-2012_10_'!K2205,"AAAAAH9/8Wc=")</f>
        <v>#VALUE!</v>
      </c>
      <c r="DA147" t="e">
        <f>AND('Planilla_General_29-11-2012_10_'!L2205,"AAAAAH9/8Wg=")</f>
        <v>#VALUE!</v>
      </c>
      <c r="DB147" t="e">
        <f>AND('Planilla_General_29-11-2012_10_'!M2205,"AAAAAH9/8Wk=")</f>
        <v>#VALUE!</v>
      </c>
      <c r="DC147" t="e">
        <f>AND('Planilla_General_29-11-2012_10_'!N2205,"AAAAAH9/8Wo=")</f>
        <v>#VALUE!</v>
      </c>
      <c r="DD147" t="e">
        <f>AND('Planilla_General_29-11-2012_10_'!O2205,"AAAAAH9/8Ws=")</f>
        <v>#VALUE!</v>
      </c>
      <c r="DE147" t="e">
        <f>AND('Planilla_General_29-11-2012_10_'!P2205,"AAAAAH9/8Ww=")</f>
        <v>#VALUE!</v>
      </c>
      <c r="DF147">
        <f>IF('Planilla_General_29-11-2012_10_'!2206:2206,"AAAAAH9/8W0=",0)</f>
        <v>0</v>
      </c>
      <c r="DG147" t="e">
        <f>AND('Planilla_General_29-11-2012_10_'!A2206,"AAAAAH9/8W4=")</f>
        <v>#VALUE!</v>
      </c>
      <c r="DH147" t="e">
        <f>AND('Planilla_General_29-11-2012_10_'!B2206,"AAAAAH9/8W8=")</f>
        <v>#VALUE!</v>
      </c>
      <c r="DI147" t="e">
        <f>AND('Planilla_General_29-11-2012_10_'!C2206,"AAAAAH9/8XA=")</f>
        <v>#VALUE!</v>
      </c>
      <c r="DJ147" t="e">
        <f>AND('Planilla_General_29-11-2012_10_'!D2206,"AAAAAH9/8XE=")</f>
        <v>#VALUE!</v>
      </c>
      <c r="DK147" t="e">
        <f>AND('Planilla_General_29-11-2012_10_'!E2206,"AAAAAH9/8XI=")</f>
        <v>#VALUE!</v>
      </c>
      <c r="DL147" t="e">
        <f>AND('Planilla_General_29-11-2012_10_'!F2206,"AAAAAH9/8XM=")</f>
        <v>#VALUE!</v>
      </c>
      <c r="DM147" t="e">
        <f>AND('Planilla_General_29-11-2012_10_'!G2206,"AAAAAH9/8XQ=")</f>
        <v>#VALUE!</v>
      </c>
      <c r="DN147" t="e">
        <f>AND('Planilla_General_29-11-2012_10_'!H2206,"AAAAAH9/8XU=")</f>
        <v>#VALUE!</v>
      </c>
      <c r="DO147" t="e">
        <f>AND('Planilla_General_29-11-2012_10_'!I2206,"AAAAAH9/8XY=")</f>
        <v>#VALUE!</v>
      </c>
      <c r="DP147" t="e">
        <f>AND('Planilla_General_29-11-2012_10_'!J2206,"AAAAAH9/8Xc=")</f>
        <v>#VALUE!</v>
      </c>
      <c r="DQ147" t="e">
        <f>AND('Planilla_General_29-11-2012_10_'!K2206,"AAAAAH9/8Xg=")</f>
        <v>#VALUE!</v>
      </c>
      <c r="DR147" t="e">
        <f>AND('Planilla_General_29-11-2012_10_'!L2206,"AAAAAH9/8Xk=")</f>
        <v>#VALUE!</v>
      </c>
      <c r="DS147" t="e">
        <f>AND('Planilla_General_29-11-2012_10_'!M2206,"AAAAAH9/8Xo=")</f>
        <v>#VALUE!</v>
      </c>
      <c r="DT147" t="e">
        <f>AND('Planilla_General_29-11-2012_10_'!N2206,"AAAAAH9/8Xs=")</f>
        <v>#VALUE!</v>
      </c>
      <c r="DU147" t="e">
        <f>AND('Planilla_General_29-11-2012_10_'!O2206,"AAAAAH9/8Xw=")</f>
        <v>#VALUE!</v>
      </c>
      <c r="DV147" t="e">
        <f>AND('Planilla_General_29-11-2012_10_'!P2206,"AAAAAH9/8X0=")</f>
        <v>#VALUE!</v>
      </c>
      <c r="DW147">
        <f>IF('Planilla_General_29-11-2012_10_'!2207:2207,"AAAAAH9/8X4=",0)</f>
        <v>0</v>
      </c>
      <c r="DX147" t="e">
        <f>AND('Planilla_General_29-11-2012_10_'!A2207,"AAAAAH9/8X8=")</f>
        <v>#VALUE!</v>
      </c>
      <c r="DY147" t="e">
        <f>AND('Planilla_General_29-11-2012_10_'!B2207,"AAAAAH9/8YA=")</f>
        <v>#VALUE!</v>
      </c>
      <c r="DZ147" t="e">
        <f>AND('Planilla_General_29-11-2012_10_'!C2207,"AAAAAH9/8YE=")</f>
        <v>#VALUE!</v>
      </c>
      <c r="EA147" t="e">
        <f>AND('Planilla_General_29-11-2012_10_'!D2207,"AAAAAH9/8YI=")</f>
        <v>#VALUE!</v>
      </c>
      <c r="EB147" t="e">
        <f>AND('Planilla_General_29-11-2012_10_'!E2207,"AAAAAH9/8YM=")</f>
        <v>#VALUE!</v>
      </c>
      <c r="EC147" t="e">
        <f>AND('Planilla_General_29-11-2012_10_'!F2207,"AAAAAH9/8YQ=")</f>
        <v>#VALUE!</v>
      </c>
      <c r="ED147" t="e">
        <f>AND('Planilla_General_29-11-2012_10_'!G2207,"AAAAAH9/8YU=")</f>
        <v>#VALUE!</v>
      </c>
      <c r="EE147" t="e">
        <f>AND('Planilla_General_29-11-2012_10_'!H2207,"AAAAAH9/8YY=")</f>
        <v>#VALUE!</v>
      </c>
      <c r="EF147" t="e">
        <f>AND('Planilla_General_29-11-2012_10_'!I2207,"AAAAAH9/8Yc=")</f>
        <v>#VALUE!</v>
      </c>
      <c r="EG147" t="e">
        <f>AND('Planilla_General_29-11-2012_10_'!J2207,"AAAAAH9/8Yg=")</f>
        <v>#VALUE!</v>
      </c>
      <c r="EH147" t="e">
        <f>AND('Planilla_General_29-11-2012_10_'!K2207,"AAAAAH9/8Yk=")</f>
        <v>#VALUE!</v>
      </c>
      <c r="EI147" t="e">
        <f>AND('Planilla_General_29-11-2012_10_'!L2207,"AAAAAH9/8Yo=")</f>
        <v>#VALUE!</v>
      </c>
      <c r="EJ147" t="e">
        <f>AND('Planilla_General_29-11-2012_10_'!M2207,"AAAAAH9/8Ys=")</f>
        <v>#VALUE!</v>
      </c>
      <c r="EK147" t="e">
        <f>AND('Planilla_General_29-11-2012_10_'!N2207,"AAAAAH9/8Yw=")</f>
        <v>#VALUE!</v>
      </c>
      <c r="EL147" t="e">
        <f>AND('Planilla_General_29-11-2012_10_'!O2207,"AAAAAH9/8Y0=")</f>
        <v>#VALUE!</v>
      </c>
      <c r="EM147" t="e">
        <f>AND('Planilla_General_29-11-2012_10_'!P2207,"AAAAAH9/8Y4=")</f>
        <v>#VALUE!</v>
      </c>
      <c r="EN147">
        <f>IF('Planilla_General_29-11-2012_10_'!2208:2208,"AAAAAH9/8Y8=",0)</f>
        <v>0</v>
      </c>
      <c r="EO147" t="e">
        <f>AND('Planilla_General_29-11-2012_10_'!A2208,"AAAAAH9/8ZA=")</f>
        <v>#VALUE!</v>
      </c>
      <c r="EP147" t="e">
        <f>AND('Planilla_General_29-11-2012_10_'!B2208,"AAAAAH9/8ZE=")</f>
        <v>#VALUE!</v>
      </c>
      <c r="EQ147" t="e">
        <f>AND('Planilla_General_29-11-2012_10_'!C2208,"AAAAAH9/8ZI=")</f>
        <v>#VALUE!</v>
      </c>
      <c r="ER147" t="e">
        <f>AND('Planilla_General_29-11-2012_10_'!D2208,"AAAAAH9/8ZM=")</f>
        <v>#VALUE!</v>
      </c>
      <c r="ES147" t="e">
        <f>AND('Planilla_General_29-11-2012_10_'!E2208,"AAAAAH9/8ZQ=")</f>
        <v>#VALUE!</v>
      </c>
      <c r="ET147" t="e">
        <f>AND('Planilla_General_29-11-2012_10_'!F2208,"AAAAAH9/8ZU=")</f>
        <v>#VALUE!</v>
      </c>
      <c r="EU147" t="e">
        <f>AND('Planilla_General_29-11-2012_10_'!G2208,"AAAAAH9/8ZY=")</f>
        <v>#VALUE!</v>
      </c>
      <c r="EV147" t="e">
        <f>AND('Planilla_General_29-11-2012_10_'!H2208,"AAAAAH9/8Zc=")</f>
        <v>#VALUE!</v>
      </c>
      <c r="EW147" t="e">
        <f>AND('Planilla_General_29-11-2012_10_'!I2208,"AAAAAH9/8Zg=")</f>
        <v>#VALUE!</v>
      </c>
      <c r="EX147" t="e">
        <f>AND('Planilla_General_29-11-2012_10_'!J2208,"AAAAAH9/8Zk=")</f>
        <v>#VALUE!</v>
      </c>
      <c r="EY147" t="e">
        <f>AND('Planilla_General_29-11-2012_10_'!K2208,"AAAAAH9/8Zo=")</f>
        <v>#VALUE!</v>
      </c>
      <c r="EZ147" t="e">
        <f>AND('Planilla_General_29-11-2012_10_'!L2208,"AAAAAH9/8Zs=")</f>
        <v>#VALUE!</v>
      </c>
      <c r="FA147" t="e">
        <f>AND('Planilla_General_29-11-2012_10_'!M2208,"AAAAAH9/8Zw=")</f>
        <v>#VALUE!</v>
      </c>
      <c r="FB147" t="e">
        <f>AND('Planilla_General_29-11-2012_10_'!N2208,"AAAAAH9/8Z0=")</f>
        <v>#VALUE!</v>
      </c>
      <c r="FC147" t="e">
        <f>AND('Planilla_General_29-11-2012_10_'!O2208,"AAAAAH9/8Z4=")</f>
        <v>#VALUE!</v>
      </c>
      <c r="FD147" t="e">
        <f>AND('Planilla_General_29-11-2012_10_'!P2208,"AAAAAH9/8Z8=")</f>
        <v>#VALUE!</v>
      </c>
      <c r="FE147">
        <f>IF('Planilla_General_29-11-2012_10_'!2209:2209,"AAAAAH9/8aA=",0)</f>
        <v>0</v>
      </c>
      <c r="FF147" t="e">
        <f>AND('Planilla_General_29-11-2012_10_'!A2209,"AAAAAH9/8aE=")</f>
        <v>#VALUE!</v>
      </c>
      <c r="FG147" t="e">
        <f>AND('Planilla_General_29-11-2012_10_'!B2209,"AAAAAH9/8aI=")</f>
        <v>#VALUE!</v>
      </c>
      <c r="FH147" t="e">
        <f>AND('Planilla_General_29-11-2012_10_'!C2209,"AAAAAH9/8aM=")</f>
        <v>#VALUE!</v>
      </c>
      <c r="FI147" t="e">
        <f>AND('Planilla_General_29-11-2012_10_'!D2209,"AAAAAH9/8aQ=")</f>
        <v>#VALUE!</v>
      </c>
      <c r="FJ147" t="e">
        <f>AND('Planilla_General_29-11-2012_10_'!E2209,"AAAAAH9/8aU=")</f>
        <v>#VALUE!</v>
      </c>
      <c r="FK147" t="e">
        <f>AND('Planilla_General_29-11-2012_10_'!F2209,"AAAAAH9/8aY=")</f>
        <v>#VALUE!</v>
      </c>
      <c r="FL147" t="e">
        <f>AND('Planilla_General_29-11-2012_10_'!G2209,"AAAAAH9/8ac=")</f>
        <v>#VALUE!</v>
      </c>
      <c r="FM147" t="e">
        <f>AND('Planilla_General_29-11-2012_10_'!H2209,"AAAAAH9/8ag=")</f>
        <v>#VALUE!</v>
      </c>
      <c r="FN147" t="e">
        <f>AND('Planilla_General_29-11-2012_10_'!I2209,"AAAAAH9/8ak=")</f>
        <v>#VALUE!</v>
      </c>
      <c r="FO147" t="e">
        <f>AND('Planilla_General_29-11-2012_10_'!J2209,"AAAAAH9/8ao=")</f>
        <v>#VALUE!</v>
      </c>
      <c r="FP147" t="e">
        <f>AND('Planilla_General_29-11-2012_10_'!K2209,"AAAAAH9/8as=")</f>
        <v>#VALUE!</v>
      </c>
      <c r="FQ147" t="e">
        <f>AND('Planilla_General_29-11-2012_10_'!L2209,"AAAAAH9/8aw=")</f>
        <v>#VALUE!</v>
      </c>
      <c r="FR147" t="e">
        <f>AND('Planilla_General_29-11-2012_10_'!M2209,"AAAAAH9/8a0=")</f>
        <v>#VALUE!</v>
      </c>
      <c r="FS147" t="e">
        <f>AND('Planilla_General_29-11-2012_10_'!N2209,"AAAAAH9/8a4=")</f>
        <v>#VALUE!</v>
      </c>
      <c r="FT147" t="e">
        <f>AND('Planilla_General_29-11-2012_10_'!O2209,"AAAAAH9/8a8=")</f>
        <v>#VALUE!</v>
      </c>
      <c r="FU147" t="e">
        <f>AND('Planilla_General_29-11-2012_10_'!P2209,"AAAAAH9/8bA=")</f>
        <v>#VALUE!</v>
      </c>
      <c r="FV147">
        <f>IF('Planilla_General_29-11-2012_10_'!2210:2210,"AAAAAH9/8bE=",0)</f>
        <v>0</v>
      </c>
      <c r="FW147" t="e">
        <f>AND('Planilla_General_29-11-2012_10_'!A2210,"AAAAAH9/8bI=")</f>
        <v>#VALUE!</v>
      </c>
      <c r="FX147" t="e">
        <f>AND('Planilla_General_29-11-2012_10_'!B2210,"AAAAAH9/8bM=")</f>
        <v>#VALUE!</v>
      </c>
      <c r="FY147" t="e">
        <f>AND('Planilla_General_29-11-2012_10_'!C2210,"AAAAAH9/8bQ=")</f>
        <v>#VALUE!</v>
      </c>
      <c r="FZ147" t="e">
        <f>AND('Planilla_General_29-11-2012_10_'!D2210,"AAAAAH9/8bU=")</f>
        <v>#VALUE!</v>
      </c>
      <c r="GA147" t="e">
        <f>AND('Planilla_General_29-11-2012_10_'!E2210,"AAAAAH9/8bY=")</f>
        <v>#VALUE!</v>
      </c>
      <c r="GB147" t="e">
        <f>AND('Planilla_General_29-11-2012_10_'!F2210,"AAAAAH9/8bc=")</f>
        <v>#VALUE!</v>
      </c>
      <c r="GC147" t="e">
        <f>AND('Planilla_General_29-11-2012_10_'!G2210,"AAAAAH9/8bg=")</f>
        <v>#VALUE!</v>
      </c>
      <c r="GD147" t="e">
        <f>AND('Planilla_General_29-11-2012_10_'!H2210,"AAAAAH9/8bk=")</f>
        <v>#VALUE!</v>
      </c>
      <c r="GE147" t="e">
        <f>AND('Planilla_General_29-11-2012_10_'!I2210,"AAAAAH9/8bo=")</f>
        <v>#VALUE!</v>
      </c>
      <c r="GF147" t="e">
        <f>AND('Planilla_General_29-11-2012_10_'!J2210,"AAAAAH9/8bs=")</f>
        <v>#VALUE!</v>
      </c>
      <c r="GG147" t="e">
        <f>AND('Planilla_General_29-11-2012_10_'!K2210,"AAAAAH9/8bw=")</f>
        <v>#VALUE!</v>
      </c>
      <c r="GH147" t="e">
        <f>AND('Planilla_General_29-11-2012_10_'!L2210,"AAAAAH9/8b0=")</f>
        <v>#VALUE!</v>
      </c>
      <c r="GI147" t="e">
        <f>AND('Planilla_General_29-11-2012_10_'!M2210,"AAAAAH9/8b4=")</f>
        <v>#VALUE!</v>
      </c>
      <c r="GJ147" t="e">
        <f>AND('Planilla_General_29-11-2012_10_'!N2210,"AAAAAH9/8b8=")</f>
        <v>#VALUE!</v>
      </c>
      <c r="GK147" t="e">
        <f>AND('Planilla_General_29-11-2012_10_'!O2210,"AAAAAH9/8cA=")</f>
        <v>#VALUE!</v>
      </c>
      <c r="GL147" t="e">
        <f>AND('Planilla_General_29-11-2012_10_'!P2210,"AAAAAH9/8cE=")</f>
        <v>#VALUE!</v>
      </c>
      <c r="GM147">
        <f>IF('Planilla_General_29-11-2012_10_'!2211:2211,"AAAAAH9/8cI=",0)</f>
        <v>0</v>
      </c>
      <c r="GN147" t="e">
        <f>AND('Planilla_General_29-11-2012_10_'!A2211,"AAAAAH9/8cM=")</f>
        <v>#VALUE!</v>
      </c>
      <c r="GO147" t="e">
        <f>AND('Planilla_General_29-11-2012_10_'!B2211,"AAAAAH9/8cQ=")</f>
        <v>#VALUE!</v>
      </c>
      <c r="GP147" t="e">
        <f>AND('Planilla_General_29-11-2012_10_'!C2211,"AAAAAH9/8cU=")</f>
        <v>#VALUE!</v>
      </c>
      <c r="GQ147" t="e">
        <f>AND('Planilla_General_29-11-2012_10_'!D2211,"AAAAAH9/8cY=")</f>
        <v>#VALUE!</v>
      </c>
      <c r="GR147" t="e">
        <f>AND('Planilla_General_29-11-2012_10_'!E2211,"AAAAAH9/8cc=")</f>
        <v>#VALUE!</v>
      </c>
      <c r="GS147" t="e">
        <f>AND('Planilla_General_29-11-2012_10_'!F2211,"AAAAAH9/8cg=")</f>
        <v>#VALUE!</v>
      </c>
      <c r="GT147" t="e">
        <f>AND('Planilla_General_29-11-2012_10_'!G2211,"AAAAAH9/8ck=")</f>
        <v>#VALUE!</v>
      </c>
      <c r="GU147" t="e">
        <f>AND('Planilla_General_29-11-2012_10_'!H2211,"AAAAAH9/8co=")</f>
        <v>#VALUE!</v>
      </c>
      <c r="GV147" t="e">
        <f>AND('Planilla_General_29-11-2012_10_'!I2211,"AAAAAH9/8cs=")</f>
        <v>#VALUE!</v>
      </c>
      <c r="GW147" t="e">
        <f>AND('Planilla_General_29-11-2012_10_'!J2211,"AAAAAH9/8cw=")</f>
        <v>#VALUE!</v>
      </c>
      <c r="GX147" t="e">
        <f>AND('Planilla_General_29-11-2012_10_'!K2211,"AAAAAH9/8c0=")</f>
        <v>#VALUE!</v>
      </c>
      <c r="GY147" t="e">
        <f>AND('Planilla_General_29-11-2012_10_'!L2211,"AAAAAH9/8c4=")</f>
        <v>#VALUE!</v>
      </c>
      <c r="GZ147" t="e">
        <f>AND('Planilla_General_29-11-2012_10_'!M2211,"AAAAAH9/8c8=")</f>
        <v>#VALUE!</v>
      </c>
      <c r="HA147" t="e">
        <f>AND('Planilla_General_29-11-2012_10_'!N2211,"AAAAAH9/8dA=")</f>
        <v>#VALUE!</v>
      </c>
      <c r="HB147" t="e">
        <f>AND('Planilla_General_29-11-2012_10_'!O2211,"AAAAAH9/8dE=")</f>
        <v>#VALUE!</v>
      </c>
      <c r="HC147" t="e">
        <f>AND('Planilla_General_29-11-2012_10_'!P2211,"AAAAAH9/8dI=")</f>
        <v>#VALUE!</v>
      </c>
      <c r="HD147">
        <f>IF('Planilla_General_29-11-2012_10_'!2212:2212,"AAAAAH9/8dM=",0)</f>
        <v>0</v>
      </c>
      <c r="HE147" t="e">
        <f>AND('Planilla_General_29-11-2012_10_'!A2212,"AAAAAH9/8dQ=")</f>
        <v>#VALUE!</v>
      </c>
      <c r="HF147" t="e">
        <f>AND('Planilla_General_29-11-2012_10_'!B2212,"AAAAAH9/8dU=")</f>
        <v>#VALUE!</v>
      </c>
      <c r="HG147" t="e">
        <f>AND('Planilla_General_29-11-2012_10_'!C2212,"AAAAAH9/8dY=")</f>
        <v>#VALUE!</v>
      </c>
      <c r="HH147" t="e">
        <f>AND('Planilla_General_29-11-2012_10_'!D2212,"AAAAAH9/8dc=")</f>
        <v>#VALUE!</v>
      </c>
      <c r="HI147" t="e">
        <f>AND('Planilla_General_29-11-2012_10_'!E2212,"AAAAAH9/8dg=")</f>
        <v>#VALUE!</v>
      </c>
      <c r="HJ147" t="e">
        <f>AND('Planilla_General_29-11-2012_10_'!F2212,"AAAAAH9/8dk=")</f>
        <v>#VALUE!</v>
      </c>
      <c r="HK147" t="e">
        <f>AND('Planilla_General_29-11-2012_10_'!G2212,"AAAAAH9/8do=")</f>
        <v>#VALUE!</v>
      </c>
      <c r="HL147" t="e">
        <f>AND('Planilla_General_29-11-2012_10_'!H2212,"AAAAAH9/8ds=")</f>
        <v>#VALUE!</v>
      </c>
      <c r="HM147" t="e">
        <f>AND('Planilla_General_29-11-2012_10_'!I2212,"AAAAAH9/8dw=")</f>
        <v>#VALUE!</v>
      </c>
      <c r="HN147" t="e">
        <f>AND('Planilla_General_29-11-2012_10_'!J2212,"AAAAAH9/8d0=")</f>
        <v>#VALUE!</v>
      </c>
      <c r="HO147" t="e">
        <f>AND('Planilla_General_29-11-2012_10_'!K2212,"AAAAAH9/8d4=")</f>
        <v>#VALUE!</v>
      </c>
      <c r="HP147" t="e">
        <f>AND('Planilla_General_29-11-2012_10_'!L2212,"AAAAAH9/8d8=")</f>
        <v>#VALUE!</v>
      </c>
      <c r="HQ147" t="e">
        <f>AND('Planilla_General_29-11-2012_10_'!M2212,"AAAAAH9/8eA=")</f>
        <v>#VALUE!</v>
      </c>
      <c r="HR147" t="e">
        <f>AND('Planilla_General_29-11-2012_10_'!N2212,"AAAAAH9/8eE=")</f>
        <v>#VALUE!</v>
      </c>
      <c r="HS147" t="e">
        <f>AND('Planilla_General_29-11-2012_10_'!O2212,"AAAAAH9/8eI=")</f>
        <v>#VALUE!</v>
      </c>
      <c r="HT147" t="e">
        <f>AND('Planilla_General_29-11-2012_10_'!P2212,"AAAAAH9/8eM=")</f>
        <v>#VALUE!</v>
      </c>
      <c r="HU147">
        <f>IF('Planilla_General_29-11-2012_10_'!2213:2213,"AAAAAH9/8eQ=",0)</f>
        <v>0</v>
      </c>
      <c r="HV147" t="e">
        <f>AND('Planilla_General_29-11-2012_10_'!A2213,"AAAAAH9/8eU=")</f>
        <v>#VALUE!</v>
      </c>
      <c r="HW147" t="e">
        <f>AND('Planilla_General_29-11-2012_10_'!B2213,"AAAAAH9/8eY=")</f>
        <v>#VALUE!</v>
      </c>
      <c r="HX147" t="e">
        <f>AND('Planilla_General_29-11-2012_10_'!C2213,"AAAAAH9/8ec=")</f>
        <v>#VALUE!</v>
      </c>
      <c r="HY147" t="e">
        <f>AND('Planilla_General_29-11-2012_10_'!D2213,"AAAAAH9/8eg=")</f>
        <v>#VALUE!</v>
      </c>
      <c r="HZ147" t="e">
        <f>AND('Planilla_General_29-11-2012_10_'!E2213,"AAAAAH9/8ek=")</f>
        <v>#VALUE!</v>
      </c>
      <c r="IA147" t="e">
        <f>AND('Planilla_General_29-11-2012_10_'!F2213,"AAAAAH9/8eo=")</f>
        <v>#VALUE!</v>
      </c>
      <c r="IB147" t="e">
        <f>AND('Planilla_General_29-11-2012_10_'!G2213,"AAAAAH9/8es=")</f>
        <v>#VALUE!</v>
      </c>
      <c r="IC147" t="e">
        <f>AND('Planilla_General_29-11-2012_10_'!H2213,"AAAAAH9/8ew=")</f>
        <v>#VALUE!</v>
      </c>
      <c r="ID147" t="e">
        <f>AND('Planilla_General_29-11-2012_10_'!I2213,"AAAAAH9/8e0=")</f>
        <v>#VALUE!</v>
      </c>
      <c r="IE147" t="e">
        <f>AND('Planilla_General_29-11-2012_10_'!J2213,"AAAAAH9/8e4=")</f>
        <v>#VALUE!</v>
      </c>
      <c r="IF147" t="e">
        <f>AND('Planilla_General_29-11-2012_10_'!K2213,"AAAAAH9/8e8=")</f>
        <v>#VALUE!</v>
      </c>
      <c r="IG147" t="e">
        <f>AND('Planilla_General_29-11-2012_10_'!L2213,"AAAAAH9/8fA=")</f>
        <v>#VALUE!</v>
      </c>
      <c r="IH147" t="e">
        <f>AND('Planilla_General_29-11-2012_10_'!M2213,"AAAAAH9/8fE=")</f>
        <v>#VALUE!</v>
      </c>
      <c r="II147" t="e">
        <f>AND('Planilla_General_29-11-2012_10_'!N2213,"AAAAAH9/8fI=")</f>
        <v>#VALUE!</v>
      </c>
      <c r="IJ147" t="e">
        <f>AND('Planilla_General_29-11-2012_10_'!O2213,"AAAAAH9/8fM=")</f>
        <v>#VALUE!</v>
      </c>
      <c r="IK147" t="e">
        <f>AND('Planilla_General_29-11-2012_10_'!P2213,"AAAAAH9/8fQ=")</f>
        <v>#VALUE!</v>
      </c>
      <c r="IL147">
        <f>IF('Planilla_General_29-11-2012_10_'!2214:2214,"AAAAAH9/8fU=",0)</f>
        <v>0</v>
      </c>
      <c r="IM147" t="e">
        <f>AND('Planilla_General_29-11-2012_10_'!A2214,"AAAAAH9/8fY=")</f>
        <v>#VALUE!</v>
      </c>
      <c r="IN147" t="e">
        <f>AND('Planilla_General_29-11-2012_10_'!B2214,"AAAAAH9/8fc=")</f>
        <v>#VALUE!</v>
      </c>
      <c r="IO147" t="e">
        <f>AND('Planilla_General_29-11-2012_10_'!C2214,"AAAAAH9/8fg=")</f>
        <v>#VALUE!</v>
      </c>
      <c r="IP147" t="e">
        <f>AND('Planilla_General_29-11-2012_10_'!D2214,"AAAAAH9/8fk=")</f>
        <v>#VALUE!</v>
      </c>
      <c r="IQ147" t="e">
        <f>AND('Planilla_General_29-11-2012_10_'!E2214,"AAAAAH9/8fo=")</f>
        <v>#VALUE!</v>
      </c>
      <c r="IR147" t="e">
        <f>AND('Planilla_General_29-11-2012_10_'!F2214,"AAAAAH9/8fs=")</f>
        <v>#VALUE!</v>
      </c>
      <c r="IS147" t="e">
        <f>AND('Planilla_General_29-11-2012_10_'!G2214,"AAAAAH9/8fw=")</f>
        <v>#VALUE!</v>
      </c>
      <c r="IT147" t="e">
        <f>AND('Planilla_General_29-11-2012_10_'!H2214,"AAAAAH9/8f0=")</f>
        <v>#VALUE!</v>
      </c>
      <c r="IU147" t="e">
        <f>AND('Planilla_General_29-11-2012_10_'!I2214,"AAAAAH9/8f4=")</f>
        <v>#VALUE!</v>
      </c>
      <c r="IV147" t="e">
        <f>AND('Planilla_General_29-11-2012_10_'!J2214,"AAAAAH9/8f8=")</f>
        <v>#VALUE!</v>
      </c>
    </row>
    <row r="148" spans="1:256" x14ac:dyDescent="0.25">
      <c r="A148" t="e">
        <f>AND('Planilla_General_29-11-2012_10_'!K2214,"AAAAAC/9fwA=")</f>
        <v>#VALUE!</v>
      </c>
      <c r="B148" t="e">
        <f>AND('Planilla_General_29-11-2012_10_'!L2214,"AAAAAC/9fwE=")</f>
        <v>#VALUE!</v>
      </c>
      <c r="C148" t="e">
        <f>AND('Planilla_General_29-11-2012_10_'!M2214,"AAAAAC/9fwI=")</f>
        <v>#VALUE!</v>
      </c>
      <c r="D148" t="e">
        <f>AND('Planilla_General_29-11-2012_10_'!N2214,"AAAAAC/9fwM=")</f>
        <v>#VALUE!</v>
      </c>
      <c r="E148" t="e">
        <f>AND('Planilla_General_29-11-2012_10_'!O2214,"AAAAAC/9fwQ=")</f>
        <v>#VALUE!</v>
      </c>
      <c r="F148" t="e">
        <f>AND('Planilla_General_29-11-2012_10_'!P2214,"AAAAAC/9fwU=")</f>
        <v>#VALUE!</v>
      </c>
      <c r="G148" t="e">
        <f>IF('Planilla_General_29-11-2012_10_'!2215:2215,"AAAAAC/9fwY=",0)</f>
        <v>#VALUE!</v>
      </c>
      <c r="H148" t="e">
        <f>AND('Planilla_General_29-11-2012_10_'!A2215,"AAAAAC/9fwc=")</f>
        <v>#VALUE!</v>
      </c>
      <c r="I148" t="e">
        <f>AND('Planilla_General_29-11-2012_10_'!B2215,"AAAAAC/9fwg=")</f>
        <v>#VALUE!</v>
      </c>
      <c r="J148" t="e">
        <f>AND('Planilla_General_29-11-2012_10_'!C2215,"AAAAAC/9fwk=")</f>
        <v>#VALUE!</v>
      </c>
      <c r="K148" t="e">
        <f>AND('Planilla_General_29-11-2012_10_'!D2215,"AAAAAC/9fwo=")</f>
        <v>#VALUE!</v>
      </c>
      <c r="L148" t="e">
        <f>AND('Planilla_General_29-11-2012_10_'!E2215,"AAAAAC/9fws=")</f>
        <v>#VALUE!</v>
      </c>
      <c r="M148" t="e">
        <f>AND('Planilla_General_29-11-2012_10_'!F2215,"AAAAAC/9fww=")</f>
        <v>#VALUE!</v>
      </c>
      <c r="N148" t="e">
        <f>AND('Planilla_General_29-11-2012_10_'!G2215,"AAAAAC/9fw0=")</f>
        <v>#VALUE!</v>
      </c>
      <c r="O148" t="e">
        <f>AND('Planilla_General_29-11-2012_10_'!H2215,"AAAAAC/9fw4=")</f>
        <v>#VALUE!</v>
      </c>
      <c r="P148" t="e">
        <f>AND('Planilla_General_29-11-2012_10_'!I2215,"AAAAAC/9fw8=")</f>
        <v>#VALUE!</v>
      </c>
      <c r="Q148" t="e">
        <f>AND('Planilla_General_29-11-2012_10_'!J2215,"AAAAAC/9fxA=")</f>
        <v>#VALUE!</v>
      </c>
      <c r="R148" t="e">
        <f>AND('Planilla_General_29-11-2012_10_'!K2215,"AAAAAC/9fxE=")</f>
        <v>#VALUE!</v>
      </c>
      <c r="S148" t="e">
        <f>AND('Planilla_General_29-11-2012_10_'!L2215,"AAAAAC/9fxI=")</f>
        <v>#VALUE!</v>
      </c>
      <c r="T148" t="e">
        <f>AND('Planilla_General_29-11-2012_10_'!M2215,"AAAAAC/9fxM=")</f>
        <v>#VALUE!</v>
      </c>
      <c r="U148" t="e">
        <f>AND('Planilla_General_29-11-2012_10_'!N2215,"AAAAAC/9fxQ=")</f>
        <v>#VALUE!</v>
      </c>
      <c r="V148" t="e">
        <f>AND('Planilla_General_29-11-2012_10_'!O2215,"AAAAAC/9fxU=")</f>
        <v>#VALUE!</v>
      </c>
      <c r="W148" t="e">
        <f>AND('Planilla_General_29-11-2012_10_'!P2215,"AAAAAC/9fxY=")</f>
        <v>#VALUE!</v>
      </c>
      <c r="X148">
        <f>IF('Planilla_General_29-11-2012_10_'!2216:2216,"AAAAAC/9fxc=",0)</f>
        <v>0</v>
      </c>
      <c r="Y148" t="e">
        <f>AND('Planilla_General_29-11-2012_10_'!A2216,"AAAAAC/9fxg=")</f>
        <v>#VALUE!</v>
      </c>
      <c r="Z148" t="e">
        <f>AND('Planilla_General_29-11-2012_10_'!B2216,"AAAAAC/9fxk=")</f>
        <v>#VALUE!</v>
      </c>
      <c r="AA148" t="e">
        <f>AND('Planilla_General_29-11-2012_10_'!C2216,"AAAAAC/9fxo=")</f>
        <v>#VALUE!</v>
      </c>
      <c r="AB148" t="e">
        <f>AND('Planilla_General_29-11-2012_10_'!D2216,"AAAAAC/9fxs=")</f>
        <v>#VALUE!</v>
      </c>
      <c r="AC148" t="e">
        <f>AND('Planilla_General_29-11-2012_10_'!E2216,"AAAAAC/9fxw=")</f>
        <v>#VALUE!</v>
      </c>
      <c r="AD148" t="e">
        <f>AND('Planilla_General_29-11-2012_10_'!F2216,"AAAAAC/9fx0=")</f>
        <v>#VALUE!</v>
      </c>
      <c r="AE148" t="e">
        <f>AND('Planilla_General_29-11-2012_10_'!G2216,"AAAAAC/9fx4=")</f>
        <v>#VALUE!</v>
      </c>
      <c r="AF148" t="e">
        <f>AND('Planilla_General_29-11-2012_10_'!H2216,"AAAAAC/9fx8=")</f>
        <v>#VALUE!</v>
      </c>
      <c r="AG148" t="e">
        <f>AND('Planilla_General_29-11-2012_10_'!I2216,"AAAAAC/9fyA=")</f>
        <v>#VALUE!</v>
      </c>
      <c r="AH148" t="e">
        <f>AND('Planilla_General_29-11-2012_10_'!J2216,"AAAAAC/9fyE=")</f>
        <v>#VALUE!</v>
      </c>
      <c r="AI148" t="e">
        <f>AND('Planilla_General_29-11-2012_10_'!K2216,"AAAAAC/9fyI=")</f>
        <v>#VALUE!</v>
      </c>
      <c r="AJ148" t="e">
        <f>AND('Planilla_General_29-11-2012_10_'!L2216,"AAAAAC/9fyM=")</f>
        <v>#VALUE!</v>
      </c>
      <c r="AK148" t="e">
        <f>AND('Planilla_General_29-11-2012_10_'!M2216,"AAAAAC/9fyQ=")</f>
        <v>#VALUE!</v>
      </c>
      <c r="AL148" t="e">
        <f>AND('Planilla_General_29-11-2012_10_'!N2216,"AAAAAC/9fyU=")</f>
        <v>#VALUE!</v>
      </c>
      <c r="AM148" t="e">
        <f>AND('Planilla_General_29-11-2012_10_'!O2216,"AAAAAC/9fyY=")</f>
        <v>#VALUE!</v>
      </c>
      <c r="AN148" t="e">
        <f>AND('Planilla_General_29-11-2012_10_'!P2216,"AAAAAC/9fyc=")</f>
        <v>#VALUE!</v>
      </c>
      <c r="AO148">
        <f>IF('Planilla_General_29-11-2012_10_'!2217:2217,"AAAAAC/9fyg=",0)</f>
        <v>0</v>
      </c>
      <c r="AP148" t="e">
        <f>AND('Planilla_General_29-11-2012_10_'!A2217,"AAAAAC/9fyk=")</f>
        <v>#VALUE!</v>
      </c>
      <c r="AQ148" t="e">
        <f>AND('Planilla_General_29-11-2012_10_'!B2217,"AAAAAC/9fyo=")</f>
        <v>#VALUE!</v>
      </c>
      <c r="AR148" t="e">
        <f>AND('Planilla_General_29-11-2012_10_'!C2217,"AAAAAC/9fys=")</f>
        <v>#VALUE!</v>
      </c>
      <c r="AS148" t="e">
        <f>AND('Planilla_General_29-11-2012_10_'!D2217,"AAAAAC/9fyw=")</f>
        <v>#VALUE!</v>
      </c>
      <c r="AT148" t="e">
        <f>AND('Planilla_General_29-11-2012_10_'!E2217,"AAAAAC/9fy0=")</f>
        <v>#VALUE!</v>
      </c>
      <c r="AU148" t="e">
        <f>AND('Planilla_General_29-11-2012_10_'!F2217,"AAAAAC/9fy4=")</f>
        <v>#VALUE!</v>
      </c>
      <c r="AV148" t="e">
        <f>AND('Planilla_General_29-11-2012_10_'!G2217,"AAAAAC/9fy8=")</f>
        <v>#VALUE!</v>
      </c>
      <c r="AW148" t="e">
        <f>AND('Planilla_General_29-11-2012_10_'!H2217,"AAAAAC/9fzA=")</f>
        <v>#VALUE!</v>
      </c>
      <c r="AX148" t="e">
        <f>AND('Planilla_General_29-11-2012_10_'!I2217,"AAAAAC/9fzE=")</f>
        <v>#VALUE!</v>
      </c>
      <c r="AY148" t="e">
        <f>AND('Planilla_General_29-11-2012_10_'!J2217,"AAAAAC/9fzI=")</f>
        <v>#VALUE!</v>
      </c>
      <c r="AZ148" t="e">
        <f>AND('Planilla_General_29-11-2012_10_'!K2217,"AAAAAC/9fzM=")</f>
        <v>#VALUE!</v>
      </c>
      <c r="BA148" t="e">
        <f>AND('Planilla_General_29-11-2012_10_'!L2217,"AAAAAC/9fzQ=")</f>
        <v>#VALUE!</v>
      </c>
      <c r="BB148" t="e">
        <f>AND('Planilla_General_29-11-2012_10_'!M2217,"AAAAAC/9fzU=")</f>
        <v>#VALUE!</v>
      </c>
      <c r="BC148" t="e">
        <f>AND('Planilla_General_29-11-2012_10_'!N2217,"AAAAAC/9fzY=")</f>
        <v>#VALUE!</v>
      </c>
      <c r="BD148" t="e">
        <f>AND('Planilla_General_29-11-2012_10_'!O2217,"AAAAAC/9fzc=")</f>
        <v>#VALUE!</v>
      </c>
      <c r="BE148" t="e">
        <f>AND('Planilla_General_29-11-2012_10_'!P2217,"AAAAAC/9fzg=")</f>
        <v>#VALUE!</v>
      </c>
      <c r="BF148">
        <f>IF('Planilla_General_29-11-2012_10_'!2218:2218,"AAAAAC/9fzk=",0)</f>
        <v>0</v>
      </c>
      <c r="BG148" t="e">
        <f>AND('Planilla_General_29-11-2012_10_'!A2218,"AAAAAC/9fzo=")</f>
        <v>#VALUE!</v>
      </c>
      <c r="BH148" t="e">
        <f>AND('Planilla_General_29-11-2012_10_'!B2218,"AAAAAC/9fzs=")</f>
        <v>#VALUE!</v>
      </c>
      <c r="BI148" t="e">
        <f>AND('Planilla_General_29-11-2012_10_'!C2218,"AAAAAC/9fzw=")</f>
        <v>#VALUE!</v>
      </c>
      <c r="BJ148" t="e">
        <f>AND('Planilla_General_29-11-2012_10_'!D2218,"AAAAAC/9fz0=")</f>
        <v>#VALUE!</v>
      </c>
      <c r="BK148" t="e">
        <f>AND('Planilla_General_29-11-2012_10_'!E2218,"AAAAAC/9fz4=")</f>
        <v>#VALUE!</v>
      </c>
      <c r="BL148" t="e">
        <f>AND('Planilla_General_29-11-2012_10_'!F2218,"AAAAAC/9fz8=")</f>
        <v>#VALUE!</v>
      </c>
      <c r="BM148" t="e">
        <f>AND('Planilla_General_29-11-2012_10_'!G2218,"AAAAAC/9f0A=")</f>
        <v>#VALUE!</v>
      </c>
      <c r="BN148" t="e">
        <f>AND('Planilla_General_29-11-2012_10_'!H2218,"AAAAAC/9f0E=")</f>
        <v>#VALUE!</v>
      </c>
      <c r="BO148" t="e">
        <f>AND('Planilla_General_29-11-2012_10_'!I2218,"AAAAAC/9f0I=")</f>
        <v>#VALUE!</v>
      </c>
      <c r="BP148" t="e">
        <f>AND('Planilla_General_29-11-2012_10_'!J2218,"AAAAAC/9f0M=")</f>
        <v>#VALUE!</v>
      </c>
      <c r="BQ148" t="e">
        <f>AND('Planilla_General_29-11-2012_10_'!K2218,"AAAAAC/9f0Q=")</f>
        <v>#VALUE!</v>
      </c>
      <c r="BR148" t="e">
        <f>AND('Planilla_General_29-11-2012_10_'!L2218,"AAAAAC/9f0U=")</f>
        <v>#VALUE!</v>
      </c>
      <c r="BS148" t="e">
        <f>AND('Planilla_General_29-11-2012_10_'!M2218,"AAAAAC/9f0Y=")</f>
        <v>#VALUE!</v>
      </c>
      <c r="BT148" t="e">
        <f>AND('Planilla_General_29-11-2012_10_'!N2218,"AAAAAC/9f0c=")</f>
        <v>#VALUE!</v>
      </c>
      <c r="BU148" t="e">
        <f>AND('Planilla_General_29-11-2012_10_'!O2218,"AAAAAC/9f0g=")</f>
        <v>#VALUE!</v>
      </c>
      <c r="BV148" t="e">
        <f>AND('Planilla_General_29-11-2012_10_'!P2218,"AAAAAC/9f0k=")</f>
        <v>#VALUE!</v>
      </c>
      <c r="BW148">
        <f>IF('Planilla_General_29-11-2012_10_'!2219:2219,"AAAAAC/9f0o=",0)</f>
        <v>0</v>
      </c>
      <c r="BX148" t="e">
        <f>AND('Planilla_General_29-11-2012_10_'!A2219,"AAAAAC/9f0s=")</f>
        <v>#VALUE!</v>
      </c>
      <c r="BY148" t="e">
        <f>AND('Planilla_General_29-11-2012_10_'!B2219,"AAAAAC/9f0w=")</f>
        <v>#VALUE!</v>
      </c>
      <c r="BZ148" t="e">
        <f>AND('Planilla_General_29-11-2012_10_'!C2219,"AAAAAC/9f00=")</f>
        <v>#VALUE!</v>
      </c>
      <c r="CA148" t="e">
        <f>AND('Planilla_General_29-11-2012_10_'!D2219,"AAAAAC/9f04=")</f>
        <v>#VALUE!</v>
      </c>
      <c r="CB148" t="e">
        <f>AND('Planilla_General_29-11-2012_10_'!E2219,"AAAAAC/9f08=")</f>
        <v>#VALUE!</v>
      </c>
      <c r="CC148" t="e">
        <f>AND('Planilla_General_29-11-2012_10_'!F2219,"AAAAAC/9f1A=")</f>
        <v>#VALUE!</v>
      </c>
      <c r="CD148" t="e">
        <f>AND('Planilla_General_29-11-2012_10_'!G2219,"AAAAAC/9f1E=")</f>
        <v>#VALUE!</v>
      </c>
      <c r="CE148" t="e">
        <f>AND('Planilla_General_29-11-2012_10_'!H2219,"AAAAAC/9f1I=")</f>
        <v>#VALUE!</v>
      </c>
      <c r="CF148" t="e">
        <f>AND('Planilla_General_29-11-2012_10_'!I2219,"AAAAAC/9f1M=")</f>
        <v>#VALUE!</v>
      </c>
      <c r="CG148" t="e">
        <f>AND('Planilla_General_29-11-2012_10_'!J2219,"AAAAAC/9f1Q=")</f>
        <v>#VALUE!</v>
      </c>
      <c r="CH148" t="e">
        <f>AND('Planilla_General_29-11-2012_10_'!K2219,"AAAAAC/9f1U=")</f>
        <v>#VALUE!</v>
      </c>
      <c r="CI148" t="e">
        <f>AND('Planilla_General_29-11-2012_10_'!L2219,"AAAAAC/9f1Y=")</f>
        <v>#VALUE!</v>
      </c>
      <c r="CJ148" t="e">
        <f>AND('Planilla_General_29-11-2012_10_'!M2219,"AAAAAC/9f1c=")</f>
        <v>#VALUE!</v>
      </c>
      <c r="CK148" t="e">
        <f>AND('Planilla_General_29-11-2012_10_'!N2219,"AAAAAC/9f1g=")</f>
        <v>#VALUE!</v>
      </c>
      <c r="CL148" t="e">
        <f>AND('Planilla_General_29-11-2012_10_'!O2219,"AAAAAC/9f1k=")</f>
        <v>#VALUE!</v>
      </c>
      <c r="CM148" t="e">
        <f>AND('Planilla_General_29-11-2012_10_'!P2219,"AAAAAC/9f1o=")</f>
        <v>#VALUE!</v>
      </c>
      <c r="CN148">
        <f>IF('Planilla_General_29-11-2012_10_'!2220:2220,"AAAAAC/9f1s=",0)</f>
        <v>0</v>
      </c>
      <c r="CO148" t="e">
        <f>AND('Planilla_General_29-11-2012_10_'!A2220,"AAAAAC/9f1w=")</f>
        <v>#VALUE!</v>
      </c>
      <c r="CP148" t="e">
        <f>AND('Planilla_General_29-11-2012_10_'!B2220,"AAAAAC/9f10=")</f>
        <v>#VALUE!</v>
      </c>
      <c r="CQ148" t="e">
        <f>AND('Planilla_General_29-11-2012_10_'!C2220,"AAAAAC/9f14=")</f>
        <v>#VALUE!</v>
      </c>
      <c r="CR148" t="e">
        <f>AND('Planilla_General_29-11-2012_10_'!D2220,"AAAAAC/9f18=")</f>
        <v>#VALUE!</v>
      </c>
      <c r="CS148" t="e">
        <f>AND('Planilla_General_29-11-2012_10_'!E2220,"AAAAAC/9f2A=")</f>
        <v>#VALUE!</v>
      </c>
      <c r="CT148" t="e">
        <f>AND('Planilla_General_29-11-2012_10_'!F2220,"AAAAAC/9f2E=")</f>
        <v>#VALUE!</v>
      </c>
      <c r="CU148" t="e">
        <f>AND('Planilla_General_29-11-2012_10_'!G2220,"AAAAAC/9f2I=")</f>
        <v>#VALUE!</v>
      </c>
      <c r="CV148" t="e">
        <f>AND('Planilla_General_29-11-2012_10_'!H2220,"AAAAAC/9f2M=")</f>
        <v>#VALUE!</v>
      </c>
      <c r="CW148" t="e">
        <f>AND('Planilla_General_29-11-2012_10_'!I2220,"AAAAAC/9f2Q=")</f>
        <v>#VALUE!</v>
      </c>
      <c r="CX148" t="e">
        <f>AND('Planilla_General_29-11-2012_10_'!J2220,"AAAAAC/9f2U=")</f>
        <v>#VALUE!</v>
      </c>
      <c r="CY148" t="e">
        <f>AND('Planilla_General_29-11-2012_10_'!K2220,"AAAAAC/9f2Y=")</f>
        <v>#VALUE!</v>
      </c>
      <c r="CZ148" t="e">
        <f>AND('Planilla_General_29-11-2012_10_'!L2220,"AAAAAC/9f2c=")</f>
        <v>#VALUE!</v>
      </c>
      <c r="DA148" t="e">
        <f>AND('Planilla_General_29-11-2012_10_'!M2220,"AAAAAC/9f2g=")</f>
        <v>#VALUE!</v>
      </c>
      <c r="DB148" t="e">
        <f>AND('Planilla_General_29-11-2012_10_'!N2220,"AAAAAC/9f2k=")</f>
        <v>#VALUE!</v>
      </c>
      <c r="DC148" t="e">
        <f>AND('Planilla_General_29-11-2012_10_'!O2220,"AAAAAC/9f2o=")</f>
        <v>#VALUE!</v>
      </c>
      <c r="DD148" t="e">
        <f>AND('Planilla_General_29-11-2012_10_'!P2220,"AAAAAC/9f2s=")</f>
        <v>#VALUE!</v>
      </c>
      <c r="DE148">
        <f>IF('Planilla_General_29-11-2012_10_'!2221:2221,"AAAAAC/9f2w=",0)</f>
        <v>0</v>
      </c>
      <c r="DF148" t="e">
        <f>AND('Planilla_General_29-11-2012_10_'!A2221,"AAAAAC/9f20=")</f>
        <v>#VALUE!</v>
      </c>
      <c r="DG148" t="e">
        <f>AND('Planilla_General_29-11-2012_10_'!B2221,"AAAAAC/9f24=")</f>
        <v>#VALUE!</v>
      </c>
      <c r="DH148" t="e">
        <f>AND('Planilla_General_29-11-2012_10_'!C2221,"AAAAAC/9f28=")</f>
        <v>#VALUE!</v>
      </c>
      <c r="DI148" t="e">
        <f>AND('Planilla_General_29-11-2012_10_'!D2221,"AAAAAC/9f3A=")</f>
        <v>#VALUE!</v>
      </c>
      <c r="DJ148" t="e">
        <f>AND('Planilla_General_29-11-2012_10_'!E2221,"AAAAAC/9f3E=")</f>
        <v>#VALUE!</v>
      </c>
      <c r="DK148" t="e">
        <f>AND('Planilla_General_29-11-2012_10_'!F2221,"AAAAAC/9f3I=")</f>
        <v>#VALUE!</v>
      </c>
      <c r="DL148" t="e">
        <f>AND('Planilla_General_29-11-2012_10_'!G2221,"AAAAAC/9f3M=")</f>
        <v>#VALUE!</v>
      </c>
      <c r="DM148" t="e">
        <f>AND('Planilla_General_29-11-2012_10_'!H2221,"AAAAAC/9f3Q=")</f>
        <v>#VALUE!</v>
      </c>
      <c r="DN148" t="e">
        <f>AND('Planilla_General_29-11-2012_10_'!I2221,"AAAAAC/9f3U=")</f>
        <v>#VALUE!</v>
      </c>
      <c r="DO148" t="e">
        <f>AND('Planilla_General_29-11-2012_10_'!J2221,"AAAAAC/9f3Y=")</f>
        <v>#VALUE!</v>
      </c>
      <c r="DP148" t="e">
        <f>AND('Planilla_General_29-11-2012_10_'!K2221,"AAAAAC/9f3c=")</f>
        <v>#VALUE!</v>
      </c>
      <c r="DQ148" t="e">
        <f>AND('Planilla_General_29-11-2012_10_'!L2221,"AAAAAC/9f3g=")</f>
        <v>#VALUE!</v>
      </c>
      <c r="DR148" t="e">
        <f>AND('Planilla_General_29-11-2012_10_'!M2221,"AAAAAC/9f3k=")</f>
        <v>#VALUE!</v>
      </c>
      <c r="DS148" t="e">
        <f>AND('Planilla_General_29-11-2012_10_'!N2221,"AAAAAC/9f3o=")</f>
        <v>#VALUE!</v>
      </c>
      <c r="DT148" t="e">
        <f>AND('Planilla_General_29-11-2012_10_'!O2221,"AAAAAC/9f3s=")</f>
        <v>#VALUE!</v>
      </c>
      <c r="DU148" t="e">
        <f>AND('Planilla_General_29-11-2012_10_'!P2221,"AAAAAC/9f3w=")</f>
        <v>#VALUE!</v>
      </c>
      <c r="DV148">
        <f>IF('Planilla_General_29-11-2012_10_'!2222:2222,"AAAAAC/9f30=",0)</f>
        <v>0</v>
      </c>
      <c r="DW148" t="e">
        <f>AND('Planilla_General_29-11-2012_10_'!A2222,"AAAAAC/9f34=")</f>
        <v>#VALUE!</v>
      </c>
      <c r="DX148" t="e">
        <f>AND('Planilla_General_29-11-2012_10_'!B2222,"AAAAAC/9f38=")</f>
        <v>#VALUE!</v>
      </c>
      <c r="DY148" t="e">
        <f>AND('Planilla_General_29-11-2012_10_'!C2222,"AAAAAC/9f4A=")</f>
        <v>#VALUE!</v>
      </c>
      <c r="DZ148" t="e">
        <f>AND('Planilla_General_29-11-2012_10_'!D2222,"AAAAAC/9f4E=")</f>
        <v>#VALUE!</v>
      </c>
      <c r="EA148" t="e">
        <f>AND('Planilla_General_29-11-2012_10_'!E2222,"AAAAAC/9f4I=")</f>
        <v>#VALUE!</v>
      </c>
      <c r="EB148" t="e">
        <f>AND('Planilla_General_29-11-2012_10_'!F2222,"AAAAAC/9f4M=")</f>
        <v>#VALUE!</v>
      </c>
      <c r="EC148" t="e">
        <f>AND('Planilla_General_29-11-2012_10_'!G2222,"AAAAAC/9f4Q=")</f>
        <v>#VALUE!</v>
      </c>
      <c r="ED148" t="e">
        <f>AND('Planilla_General_29-11-2012_10_'!H2222,"AAAAAC/9f4U=")</f>
        <v>#VALUE!</v>
      </c>
      <c r="EE148" t="e">
        <f>AND('Planilla_General_29-11-2012_10_'!I2222,"AAAAAC/9f4Y=")</f>
        <v>#VALUE!</v>
      </c>
      <c r="EF148" t="e">
        <f>AND('Planilla_General_29-11-2012_10_'!J2222,"AAAAAC/9f4c=")</f>
        <v>#VALUE!</v>
      </c>
      <c r="EG148" t="e">
        <f>AND('Planilla_General_29-11-2012_10_'!K2222,"AAAAAC/9f4g=")</f>
        <v>#VALUE!</v>
      </c>
      <c r="EH148" t="e">
        <f>AND('Planilla_General_29-11-2012_10_'!L2222,"AAAAAC/9f4k=")</f>
        <v>#VALUE!</v>
      </c>
      <c r="EI148" t="e">
        <f>AND('Planilla_General_29-11-2012_10_'!M2222,"AAAAAC/9f4o=")</f>
        <v>#VALUE!</v>
      </c>
      <c r="EJ148" t="e">
        <f>AND('Planilla_General_29-11-2012_10_'!N2222,"AAAAAC/9f4s=")</f>
        <v>#VALUE!</v>
      </c>
      <c r="EK148" t="e">
        <f>AND('Planilla_General_29-11-2012_10_'!O2222,"AAAAAC/9f4w=")</f>
        <v>#VALUE!</v>
      </c>
      <c r="EL148" t="e">
        <f>AND('Planilla_General_29-11-2012_10_'!P2222,"AAAAAC/9f40=")</f>
        <v>#VALUE!</v>
      </c>
      <c r="EM148">
        <f>IF('Planilla_General_29-11-2012_10_'!2223:2223,"AAAAAC/9f44=",0)</f>
        <v>0</v>
      </c>
      <c r="EN148" t="e">
        <f>AND('Planilla_General_29-11-2012_10_'!A2223,"AAAAAC/9f48=")</f>
        <v>#VALUE!</v>
      </c>
      <c r="EO148" t="e">
        <f>AND('Planilla_General_29-11-2012_10_'!B2223,"AAAAAC/9f5A=")</f>
        <v>#VALUE!</v>
      </c>
      <c r="EP148" t="e">
        <f>AND('Planilla_General_29-11-2012_10_'!C2223,"AAAAAC/9f5E=")</f>
        <v>#VALUE!</v>
      </c>
      <c r="EQ148" t="e">
        <f>AND('Planilla_General_29-11-2012_10_'!D2223,"AAAAAC/9f5I=")</f>
        <v>#VALUE!</v>
      </c>
      <c r="ER148" t="e">
        <f>AND('Planilla_General_29-11-2012_10_'!E2223,"AAAAAC/9f5M=")</f>
        <v>#VALUE!</v>
      </c>
      <c r="ES148" t="e">
        <f>AND('Planilla_General_29-11-2012_10_'!F2223,"AAAAAC/9f5Q=")</f>
        <v>#VALUE!</v>
      </c>
      <c r="ET148" t="e">
        <f>AND('Planilla_General_29-11-2012_10_'!G2223,"AAAAAC/9f5U=")</f>
        <v>#VALUE!</v>
      </c>
      <c r="EU148" t="e">
        <f>AND('Planilla_General_29-11-2012_10_'!H2223,"AAAAAC/9f5Y=")</f>
        <v>#VALUE!</v>
      </c>
      <c r="EV148" t="e">
        <f>AND('Planilla_General_29-11-2012_10_'!I2223,"AAAAAC/9f5c=")</f>
        <v>#VALUE!</v>
      </c>
      <c r="EW148" t="e">
        <f>AND('Planilla_General_29-11-2012_10_'!J2223,"AAAAAC/9f5g=")</f>
        <v>#VALUE!</v>
      </c>
      <c r="EX148" t="e">
        <f>AND('Planilla_General_29-11-2012_10_'!K2223,"AAAAAC/9f5k=")</f>
        <v>#VALUE!</v>
      </c>
      <c r="EY148" t="e">
        <f>AND('Planilla_General_29-11-2012_10_'!L2223,"AAAAAC/9f5o=")</f>
        <v>#VALUE!</v>
      </c>
      <c r="EZ148" t="e">
        <f>AND('Planilla_General_29-11-2012_10_'!M2223,"AAAAAC/9f5s=")</f>
        <v>#VALUE!</v>
      </c>
      <c r="FA148" t="e">
        <f>AND('Planilla_General_29-11-2012_10_'!N2223,"AAAAAC/9f5w=")</f>
        <v>#VALUE!</v>
      </c>
      <c r="FB148" t="e">
        <f>AND('Planilla_General_29-11-2012_10_'!O2223,"AAAAAC/9f50=")</f>
        <v>#VALUE!</v>
      </c>
      <c r="FC148" t="e">
        <f>AND('Planilla_General_29-11-2012_10_'!P2223,"AAAAAC/9f54=")</f>
        <v>#VALUE!</v>
      </c>
      <c r="FD148">
        <f>IF('Planilla_General_29-11-2012_10_'!2224:2224,"AAAAAC/9f58=",0)</f>
        <v>0</v>
      </c>
      <c r="FE148" t="e">
        <f>AND('Planilla_General_29-11-2012_10_'!A2224,"AAAAAC/9f6A=")</f>
        <v>#VALUE!</v>
      </c>
      <c r="FF148" t="e">
        <f>AND('Planilla_General_29-11-2012_10_'!B2224,"AAAAAC/9f6E=")</f>
        <v>#VALUE!</v>
      </c>
      <c r="FG148" t="e">
        <f>AND('Planilla_General_29-11-2012_10_'!C2224,"AAAAAC/9f6I=")</f>
        <v>#VALUE!</v>
      </c>
      <c r="FH148" t="e">
        <f>AND('Planilla_General_29-11-2012_10_'!D2224,"AAAAAC/9f6M=")</f>
        <v>#VALUE!</v>
      </c>
      <c r="FI148" t="e">
        <f>AND('Planilla_General_29-11-2012_10_'!E2224,"AAAAAC/9f6Q=")</f>
        <v>#VALUE!</v>
      </c>
      <c r="FJ148" t="e">
        <f>AND('Planilla_General_29-11-2012_10_'!F2224,"AAAAAC/9f6U=")</f>
        <v>#VALUE!</v>
      </c>
      <c r="FK148" t="e">
        <f>AND('Planilla_General_29-11-2012_10_'!G2224,"AAAAAC/9f6Y=")</f>
        <v>#VALUE!</v>
      </c>
      <c r="FL148" t="e">
        <f>AND('Planilla_General_29-11-2012_10_'!H2224,"AAAAAC/9f6c=")</f>
        <v>#VALUE!</v>
      </c>
      <c r="FM148" t="e">
        <f>AND('Planilla_General_29-11-2012_10_'!I2224,"AAAAAC/9f6g=")</f>
        <v>#VALUE!</v>
      </c>
      <c r="FN148" t="e">
        <f>AND('Planilla_General_29-11-2012_10_'!J2224,"AAAAAC/9f6k=")</f>
        <v>#VALUE!</v>
      </c>
      <c r="FO148" t="e">
        <f>AND('Planilla_General_29-11-2012_10_'!K2224,"AAAAAC/9f6o=")</f>
        <v>#VALUE!</v>
      </c>
      <c r="FP148" t="e">
        <f>AND('Planilla_General_29-11-2012_10_'!L2224,"AAAAAC/9f6s=")</f>
        <v>#VALUE!</v>
      </c>
      <c r="FQ148" t="e">
        <f>AND('Planilla_General_29-11-2012_10_'!M2224,"AAAAAC/9f6w=")</f>
        <v>#VALUE!</v>
      </c>
      <c r="FR148" t="e">
        <f>AND('Planilla_General_29-11-2012_10_'!N2224,"AAAAAC/9f60=")</f>
        <v>#VALUE!</v>
      </c>
      <c r="FS148" t="e">
        <f>AND('Planilla_General_29-11-2012_10_'!O2224,"AAAAAC/9f64=")</f>
        <v>#VALUE!</v>
      </c>
      <c r="FT148" t="e">
        <f>AND('Planilla_General_29-11-2012_10_'!P2224,"AAAAAC/9f68=")</f>
        <v>#VALUE!</v>
      </c>
      <c r="FU148">
        <f>IF('Planilla_General_29-11-2012_10_'!2225:2225,"AAAAAC/9f7A=",0)</f>
        <v>0</v>
      </c>
      <c r="FV148" t="e">
        <f>AND('Planilla_General_29-11-2012_10_'!A2225,"AAAAAC/9f7E=")</f>
        <v>#VALUE!</v>
      </c>
      <c r="FW148" t="e">
        <f>AND('Planilla_General_29-11-2012_10_'!B2225,"AAAAAC/9f7I=")</f>
        <v>#VALUE!</v>
      </c>
      <c r="FX148" t="e">
        <f>AND('Planilla_General_29-11-2012_10_'!C2225,"AAAAAC/9f7M=")</f>
        <v>#VALUE!</v>
      </c>
      <c r="FY148" t="e">
        <f>AND('Planilla_General_29-11-2012_10_'!D2225,"AAAAAC/9f7Q=")</f>
        <v>#VALUE!</v>
      </c>
      <c r="FZ148" t="e">
        <f>AND('Planilla_General_29-11-2012_10_'!E2225,"AAAAAC/9f7U=")</f>
        <v>#VALUE!</v>
      </c>
      <c r="GA148" t="e">
        <f>AND('Planilla_General_29-11-2012_10_'!F2225,"AAAAAC/9f7Y=")</f>
        <v>#VALUE!</v>
      </c>
      <c r="GB148" t="e">
        <f>AND('Planilla_General_29-11-2012_10_'!G2225,"AAAAAC/9f7c=")</f>
        <v>#VALUE!</v>
      </c>
      <c r="GC148" t="e">
        <f>AND('Planilla_General_29-11-2012_10_'!H2225,"AAAAAC/9f7g=")</f>
        <v>#VALUE!</v>
      </c>
      <c r="GD148" t="e">
        <f>AND('Planilla_General_29-11-2012_10_'!I2225,"AAAAAC/9f7k=")</f>
        <v>#VALUE!</v>
      </c>
      <c r="GE148" t="e">
        <f>AND('Planilla_General_29-11-2012_10_'!J2225,"AAAAAC/9f7o=")</f>
        <v>#VALUE!</v>
      </c>
      <c r="GF148" t="e">
        <f>AND('Planilla_General_29-11-2012_10_'!K2225,"AAAAAC/9f7s=")</f>
        <v>#VALUE!</v>
      </c>
      <c r="GG148" t="e">
        <f>AND('Planilla_General_29-11-2012_10_'!L2225,"AAAAAC/9f7w=")</f>
        <v>#VALUE!</v>
      </c>
      <c r="GH148" t="e">
        <f>AND('Planilla_General_29-11-2012_10_'!M2225,"AAAAAC/9f70=")</f>
        <v>#VALUE!</v>
      </c>
      <c r="GI148" t="e">
        <f>AND('Planilla_General_29-11-2012_10_'!N2225,"AAAAAC/9f74=")</f>
        <v>#VALUE!</v>
      </c>
      <c r="GJ148" t="e">
        <f>AND('Planilla_General_29-11-2012_10_'!O2225,"AAAAAC/9f78=")</f>
        <v>#VALUE!</v>
      </c>
      <c r="GK148" t="e">
        <f>AND('Planilla_General_29-11-2012_10_'!P2225,"AAAAAC/9f8A=")</f>
        <v>#VALUE!</v>
      </c>
      <c r="GL148">
        <f>IF('Planilla_General_29-11-2012_10_'!2226:2226,"AAAAAC/9f8E=",0)</f>
        <v>0</v>
      </c>
      <c r="GM148" t="e">
        <f>AND('Planilla_General_29-11-2012_10_'!A2226,"AAAAAC/9f8I=")</f>
        <v>#VALUE!</v>
      </c>
      <c r="GN148" t="e">
        <f>AND('Planilla_General_29-11-2012_10_'!B2226,"AAAAAC/9f8M=")</f>
        <v>#VALUE!</v>
      </c>
      <c r="GO148" t="e">
        <f>AND('Planilla_General_29-11-2012_10_'!C2226,"AAAAAC/9f8Q=")</f>
        <v>#VALUE!</v>
      </c>
      <c r="GP148" t="e">
        <f>AND('Planilla_General_29-11-2012_10_'!D2226,"AAAAAC/9f8U=")</f>
        <v>#VALUE!</v>
      </c>
      <c r="GQ148" t="e">
        <f>AND('Planilla_General_29-11-2012_10_'!E2226,"AAAAAC/9f8Y=")</f>
        <v>#VALUE!</v>
      </c>
      <c r="GR148" t="e">
        <f>AND('Planilla_General_29-11-2012_10_'!F2226,"AAAAAC/9f8c=")</f>
        <v>#VALUE!</v>
      </c>
      <c r="GS148" t="e">
        <f>AND('Planilla_General_29-11-2012_10_'!G2226,"AAAAAC/9f8g=")</f>
        <v>#VALUE!</v>
      </c>
      <c r="GT148" t="e">
        <f>AND('Planilla_General_29-11-2012_10_'!H2226,"AAAAAC/9f8k=")</f>
        <v>#VALUE!</v>
      </c>
      <c r="GU148" t="e">
        <f>AND('Planilla_General_29-11-2012_10_'!I2226,"AAAAAC/9f8o=")</f>
        <v>#VALUE!</v>
      </c>
      <c r="GV148" t="e">
        <f>AND('Planilla_General_29-11-2012_10_'!J2226,"AAAAAC/9f8s=")</f>
        <v>#VALUE!</v>
      </c>
      <c r="GW148" t="e">
        <f>AND('Planilla_General_29-11-2012_10_'!K2226,"AAAAAC/9f8w=")</f>
        <v>#VALUE!</v>
      </c>
      <c r="GX148" t="e">
        <f>AND('Planilla_General_29-11-2012_10_'!L2226,"AAAAAC/9f80=")</f>
        <v>#VALUE!</v>
      </c>
      <c r="GY148" t="e">
        <f>AND('Planilla_General_29-11-2012_10_'!M2226,"AAAAAC/9f84=")</f>
        <v>#VALUE!</v>
      </c>
      <c r="GZ148" t="e">
        <f>AND('Planilla_General_29-11-2012_10_'!N2226,"AAAAAC/9f88=")</f>
        <v>#VALUE!</v>
      </c>
      <c r="HA148" t="e">
        <f>AND('Planilla_General_29-11-2012_10_'!O2226,"AAAAAC/9f9A=")</f>
        <v>#VALUE!</v>
      </c>
      <c r="HB148" t="e">
        <f>AND('Planilla_General_29-11-2012_10_'!P2226,"AAAAAC/9f9E=")</f>
        <v>#VALUE!</v>
      </c>
      <c r="HC148">
        <f>IF('Planilla_General_29-11-2012_10_'!2227:2227,"AAAAAC/9f9I=",0)</f>
        <v>0</v>
      </c>
      <c r="HD148" t="e">
        <f>AND('Planilla_General_29-11-2012_10_'!A2227,"AAAAAC/9f9M=")</f>
        <v>#VALUE!</v>
      </c>
      <c r="HE148" t="e">
        <f>AND('Planilla_General_29-11-2012_10_'!B2227,"AAAAAC/9f9Q=")</f>
        <v>#VALUE!</v>
      </c>
      <c r="HF148" t="e">
        <f>AND('Planilla_General_29-11-2012_10_'!C2227,"AAAAAC/9f9U=")</f>
        <v>#VALUE!</v>
      </c>
      <c r="HG148" t="e">
        <f>AND('Planilla_General_29-11-2012_10_'!D2227,"AAAAAC/9f9Y=")</f>
        <v>#VALUE!</v>
      </c>
      <c r="HH148" t="e">
        <f>AND('Planilla_General_29-11-2012_10_'!E2227,"AAAAAC/9f9c=")</f>
        <v>#VALUE!</v>
      </c>
      <c r="HI148" t="e">
        <f>AND('Planilla_General_29-11-2012_10_'!F2227,"AAAAAC/9f9g=")</f>
        <v>#VALUE!</v>
      </c>
      <c r="HJ148" t="e">
        <f>AND('Planilla_General_29-11-2012_10_'!G2227,"AAAAAC/9f9k=")</f>
        <v>#VALUE!</v>
      </c>
      <c r="HK148" t="e">
        <f>AND('Planilla_General_29-11-2012_10_'!H2227,"AAAAAC/9f9o=")</f>
        <v>#VALUE!</v>
      </c>
      <c r="HL148" t="e">
        <f>AND('Planilla_General_29-11-2012_10_'!I2227,"AAAAAC/9f9s=")</f>
        <v>#VALUE!</v>
      </c>
      <c r="HM148" t="e">
        <f>AND('Planilla_General_29-11-2012_10_'!J2227,"AAAAAC/9f9w=")</f>
        <v>#VALUE!</v>
      </c>
      <c r="HN148" t="e">
        <f>AND('Planilla_General_29-11-2012_10_'!K2227,"AAAAAC/9f90=")</f>
        <v>#VALUE!</v>
      </c>
      <c r="HO148" t="e">
        <f>AND('Planilla_General_29-11-2012_10_'!L2227,"AAAAAC/9f94=")</f>
        <v>#VALUE!</v>
      </c>
      <c r="HP148" t="e">
        <f>AND('Planilla_General_29-11-2012_10_'!M2227,"AAAAAC/9f98=")</f>
        <v>#VALUE!</v>
      </c>
      <c r="HQ148" t="e">
        <f>AND('Planilla_General_29-11-2012_10_'!N2227,"AAAAAC/9f+A=")</f>
        <v>#VALUE!</v>
      </c>
      <c r="HR148" t="e">
        <f>AND('Planilla_General_29-11-2012_10_'!O2227,"AAAAAC/9f+E=")</f>
        <v>#VALUE!</v>
      </c>
      <c r="HS148" t="e">
        <f>AND('Planilla_General_29-11-2012_10_'!P2227,"AAAAAC/9f+I=")</f>
        <v>#VALUE!</v>
      </c>
      <c r="HT148">
        <f>IF('Planilla_General_29-11-2012_10_'!2228:2228,"AAAAAC/9f+M=",0)</f>
        <v>0</v>
      </c>
      <c r="HU148" t="e">
        <f>AND('Planilla_General_29-11-2012_10_'!A2228,"AAAAAC/9f+Q=")</f>
        <v>#VALUE!</v>
      </c>
      <c r="HV148" t="e">
        <f>AND('Planilla_General_29-11-2012_10_'!B2228,"AAAAAC/9f+U=")</f>
        <v>#VALUE!</v>
      </c>
      <c r="HW148" t="e">
        <f>AND('Planilla_General_29-11-2012_10_'!C2228,"AAAAAC/9f+Y=")</f>
        <v>#VALUE!</v>
      </c>
      <c r="HX148" t="e">
        <f>AND('Planilla_General_29-11-2012_10_'!D2228,"AAAAAC/9f+c=")</f>
        <v>#VALUE!</v>
      </c>
      <c r="HY148" t="e">
        <f>AND('Planilla_General_29-11-2012_10_'!E2228,"AAAAAC/9f+g=")</f>
        <v>#VALUE!</v>
      </c>
      <c r="HZ148" t="e">
        <f>AND('Planilla_General_29-11-2012_10_'!F2228,"AAAAAC/9f+k=")</f>
        <v>#VALUE!</v>
      </c>
      <c r="IA148" t="e">
        <f>AND('Planilla_General_29-11-2012_10_'!G2228,"AAAAAC/9f+o=")</f>
        <v>#VALUE!</v>
      </c>
      <c r="IB148" t="e">
        <f>AND('Planilla_General_29-11-2012_10_'!H2228,"AAAAAC/9f+s=")</f>
        <v>#VALUE!</v>
      </c>
      <c r="IC148" t="e">
        <f>AND('Planilla_General_29-11-2012_10_'!I2228,"AAAAAC/9f+w=")</f>
        <v>#VALUE!</v>
      </c>
      <c r="ID148" t="e">
        <f>AND('Planilla_General_29-11-2012_10_'!J2228,"AAAAAC/9f+0=")</f>
        <v>#VALUE!</v>
      </c>
      <c r="IE148" t="e">
        <f>AND('Planilla_General_29-11-2012_10_'!K2228,"AAAAAC/9f+4=")</f>
        <v>#VALUE!</v>
      </c>
      <c r="IF148" t="e">
        <f>AND('Planilla_General_29-11-2012_10_'!L2228,"AAAAAC/9f+8=")</f>
        <v>#VALUE!</v>
      </c>
      <c r="IG148" t="e">
        <f>AND('Planilla_General_29-11-2012_10_'!M2228,"AAAAAC/9f/A=")</f>
        <v>#VALUE!</v>
      </c>
      <c r="IH148" t="e">
        <f>AND('Planilla_General_29-11-2012_10_'!N2228,"AAAAAC/9f/E=")</f>
        <v>#VALUE!</v>
      </c>
      <c r="II148" t="e">
        <f>AND('Planilla_General_29-11-2012_10_'!O2228,"AAAAAC/9f/I=")</f>
        <v>#VALUE!</v>
      </c>
      <c r="IJ148" t="e">
        <f>AND('Planilla_General_29-11-2012_10_'!P2228,"AAAAAC/9f/M=")</f>
        <v>#VALUE!</v>
      </c>
      <c r="IK148">
        <f>IF('Planilla_General_29-11-2012_10_'!2229:2229,"AAAAAC/9f/Q=",0)</f>
        <v>0</v>
      </c>
      <c r="IL148" t="e">
        <f>AND('Planilla_General_29-11-2012_10_'!A2229,"AAAAAC/9f/U=")</f>
        <v>#VALUE!</v>
      </c>
      <c r="IM148" t="e">
        <f>AND('Planilla_General_29-11-2012_10_'!B2229,"AAAAAC/9f/Y=")</f>
        <v>#VALUE!</v>
      </c>
      <c r="IN148" t="e">
        <f>AND('Planilla_General_29-11-2012_10_'!C2229,"AAAAAC/9f/c=")</f>
        <v>#VALUE!</v>
      </c>
      <c r="IO148" t="e">
        <f>AND('Planilla_General_29-11-2012_10_'!D2229,"AAAAAC/9f/g=")</f>
        <v>#VALUE!</v>
      </c>
      <c r="IP148" t="e">
        <f>AND('Planilla_General_29-11-2012_10_'!E2229,"AAAAAC/9f/k=")</f>
        <v>#VALUE!</v>
      </c>
      <c r="IQ148" t="e">
        <f>AND('Planilla_General_29-11-2012_10_'!F2229,"AAAAAC/9f/o=")</f>
        <v>#VALUE!</v>
      </c>
      <c r="IR148" t="e">
        <f>AND('Planilla_General_29-11-2012_10_'!G2229,"AAAAAC/9f/s=")</f>
        <v>#VALUE!</v>
      </c>
      <c r="IS148" t="e">
        <f>AND('Planilla_General_29-11-2012_10_'!H2229,"AAAAAC/9f/w=")</f>
        <v>#VALUE!</v>
      </c>
      <c r="IT148" t="e">
        <f>AND('Planilla_General_29-11-2012_10_'!I2229,"AAAAAC/9f/0=")</f>
        <v>#VALUE!</v>
      </c>
      <c r="IU148" t="e">
        <f>AND('Planilla_General_29-11-2012_10_'!J2229,"AAAAAC/9f/4=")</f>
        <v>#VALUE!</v>
      </c>
      <c r="IV148" t="e">
        <f>AND('Planilla_General_29-11-2012_10_'!K2229,"AAAAAC/9f/8=")</f>
        <v>#VALUE!</v>
      </c>
    </row>
    <row r="149" spans="1:256" x14ac:dyDescent="0.25">
      <c r="A149" t="e">
        <f>AND('Planilla_General_29-11-2012_10_'!L2229,"AAAAAF7/KAA=")</f>
        <v>#VALUE!</v>
      </c>
      <c r="B149" t="e">
        <f>AND('Planilla_General_29-11-2012_10_'!M2229,"AAAAAF7/KAE=")</f>
        <v>#VALUE!</v>
      </c>
      <c r="C149" t="e">
        <f>AND('Planilla_General_29-11-2012_10_'!N2229,"AAAAAF7/KAI=")</f>
        <v>#VALUE!</v>
      </c>
      <c r="D149" t="e">
        <f>AND('Planilla_General_29-11-2012_10_'!O2229,"AAAAAF7/KAM=")</f>
        <v>#VALUE!</v>
      </c>
      <c r="E149" t="e">
        <f>AND('Planilla_General_29-11-2012_10_'!P2229,"AAAAAF7/KAQ=")</f>
        <v>#VALUE!</v>
      </c>
      <c r="F149" t="e">
        <f>IF('Planilla_General_29-11-2012_10_'!2230:2230,"AAAAAF7/KAU=",0)</f>
        <v>#VALUE!</v>
      </c>
      <c r="G149" t="e">
        <f>AND('Planilla_General_29-11-2012_10_'!A2230,"AAAAAF7/KAY=")</f>
        <v>#VALUE!</v>
      </c>
      <c r="H149" t="e">
        <f>AND('Planilla_General_29-11-2012_10_'!B2230,"AAAAAF7/KAc=")</f>
        <v>#VALUE!</v>
      </c>
      <c r="I149" t="e">
        <f>AND('Planilla_General_29-11-2012_10_'!C2230,"AAAAAF7/KAg=")</f>
        <v>#VALUE!</v>
      </c>
      <c r="J149" t="e">
        <f>AND('Planilla_General_29-11-2012_10_'!D2230,"AAAAAF7/KAk=")</f>
        <v>#VALUE!</v>
      </c>
      <c r="K149" t="e">
        <f>AND('Planilla_General_29-11-2012_10_'!E2230,"AAAAAF7/KAo=")</f>
        <v>#VALUE!</v>
      </c>
      <c r="L149" t="e">
        <f>AND('Planilla_General_29-11-2012_10_'!F2230,"AAAAAF7/KAs=")</f>
        <v>#VALUE!</v>
      </c>
      <c r="M149" t="e">
        <f>AND('Planilla_General_29-11-2012_10_'!G2230,"AAAAAF7/KAw=")</f>
        <v>#VALUE!</v>
      </c>
      <c r="N149" t="e">
        <f>AND('Planilla_General_29-11-2012_10_'!H2230,"AAAAAF7/KA0=")</f>
        <v>#VALUE!</v>
      </c>
      <c r="O149" t="e">
        <f>AND('Planilla_General_29-11-2012_10_'!I2230,"AAAAAF7/KA4=")</f>
        <v>#VALUE!</v>
      </c>
      <c r="P149" t="e">
        <f>AND('Planilla_General_29-11-2012_10_'!J2230,"AAAAAF7/KA8=")</f>
        <v>#VALUE!</v>
      </c>
      <c r="Q149" t="e">
        <f>AND('Planilla_General_29-11-2012_10_'!K2230,"AAAAAF7/KBA=")</f>
        <v>#VALUE!</v>
      </c>
      <c r="R149" t="e">
        <f>AND('Planilla_General_29-11-2012_10_'!L2230,"AAAAAF7/KBE=")</f>
        <v>#VALUE!</v>
      </c>
      <c r="S149" t="e">
        <f>AND('Planilla_General_29-11-2012_10_'!M2230,"AAAAAF7/KBI=")</f>
        <v>#VALUE!</v>
      </c>
      <c r="T149" t="e">
        <f>AND('Planilla_General_29-11-2012_10_'!N2230,"AAAAAF7/KBM=")</f>
        <v>#VALUE!</v>
      </c>
      <c r="U149" t="e">
        <f>AND('Planilla_General_29-11-2012_10_'!O2230,"AAAAAF7/KBQ=")</f>
        <v>#VALUE!</v>
      </c>
      <c r="V149" t="e">
        <f>AND('Planilla_General_29-11-2012_10_'!P2230,"AAAAAF7/KBU=")</f>
        <v>#VALUE!</v>
      </c>
      <c r="W149">
        <f>IF('Planilla_General_29-11-2012_10_'!2231:2231,"AAAAAF7/KBY=",0)</f>
        <v>0</v>
      </c>
      <c r="X149" t="e">
        <f>AND('Planilla_General_29-11-2012_10_'!A2231,"AAAAAF7/KBc=")</f>
        <v>#VALUE!</v>
      </c>
      <c r="Y149" t="e">
        <f>AND('Planilla_General_29-11-2012_10_'!B2231,"AAAAAF7/KBg=")</f>
        <v>#VALUE!</v>
      </c>
      <c r="Z149" t="e">
        <f>AND('Planilla_General_29-11-2012_10_'!C2231,"AAAAAF7/KBk=")</f>
        <v>#VALUE!</v>
      </c>
      <c r="AA149" t="e">
        <f>AND('Planilla_General_29-11-2012_10_'!D2231,"AAAAAF7/KBo=")</f>
        <v>#VALUE!</v>
      </c>
      <c r="AB149" t="e">
        <f>AND('Planilla_General_29-11-2012_10_'!E2231,"AAAAAF7/KBs=")</f>
        <v>#VALUE!</v>
      </c>
      <c r="AC149" t="e">
        <f>AND('Planilla_General_29-11-2012_10_'!F2231,"AAAAAF7/KBw=")</f>
        <v>#VALUE!</v>
      </c>
      <c r="AD149" t="e">
        <f>AND('Planilla_General_29-11-2012_10_'!G2231,"AAAAAF7/KB0=")</f>
        <v>#VALUE!</v>
      </c>
      <c r="AE149" t="e">
        <f>AND('Planilla_General_29-11-2012_10_'!H2231,"AAAAAF7/KB4=")</f>
        <v>#VALUE!</v>
      </c>
      <c r="AF149" t="e">
        <f>AND('Planilla_General_29-11-2012_10_'!I2231,"AAAAAF7/KB8=")</f>
        <v>#VALUE!</v>
      </c>
      <c r="AG149" t="e">
        <f>AND('Planilla_General_29-11-2012_10_'!J2231,"AAAAAF7/KCA=")</f>
        <v>#VALUE!</v>
      </c>
      <c r="AH149" t="e">
        <f>AND('Planilla_General_29-11-2012_10_'!K2231,"AAAAAF7/KCE=")</f>
        <v>#VALUE!</v>
      </c>
      <c r="AI149" t="e">
        <f>AND('Planilla_General_29-11-2012_10_'!L2231,"AAAAAF7/KCI=")</f>
        <v>#VALUE!</v>
      </c>
      <c r="AJ149" t="e">
        <f>AND('Planilla_General_29-11-2012_10_'!M2231,"AAAAAF7/KCM=")</f>
        <v>#VALUE!</v>
      </c>
      <c r="AK149" t="e">
        <f>AND('Planilla_General_29-11-2012_10_'!N2231,"AAAAAF7/KCQ=")</f>
        <v>#VALUE!</v>
      </c>
      <c r="AL149" t="e">
        <f>AND('Planilla_General_29-11-2012_10_'!O2231,"AAAAAF7/KCU=")</f>
        <v>#VALUE!</v>
      </c>
      <c r="AM149" t="e">
        <f>AND('Planilla_General_29-11-2012_10_'!P2231,"AAAAAF7/KCY=")</f>
        <v>#VALUE!</v>
      </c>
      <c r="AN149">
        <f>IF('Planilla_General_29-11-2012_10_'!2232:2232,"AAAAAF7/KCc=",0)</f>
        <v>0</v>
      </c>
      <c r="AO149" t="e">
        <f>AND('Planilla_General_29-11-2012_10_'!A2232,"AAAAAF7/KCg=")</f>
        <v>#VALUE!</v>
      </c>
      <c r="AP149" t="e">
        <f>AND('Planilla_General_29-11-2012_10_'!B2232,"AAAAAF7/KCk=")</f>
        <v>#VALUE!</v>
      </c>
      <c r="AQ149" t="e">
        <f>AND('Planilla_General_29-11-2012_10_'!C2232,"AAAAAF7/KCo=")</f>
        <v>#VALUE!</v>
      </c>
      <c r="AR149" t="e">
        <f>AND('Planilla_General_29-11-2012_10_'!D2232,"AAAAAF7/KCs=")</f>
        <v>#VALUE!</v>
      </c>
      <c r="AS149" t="e">
        <f>AND('Planilla_General_29-11-2012_10_'!E2232,"AAAAAF7/KCw=")</f>
        <v>#VALUE!</v>
      </c>
      <c r="AT149" t="e">
        <f>AND('Planilla_General_29-11-2012_10_'!F2232,"AAAAAF7/KC0=")</f>
        <v>#VALUE!</v>
      </c>
      <c r="AU149" t="e">
        <f>AND('Planilla_General_29-11-2012_10_'!G2232,"AAAAAF7/KC4=")</f>
        <v>#VALUE!</v>
      </c>
      <c r="AV149" t="e">
        <f>AND('Planilla_General_29-11-2012_10_'!H2232,"AAAAAF7/KC8=")</f>
        <v>#VALUE!</v>
      </c>
      <c r="AW149" t="e">
        <f>AND('Planilla_General_29-11-2012_10_'!I2232,"AAAAAF7/KDA=")</f>
        <v>#VALUE!</v>
      </c>
      <c r="AX149" t="e">
        <f>AND('Planilla_General_29-11-2012_10_'!J2232,"AAAAAF7/KDE=")</f>
        <v>#VALUE!</v>
      </c>
      <c r="AY149" t="e">
        <f>AND('Planilla_General_29-11-2012_10_'!K2232,"AAAAAF7/KDI=")</f>
        <v>#VALUE!</v>
      </c>
      <c r="AZ149" t="e">
        <f>AND('Planilla_General_29-11-2012_10_'!L2232,"AAAAAF7/KDM=")</f>
        <v>#VALUE!</v>
      </c>
      <c r="BA149" t="e">
        <f>AND('Planilla_General_29-11-2012_10_'!M2232,"AAAAAF7/KDQ=")</f>
        <v>#VALUE!</v>
      </c>
      <c r="BB149" t="e">
        <f>AND('Planilla_General_29-11-2012_10_'!N2232,"AAAAAF7/KDU=")</f>
        <v>#VALUE!</v>
      </c>
      <c r="BC149" t="e">
        <f>AND('Planilla_General_29-11-2012_10_'!O2232,"AAAAAF7/KDY=")</f>
        <v>#VALUE!</v>
      </c>
      <c r="BD149" t="e">
        <f>AND('Planilla_General_29-11-2012_10_'!P2232,"AAAAAF7/KDc=")</f>
        <v>#VALUE!</v>
      </c>
      <c r="BE149">
        <f>IF('Planilla_General_29-11-2012_10_'!2233:2233,"AAAAAF7/KDg=",0)</f>
        <v>0</v>
      </c>
      <c r="BF149" t="e">
        <f>AND('Planilla_General_29-11-2012_10_'!A2233,"AAAAAF7/KDk=")</f>
        <v>#VALUE!</v>
      </c>
      <c r="BG149" t="e">
        <f>AND('Planilla_General_29-11-2012_10_'!B2233,"AAAAAF7/KDo=")</f>
        <v>#VALUE!</v>
      </c>
      <c r="BH149" t="e">
        <f>AND('Planilla_General_29-11-2012_10_'!C2233,"AAAAAF7/KDs=")</f>
        <v>#VALUE!</v>
      </c>
      <c r="BI149" t="e">
        <f>AND('Planilla_General_29-11-2012_10_'!D2233,"AAAAAF7/KDw=")</f>
        <v>#VALUE!</v>
      </c>
      <c r="BJ149" t="e">
        <f>AND('Planilla_General_29-11-2012_10_'!E2233,"AAAAAF7/KD0=")</f>
        <v>#VALUE!</v>
      </c>
      <c r="BK149" t="e">
        <f>AND('Planilla_General_29-11-2012_10_'!F2233,"AAAAAF7/KD4=")</f>
        <v>#VALUE!</v>
      </c>
      <c r="BL149" t="e">
        <f>AND('Planilla_General_29-11-2012_10_'!G2233,"AAAAAF7/KD8=")</f>
        <v>#VALUE!</v>
      </c>
      <c r="BM149" t="e">
        <f>AND('Planilla_General_29-11-2012_10_'!H2233,"AAAAAF7/KEA=")</f>
        <v>#VALUE!</v>
      </c>
      <c r="BN149" t="e">
        <f>AND('Planilla_General_29-11-2012_10_'!I2233,"AAAAAF7/KEE=")</f>
        <v>#VALUE!</v>
      </c>
      <c r="BO149" t="e">
        <f>AND('Planilla_General_29-11-2012_10_'!J2233,"AAAAAF7/KEI=")</f>
        <v>#VALUE!</v>
      </c>
      <c r="BP149" t="e">
        <f>AND('Planilla_General_29-11-2012_10_'!K2233,"AAAAAF7/KEM=")</f>
        <v>#VALUE!</v>
      </c>
      <c r="BQ149" t="e">
        <f>AND('Planilla_General_29-11-2012_10_'!L2233,"AAAAAF7/KEQ=")</f>
        <v>#VALUE!</v>
      </c>
      <c r="BR149" t="e">
        <f>AND('Planilla_General_29-11-2012_10_'!M2233,"AAAAAF7/KEU=")</f>
        <v>#VALUE!</v>
      </c>
      <c r="BS149" t="e">
        <f>AND('Planilla_General_29-11-2012_10_'!N2233,"AAAAAF7/KEY=")</f>
        <v>#VALUE!</v>
      </c>
      <c r="BT149" t="e">
        <f>AND('Planilla_General_29-11-2012_10_'!O2233,"AAAAAF7/KEc=")</f>
        <v>#VALUE!</v>
      </c>
      <c r="BU149" t="e">
        <f>AND('Planilla_General_29-11-2012_10_'!P2233,"AAAAAF7/KEg=")</f>
        <v>#VALUE!</v>
      </c>
      <c r="BV149">
        <f>IF('Planilla_General_29-11-2012_10_'!2234:2234,"AAAAAF7/KEk=",0)</f>
        <v>0</v>
      </c>
      <c r="BW149" t="e">
        <f>AND('Planilla_General_29-11-2012_10_'!A2234,"AAAAAF7/KEo=")</f>
        <v>#VALUE!</v>
      </c>
      <c r="BX149" t="e">
        <f>AND('Planilla_General_29-11-2012_10_'!B2234,"AAAAAF7/KEs=")</f>
        <v>#VALUE!</v>
      </c>
      <c r="BY149" t="e">
        <f>AND('Planilla_General_29-11-2012_10_'!C2234,"AAAAAF7/KEw=")</f>
        <v>#VALUE!</v>
      </c>
      <c r="BZ149" t="e">
        <f>AND('Planilla_General_29-11-2012_10_'!D2234,"AAAAAF7/KE0=")</f>
        <v>#VALUE!</v>
      </c>
      <c r="CA149" t="e">
        <f>AND('Planilla_General_29-11-2012_10_'!E2234,"AAAAAF7/KE4=")</f>
        <v>#VALUE!</v>
      </c>
      <c r="CB149" t="e">
        <f>AND('Planilla_General_29-11-2012_10_'!F2234,"AAAAAF7/KE8=")</f>
        <v>#VALUE!</v>
      </c>
      <c r="CC149" t="e">
        <f>AND('Planilla_General_29-11-2012_10_'!G2234,"AAAAAF7/KFA=")</f>
        <v>#VALUE!</v>
      </c>
      <c r="CD149" t="e">
        <f>AND('Planilla_General_29-11-2012_10_'!H2234,"AAAAAF7/KFE=")</f>
        <v>#VALUE!</v>
      </c>
      <c r="CE149" t="e">
        <f>AND('Planilla_General_29-11-2012_10_'!I2234,"AAAAAF7/KFI=")</f>
        <v>#VALUE!</v>
      </c>
      <c r="CF149" t="e">
        <f>AND('Planilla_General_29-11-2012_10_'!J2234,"AAAAAF7/KFM=")</f>
        <v>#VALUE!</v>
      </c>
      <c r="CG149" t="e">
        <f>AND('Planilla_General_29-11-2012_10_'!K2234,"AAAAAF7/KFQ=")</f>
        <v>#VALUE!</v>
      </c>
      <c r="CH149" t="e">
        <f>AND('Planilla_General_29-11-2012_10_'!L2234,"AAAAAF7/KFU=")</f>
        <v>#VALUE!</v>
      </c>
      <c r="CI149" t="e">
        <f>AND('Planilla_General_29-11-2012_10_'!M2234,"AAAAAF7/KFY=")</f>
        <v>#VALUE!</v>
      </c>
      <c r="CJ149" t="e">
        <f>AND('Planilla_General_29-11-2012_10_'!N2234,"AAAAAF7/KFc=")</f>
        <v>#VALUE!</v>
      </c>
      <c r="CK149" t="e">
        <f>AND('Planilla_General_29-11-2012_10_'!O2234,"AAAAAF7/KFg=")</f>
        <v>#VALUE!</v>
      </c>
      <c r="CL149" t="e">
        <f>AND('Planilla_General_29-11-2012_10_'!P2234,"AAAAAF7/KFk=")</f>
        <v>#VALUE!</v>
      </c>
      <c r="CM149">
        <f>IF('Planilla_General_29-11-2012_10_'!2235:2235,"AAAAAF7/KFo=",0)</f>
        <v>0</v>
      </c>
      <c r="CN149" t="e">
        <f>AND('Planilla_General_29-11-2012_10_'!A2235,"AAAAAF7/KFs=")</f>
        <v>#VALUE!</v>
      </c>
      <c r="CO149" t="e">
        <f>AND('Planilla_General_29-11-2012_10_'!B2235,"AAAAAF7/KFw=")</f>
        <v>#VALUE!</v>
      </c>
      <c r="CP149" t="e">
        <f>AND('Planilla_General_29-11-2012_10_'!C2235,"AAAAAF7/KF0=")</f>
        <v>#VALUE!</v>
      </c>
      <c r="CQ149" t="e">
        <f>AND('Planilla_General_29-11-2012_10_'!D2235,"AAAAAF7/KF4=")</f>
        <v>#VALUE!</v>
      </c>
      <c r="CR149" t="e">
        <f>AND('Planilla_General_29-11-2012_10_'!E2235,"AAAAAF7/KF8=")</f>
        <v>#VALUE!</v>
      </c>
      <c r="CS149" t="e">
        <f>AND('Planilla_General_29-11-2012_10_'!F2235,"AAAAAF7/KGA=")</f>
        <v>#VALUE!</v>
      </c>
      <c r="CT149" t="e">
        <f>AND('Planilla_General_29-11-2012_10_'!G2235,"AAAAAF7/KGE=")</f>
        <v>#VALUE!</v>
      </c>
      <c r="CU149" t="e">
        <f>AND('Planilla_General_29-11-2012_10_'!H2235,"AAAAAF7/KGI=")</f>
        <v>#VALUE!</v>
      </c>
      <c r="CV149" t="e">
        <f>AND('Planilla_General_29-11-2012_10_'!I2235,"AAAAAF7/KGM=")</f>
        <v>#VALUE!</v>
      </c>
      <c r="CW149" t="e">
        <f>AND('Planilla_General_29-11-2012_10_'!J2235,"AAAAAF7/KGQ=")</f>
        <v>#VALUE!</v>
      </c>
      <c r="CX149" t="e">
        <f>AND('Planilla_General_29-11-2012_10_'!K2235,"AAAAAF7/KGU=")</f>
        <v>#VALUE!</v>
      </c>
      <c r="CY149" t="e">
        <f>AND('Planilla_General_29-11-2012_10_'!L2235,"AAAAAF7/KGY=")</f>
        <v>#VALUE!</v>
      </c>
      <c r="CZ149" t="e">
        <f>AND('Planilla_General_29-11-2012_10_'!M2235,"AAAAAF7/KGc=")</f>
        <v>#VALUE!</v>
      </c>
      <c r="DA149" t="e">
        <f>AND('Planilla_General_29-11-2012_10_'!N2235,"AAAAAF7/KGg=")</f>
        <v>#VALUE!</v>
      </c>
      <c r="DB149" t="e">
        <f>AND('Planilla_General_29-11-2012_10_'!O2235,"AAAAAF7/KGk=")</f>
        <v>#VALUE!</v>
      </c>
      <c r="DC149" t="e">
        <f>AND('Planilla_General_29-11-2012_10_'!P2235,"AAAAAF7/KGo=")</f>
        <v>#VALUE!</v>
      </c>
      <c r="DD149">
        <f>IF('Planilla_General_29-11-2012_10_'!2236:2236,"AAAAAF7/KGs=",0)</f>
        <v>0</v>
      </c>
      <c r="DE149" t="e">
        <f>AND('Planilla_General_29-11-2012_10_'!A2236,"AAAAAF7/KGw=")</f>
        <v>#VALUE!</v>
      </c>
      <c r="DF149" t="e">
        <f>AND('Planilla_General_29-11-2012_10_'!B2236,"AAAAAF7/KG0=")</f>
        <v>#VALUE!</v>
      </c>
      <c r="DG149" t="e">
        <f>AND('Planilla_General_29-11-2012_10_'!C2236,"AAAAAF7/KG4=")</f>
        <v>#VALUE!</v>
      </c>
      <c r="DH149" t="e">
        <f>AND('Planilla_General_29-11-2012_10_'!D2236,"AAAAAF7/KG8=")</f>
        <v>#VALUE!</v>
      </c>
      <c r="DI149" t="e">
        <f>AND('Planilla_General_29-11-2012_10_'!E2236,"AAAAAF7/KHA=")</f>
        <v>#VALUE!</v>
      </c>
      <c r="DJ149" t="e">
        <f>AND('Planilla_General_29-11-2012_10_'!F2236,"AAAAAF7/KHE=")</f>
        <v>#VALUE!</v>
      </c>
      <c r="DK149" t="e">
        <f>AND('Planilla_General_29-11-2012_10_'!G2236,"AAAAAF7/KHI=")</f>
        <v>#VALUE!</v>
      </c>
      <c r="DL149" t="e">
        <f>AND('Planilla_General_29-11-2012_10_'!H2236,"AAAAAF7/KHM=")</f>
        <v>#VALUE!</v>
      </c>
      <c r="DM149" t="e">
        <f>AND('Planilla_General_29-11-2012_10_'!I2236,"AAAAAF7/KHQ=")</f>
        <v>#VALUE!</v>
      </c>
      <c r="DN149" t="e">
        <f>AND('Planilla_General_29-11-2012_10_'!J2236,"AAAAAF7/KHU=")</f>
        <v>#VALUE!</v>
      </c>
      <c r="DO149" t="e">
        <f>AND('Planilla_General_29-11-2012_10_'!K2236,"AAAAAF7/KHY=")</f>
        <v>#VALUE!</v>
      </c>
      <c r="DP149" t="e">
        <f>AND('Planilla_General_29-11-2012_10_'!L2236,"AAAAAF7/KHc=")</f>
        <v>#VALUE!</v>
      </c>
      <c r="DQ149" t="e">
        <f>AND('Planilla_General_29-11-2012_10_'!M2236,"AAAAAF7/KHg=")</f>
        <v>#VALUE!</v>
      </c>
      <c r="DR149" t="e">
        <f>AND('Planilla_General_29-11-2012_10_'!N2236,"AAAAAF7/KHk=")</f>
        <v>#VALUE!</v>
      </c>
      <c r="DS149" t="e">
        <f>AND('Planilla_General_29-11-2012_10_'!O2236,"AAAAAF7/KHo=")</f>
        <v>#VALUE!</v>
      </c>
      <c r="DT149" t="e">
        <f>AND('Planilla_General_29-11-2012_10_'!P2236,"AAAAAF7/KHs=")</f>
        <v>#VALUE!</v>
      </c>
      <c r="DU149">
        <f>IF('Planilla_General_29-11-2012_10_'!2237:2237,"AAAAAF7/KHw=",0)</f>
        <v>0</v>
      </c>
      <c r="DV149" t="e">
        <f>AND('Planilla_General_29-11-2012_10_'!A2237,"AAAAAF7/KH0=")</f>
        <v>#VALUE!</v>
      </c>
      <c r="DW149" t="e">
        <f>AND('Planilla_General_29-11-2012_10_'!B2237,"AAAAAF7/KH4=")</f>
        <v>#VALUE!</v>
      </c>
      <c r="DX149" t="e">
        <f>AND('Planilla_General_29-11-2012_10_'!C2237,"AAAAAF7/KH8=")</f>
        <v>#VALUE!</v>
      </c>
      <c r="DY149" t="e">
        <f>AND('Planilla_General_29-11-2012_10_'!D2237,"AAAAAF7/KIA=")</f>
        <v>#VALUE!</v>
      </c>
      <c r="DZ149" t="e">
        <f>AND('Planilla_General_29-11-2012_10_'!E2237,"AAAAAF7/KIE=")</f>
        <v>#VALUE!</v>
      </c>
      <c r="EA149" t="e">
        <f>AND('Planilla_General_29-11-2012_10_'!F2237,"AAAAAF7/KII=")</f>
        <v>#VALUE!</v>
      </c>
      <c r="EB149" t="e">
        <f>AND('Planilla_General_29-11-2012_10_'!G2237,"AAAAAF7/KIM=")</f>
        <v>#VALUE!</v>
      </c>
      <c r="EC149" t="e">
        <f>AND('Planilla_General_29-11-2012_10_'!H2237,"AAAAAF7/KIQ=")</f>
        <v>#VALUE!</v>
      </c>
      <c r="ED149" t="e">
        <f>AND('Planilla_General_29-11-2012_10_'!I2237,"AAAAAF7/KIU=")</f>
        <v>#VALUE!</v>
      </c>
      <c r="EE149" t="e">
        <f>AND('Planilla_General_29-11-2012_10_'!J2237,"AAAAAF7/KIY=")</f>
        <v>#VALUE!</v>
      </c>
      <c r="EF149" t="e">
        <f>AND('Planilla_General_29-11-2012_10_'!K2237,"AAAAAF7/KIc=")</f>
        <v>#VALUE!</v>
      </c>
      <c r="EG149" t="e">
        <f>AND('Planilla_General_29-11-2012_10_'!L2237,"AAAAAF7/KIg=")</f>
        <v>#VALUE!</v>
      </c>
      <c r="EH149" t="e">
        <f>AND('Planilla_General_29-11-2012_10_'!M2237,"AAAAAF7/KIk=")</f>
        <v>#VALUE!</v>
      </c>
      <c r="EI149" t="e">
        <f>AND('Planilla_General_29-11-2012_10_'!N2237,"AAAAAF7/KIo=")</f>
        <v>#VALUE!</v>
      </c>
      <c r="EJ149" t="e">
        <f>AND('Planilla_General_29-11-2012_10_'!O2237,"AAAAAF7/KIs=")</f>
        <v>#VALUE!</v>
      </c>
      <c r="EK149" t="e">
        <f>AND('Planilla_General_29-11-2012_10_'!P2237,"AAAAAF7/KIw=")</f>
        <v>#VALUE!</v>
      </c>
      <c r="EL149">
        <f>IF('Planilla_General_29-11-2012_10_'!2238:2238,"AAAAAF7/KI0=",0)</f>
        <v>0</v>
      </c>
      <c r="EM149" t="e">
        <f>AND('Planilla_General_29-11-2012_10_'!A2238,"AAAAAF7/KI4=")</f>
        <v>#VALUE!</v>
      </c>
      <c r="EN149" t="e">
        <f>AND('Planilla_General_29-11-2012_10_'!B2238,"AAAAAF7/KI8=")</f>
        <v>#VALUE!</v>
      </c>
      <c r="EO149" t="e">
        <f>AND('Planilla_General_29-11-2012_10_'!C2238,"AAAAAF7/KJA=")</f>
        <v>#VALUE!</v>
      </c>
      <c r="EP149" t="e">
        <f>AND('Planilla_General_29-11-2012_10_'!D2238,"AAAAAF7/KJE=")</f>
        <v>#VALUE!</v>
      </c>
      <c r="EQ149" t="e">
        <f>AND('Planilla_General_29-11-2012_10_'!E2238,"AAAAAF7/KJI=")</f>
        <v>#VALUE!</v>
      </c>
      <c r="ER149" t="e">
        <f>AND('Planilla_General_29-11-2012_10_'!F2238,"AAAAAF7/KJM=")</f>
        <v>#VALUE!</v>
      </c>
      <c r="ES149" t="e">
        <f>AND('Planilla_General_29-11-2012_10_'!G2238,"AAAAAF7/KJQ=")</f>
        <v>#VALUE!</v>
      </c>
      <c r="ET149" t="e">
        <f>AND('Planilla_General_29-11-2012_10_'!H2238,"AAAAAF7/KJU=")</f>
        <v>#VALUE!</v>
      </c>
      <c r="EU149" t="e">
        <f>AND('Planilla_General_29-11-2012_10_'!I2238,"AAAAAF7/KJY=")</f>
        <v>#VALUE!</v>
      </c>
      <c r="EV149" t="e">
        <f>AND('Planilla_General_29-11-2012_10_'!J2238,"AAAAAF7/KJc=")</f>
        <v>#VALUE!</v>
      </c>
      <c r="EW149" t="e">
        <f>AND('Planilla_General_29-11-2012_10_'!K2238,"AAAAAF7/KJg=")</f>
        <v>#VALUE!</v>
      </c>
      <c r="EX149" t="e">
        <f>AND('Planilla_General_29-11-2012_10_'!L2238,"AAAAAF7/KJk=")</f>
        <v>#VALUE!</v>
      </c>
      <c r="EY149" t="e">
        <f>AND('Planilla_General_29-11-2012_10_'!M2238,"AAAAAF7/KJo=")</f>
        <v>#VALUE!</v>
      </c>
      <c r="EZ149" t="e">
        <f>AND('Planilla_General_29-11-2012_10_'!N2238,"AAAAAF7/KJs=")</f>
        <v>#VALUE!</v>
      </c>
      <c r="FA149" t="e">
        <f>AND('Planilla_General_29-11-2012_10_'!O2238,"AAAAAF7/KJw=")</f>
        <v>#VALUE!</v>
      </c>
      <c r="FB149" t="e">
        <f>AND('Planilla_General_29-11-2012_10_'!P2238,"AAAAAF7/KJ0=")</f>
        <v>#VALUE!</v>
      </c>
      <c r="FC149">
        <f>IF('Planilla_General_29-11-2012_10_'!2239:2239,"AAAAAF7/KJ4=",0)</f>
        <v>0</v>
      </c>
      <c r="FD149" t="e">
        <f>AND('Planilla_General_29-11-2012_10_'!A2239,"AAAAAF7/KJ8=")</f>
        <v>#VALUE!</v>
      </c>
      <c r="FE149" t="e">
        <f>AND('Planilla_General_29-11-2012_10_'!B2239,"AAAAAF7/KKA=")</f>
        <v>#VALUE!</v>
      </c>
      <c r="FF149" t="e">
        <f>AND('Planilla_General_29-11-2012_10_'!C2239,"AAAAAF7/KKE=")</f>
        <v>#VALUE!</v>
      </c>
      <c r="FG149" t="e">
        <f>AND('Planilla_General_29-11-2012_10_'!D2239,"AAAAAF7/KKI=")</f>
        <v>#VALUE!</v>
      </c>
      <c r="FH149" t="e">
        <f>AND('Planilla_General_29-11-2012_10_'!E2239,"AAAAAF7/KKM=")</f>
        <v>#VALUE!</v>
      </c>
      <c r="FI149" t="e">
        <f>AND('Planilla_General_29-11-2012_10_'!F2239,"AAAAAF7/KKQ=")</f>
        <v>#VALUE!</v>
      </c>
      <c r="FJ149" t="e">
        <f>AND('Planilla_General_29-11-2012_10_'!G2239,"AAAAAF7/KKU=")</f>
        <v>#VALUE!</v>
      </c>
      <c r="FK149" t="e">
        <f>AND('Planilla_General_29-11-2012_10_'!H2239,"AAAAAF7/KKY=")</f>
        <v>#VALUE!</v>
      </c>
      <c r="FL149" t="e">
        <f>AND('Planilla_General_29-11-2012_10_'!I2239,"AAAAAF7/KKc=")</f>
        <v>#VALUE!</v>
      </c>
      <c r="FM149" t="e">
        <f>AND('Planilla_General_29-11-2012_10_'!J2239,"AAAAAF7/KKg=")</f>
        <v>#VALUE!</v>
      </c>
      <c r="FN149" t="e">
        <f>AND('Planilla_General_29-11-2012_10_'!K2239,"AAAAAF7/KKk=")</f>
        <v>#VALUE!</v>
      </c>
      <c r="FO149" t="e">
        <f>AND('Planilla_General_29-11-2012_10_'!L2239,"AAAAAF7/KKo=")</f>
        <v>#VALUE!</v>
      </c>
      <c r="FP149" t="e">
        <f>AND('Planilla_General_29-11-2012_10_'!M2239,"AAAAAF7/KKs=")</f>
        <v>#VALUE!</v>
      </c>
      <c r="FQ149" t="e">
        <f>AND('Planilla_General_29-11-2012_10_'!N2239,"AAAAAF7/KKw=")</f>
        <v>#VALUE!</v>
      </c>
      <c r="FR149" t="e">
        <f>AND('Planilla_General_29-11-2012_10_'!O2239,"AAAAAF7/KK0=")</f>
        <v>#VALUE!</v>
      </c>
      <c r="FS149" t="e">
        <f>AND('Planilla_General_29-11-2012_10_'!P2239,"AAAAAF7/KK4=")</f>
        <v>#VALUE!</v>
      </c>
      <c r="FT149">
        <f>IF('Planilla_General_29-11-2012_10_'!2240:2240,"AAAAAF7/KK8=",0)</f>
        <v>0</v>
      </c>
      <c r="FU149" t="e">
        <f>AND('Planilla_General_29-11-2012_10_'!A2240,"AAAAAF7/KLA=")</f>
        <v>#VALUE!</v>
      </c>
      <c r="FV149" t="e">
        <f>AND('Planilla_General_29-11-2012_10_'!B2240,"AAAAAF7/KLE=")</f>
        <v>#VALUE!</v>
      </c>
      <c r="FW149" t="e">
        <f>AND('Planilla_General_29-11-2012_10_'!C2240,"AAAAAF7/KLI=")</f>
        <v>#VALUE!</v>
      </c>
      <c r="FX149" t="e">
        <f>AND('Planilla_General_29-11-2012_10_'!D2240,"AAAAAF7/KLM=")</f>
        <v>#VALUE!</v>
      </c>
      <c r="FY149" t="e">
        <f>AND('Planilla_General_29-11-2012_10_'!E2240,"AAAAAF7/KLQ=")</f>
        <v>#VALUE!</v>
      </c>
      <c r="FZ149" t="e">
        <f>AND('Planilla_General_29-11-2012_10_'!F2240,"AAAAAF7/KLU=")</f>
        <v>#VALUE!</v>
      </c>
      <c r="GA149" t="e">
        <f>AND('Planilla_General_29-11-2012_10_'!G2240,"AAAAAF7/KLY=")</f>
        <v>#VALUE!</v>
      </c>
      <c r="GB149" t="e">
        <f>AND('Planilla_General_29-11-2012_10_'!H2240,"AAAAAF7/KLc=")</f>
        <v>#VALUE!</v>
      </c>
      <c r="GC149" t="e">
        <f>AND('Planilla_General_29-11-2012_10_'!I2240,"AAAAAF7/KLg=")</f>
        <v>#VALUE!</v>
      </c>
      <c r="GD149" t="e">
        <f>AND('Planilla_General_29-11-2012_10_'!J2240,"AAAAAF7/KLk=")</f>
        <v>#VALUE!</v>
      </c>
      <c r="GE149" t="e">
        <f>AND('Planilla_General_29-11-2012_10_'!K2240,"AAAAAF7/KLo=")</f>
        <v>#VALUE!</v>
      </c>
      <c r="GF149" t="e">
        <f>AND('Planilla_General_29-11-2012_10_'!L2240,"AAAAAF7/KLs=")</f>
        <v>#VALUE!</v>
      </c>
      <c r="GG149" t="e">
        <f>AND('Planilla_General_29-11-2012_10_'!M2240,"AAAAAF7/KLw=")</f>
        <v>#VALUE!</v>
      </c>
      <c r="GH149" t="e">
        <f>AND('Planilla_General_29-11-2012_10_'!N2240,"AAAAAF7/KL0=")</f>
        <v>#VALUE!</v>
      </c>
      <c r="GI149" t="e">
        <f>AND('Planilla_General_29-11-2012_10_'!O2240,"AAAAAF7/KL4=")</f>
        <v>#VALUE!</v>
      </c>
      <c r="GJ149" t="e">
        <f>AND('Planilla_General_29-11-2012_10_'!P2240,"AAAAAF7/KL8=")</f>
        <v>#VALUE!</v>
      </c>
      <c r="GK149">
        <f>IF('Planilla_General_29-11-2012_10_'!2241:2241,"AAAAAF7/KMA=",0)</f>
        <v>0</v>
      </c>
      <c r="GL149" t="e">
        <f>AND('Planilla_General_29-11-2012_10_'!A2241,"AAAAAF7/KME=")</f>
        <v>#VALUE!</v>
      </c>
      <c r="GM149" t="e">
        <f>AND('Planilla_General_29-11-2012_10_'!B2241,"AAAAAF7/KMI=")</f>
        <v>#VALUE!</v>
      </c>
      <c r="GN149" t="e">
        <f>AND('Planilla_General_29-11-2012_10_'!C2241,"AAAAAF7/KMM=")</f>
        <v>#VALUE!</v>
      </c>
      <c r="GO149" t="e">
        <f>AND('Planilla_General_29-11-2012_10_'!D2241,"AAAAAF7/KMQ=")</f>
        <v>#VALUE!</v>
      </c>
      <c r="GP149" t="e">
        <f>AND('Planilla_General_29-11-2012_10_'!E2241,"AAAAAF7/KMU=")</f>
        <v>#VALUE!</v>
      </c>
      <c r="GQ149" t="e">
        <f>AND('Planilla_General_29-11-2012_10_'!F2241,"AAAAAF7/KMY=")</f>
        <v>#VALUE!</v>
      </c>
      <c r="GR149" t="e">
        <f>AND('Planilla_General_29-11-2012_10_'!G2241,"AAAAAF7/KMc=")</f>
        <v>#VALUE!</v>
      </c>
      <c r="GS149" t="e">
        <f>AND('Planilla_General_29-11-2012_10_'!H2241,"AAAAAF7/KMg=")</f>
        <v>#VALUE!</v>
      </c>
      <c r="GT149" t="e">
        <f>AND('Planilla_General_29-11-2012_10_'!I2241,"AAAAAF7/KMk=")</f>
        <v>#VALUE!</v>
      </c>
      <c r="GU149" t="e">
        <f>AND('Planilla_General_29-11-2012_10_'!J2241,"AAAAAF7/KMo=")</f>
        <v>#VALUE!</v>
      </c>
      <c r="GV149" t="e">
        <f>AND('Planilla_General_29-11-2012_10_'!K2241,"AAAAAF7/KMs=")</f>
        <v>#VALUE!</v>
      </c>
      <c r="GW149" t="e">
        <f>AND('Planilla_General_29-11-2012_10_'!L2241,"AAAAAF7/KMw=")</f>
        <v>#VALUE!</v>
      </c>
      <c r="GX149" t="e">
        <f>AND('Planilla_General_29-11-2012_10_'!M2241,"AAAAAF7/KM0=")</f>
        <v>#VALUE!</v>
      </c>
      <c r="GY149" t="e">
        <f>AND('Planilla_General_29-11-2012_10_'!N2241,"AAAAAF7/KM4=")</f>
        <v>#VALUE!</v>
      </c>
      <c r="GZ149" t="e">
        <f>AND('Planilla_General_29-11-2012_10_'!O2241,"AAAAAF7/KM8=")</f>
        <v>#VALUE!</v>
      </c>
      <c r="HA149" t="e">
        <f>AND('Planilla_General_29-11-2012_10_'!P2241,"AAAAAF7/KNA=")</f>
        <v>#VALUE!</v>
      </c>
      <c r="HB149">
        <f>IF('Planilla_General_29-11-2012_10_'!2242:2242,"AAAAAF7/KNE=",0)</f>
        <v>0</v>
      </c>
      <c r="HC149" t="e">
        <f>AND('Planilla_General_29-11-2012_10_'!A2242,"AAAAAF7/KNI=")</f>
        <v>#VALUE!</v>
      </c>
      <c r="HD149" t="e">
        <f>AND('Planilla_General_29-11-2012_10_'!B2242,"AAAAAF7/KNM=")</f>
        <v>#VALUE!</v>
      </c>
      <c r="HE149" t="e">
        <f>AND('Planilla_General_29-11-2012_10_'!C2242,"AAAAAF7/KNQ=")</f>
        <v>#VALUE!</v>
      </c>
      <c r="HF149" t="e">
        <f>AND('Planilla_General_29-11-2012_10_'!D2242,"AAAAAF7/KNU=")</f>
        <v>#VALUE!</v>
      </c>
      <c r="HG149" t="e">
        <f>AND('Planilla_General_29-11-2012_10_'!E2242,"AAAAAF7/KNY=")</f>
        <v>#VALUE!</v>
      </c>
      <c r="HH149" t="e">
        <f>AND('Planilla_General_29-11-2012_10_'!F2242,"AAAAAF7/KNc=")</f>
        <v>#VALUE!</v>
      </c>
      <c r="HI149" t="e">
        <f>AND('Planilla_General_29-11-2012_10_'!G2242,"AAAAAF7/KNg=")</f>
        <v>#VALUE!</v>
      </c>
      <c r="HJ149" t="e">
        <f>AND('Planilla_General_29-11-2012_10_'!H2242,"AAAAAF7/KNk=")</f>
        <v>#VALUE!</v>
      </c>
      <c r="HK149" t="e">
        <f>AND('Planilla_General_29-11-2012_10_'!I2242,"AAAAAF7/KNo=")</f>
        <v>#VALUE!</v>
      </c>
      <c r="HL149" t="e">
        <f>AND('Planilla_General_29-11-2012_10_'!J2242,"AAAAAF7/KNs=")</f>
        <v>#VALUE!</v>
      </c>
      <c r="HM149" t="e">
        <f>AND('Planilla_General_29-11-2012_10_'!K2242,"AAAAAF7/KNw=")</f>
        <v>#VALUE!</v>
      </c>
      <c r="HN149" t="e">
        <f>AND('Planilla_General_29-11-2012_10_'!L2242,"AAAAAF7/KN0=")</f>
        <v>#VALUE!</v>
      </c>
      <c r="HO149" t="e">
        <f>AND('Planilla_General_29-11-2012_10_'!M2242,"AAAAAF7/KN4=")</f>
        <v>#VALUE!</v>
      </c>
      <c r="HP149" t="e">
        <f>AND('Planilla_General_29-11-2012_10_'!N2242,"AAAAAF7/KN8=")</f>
        <v>#VALUE!</v>
      </c>
      <c r="HQ149" t="e">
        <f>AND('Planilla_General_29-11-2012_10_'!O2242,"AAAAAF7/KOA=")</f>
        <v>#VALUE!</v>
      </c>
      <c r="HR149" t="e">
        <f>AND('Planilla_General_29-11-2012_10_'!P2242,"AAAAAF7/KOE=")</f>
        <v>#VALUE!</v>
      </c>
      <c r="HS149">
        <f>IF('Planilla_General_29-11-2012_10_'!2243:2243,"AAAAAF7/KOI=",0)</f>
        <v>0</v>
      </c>
      <c r="HT149" t="e">
        <f>AND('Planilla_General_29-11-2012_10_'!A2243,"AAAAAF7/KOM=")</f>
        <v>#VALUE!</v>
      </c>
      <c r="HU149" t="e">
        <f>AND('Planilla_General_29-11-2012_10_'!B2243,"AAAAAF7/KOQ=")</f>
        <v>#VALUE!</v>
      </c>
      <c r="HV149" t="e">
        <f>AND('Planilla_General_29-11-2012_10_'!C2243,"AAAAAF7/KOU=")</f>
        <v>#VALUE!</v>
      </c>
      <c r="HW149" t="e">
        <f>AND('Planilla_General_29-11-2012_10_'!D2243,"AAAAAF7/KOY=")</f>
        <v>#VALUE!</v>
      </c>
      <c r="HX149" t="e">
        <f>AND('Planilla_General_29-11-2012_10_'!E2243,"AAAAAF7/KOc=")</f>
        <v>#VALUE!</v>
      </c>
      <c r="HY149" t="e">
        <f>AND('Planilla_General_29-11-2012_10_'!F2243,"AAAAAF7/KOg=")</f>
        <v>#VALUE!</v>
      </c>
      <c r="HZ149" t="e">
        <f>AND('Planilla_General_29-11-2012_10_'!G2243,"AAAAAF7/KOk=")</f>
        <v>#VALUE!</v>
      </c>
      <c r="IA149" t="e">
        <f>AND('Planilla_General_29-11-2012_10_'!H2243,"AAAAAF7/KOo=")</f>
        <v>#VALUE!</v>
      </c>
      <c r="IB149" t="e">
        <f>AND('Planilla_General_29-11-2012_10_'!I2243,"AAAAAF7/KOs=")</f>
        <v>#VALUE!</v>
      </c>
      <c r="IC149" t="e">
        <f>AND('Planilla_General_29-11-2012_10_'!J2243,"AAAAAF7/KOw=")</f>
        <v>#VALUE!</v>
      </c>
      <c r="ID149" t="e">
        <f>AND('Planilla_General_29-11-2012_10_'!K2243,"AAAAAF7/KO0=")</f>
        <v>#VALUE!</v>
      </c>
      <c r="IE149" t="e">
        <f>AND('Planilla_General_29-11-2012_10_'!L2243,"AAAAAF7/KO4=")</f>
        <v>#VALUE!</v>
      </c>
      <c r="IF149" t="e">
        <f>AND('Planilla_General_29-11-2012_10_'!M2243,"AAAAAF7/KO8=")</f>
        <v>#VALUE!</v>
      </c>
      <c r="IG149" t="e">
        <f>AND('Planilla_General_29-11-2012_10_'!N2243,"AAAAAF7/KPA=")</f>
        <v>#VALUE!</v>
      </c>
      <c r="IH149" t="e">
        <f>AND('Planilla_General_29-11-2012_10_'!O2243,"AAAAAF7/KPE=")</f>
        <v>#VALUE!</v>
      </c>
      <c r="II149" t="e">
        <f>AND('Planilla_General_29-11-2012_10_'!P2243,"AAAAAF7/KPI=")</f>
        <v>#VALUE!</v>
      </c>
      <c r="IJ149">
        <f>IF('Planilla_General_29-11-2012_10_'!2244:2244,"AAAAAF7/KPM=",0)</f>
        <v>0</v>
      </c>
      <c r="IK149" t="e">
        <f>AND('Planilla_General_29-11-2012_10_'!A2244,"AAAAAF7/KPQ=")</f>
        <v>#VALUE!</v>
      </c>
      <c r="IL149" t="e">
        <f>AND('Planilla_General_29-11-2012_10_'!B2244,"AAAAAF7/KPU=")</f>
        <v>#VALUE!</v>
      </c>
      <c r="IM149" t="e">
        <f>AND('Planilla_General_29-11-2012_10_'!C2244,"AAAAAF7/KPY=")</f>
        <v>#VALUE!</v>
      </c>
      <c r="IN149" t="e">
        <f>AND('Planilla_General_29-11-2012_10_'!D2244,"AAAAAF7/KPc=")</f>
        <v>#VALUE!</v>
      </c>
      <c r="IO149" t="e">
        <f>AND('Planilla_General_29-11-2012_10_'!E2244,"AAAAAF7/KPg=")</f>
        <v>#VALUE!</v>
      </c>
      <c r="IP149" t="e">
        <f>AND('Planilla_General_29-11-2012_10_'!F2244,"AAAAAF7/KPk=")</f>
        <v>#VALUE!</v>
      </c>
      <c r="IQ149" t="e">
        <f>AND('Planilla_General_29-11-2012_10_'!G2244,"AAAAAF7/KPo=")</f>
        <v>#VALUE!</v>
      </c>
      <c r="IR149" t="e">
        <f>AND('Planilla_General_29-11-2012_10_'!H2244,"AAAAAF7/KPs=")</f>
        <v>#VALUE!</v>
      </c>
      <c r="IS149" t="e">
        <f>AND('Planilla_General_29-11-2012_10_'!I2244,"AAAAAF7/KPw=")</f>
        <v>#VALUE!</v>
      </c>
      <c r="IT149" t="e">
        <f>AND('Planilla_General_29-11-2012_10_'!J2244,"AAAAAF7/KP0=")</f>
        <v>#VALUE!</v>
      </c>
      <c r="IU149" t="e">
        <f>AND('Planilla_General_29-11-2012_10_'!K2244,"AAAAAF7/KP4=")</f>
        <v>#VALUE!</v>
      </c>
      <c r="IV149" t="e">
        <f>AND('Planilla_General_29-11-2012_10_'!L2244,"AAAAAF7/KP8=")</f>
        <v>#VALUE!</v>
      </c>
    </row>
    <row r="150" spans="1:256" x14ac:dyDescent="0.25">
      <c r="A150" t="e">
        <f>AND('Planilla_General_29-11-2012_10_'!M2244,"AAAAAD7bewA=")</f>
        <v>#VALUE!</v>
      </c>
      <c r="B150" t="e">
        <f>AND('Planilla_General_29-11-2012_10_'!N2244,"AAAAAD7bewE=")</f>
        <v>#VALUE!</v>
      </c>
      <c r="C150" t="e">
        <f>AND('Planilla_General_29-11-2012_10_'!O2244,"AAAAAD7bewI=")</f>
        <v>#VALUE!</v>
      </c>
      <c r="D150" t="e">
        <f>AND('Planilla_General_29-11-2012_10_'!P2244,"AAAAAD7bewM=")</f>
        <v>#VALUE!</v>
      </c>
      <c r="E150" t="e">
        <f>IF('Planilla_General_29-11-2012_10_'!2245:2245,"AAAAAD7bewQ=",0)</f>
        <v>#VALUE!</v>
      </c>
      <c r="F150" t="e">
        <f>AND('Planilla_General_29-11-2012_10_'!A2245,"AAAAAD7bewU=")</f>
        <v>#VALUE!</v>
      </c>
      <c r="G150" t="e">
        <f>AND('Planilla_General_29-11-2012_10_'!B2245,"AAAAAD7bewY=")</f>
        <v>#VALUE!</v>
      </c>
      <c r="H150" t="e">
        <f>AND('Planilla_General_29-11-2012_10_'!C2245,"AAAAAD7bewc=")</f>
        <v>#VALUE!</v>
      </c>
      <c r="I150" t="e">
        <f>AND('Planilla_General_29-11-2012_10_'!D2245,"AAAAAD7bewg=")</f>
        <v>#VALUE!</v>
      </c>
      <c r="J150" t="e">
        <f>AND('Planilla_General_29-11-2012_10_'!E2245,"AAAAAD7bewk=")</f>
        <v>#VALUE!</v>
      </c>
      <c r="K150" t="e">
        <f>AND('Planilla_General_29-11-2012_10_'!F2245,"AAAAAD7bewo=")</f>
        <v>#VALUE!</v>
      </c>
      <c r="L150" t="e">
        <f>AND('Planilla_General_29-11-2012_10_'!G2245,"AAAAAD7bews=")</f>
        <v>#VALUE!</v>
      </c>
      <c r="M150" t="e">
        <f>AND('Planilla_General_29-11-2012_10_'!H2245,"AAAAAD7beww=")</f>
        <v>#VALUE!</v>
      </c>
      <c r="N150" t="e">
        <f>AND('Planilla_General_29-11-2012_10_'!I2245,"AAAAAD7bew0=")</f>
        <v>#VALUE!</v>
      </c>
      <c r="O150" t="e">
        <f>AND('Planilla_General_29-11-2012_10_'!J2245,"AAAAAD7bew4=")</f>
        <v>#VALUE!</v>
      </c>
      <c r="P150" t="e">
        <f>AND('Planilla_General_29-11-2012_10_'!K2245,"AAAAAD7bew8=")</f>
        <v>#VALUE!</v>
      </c>
      <c r="Q150" t="e">
        <f>AND('Planilla_General_29-11-2012_10_'!L2245,"AAAAAD7bexA=")</f>
        <v>#VALUE!</v>
      </c>
      <c r="R150" t="e">
        <f>AND('Planilla_General_29-11-2012_10_'!M2245,"AAAAAD7bexE=")</f>
        <v>#VALUE!</v>
      </c>
      <c r="S150" t="e">
        <f>AND('Planilla_General_29-11-2012_10_'!N2245,"AAAAAD7bexI=")</f>
        <v>#VALUE!</v>
      </c>
      <c r="T150" t="e">
        <f>AND('Planilla_General_29-11-2012_10_'!O2245,"AAAAAD7bexM=")</f>
        <v>#VALUE!</v>
      </c>
      <c r="U150" t="e">
        <f>AND('Planilla_General_29-11-2012_10_'!P2245,"AAAAAD7bexQ=")</f>
        <v>#VALUE!</v>
      </c>
      <c r="V150">
        <f>IF('Planilla_General_29-11-2012_10_'!2246:2246,"AAAAAD7bexU=",0)</f>
        <v>0</v>
      </c>
      <c r="W150" t="e">
        <f>AND('Planilla_General_29-11-2012_10_'!A2246,"AAAAAD7bexY=")</f>
        <v>#VALUE!</v>
      </c>
      <c r="X150" t="e">
        <f>AND('Planilla_General_29-11-2012_10_'!B2246,"AAAAAD7bexc=")</f>
        <v>#VALUE!</v>
      </c>
      <c r="Y150" t="e">
        <f>AND('Planilla_General_29-11-2012_10_'!C2246,"AAAAAD7bexg=")</f>
        <v>#VALUE!</v>
      </c>
      <c r="Z150" t="e">
        <f>AND('Planilla_General_29-11-2012_10_'!D2246,"AAAAAD7bexk=")</f>
        <v>#VALUE!</v>
      </c>
      <c r="AA150" t="e">
        <f>AND('Planilla_General_29-11-2012_10_'!E2246,"AAAAAD7bexo=")</f>
        <v>#VALUE!</v>
      </c>
      <c r="AB150" t="e">
        <f>AND('Planilla_General_29-11-2012_10_'!F2246,"AAAAAD7bexs=")</f>
        <v>#VALUE!</v>
      </c>
      <c r="AC150" t="e">
        <f>AND('Planilla_General_29-11-2012_10_'!G2246,"AAAAAD7bexw=")</f>
        <v>#VALUE!</v>
      </c>
      <c r="AD150" t="e">
        <f>AND('Planilla_General_29-11-2012_10_'!H2246,"AAAAAD7bex0=")</f>
        <v>#VALUE!</v>
      </c>
      <c r="AE150" t="e">
        <f>AND('Planilla_General_29-11-2012_10_'!I2246,"AAAAAD7bex4=")</f>
        <v>#VALUE!</v>
      </c>
      <c r="AF150" t="e">
        <f>AND('Planilla_General_29-11-2012_10_'!J2246,"AAAAAD7bex8=")</f>
        <v>#VALUE!</v>
      </c>
      <c r="AG150" t="e">
        <f>AND('Planilla_General_29-11-2012_10_'!K2246,"AAAAAD7beyA=")</f>
        <v>#VALUE!</v>
      </c>
      <c r="AH150" t="e">
        <f>AND('Planilla_General_29-11-2012_10_'!L2246,"AAAAAD7beyE=")</f>
        <v>#VALUE!</v>
      </c>
      <c r="AI150" t="e">
        <f>AND('Planilla_General_29-11-2012_10_'!M2246,"AAAAAD7beyI=")</f>
        <v>#VALUE!</v>
      </c>
      <c r="AJ150" t="e">
        <f>AND('Planilla_General_29-11-2012_10_'!N2246,"AAAAAD7beyM=")</f>
        <v>#VALUE!</v>
      </c>
      <c r="AK150" t="e">
        <f>AND('Planilla_General_29-11-2012_10_'!O2246,"AAAAAD7beyQ=")</f>
        <v>#VALUE!</v>
      </c>
      <c r="AL150" t="e">
        <f>AND('Planilla_General_29-11-2012_10_'!P2246,"AAAAAD7beyU=")</f>
        <v>#VALUE!</v>
      </c>
      <c r="AM150">
        <f>IF('Planilla_General_29-11-2012_10_'!2247:2247,"AAAAAD7beyY=",0)</f>
        <v>0</v>
      </c>
      <c r="AN150" t="e">
        <f>AND('Planilla_General_29-11-2012_10_'!A2247,"AAAAAD7beyc=")</f>
        <v>#VALUE!</v>
      </c>
      <c r="AO150" t="e">
        <f>AND('Planilla_General_29-11-2012_10_'!B2247,"AAAAAD7beyg=")</f>
        <v>#VALUE!</v>
      </c>
      <c r="AP150" t="e">
        <f>AND('Planilla_General_29-11-2012_10_'!C2247,"AAAAAD7beyk=")</f>
        <v>#VALUE!</v>
      </c>
      <c r="AQ150" t="e">
        <f>AND('Planilla_General_29-11-2012_10_'!D2247,"AAAAAD7beyo=")</f>
        <v>#VALUE!</v>
      </c>
      <c r="AR150" t="e">
        <f>AND('Planilla_General_29-11-2012_10_'!E2247,"AAAAAD7beys=")</f>
        <v>#VALUE!</v>
      </c>
      <c r="AS150" t="e">
        <f>AND('Planilla_General_29-11-2012_10_'!F2247,"AAAAAD7beyw=")</f>
        <v>#VALUE!</v>
      </c>
      <c r="AT150" t="e">
        <f>AND('Planilla_General_29-11-2012_10_'!G2247,"AAAAAD7bey0=")</f>
        <v>#VALUE!</v>
      </c>
      <c r="AU150" t="e">
        <f>AND('Planilla_General_29-11-2012_10_'!H2247,"AAAAAD7bey4=")</f>
        <v>#VALUE!</v>
      </c>
      <c r="AV150" t="e">
        <f>AND('Planilla_General_29-11-2012_10_'!I2247,"AAAAAD7bey8=")</f>
        <v>#VALUE!</v>
      </c>
      <c r="AW150" t="e">
        <f>AND('Planilla_General_29-11-2012_10_'!J2247,"AAAAAD7bezA=")</f>
        <v>#VALUE!</v>
      </c>
      <c r="AX150" t="e">
        <f>AND('Planilla_General_29-11-2012_10_'!K2247,"AAAAAD7bezE=")</f>
        <v>#VALUE!</v>
      </c>
      <c r="AY150" t="e">
        <f>AND('Planilla_General_29-11-2012_10_'!L2247,"AAAAAD7bezI=")</f>
        <v>#VALUE!</v>
      </c>
      <c r="AZ150" t="e">
        <f>AND('Planilla_General_29-11-2012_10_'!M2247,"AAAAAD7bezM=")</f>
        <v>#VALUE!</v>
      </c>
      <c r="BA150" t="e">
        <f>AND('Planilla_General_29-11-2012_10_'!N2247,"AAAAAD7bezQ=")</f>
        <v>#VALUE!</v>
      </c>
      <c r="BB150" t="e">
        <f>AND('Planilla_General_29-11-2012_10_'!O2247,"AAAAAD7bezU=")</f>
        <v>#VALUE!</v>
      </c>
      <c r="BC150" t="e">
        <f>AND('Planilla_General_29-11-2012_10_'!P2247,"AAAAAD7bezY=")</f>
        <v>#VALUE!</v>
      </c>
      <c r="BD150">
        <f>IF('Planilla_General_29-11-2012_10_'!2248:2248,"AAAAAD7bezc=",0)</f>
        <v>0</v>
      </c>
      <c r="BE150" t="e">
        <f>AND('Planilla_General_29-11-2012_10_'!A2248,"AAAAAD7bezg=")</f>
        <v>#VALUE!</v>
      </c>
      <c r="BF150" t="e">
        <f>AND('Planilla_General_29-11-2012_10_'!B2248,"AAAAAD7bezk=")</f>
        <v>#VALUE!</v>
      </c>
      <c r="BG150" t="e">
        <f>AND('Planilla_General_29-11-2012_10_'!C2248,"AAAAAD7bezo=")</f>
        <v>#VALUE!</v>
      </c>
      <c r="BH150" t="e">
        <f>AND('Planilla_General_29-11-2012_10_'!D2248,"AAAAAD7bezs=")</f>
        <v>#VALUE!</v>
      </c>
      <c r="BI150" t="e">
        <f>AND('Planilla_General_29-11-2012_10_'!E2248,"AAAAAD7bezw=")</f>
        <v>#VALUE!</v>
      </c>
      <c r="BJ150" t="e">
        <f>AND('Planilla_General_29-11-2012_10_'!F2248,"AAAAAD7bez0=")</f>
        <v>#VALUE!</v>
      </c>
      <c r="BK150" t="e">
        <f>AND('Planilla_General_29-11-2012_10_'!G2248,"AAAAAD7bez4=")</f>
        <v>#VALUE!</v>
      </c>
      <c r="BL150" t="e">
        <f>AND('Planilla_General_29-11-2012_10_'!H2248,"AAAAAD7bez8=")</f>
        <v>#VALUE!</v>
      </c>
      <c r="BM150" t="e">
        <f>AND('Planilla_General_29-11-2012_10_'!I2248,"AAAAAD7be0A=")</f>
        <v>#VALUE!</v>
      </c>
      <c r="BN150" t="e">
        <f>AND('Planilla_General_29-11-2012_10_'!J2248,"AAAAAD7be0E=")</f>
        <v>#VALUE!</v>
      </c>
      <c r="BO150" t="e">
        <f>AND('Planilla_General_29-11-2012_10_'!K2248,"AAAAAD7be0I=")</f>
        <v>#VALUE!</v>
      </c>
      <c r="BP150" t="e">
        <f>AND('Planilla_General_29-11-2012_10_'!L2248,"AAAAAD7be0M=")</f>
        <v>#VALUE!</v>
      </c>
      <c r="BQ150" t="e">
        <f>AND('Planilla_General_29-11-2012_10_'!M2248,"AAAAAD7be0Q=")</f>
        <v>#VALUE!</v>
      </c>
      <c r="BR150" t="e">
        <f>AND('Planilla_General_29-11-2012_10_'!N2248,"AAAAAD7be0U=")</f>
        <v>#VALUE!</v>
      </c>
      <c r="BS150" t="e">
        <f>AND('Planilla_General_29-11-2012_10_'!O2248,"AAAAAD7be0Y=")</f>
        <v>#VALUE!</v>
      </c>
      <c r="BT150" t="e">
        <f>AND('Planilla_General_29-11-2012_10_'!P2248,"AAAAAD7be0c=")</f>
        <v>#VALUE!</v>
      </c>
      <c r="BU150">
        <f>IF('Planilla_General_29-11-2012_10_'!2249:2249,"AAAAAD7be0g=",0)</f>
        <v>0</v>
      </c>
      <c r="BV150" t="e">
        <f>AND('Planilla_General_29-11-2012_10_'!A2249,"AAAAAD7be0k=")</f>
        <v>#VALUE!</v>
      </c>
      <c r="BW150" t="e">
        <f>AND('Planilla_General_29-11-2012_10_'!B2249,"AAAAAD7be0o=")</f>
        <v>#VALUE!</v>
      </c>
      <c r="BX150" t="e">
        <f>AND('Planilla_General_29-11-2012_10_'!C2249,"AAAAAD7be0s=")</f>
        <v>#VALUE!</v>
      </c>
      <c r="BY150" t="e">
        <f>AND('Planilla_General_29-11-2012_10_'!D2249,"AAAAAD7be0w=")</f>
        <v>#VALUE!</v>
      </c>
      <c r="BZ150" t="e">
        <f>AND('Planilla_General_29-11-2012_10_'!E2249,"AAAAAD7be00=")</f>
        <v>#VALUE!</v>
      </c>
      <c r="CA150" t="e">
        <f>AND('Planilla_General_29-11-2012_10_'!F2249,"AAAAAD7be04=")</f>
        <v>#VALUE!</v>
      </c>
      <c r="CB150" t="e">
        <f>AND('Planilla_General_29-11-2012_10_'!G2249,"AAAAAD7be08=")</f>
        <v>#VALUE!</v>
      </c>
      <c r="CC150" t="e">
        <f>AND('Planilla_General_29-11-2012_10_'!H2249,"AAAAAD7be1A=")</f>
        <v>#VALUE!</v>
      </c>
      <c r="CD150" t="e">
        <f>AND('Planilla_General_29-11-2012_10_'!I2249,"AAAAAD7be1E=")</f>
        <v>#VALUE!</v>
      </c>
      <c r="CE150" t="e">
        <f>AND('Planilla_General_29-11-2012_10_'!J2249,"AAAAAD7be1I=")</f>
        <v>#VALUE!</v>
      </c>
      <c r="CF150" t="e">
        <f>AND('Planilla_General_29-11-2012_10_'!K2249,"AAAAAD7be1M=")</f>
        <v>#VALUE!</v>
      </c>
      <c r="CG150" t="e">
        <f>AND('Planilla_General_29-11-2012_10_'!L2249,"AAAAAD7be1Q=")</f>
        <v>#VALUE!</v>
      </c>
      <c r="CH150" t="e">
        <f>AND('Planilla_General_29-11-2012_10_'!M2249,"AAAAAD7be1U=")</f>
        <v>#VALUE!</v>
      </c>
      <c r="CI150" t="e">
        <f>AND('Planilla_General_29-11-2012_10_'!N2249,"AAAAAD7be1Y=")</f>
        <v>#VALUE!</v>
      </c>
      <c r="CJ150" t="e">
        <f>AND('Planilla_General_29-11-2012_10_'!O2249,"AAAAAD7be1c=")</f>
        <v>#VALUE!</v>
      </c>
      <c r="CK150" t="e">
        <f>AND('Planilla_General_29-11-2012_10_'!P2249,"AAAAAD7be1g=")</f>
        <v>#VALUE!</v>
      </c>
      <c r="CL150">
        <f>IF('Planilla_General_29-11-2012_10_'!2250:2250,"AAAAAD7be1k=",0)</f>
        <v>0</v>
      </c>
      <c r="CM150" t="e">
        <f>AND('Planilla_General_29-11-2012_10_'!A2250,"AAAAAD7be1o=")</f>
        <v>#VALUE!</v>
      </c>
      <c r="CN150" t="e">
        <f>AND('Planilla_General_29-11-2012_10_'!B2250,"AAAAAD7be1s=")</f>
        <v>#VALUE!</v>
      </c>
      <c r="CO150" t="e">
        <f>AND('Planilla_General_29-11-2012_10_'!C2250,"AAAAAD7be1w=")</f>
        <v>#VALUE!</v>
      </c>
      <c r="CP150" t="e">
        <f>AND('Planilla_General_29-11-2012_10_'!D2250,"AAAAAD7be10=")</f>
        <v>#VALUE!</v>
      </c>
      <c r="CQ150" t="e">
        <f>AND('Planilla_General_29-11-2012_10_'!E2250,"AAAAAD7be14=")</f>
        <v>#VALUE!</v>
      </c>
      <c r="CR150" t="e">
        <f>AND('Planilla_General_29-11-2012_10_'!F2250,"AAAAAD7be18=")</f>
        <v>#VALUE!</v>
      </c>
      <c r="CS150" t="e">
        <f>AND('Planilla_General_29-11-2012_10_'!G2250,"AAAAAD7be2A=")</f>
        <v>#VALUE!</v>
      </c>
      <c r="CT150" t="e">
        <f>AND('Planilla_General_29-11-2012_10_'!H2250,"AAAAAD7be2E=")</f>
        <v>#VALUE!</v>
      </c>
      <c r="CU150" t="e">
        <f>AND('Planilla_General_29-11-2012_10_'!I2250,"AAAAAD7be2I=")</f>
        <v>#VALUE!</v>
      </c>
      <c r="CV150" t="e">
        <f>AND('Planilla_General_29-11-2012_10_'!J2250,"AAAAAD7be2M=")</f>
        <v>#VALUE!</v>
      </c>
      <c r="CW150" t="e">
        <f>AND('Planilla_General_29-11-2012_10_'!K2250,"AAAAAD7be2Q=")</f>
        <v>#VALUE!</v>
      </c>
      <c r="CX150" t="e">
        <f>AND('Planilla_General_29-11-2012_10_'!L2250,"AAAAAD7be2U=")</f>
        <v>#VALUE!</v>
      </c>
      <c r="CY150" t="e">
        <f>AND('Planilla_General_29-11-2012_10_'!M2250,"AAAAAD7be2Y=")</f>
        <v>#VALUE!</v>
      </c>
      <c r="CZ150" t="e">
        <f>AND('Planilla_General_29-11-2012_10_'!N2250,"AAAAAD7be2c=")</f>
        <v>#VALUE!</v>
      </c>
      <c r="DA150" t="e">
        <f>AND('Planilla_General_29-11-2012_10_'!O2250,"AAAAAD7be2g=")</f>
        <v>#VALUE!</v>
      </c>
      <c r="DB150" t="e">
        <f>AND('Planilla_General_29-11-2012_10_'!P2250,"AAAAAD7be2k=")</f>
        <v>#VALUE!</v>
      </c>
      <c r="DC150">
        <f>IF('Planilla_General_29-11-2012_10_'!2251:2251,"AAAAAD7be2o=",0)</f>
        <v>0</v>
      </c>
      <c r="DD150" t="e">
        <f>AND('Planilla_General_29-11-2012_10_'!A2251,"AAAAAD7be2s=")</f>
        <v>#VALUE!</v>
      </c>
      <c r="DE150" t="e">
        <f>AND('Planilla_General_29-11-2012_10_'!B2251,"AAAAAD7be2w=")</f>
        <v>#VALUE!</v>
      </c>
      <c r="DF150" t="e">
        <f>AND('Planilla_General_29-11-2012_10_'!C2251,"AAAAAD7be20=")</f>
        <v>#VALUE!</v>
      </c>
      <c r="DG150" t="e">
        <f>AND('Planilla_General_29-11-2012_10_'!D2251,"AAAAAD7be24=")</f>
        <v>#VALUE!</v>
      </c>
      <c r="DH150" t="e">
        <f>AND('Planilla_General_29-11-2012_10_'!E2251,"AAAAAD7be28=")</f>
        <v>#VALUE!</v>
      </c>
      <c r="DI150" t="e">
        <f>AND('Planilla_General_29-11-2012_10_'!F2251,"AAAAAD7be3A=")</f>
        <v>#VALUE!</v>
      </c>
      <c r="DJ150" t="e">
        <f>AND('Planilla_General_29-11-2012_10_'!G2251,"AAAAAD7be3E=")</f>
        <v>#VALUE!</v>
      </c>
      <c r="DK150" t="e">
        <f>AND('Planilla_General_29-11-2012_10_'!H2251,"AAAAAD7be3I=")</f>
        <v>#VALUE!</v>
      </c>
      <c r="DL150" t="e">
        <f>AND('Planilla_General_29-11-2012_10_'!I2251,"AAAAAD7be3M=")</f>
        <v>#VALUE!</v>
      </c>
      <c r="DM150" t="e">
        <f>AND('Planilla_General_29-11-2012_10_'!J2251,"AAAAAD7be3Q=")</f>
        <v>#VALUE!</v>
      </c>
      <c r="DN150" t="e">
        <f>AND('Planilla_General_29-11-2012_10_'!K2251,"AAAAAD7be3U=")</f>
        <v>#VALUE!</v>
      </c>
      <c r="DO150" t="e">
        <f>AND('Planilla_General_29-11-2012_10_'!L2251,"AAAAAD7be3Y=")</f>
        <v>#VALUE!</v>
      </c>
      <c r="DP150" t="e">
        <f>AND('Planilla_General_29-11-2012_10_'!M2251,"AAAAAD7be3c=")</f>
        <v>#VALUE!</v>
      </c>
      <c r="DQ150" t="e">
        <f>AND('Planilla_General_29-11-2012_10_'!N2251,"AAAAAD7be3g=")</f>
        <v>#VALUE!</v>
      </c>
      <c r="DR150" t="e">
        <f>AND('Planilla_General_29-11-2012_10_'!O2251,"AAAAAD7be3k=")</f>
        <v>#VALUE!</v>
      </c>
      <c r="DS150" t="e">
        <f>AND('Planilla_General_29-11-2012_10_'!P2251,"AAAAAD7be3o=")</f>
        <v>#VALUE!</v>
      </c>
      <c r="DT150">
        <f>IF('Planilla_General_29-11-2012_10_'!2252:2252,"AAAAAD7be3s=",0)</f>
        <v>0</v>
      </c>
      <c r="DU150" t="e">
        <f>AND('Planilla_General_29-11-2012_10_'!A2252,"AAAAAD7be3w=")</f>
        <v>#VALUE!</v>
      </c>
      <c r="DV150" t="e">
        <f>AND('Planilla_General_29-11-2012_10_'!B2252,"AAAAAD7be30=")</f>
        <v>#VALUE!</v>
      </c>
      <c r="DW150" t="e">
        <f>AND('Planilla_General_29-11-2012_10_'!C2252,"AAAAAD7be34=")</f>
        <v>#VALUE!</v>
      </c>
      <c r="DX150" t="e">
        <f>AND('Planilla_General_29-11-2012_10_'!D2252,"AAAAAD7be38=")</f>
        <v>#VALUE!</v>
      </c>
      <c r="DY150" t="e">
        <f>AND('Planilla_General_29-11-2012_10_'!E2252,"AAAAAD7be4A=")</f>
        <v>#VALUE!</v>
      </c>
      <c r="DZ150" t="e">
        <f>AND('Planilla_General_29-11-2012_10_'!F2252,"AAAAAD7be4E=")</f>
        <v>#VALUE!</v>
      </c>
      <c r="EA150" t="e">
        <f>AND('Planilla_General_29-11-2012_10_'!G2252,"AAAAAD7be4I=")</f>
        <v>#VALUE!</v>
      </c>
      <c r="EB150" t="e">
        <f>AND('Planilla_General_29-11-2012_10_'!H2252,"AAAAAD7be4M=")</f>
        <v>#VALUE!</v>
      </c>
      <c r="EC150" t="e">
        <f>AND('Planilla_General_29-11-2012_10_'!I2252,"AAAAAD7be4Q=")</f>
        <v>#VALUE!</v>
      </c>
      <c r="ED150" t="e">
        <f>AND('Planilla_General_29-11-2012_10_'!J2252,"AAAAAD7be4U=")</f>
        <v>#VALUE!</v>
      </c>
      <c r="EE150" t="e">
        <f>AND('Planilla_General_29-11-2012_10_'!K2252,"AAAAAD7be4Y=")</f>
        <v>#VALUE!</v>
      </c>
      <c r="EF150" t="e">
        <f>AND('Planilla_General_29-11-2012_10_'!L2252,"AAAAAD7be4c=")</f>
        <v>#VALUE!</v>
      </c>
      <c r="EG150" t="e">
        <f>AND('Planilla_General_29-11-2012_10_'!M2252,"AAAAAD7be4g=")</f>
        <v>#VALUE!</v>
      </c>
      <c r="EH150" t="e">
        <f>AND('Planilla_General_29-11-2012_10_'!N2252,"AAAAAD7be4k=")</f>
        <v>#VALUE!</v>
      </c>
      <c r="EI150" t="e">
        <f>AND('Planilla_General_29-11-2012_10_'!O2252,"AAAAAD7be4o=")</f>
        <v>#VALUE!</v>
      </c>
      <c r="EJ150" t="e">
        <f>AND('Planilla_General_29-11-2012_10_'!P2252,"AAAAAD7be4s=")</f>
        <v>#VALUE!</v>
      </c>
      <c r="EK150">
        <f>IF('Planilla_General_29-11-2012_10_'!2253:2253,"AAAAAD7be4w=",0)</f>
        <v>0</v>
      </c>
      <c r="EL150" t="e">
        <f>AND('Planilla_General_29-11-2012_10_'!A2253,"AAAAAD7be40=")</f>
        <v>#VALUE!</v>
      </c>
      <c r="EM150" t="e">
        <f>AND('Planilla_General_29-11-2012_10_'!B2253,"AAAAAD7be44=")</f>
        <v>#VALUE!</v>
      </c>
      <c r="EN150" t="e">
        <f>AND('Planilla_General_29-11-2012_10_'!C2253,"AAAAAD7be48=")</f>
        <v>#VALUE!</v>
      </c>
      <c r="EO150" t="e">
        <f>AND('Planilla_General_29-11-2012_10_'!D2253,"AAAAAD7be5A=")</f>
        <v>#VALUE!</v>
      </c>
      <c r="EP150" t="e">
        <f>AND('Planilla_General_29-11-2012_10_'!E2253,"AAAAAD7be5E=")</f>
        <v>#VALUE!</v>
      </c>
      <c r="EQ150" t="e">
        <f>AND('Planilla_General_29-11-2012_10_'!F2253,"AAAAAD7be5I=")</f>
        <v>#VALUE!</v>
      </c>
      <c r="ER150" t="e">
        <f>AND('Planilla_General_29-11-2012_10_'!G2253,"AAAAAD7be5M=")</f>
        <v>#VALUE!</v>
      </c>
      <c r="ES150" t="e">
        <f>AND('Planilla_General_29-11-2012_10_'!H2253,"AAAAAD7be5Q=")</f>
        <v>#VALUE!</v>
      </c>
      <c r="ET150" t="e">
        <f>AND('Planilla_General_29-11-2012_10_'!I2253,"AAAAAD7be5U=")</f>
        <v>#VALUE!</v>
      </c>
      <c r="EU150" t="e">
        <f>AND('Planilla_General_29-11-2012_10_'!J2253,"AAAAAD7be5Y=")</f>
        <v>#VALUE!</v>
      </c>
      <c r="EV150" t="e">
        <f>AND('Planilla_General_29-11-2012_10_'!K2253,"AAAAAD7be5c=")</f>
        <v>#VALUE!</v>
      </c>
      <c r="EW150" t="e">
        <f>AND('Planilla_General_29-11-2012_10_'!L2253,"AAAAAD7be5g=")</f>
        <v>#VALUE!</v>
      </c>
      <c r="EX150" t="e">
        <f>AND('Planilla_General_29-11-2012_10_'!M2253,"AAAAAD7be5k=")</f>
        <v>#VALUE!</v>
      </c>
      <c r="EY150" t="e">
        <f>AND('Planilla_General_29-11-2012_10_'!N2253,"AAAAAD7be5o=")</f>
        <v>#VALUE!</v>
      </c>
      <c r="EZ150" t="e">
        <f>AND('Planilla_General_29-11-2012_10_'!O2253,"AAAAAD7be5s=")</f>
        <v>#VALUE!</v>
      </c>
      <c r="FA150" t="e">
        <f>AND('Planilla_General_29-11-2012_10_'!P2253,"AAAAAD7be5w=")</f>
        <v>#VALUE!</v>
      </c>
      <c r="FB150">
        <f>IF('Planilla_General_29-11-2012_10_'!2254:2254,"AAAAAD7be50=",0)</f>
        <v>0</v>
      </c>
      <c r="FC150" t="e">
        <f>AND('Planilla_General_29-11-2012_10_'!A2254,"AAAAAD7be54=")</f>
        <v>#VALUE!</v>
      </c>
      <c r="FD150" t="e">
        <f>AND('Planilla_General_29-11-2012_10_'!B2254,"AAAAAD7be58=")</f>
        <v>#VALUE!</v>
      </c>
      <c r="FE150" t="e">
        <f>AND('Planilla_General_29-11-2012_10_'!C2254,"AAAAAD7be6A=")</f>
        <v>#VALUE!</v>
      </c>
      <c r="FF150" t="e">
        <f>AND('Planilla_General_29-11-2012_10_'!D2254,"AAAAAD7be6E=")</f>
        <v>#VALUE!</v>
      </c>
      <c r="FG150" t="e">
        <f>AND('Planilla_General_29-11-2012_10_'!E2254,"AAAAAD7be6I=")</f>
        <v>#VALUE!</v>
      </c>
      <c r="FH150" t="e">
        <f>AND('Planilla_General_29-11-2012_10_'!F2254,"AAAAAD7be6M=")</f>
        <v>#VALUE!</v>
      </c>
      <c r="FI150" t="e">
        <f>AND('Planilla_General_29-11-2012_10_'!G2254,"AAAAAD7be6Q=")</f>
        <v>#VALUE!</v>
      </c>
      <c r="FJ150" t="e">
        <f>AND('Planilla_General_29-11-2012_10_'!H2254,"AAAAAD7be6U=")</f>
        <v>#VALUE!</v>
      </c>
      <c r="FK150" t="e">
        <f>AND('Planilla_General_29-11-2012_10_'!I2254,"AAAAAD7be6Y=")</f>
        <v>#VALUE!</v>
      </c>
      <c r="FL150" t="e">
        <f>AND('Planilla_General_29-11-2012_10_'!J2254,"AAAAAD7be6c=")</f>
        <v>#VALUE!</v>
      </c>
      <c r="FM150" t="e">
        <f>AND('Planilla_General_29-11-2012_10_'!K2254,"AAAAAD7be6g=")</f>
        <v>#VALUE!</v>
      </c>
      <c r="FN150" t="e">
        <f>AND('Planilla_General_29-11-2012_10_'!L2254,"AAAAAD7be6k=")</f>
        <v>#VALUE!</v>
      </c>
      <c r="FO150" t="e">
        <f>AND('Planilla_General_29-11-2012_10_'!M2254,"AAAAAD7be6o=")</f>
        <v>#VALUE!</v>
      </c>
      <c r="FP150" t="e">
        <f>AND('Planilla_General_29-11-2012_10_'!N2254,"AAAAAD7be6s=")</f>
        <v>#VALUE!</v>
      </c>
      <c r="FQ150" t="e">
        <f>AND('Planilla_General_29-11-2012_10_'!O2254,"AAAAAD7be6w=")</f>
        <v>#VALUE!</v>
      </c>
      <c r="FR150" t="e">
        <f>AND('Planilla_General_29-11-2012_10_'!P2254,"AAAAAD7be60=")</f>
        <v>#VALUE!</v>
      </c>
      <c r="FS150">
        <f>IF('Planilla_General_29-11-2012_10_'!2255:2255,"AAAAAD7be64=",0)</f>
        <v>0</v>
      </c>
      <c r="FT150" t="e">
        <f>AND('Planilla_General_29-11-2012_10_'!A2255,"AAAAAD7be68=")</f>
        <v>#VALUE!</v>
      </c>
      <c r="FU150" t="e">
        <f>AND('Planilla_General_29-11-2012_10_'!B2255,"AAAAAD7be7A=")</f>
        <v>#VALUE!</v>
      </c>
      <c r="FV150" t="e">
        <f>AND('Planilla_General_29-11-2012_10_'!C2255,"AAAAAD7be7E=")</f>
        <v>#VALUE!</v>
      </c>
      <c r="FW150" t="e">
        <f>AND('Planilla_General_29-11-2012_10_'!D2255,"AAAAAD7be7I=")</f>
        <v>#VALUE!</v>
      </c>
      <c r="FX150" t="e">
        <f>AND('Planilla_General_29-11-2012_10_'!E2255,"AAAAAD7be7M=")</f>
        <v>#VALUE!</v>
      </c>
      <c r="FY150" t="e">
        <f>AND('Planilla_General_29-11-2012_10_'!F2255,"AAAAAD7be7Q=")</f>
        <v>#VALUE!</v>
      </c>
      <c r="FZ150" t="e">
        <f>AND('Planilla_General_29-11-2012_10_'!G2255,"AAAAAD7be7U=")</f>
        <v>#VALUE!</v>
      </c>
      <c r="GA150" t="e">
        <f>AND('Planilla_General_29-11-2012_10_'!H2255,"AAAAAD7be7Y=")</f>
        <v>#VALUE!</v>
      </c>
      <c r="GB150" t="e">
        <f>AND('Planilla_General_29-11-2012_10_'!I2255,"AAAAAD7be7c=")</f>
        <v>#VALUE!</v>
      </c>
      <c r="GC150" t="e">
        <f>AND('Planilla_General_29-11-2012_10_'!J2255,"AAAAAD7be7g=")</f>
        <v>#VALUE!</v>
      </c>
      <c r="GD150" t="e">
        <f>AND('Planilla_General_29-11-2012_10_'!K2255,"AAAAAD7be7k=")</f>
        <v>#VALUE!</v>
      </c>
      <c r="GE150" t="e">
        <f>AND('Planilla_General_29-11-2012_10_'!L2255,"AAAAAD7be7o=")</f>
        <v>#VALUE!</v>
      </c>
      <c r="GF150" t="e">
        <f>AND('Planilla_General_29-11-2012_10_'!M2255,"AAAAAD7be7s=")</f>
        <v>#VALUE!</v>
      </c>
      <c r="GG150" t="e">
        <f>AND('Planilla_General_29-11-2012_10_'!N2255,"AAAAAD7be7w=")</f>
        <v>#VALUE!</v>
      </c>
      <c r="GH150" t="e">
        <f>AND('Planilla_General_29-11-2012_10_'!O2255,"AAAAAD7be70=")</f>
        <v>#VALUE!</v>
      </c>
      <c r="GI150" t="e">
        <f>AND('Planilla_General_29-11-2012_10_'!P2255,"AAAAAD7be74=")</f>
        <v>#VALUE!</v>
      </c>
      <c r="GJ150">
        <f>IF('Planilla_General_29-11-2012_10_'!2256:2256,"AAAAAD7be78=",0)</f>
        <v>0</v>
      </c>
      <c r="GK150" t="e">
        <f>AND('Planilla_General_29-11-2012_10_'!A2256,"AAAAAD7be8A=")</f>
        <v>#VALUE!</v>
      </c>
      <c r="GL150" t="e">
        <f>AND('Planilla_General_29-11-2012_10_'!B2256,"AAAAAD7be8E=")</f>
        <v>#VALUE!</v>
      </c>
      <c r="GM150" t="e">
        <f>AND('Planilla_General_29-11-2012_10_'!C2256,"AAAAAD7be8I=")</f>
        <v>#VALUE!</v>
      </c>
      <c r="GN150" t="e">
        <f>AND('Planilla_General_29-11-2012_10_'!D2256,"AAAAAD7be8M=")</f>
        <v>#VALUE!</v>
      </c>
      <c r="GO150" t="e">
        <f>AND('Planilla_General_29-11-2012_10_'!E2256,"AAAAAD7be8Q=")</f>
        <v>#VALUE!</v>
      </c>
      <c r="GP150" t="e">
        <f>AND('Planilla_General_29-11-2012_10_'!F2256,"AAAAAD7be8U=")</f>
        <v>#VALUE!</v>
      </c>
      <c r="GQ150" t="e">
        <f>AND('Planilla_General_29-11-2012_10_'!G2256,"AAAAAD7be8Y=")</f>
        <v>#VALUE!</v>
      </c>
      <c r="GR150" t="e">
        <f>AND('Planilla_General_29-11-2012_10_'!H2256,"AAAAAD7be8c=")</f>
        <v>#VALUE!</v>
      </c>
      <c r="GS150" t="e">
        <f>AND('Planilla_General_29-11-2012_10_'!I2256,"AAAAAD7be8g=")</f>
        <v>#VALUE!</v>
      </c>
      <c r="GT150" t="e">
        <f>AND('Planilla_General_29-11-2012_10_'!J2256,"AAAAAD7be8k=")</f>
        <v>#VALUE!</v>
      </c>
      <c r="GU150" t="e">
        <f>AND('Planilla_General_29-11-2012_10_'!K2256,"AAAAAD7be8o=")</f>
        <v>#VALUE!</v>
      </c>
      <c r="GV150" t="e">
        <f>AND('Planilla_General_29-11-2012_10_'!L2256,"AAAAAD7be8s=")</f>
        <v>#VALUE!</v>
      </c>
      <c r="GW150" t="e">
        <f>AND('Planilla_General_29-11-2012_10_'!M2256,"AAAAAD7be8w=")</f>
        <v>#VALUE!</v>
      </c>
      <c r="GX150" t="e">
        <f>AND('Planilla_General_29-11-2012_10_'!N2256,"AAAAAD7be80=")</f>
        <v>#VALUE!</v>
      </c>
      <c r="GY150" t="e">
        <f>AND('Planilla_General_29-11-2012_10_'!O2256,"AAAAAD7be84=")</f>
        <v>#VALUE!</v>
      </c>
      <c r="GZ150" t="e">
        <f>AND('Planilla_General_29-11-2012_10_'!P2256,"AAAAAD7be88=")</f>
        <v>#VALUE!</v>
      </c>
      <c r="HA150">
        <f>IF('Planilla_General_29-11-2012_10_'!2257:2257,"AAAAAD7be9A=",0)</f>
        <v>0</v>
      </c>
      <c r="HB150" t="e">
        <f>AND('Planilla_General_29-11-2012_10_'!A2257,"AAAAAD7be9E=")</f>
        <v>#VALUE!</v>
      </c>
      <c r="HC150" t="e">
        <f>AND('Planilla_General_29-11-2012_10_'!B2257,"AAAAAD7be9I=")</f>
        <v>#VALUE!</v>
      </c>
      <c r="HD150" t="e">
        <f>AND('Planilla_General_29-11-2012_10_'!C2257,"AAAAAD7be9M=")</f>
        <v>#VALUE!</v>
      </c>
      <c r="HE150" t="e">
        <f>AND('Planilla_General_29-11-2012_10_'!D2257,"AAAAAD7be9Q=")</f>
        <v>#VALUE!</v>
      </c>
      <c r="HF150" t="e">
        <f>AND('Planilla_General_29-11-2012_10_'!E2257,"AAAAAD7be9U=")</f>
        <v>#VALUE!</v>
      </c>
      <c r="HG150" t="e">
        <f>AND('Planilla_General_29-11-2012_10_'!F2257,"AAAAAD7be9Y=")</f>
        <v>#VALUE!</v>
      </c>
      <c r="HH150" t="e">
        <f>AND('Planilla_General_29-11-2012_10_'!G2257,"AAAAAD7be9c=")</f>
        <v>#VALUE!</v>
      </c>
      <c r="HI150" t="e">
        <f>AND('Planilla_General_29-11-2012_10_'!H2257,"AAAAAD7be9g=")</f>
        <v>#VALUE!</v>
      </c>
      <c r="HJ150" t="e">
        <f>AND('Planilla_General_29-11-2012_10_'!I2257,"AAAAAD7be9k=")</f>
        <v>#VALUE!</v>
      </c>
      <c r="HK150" t="e">
        <f>AND('Planilla_General_29-11-2012_10_'!J2257,"AAAAAD7be9o=")</f>
        <v>#VALUE!</v>
      </c>
      <c r="HL150" t="e">
        <f>AND('Planilla_General_29-11-2012_10_'!K2257,"AAAAAD7be9s=")</f>
        <v>#VALUE!</v>
      </c>
      <c r="HM150" t="e">
        <f>AND('Planilla_General_29-11-2012_10_'!L2257,"AAAAAD7be9w=")</f>
        <v>#VALUE!</v>
      </c>
      <c r="HN150" t="e">
        <f>AND('Planilla_General_29-11-2012_10_'!M2257,"AAAAAD7be90=")</f>
        <v>#VALUE!</v>
      </c>
      <c r="HO150" t="e">
        <f>AND('Planilla_General_29-11-2012_10_'!N2257,"AAAAAD7be94=")</f>
        <v>#VALUE!</v>
      </c>
      <c r="HP150" t="e">
        <f>AND('Planilla_General_29-11-2012_10_'!O2257,"AAAAAD7be98=")</f>
        <v>#VALUE!</v>
      </c>
      <c r="HQ150" t="e">
        <f>AND('Planilla_General_29-11-2012_10_'!P2257,"AAAAAD7be+A=")</f>
        <v>#VALUE!</v>
      </c>
      <c r="HR150">
        <f>IF('Planilla_General_29-11-2012_10_'!2258:2258,"AAAAAD7be+E=",0)</f>
        <v>0</v>
      </c>
      <c r="HS150" t="e">
        <f>AND('Planilla_General_29-11-2012_10_'!A2258,"AAAAAD7be+I=")</f>
        <v>#VALUE!</v>
      </c>
      <c r="HT150" t="e">
        <f>AND('Planilla_General_29-11-2012_10_'!B2258,"AAAAAD7be+M=")</f>
        <v>#VALUE!</v>
      </c>
      <c r="HU150" t="e">
        <f>AND('Planilla_General_29-11-2012_10_'!C2258,"AAAAAD7be+Q=")</f>
        <v>#VALUE!</v>
      </c>
      <c r="HV150" t="e">
        <f>AND('Planilla_General_29-11-2012_10_'!D2258,"AAAAAD7be+U=")</f>
        <v>#VALUE!</v>
      </c>
      <c r="HW150" t="e">
        <f>AND('Planilla_General_29-11-2012_10_'!E2258,"AAAAAD7be+Y=")</f>
        <v>#VALUE!</v>
      </c>
      <c r="HX150" t="e">
        <f>AND('Planilla_General_29-11-2012_10_'!F2258,"AAAAAD7be+c=")</f>
        <v>#VALUE!</v>
      </c>
      <c r="HY150" t="e">
        <f>AND('Planilla_General_29-11-2012_10_'!G2258,"AAAAAD7be+g=")</f>
        <v>#VALUE!</v>
      </c>
      <c r="HZ150" t="e">
        <f>AND('Planilla_General_29-11-2012_10_'!H2258,"AAAAAD7be+k=")</f>
        <v>#VALUE!</v>
      </c>
      <c r="IA150" t="e">
        <f>AND('Planilla_General_29-11-2012_10_'!I2258,"AAAAAD7be+o=")</f>
        <v>#VALUE!</v>
      </c>
      <c r="IB150" t="e">
        <f>AND('Planilla_General_29-11-2012_10_'!J2258,"AAAAAD7be+s=")</f>
        <v>#VALUE!</v>
      </c>
      <c r="IC150" t="e">
        <f>AND('Planilla_General_29-11-2012_10_'!K2258,"AAAAAD7be+w=")</f>
        <v>#VALUE!</v>
      </c>
      <c r="ID150" t="e">
        <f>AND('Planilla_General_29-11-2012_10_'!L2258,"AAAAAD7be+0=")</f>
        <v>#VALUE!</v>
      </c>
      <c r="IE150" t="e">
        <f>AND('Planilla_General_29-11-2012_10_'!M2258,"AAAAAD7be+4=")</f>
        <v>#VALUE!</v>
      </c>
      <c r="IF150" t="e">
        <f>AND('Planilla_General_29-11-2012_10_'!N2258,"AAAAAD7be+8=")</f>
        <v>#VALUE!</v>
      </c>
      <c r="IG150" t="e">
        <f>AND('Planilla_General_29-11-2012_10_'!O2258,"AAAAAD7be/A=")</f>
        <v>#VALUE!</v>
      </c>
      <c r="IH150" t="e">
        <f>AND('Planilla_General_29-11-2012_10_'!P2258,"AAAAAD7be/E=")</f>
        <v>#VALUE!</v>
      </c>
      <c r="II150">
        <f>IF('Planilla_General_29-11-2012_10_'!2259:2259,"AAAAAD7be/I=",0)</f>
        <v>0</v>
      </c>
      <c r="IJ150" t="e">
        <f>AND('Planilla_General_29-11-2012_10_'!A2259,"AAAAAD7be/M=")</f>
        <v>#VALUE!</v>
      </c>
      <c r="IK150" t="e">
        <f>AND('Planilla_General_29-11-2012_10_'!B2259,"AAAAAD7be/Q=")</f>
        <v>#VALUE!</v>
      </c>
      <c r="IL150" t="e">
        <f>AND('Planilla_General_29-11-2012_10_'!C2259,"AAAAAD7be/U=")</f>
        <v>#VALUE!</v>
      </c>
      <c r="IM150" t="e">
        <f>AND('Planilla_General_29-11-2012_10_'!D2259,"AAAAAD7be/Y=")</f>
        <v>#VALUE!</v>
      </c>
      <c r="IN150" t="e">
        <f>AND('Planilla_General_29-11-2012_10_'!E2259,"AAAAAD7be/c=")</f>
        <v>#VALUE!</v>
      </c>
      <c r="IO150" t="e">
        <f>AND('Planilla_General_29-11-2012_10_'!F2259,"AAAAAD7be/g=")</f>
        <v>#VALUE!</v>
      </c>
      <c r="IP150" t="e">
        <f>AND('Planilla_General_29-11-2012_10_'!G2259,"AAAAAD7be/k=")</f>
        <v>#VALUE!</v>
      </c>
      <c r="IQ150" t="e">
        <f>AND('Planilla_General_29-11-2012_10_'!H2259,"AAAAAD7be/o=")</f>
        <v>#VALUE!</v>
      </c>
      <c r="IR150" t="e">
        <f>AND('Planilla_General_29-11-2012_10_'!I2259,"AAAAAD7be/s=")</f>
        <v>#VALUE!</v>
      </c>
      <c r="IS150" t="e">
        <f>AND('Planilla_General_29-11-2012_10_'!J2259,"AAAAAD7be/w=")</f>
        <v>#VALUE!</v>
      </c>
      <c r="IT150" t="e">
        <f>AND('Planilla_General_29-11-2012_10_'!K2259,"AAAAAD7be/0=")</f>
        <v>#VALUE!</v>
      </c>
      <c r="IU150" t="e">
        <f>AND('Planilla_General_29-11-2012_10_'!L2259,"AAAAAD7be/4=")</f>
        <v>#VALUE!</v>
      </c>
      <c r="IV150" t="e">
        <f>AND('Planilla_General_29-11-2012_10_'!M2259,"AAAAAD7be/8=")</f>
        <v>#VALUE!</v>
      </c>
    </row>
    <row r="151" spans="1:256" x14ac:dyDescent="0.25">
      <c r="A151" t="e">
        <f>AND('Planilla_General_29-11-2012_10_'!N2259,"AAAAAGueswA=")</f>
        <v>#VALUE!</v>
      </c>
      <c r="B151" t="e">
        <f>AND('Planilla_General_29-11-2012_10_'!O2259,"AAAAAGueswE=")</f>
        <v>#VALUE!</v>
      </c>
      <c r="C151" t="e">
        <f>AND('Planilla_General_29-11-2012_10_'!P2259,"AAAAAGueswI=")</f>
        <v>#VALUE!</v>
      </c>
      <c r="D151" t="e">
        <f>IF('Planilla_General_29-11-2012_10_'!2260:2260,"AAAAAGueswM=",0)</f>
        <v>#VALUE!</v>
      </c>
      <c r="E151" t="e">
        <f>AND('Planilla_General_29-11-2012_10_'!A2260,"AAAAAGueswQ=")</f>
        <v>#VALUE!</v>
      </c>
      <c r="F151" t="e">
        <f>AND('Planilla_General_29-11-2012_10_'!B2260,"AAAAAGueswU=")</f>
        <v>#VALUE!</v>
      </c>
      <c r="G151" t="e">
        <f>AND('Planilla_General_29-11-2012_10_'!C2260,"AAAAAGueswY=")</f>
        <v>#VALUE!</v>
      </c>
      <c r="H151" t="e">
        <f>AND('Planilla_General_29-11-2012_10_'!D2260,"AAAAAGueswc=")</f>
        <v>#VALUE!</v>
      </c>
      <c r="I151" t="e">
        <f>AND('Planilla_General_29-11-2012_10_'!E2260,"AAAAAGueswg=")</f>
        <v>#VALUE!</v>
      </c>
      <c r="J151" t="e">
        <f>AND('Planilla_General_29-11-2012_10_'!F2260,"AAAAAGueswk=")</f>
        <v>#VALUE!</v>
      </c>
      <c r="K151" t="e">
        <f>AND('Planilla_General_29-11-2012_10_'!G2260,"AAAAAGueswo=")</f>
        <v>#VALUE!</v>
      </c>
      <c r="L151" t="e">
        <f>AND('Planilla_General_29-11-2012_10_'!H2260,"AAAAAGuesws=")</f>
        <v>#VALUE!</v>
      </c>
      <c r="M151" t="e">
        <f>AND('Planilla_General_29-11-2012_10_'!I2260,"AAAAAGuesww=")</f>
        <v>#VALUE!</v>
      </c>
      <c r="N151" t="e">
        <f>AND('Planilla_General_29-11-2012_10_'!J2260,"AAAAAGuesw0=")</f>
        <v>#VALUE!</v>
      </c>
      <c r="O151" t="e">
        <f>AND('Planilla_General_29-11-2012_10_'!K2260,"AAAAAGuesw4=")</f>
        <v>#VALUE!</v>
      </c>
      <c r="P151" t="e">
        <f>AND('Planilla_General_29-11-2012_10_'!L2260,"AAAAAGuesw8=")</f>
        <v>#VALUE!</v>
      </c>
      <c r="Q151" t="e">
        <f>AND('Planilla_General_29-11-2012_10_'!M2260,"AAAAAGuesxA=")</f>
        <v>#VALUE!</v>
      </c>
      <c r="R151" t="e">
        <f>AND('Planilla_General_29-11-2012_10_'!N2260,"AAAAAGuesxE=")</f>
        <v>#VALUE!</v>
      </c>
      <c r="S151" t="e">
        <f>AND('Planilla_General_29-11-2012_10_'!O2260,"AAAAAGuesxI=")</f>
        <v>#VALUE!</v>
      </c>
      <c r="T151" t="e">
        <f>AND('Planilla_General_29-11-2012_10_'!P2260,"AAAAAGuesxM=")</f>
        <v>#VALUE!</v>
      </c>
      <c r="U151">
        <f>IF('Planilla_General_29-11-2012_10_'!2261:2261,"AAAAAGuesxQ=",0)</f>
        <v>0</v>
      </c>
      <c r="V151" t="e">
        <f>AND('Planilla_General_29-11-2012_10_'!A2261,"AAAAAGuesxU=")</f>
        <v>#VALUE!</v>
      </c>
      <c r="W151" t="e">
        <f>AND('Planilla_General_29-11-2012_10_'!B2261,"AAAAAGuesxY=")</f>
        <v>#VALUE!</v>
      </c>
      <c r="X151" t="e">
        <f>AND('Planilla_General_29-11-2012_10_'!C2261,"AAAAAGuesxc=")</f>
        <v>#VALUE!</v>
      </c>
      <c r="Y151" t="e">
        <f>AND('Planilla_General_29-11-2012_10_'!D2261,"AAAAAGuesxg=")</f>
        <v>#VALUE!</v>
      </c>
      <c r="Z151" t="e">
        <f>AND('Planilla_General_29-11-2012_10_'!E2261,"AAAAAGuesxk=")</f>
        <v>#VALUE!</v>
      </c>
      <c r="AA151" t="e">
        <f>AND('Planilla_General_29-11-2012_10_'!F2261,"AAAAAGuesxo=")</f>
        <v>#VALUE!</v>
      </c>
      <c r="AB151" t="e">
        <f>AND('Planilla_General_29-11-2012_10_'!G2261,"AAAAAGuesxs=")</f>
        <v>#VALUE!</v>
      </c>
      <c r="AC151" t="e">
        <f>AND('Planilla_General_29-11-2012_10_'!H2261,"AAAAAGuesxw=")</f>
        <v>#VALUE!</v>
      </c>
      <c r="AD151" t="e">
        <f>AND('Planilla_General_29-11-2012_10_'!I2261,"AAAAAGuesx0=")</f>
        <v>#VALUE!</v>
      </c>
      <c r="AE151" t="e">
        <f>AND('Planilla_General_29-11-2012_10_'!J2261,"AAAAAGuesx4=")</f>
        <v>#VALUE!</v>
      </c>
      <c r="AF151" t="e">
        <f>AND('Planilla_General_29-11-2012_10_'!K2261,"AAAAAGuesx8=")</f>
        <v>#VALUE!</v>
      </c>
      <c r="AG151" t="e">
        <f>AND('Planilla_General_29-11-2012_10_'!L2261,"AAAAAGuesyA=")</f>
        <v>#VALUE!</v>
      </c>
      <c r="AH151" t="e">
        <f>AND('Planilla_General_29-11-2012_10_'!M2261,"AAAAAGuesyE=")</f>
        <v>#VALUE!</v>
      </c>
      <c r="AI151" t="e">
        <f>AND('Planilla_General_29-11-2012_10_'!N2261,"AAAAAGuesyI=")</f>
        <v>#VALUE!</v>
      </c>
      <c r="AJ151" t="e">
        <f>AND('Planilla_General_29-11-2012_10_'!O2261,"AAAAAGuesyM=")</f>
        <v>#VALUE!</v>
      </c>
      <c r="AK151" t="e">
        <f>AND('Planilla_General_29-11-2012_10_'!P2261,"AAAAAGuesyQ=")</f>
        <v>#VALUE!</v>
      </c>
      <c r="AL151">
        <f>IF('Planilla_General_29-11-2012_10_'!2262:2262,"AAAAAGuesyU=",0)</f>
        <v>0</v>
      </c>
      <c r="AM151" t="e">
        <f>AND('Planilla_General_29-11-2012_10_'!A2262,"AAAAAGuesyY=")</f>
        <v>#VALUE!</v>
      </c>
      <c r="AN151" t="e">
        <f>AND('Planilla_General_29-11-2012_10_'!B2262,"AAAAAGuesyc=")</f>
        <v>#VALUE!</v>
      </c>
      <c r="AO151" t="e">
        <f>AND('Planilla_General_29-11-2012_10_'!C2262,"AAAAAGuesyg=")</f>
        <v>#VALUE!</v>
      </c>
      <c r="AP151" t="e">
        <f>AND('Planilla_General_29-11-2012_10_'!D2262,"AAAAAGuesyk=")</f>
        <v>#VALUE!</v>
      </c>
      <c r="AQ151" t="e">
        <f>AND('Planilla_General_29-11-2012_10_'!E2262,"AAAAAGuesyo=")</f>
        <v>#VALUE!</v>
      </c>
      <c r="AR151" t="e">
        <f>AND('Planilla_General_29-11-2012_10_'!F2262,"AAAAAGuesys=")</f>
        <v>#VALUE!</v>
      </c>
      <c r="AS151" t="e">
        <f>AND('Planilla_General_29-11-2012_10_'!G2262,"AAAAAGuesyw=")</f>
        <v>#VALUE!</v>
      </c>
      <c r="AT151" t="e">
        <f>AND('Planilla_General_29-11-2012_10_'!H2262,"AAAAAGuesy0=")</f>
        <v>#VALUE!</v>
      </c>
      <c r="AU151" t="e">
        <f>AND('Planilla_General_29-11-2012_10_'!I2262,"AAAAAGuesy4=")</f>
        <v>#VALUE!</v>
      </c>
      <c r="AV151" t="e">
        <f>AND('Planilla_General_29-11-2012_10_'!J2262,"AAAAAGuesy8=")</f>
        <v>#VALUE!</v>
      </c>
      <c r="AW151" t="e">
        <f>AND('Planilla_General_29-11-2012_10_'!K2262,"AAAAAGueszA=")</f>
        <v>#VALUE!</v>
      </c>
      <c r="AX151" t="e">
        <f>AND('Planilla_General_29-11-2012_10_'!L2262,"AAAAAGueszE=")</f>
        <v>#VALUE!</v>
      </c>
      <c r="AY151" t="e">
        <f>AND('Planilla_General_29-11-2012_10_'!M2262,"AAAAAGueszI=")</f>
        <v>#VALUE!</v>
      </c>
      <c r="AZ151" t="e">
        <f>AND('Planilla_General_29-11-2012_10_'!N2262,"AAAAAGueszM=")</f>
        <v>#VALUE!</v>
      </c>
      <c r="BA151" t="e">
        <f>AND('Planilla_General_29-11-2012_10_'!O2262,"AAAAAGueszQ=")</f>
        <v>#VALUE!</v>
      </c>
      <c r="BB151" t="e">
        <f>AND('Planilla_General_29-11-2012_10_'!P2262,"AAAAAGueszU=")</f>
        <v>#VALUE!</v>
      </c>
      <c r="BC151">
        <f>IF('Planilla_General_29-11-2012_10_'!2263:2263,"AAAAAGueszY=",0)</f>
        <v>0</v>
      </c>
      <c r="BD151" t="e">
        <f>AND('Planilla_General_29-11-2012_10_'!A2263,"AAAAAGueszc=")</f>
        <v>#VALUE!</v>
      </c>
      <c r="BE151" t="e">
        <f>AND('Planilla_General_29-11-2012_10_'!B2263,"AAAAAGueszg=")</f>
        <v>#VALUE!</v>
      </c>
      <c r="BF151" t="e">
        <f>AND('Planilla_General_29-11-2012_10_'!C2263,"AAAAAGueszk=")</f>
        <v>#VALUE!</v>
      </c>
      <c r="BG151" t="e">
        <f>AND('Planilla_General_29-11-2012_10_'!D2263,"AAAAAGueszo=")</f>
        <v>#VALUE!</v>
      </c>
      <c r="BH151" t="e">
        <f>AND('Planilla_General_29-11-2012_10_'!E2263,"AAAAAGueszs=")</f>
        <v>#VALUE!</v>
      </c>
      <c r="BI151" t="e">
        <f>AND('Planilla_General_29-11-2012_10_'!F2263,"AAAAAGueszw=")</f>
        <v>#VALUE!</v>
      </c>
      <c r="BJ151" t="e">
        <f>AND('Planilla_General_29-11-2012_10_'!G2263,"AAAAAGuesz0=")</f>
        <v>#VALUE!</v>
      </c>
      <c r="BK151" t="e">
        <f>AND('Planilla_General_29-11-2012_10_'!H2263,"AAAAAGuesz4=")</f>
        <v>#VALUE!</v>
      </c>
      <c r="BL151" t="e">
        <f>AND('Planilla_General_29-11-2012_10_'!I2263,"AAAAAGuesz8=")</f>
        <v>#VALUE!</v>
      </c>
      <c r="BM151" t="e">
        <f>AND('Planilla_General_29-11-2012_10_'!J2263,"AAAAAGues0A=")</f>
        <v>#VALUE!</v>
      </c>
      <c r="BN151" t="e">
        <f>AND('Planilla_General_29-11-2012_10_'!K2263,"AAAAAGues0E=")</f>
        <v>#VALUE!</v>
      </c>
      <c r="BO151" t="e">
        <f>AND('Planilla_General_29-11-2012_10_'!L2263,"AAAAAGues0I=")</f>
        <v>#VALUE!</v>
      </c>
      <c r="BP151" t="e">
        <f>AND('Planilla_General_29-11-2012_10_'!M2263,"AAAAAGues0M=")</f>
        <v>#VALUE!</v>
      </c>
      <c r="BQ151" t="e">
        <f>AND('Planilla_General_29-11-2012_10_'!N2263,"AAAAAGues0Q=")</f>
        <v>#VALUE!</v>
      </c>
      <c r="BR151" t="e">
        <f>AND('Planilla_General_29-11-2012_10_'!O2263,"AAAAAGues0U=")</f>
        <v>#VALUE!</v>
      </c>
      <c r="BS151" t="e">
        <f>AND('Planilla_General_29-11-2012_10_'!P2263,"AAAAAGues0Y=")</f>
        <v>#VALUE!</v>
      </c>
      <c r="BT151">
        <f>IF('Planilla_General_29-11-2012_10_'!2264:2264,"AAAAAGues0c=",0)</f>
        <v>0</v>
      </c>
      <c r="BU151" t="e">
        <f>AND('Planilla_General_29-11-2012_10_'!A2264,"AAAAAGues0g=")</f>
        <v>#VALUE!</v>
      </c>
      <c r="BV151" t="e">
        <f>AND('Planilla_General_29-11-2012_10_'!B2264,"AAAAAGues0k=")</f>
        <v>#VALUE!</v>
      </c>
      <c r="BW151" t="e">
        <f>AND('Planilla_General_29-11-2012_10_'!C2264,"AAAAAGues0o=")</f>
        <v>#VALUE!</v>
      </c>
      <c r="BX151" t="e">
        <f>AND('Planilla_General_29-11-2012_10_'!D2264,"AAAAAGues0s=")</f>
        <v>#VALUE!</v>
      </c>
      <c r="BY151" t="e">
        <f>AND('Planilla_General_29-11-2012_10_'!E2264,"AAAAAGues0w=")</f>
        <v>#VALUE!</v>
      </c>
      <c r="BZ151" t="e">
        <f>AND('Planilla_General_29-11-2012_10_'!F2264,"AAAAAGues00=")</f>
        <v>#VALUE!</v>
      </c>
      <c r="CA151" t="e">
        <f>AND('Planilla_General_29-11-2012_10_'!G2264,"AAAAAGues04=")</f>
        <v>#VALUE!</v>
      </c>
      <c r="CB151" t="e">
        <f>AND('Planilla_General_29-11-2012_10_'!H2264,"AAAAAGues08=")</f>
        <v>#VALUE!</v>
      </c>
      <c r="CC151" t="e">
        <f>AND('Planilla_General_29-11-2012_10_'!I2264,"AAAAAGues1A=")</f>
        <v>#VALUE!</v>
      </c>
      <c r="CD151" t="e">
        <f>AND('Planilla_General_29-11-2012_10_'!J2264,"AAAAAGues1E=")</f>
        <v>#VALUE!</v>
      </c>
      <c r="CE151" t="e">
        <f>AND('Planilla_General_29-11-2012_10_'!K2264,"AAAAAGues1I=")</f>
        <v>#VALUE!</v>
      </c>
      <c r="CF151" t="e">
        <f>AND('Planilla_General_29-11-2012_10_'!L2264,"AAAAAGues1M=")</f>
        <v>#VALUE!</v>
      </c>
      <c r="CG151" t="e">
        <f>AND('Planilla_General_29-11-2012_10_'!M2264,"AAAAAGues1Q=")</f>
        <v>#VALUE!</v>
      </c>
      <c r="CH151" t="e">
        <f>AND('Planilla_General_29-11-2012_10_'!N2264,"AAAAAGues1U=")</f>
        <v>#VALUE!</v>
      </c>
      <c r="CI151" t="e">
        <f>AND('Planilla_General_29-11-2012_10_'!O2264,"AAAAAGues1Y=")</f>
        <v>#VALUE!</v>
      </c>
      <c r="CJ151" t="e">
        <f>AND('Planilla_General_29-11-2012_10_'!P2264,"AAAAAGues1c=")</f>
        <v>#VALUE!</v>
      </c>
      <c r="CK151">
        <f>IF('Planilla_General_29-11-2012_10_'!2265:2265,"AAAAAGues1g=",0)</f>
        <v>0</v>
      </c>
      <c r="CL151" t="e">
        <f>AND('Planilla_General_29-11-2012_10_'!A2265,"AAAAAGues1k=")</f>
        <v>#VALUE!</v>
      </c>
      <c r="CM151" t="e">
        <f>AND('Planilla_General_29-11-2012_10_'!B2265,"AAAAAGues1o=")</f>
        <v>#VALUE!</v>
      </c>
      <c r="CN151" t="e">
        <f>AND('Planilla_General_29-11-2012_10_'!C2265,"AAAAAGues1s=")</f>
        <v>#VALUE!</v>
      </c>
      <c r="CO151" t="e">
        <f>AND('Planilla_General_29-11-2012_10_'!D2265,"AAAAAGues1w=")</f>
        <v>#VALUE!</v>
      </c>
      <c r="CP151" t="e">
        <f>AND('Planilla_General_29-11-2012_10_'!E2265,"AAAAAGues10=")</f>
        <v>#VALUE!</v>
      </c>
      <c r="CQ151" t="e">
        <f>AND('Planilla_General_29-11-2012_10_'!F2265,"AAAAAGues14=")</f>
        <v>#VALUE!</v>
      </c>
      <c r="CR151" t="e">
        <f>AND('Planilla_General_29-11-2012_10_'!G2265,"AAAAAGues18=")</f>
        <v>#VALUE!</v>
      </c>
      <c r="CS151" t="e">
        <f>AND('Planilla_General_29-11-2012_10_'!H2265,"AAAAAGues2A=")</f>
        <v>#VALUE!</v>
      </c>
      <c r="CT151" t="e">
        <f>AND('Planilla_General_29-11-2012_10_'!I2265,"AAAAAGues2E=")</f>
        <v>#VALUE!</v>
      </c>
      <c r="CU151" t="e">
        <f>AND('Planilla_General_29-11-2012_10_'!J2265,"AAAAAGues2I=")</f>
        <v>#VALUE!</v>
      </c>
      <c r="CV151" t="e">
        <f>AND('Planilla_General_29-11-2012_10_'!K2265,"AAAAAGues2M=")</f>
        <v>#VALUE!</v>
      </c>
      <c r="CW151" t="e">
        <f>AND('Planilla_General_29-11-2012_10_'!L2265,"AAAAAGues2Q=")</f>
        <v>#VALUE!</v>
      </c>
      <c r="CX151" t="e">
        <f>AND('Planilla_General_29-11-2012_10_'!M2265,"AAAAAGues2U=")</f>
        <v>#VALUE!</v>
      </c>
      <c r="CY151" t="e">
        <f>AND('Planilla_General_29-11-2012_10_'!N2265,"AAAAAGues2Y=")</f>
        <v>#VALUE!</v>
      </c>
      <c r="CZ151" t="e">
        <f>AND('Planilla_General_29-11-2012_10_'!O2265,"AAAAAGues2c=")</f>
        <v>#VALUE!</v>
      </c>
      <c r="DA151" t="e">
        <f>AND('Planilla_General_29-11-2012_10_'!P2265,"AAAAAGues2g=")</f>
        <v>#VALUE!</v>
      </c>
      <c r="DB151">
        <f>IF('Planilla_General_29-11-2012_10_'!2266:2266,"AAAAAGues2k=",0)</f>
        <v>0</v>
      </c>
      <c r="DC151" t="e">
        <f>AND('Planilla_General_29-11-2012_10_'!A2266,"AAAAAGues2o=")</f>
        <v>#VALUE!</v>
      </c>
      <c r="DD151" t="e">
        <f>AND('Planilla_General_29-11-2012_10_'!B2266,"AAAAAGues2s=")</f>
        <v>#VALUE!</v>
      </c>
      <c r="DE151" t="e">
        <f>AND('Planilla_General_29-11-2012_10_'!C2266,"AAAAAGues2w=")</f>
        <v>#VALUE!</v>
      </c>
      <c r="DF151" t="e">
        <f>AND('Planilla_General_29-11-2012_10_'!D2266,"AAAAAGues20=")</f>
        <v>#VALUE!</v>
      </c>
      <c r="DG151" t="e">
        <f>AND('Planilla_General_29-11-2012_10_'!E2266,"AAAAAGues24=")</f>
        <v>#VALUE!</v>
      </c>
      <c r="DH151" t="e">
        <f>AND('Planilla_General_29-11-2012_10_'!F2266,"AAAAAGues28=")</f>
        <v>#VALUE!</v>
      </c>
      <c r="DI151" t="e">
        <f>AND('Planilla_General_29-11-2012_10_'!G2266,"AAAAAGues3A=")</f>
        <v>#VALUE!</v>
      </c>
      <c r="DJ151" t="e">
        <f>AND('Planilla_General_29-11-2012_10_'!H2266,"AAAAAGues3E=")</f>
        <v>#VALUE!</v>
      </c>
      <c r="DK151" t="e">
        <f>AND('Planilla_General_29-11-2012_10_'!I2266,"AAAAAGues3I=")</f>
        <v>#VALUE!</v>
      </c>
      <c r="DL151" t="e">
        <f>AND('Planilla_General_29-11-2012_10_'!J2266,"AAAAAGues3M=")</f>
        <v>#VALUE!</v>
      </c>
      <c r="DM151" t="e">
        <f>AND('Planilla_General_29-11-2012_10_'!K2266,"AAAAAGues3Q=")</f>
        <v>#VALUE!</v>
      </c>
      <c r="DN151" t="e">
        <f>AND('Planilla_General_29-11-2012_10_'!L2266,"AAAAAGues3U=")</f>
        <v>#VALUE!</v>
      </c>
      <c r="DO151" t="e">
        <f>AND('Planilla_General_29-11-2012_10_'!M2266,"AAAAAGues3Y=")</f>
        <v>#VALUE!</v>
      </c>
      <c r="DP151" t="e">
        <f>AND('Planilla_General_29-11-2012_10_'!N2266,"AAAAAGues3c=")</f>
        <v>#VALUE!</v>
      </c>
      <c r="DQ151" t="e">
        <f>AND('Planilla_General_29-11-2012_10_'!O2266,"AAAAAGues3g=")</f>
        <v>#VALUE!</v>
      </c>
      <c r="DR151" t="e">
        <f>AND('Planilla_General_29-11-2012_10_'!P2266,"AAAAAGues3k=")</f>
        <v>#VALUE!</v>
      </c>
      <c r="DS151">
        <f>IF('Planilla_General_29-11-2012_10_'!2267:2267,"AAAAAGues3o=",0)</f>
        <v>0</v>
      </c>
      <c r="DT151" t="e">
        <f>AND('Planilla_General_29-11-2012_10_'!A2267,"AAAAAGues3s=")</f>
        <v>#VALUE!</v>
      </c>
      <c r="DU151" t="e">
        <f>AND('Planilla_General_29-11-2012_10_'!B2267,"AAAAAGues3w=")</f>
        <v>#VALUE!</v>
      </c>
      <c r="DV151" t="e">
        <f>AND('Planilla_General_29-11-2012_10_'!C2267,"AAAAAGues30=")</f>
        <v>#VALUE!</v>
      </c>
      <c r="DW151" t="e">
        <f>AND('Planilla_General_29-11-2012_10_'!D2267,"AAAAAGues34=")</f>
        <v>#VALUE!</v>
      </c>
      <c r="DX151" t="e">
        <f>AND('Planilla_General_29-11-2012_10_'!E2267,"AAAAAGues38=")</f>
        <v>#VALUE!</v>
      </c>
      <c r="DY151" t="e">
        <f>AND('Planilla_General_29-11-2012_10_'!F2267,"AAAAAGues4A=")</f>
        <v>#VALUE!</v>
      </c>
      <c r="DZ151" t="e">
        <f>AND('Planilla_General_29-11-2012_10_'!G2267,"AAAAAGues4E=")</f>
        <v>#VALUE!</v>
      </c>
      <c r="EA151" t="e">
        <f>AND('Planilla_General_29-11-2012_10_'!H2267,"AAAAAGues4I=")</f>
        <v>#VALUE!</v>
      </c>
      <c r="EB151" t="e">
        <f>AND('Planilla_General_29-11-2012_10_'!I2267,"AAAAAGues4M=")</f>
        <v>#VALUE!</v>
      </c>
      <c r="EC151" t="e">
        <f>AND('Planilla_General_29-11-2012_10_'!J2267,"AAAAAGues4Q=")</f>
        <v>#VALUE!</v>
      </c>
      <c r="ED151" t="e">
        <f>AND('Planilla_General_29-11-2012_10_'!K2267,"AAAAAGues4U=")</f>
        <v>#VALUE!</v>
      </c>
      <c r="EE151" t="e">
        <f>AND('Planilla_General_29-11-2012_10_'!L2267,"AAAAAGues4Y=")</f>
        <v>#VALUE!</v>
      </c>
      <c r="EF151" t="e">
        <f>AND('Planilla_General_29-11-2012_10_'!M2267,"AAAAAGues4c=")</f>
        <v>#VALUE!</v>
      </c>
      <c r="EG151" t="e">
        <f>AND('Planilla_General_29-11-2012_10_'!N2267,"AAAAAGues4g=")</f>
        <v>#VALUE!</v>
      </c>
      <c r="EH151" t="e">
        <f>AND('Planilla_General_29-11-2012_10_'!O2267,"AAAAAGues4k=")</f>
        <v>#VALUE!</v>
      </c>
      <c r="EI151" t="e">
        <f>AND('Planilla_General_29-11-2012_10_'!P2267,"AAAAAGues4o=")</f>
        <v>#VALUE!</v>
      </c>
      <c r="EJ151">
        <f>IF('Planilla_General_29-11-2012_10_'!2268:2268,"AAAAAGues4s=",0)</f>
        <v>0</v>
      </c>
      <c r="EK151" t="e">
        <f>AND('Planilla_General_29-11-2012_10_'!A2268,"AAAAAGues4w=")</f>
        <v>#VALUE!</v>
      </c>
      <c r="EL151" t="e">
        <f>AND('Planilla_General_29-11-2012_10_'!B2268,"AAAAAGues40=")</f>
        <v>#VALUE!</v>
      </c>
      <c r="EM151" t="e">
        <f>AND('Planilla_General_29-11-2012_10_'!C2268,"AAAAAGues44=")</f>
        <v>#VALUE!</v>
      </c>
      <c r="EN151" t="e">
        <f>AND('Planilla_General_29-11-2012_10_'!D2268,"AAAAAGues48=")</f>
        <v>#VALUE!</v>
      </c>
      <c r="EO151" t="e">
        <f>AND('Planilla_General_29-11-2012_10_'!E2268,"AAAAAGues5A=")</f>
        <v>#VALUE!</v>
      </c>
      <c r="EP151" t="e">
        <f>AND('Planilla_General_29-11-2012_10_'!F2268,"AAAAAGues5E=")</f>
        <v>#VALUE!</v>
      </c>
      <c r="EQ151" t="e">
        <f>AND('Planilla_General_29-11-2012_10_'!G2268,"AAAAAGues5I=")</f>
        <v>#VALUE!</v>
      </c>
      <c r="ER151" t="e">
        <f>AND('Planilla_General_29-11-2012_10_'!H2268,"AAAAAGues5M=")</f>
        <v>#VALUE!</v>
      </c>
      <c r="ES151" t="e">
        <f>AND('Planilla_General_29-11-2012_10_'!I2268,"AAAAAGues5Q=")</f>
        <v>#VALUE!</v>
      </c>
      <c r="ET151" t="e">
        <f>AND('Planilla_General_29-11-2012_10_'!J2268,"AAAAAGues5U=")</f>
        <v>#VALUE!</v>
      </c>
      <c r="EU151" t="e">
        <f>AND('Planilla_General_29-11-2012_10_'!K2268,"AAAAAGues5Y=")</f>
        <v>#VALUE!</v>
      </c>
      <c r="EV151" t="e">
        <f>AND('Planilla_General_29-11-2012_10_'!L2268,"AAAAAGues5c=")</f>
        <v>#VALUE!</v>
      </c>
      <c r="EW151" t="e">
        <f>AND('Planilla_General_29-11-2012_10_'!M2268,"AAAAAGues5g=")</f>
        <v>#VALUE!</v>
      </c>
      <c r="EX151" t="e">
        <f>AND('Planilla_General_29-11-2012_10_'!N2268,"AAAAAGues5k=")</f>
        <v>#VALUE!</v>
      </c>
      <c r="EY151" t="e">
        <f>AND('Planilla_General_29-11-2012_10_'!O2268,"AAAAAGues5o=")</f>
        <v>#VALUE!</v>
      </c>
      <c r="EZ151" t="e">
        <f>AND('Planilla_General_29-11-2012_10_'!P2268,"AAAAAGues5s=")</f>
        <v>#VALUE!</v>
      </c>
      <c r="FA151">
        <f>IF('Planilla_General_29-11-2012_10_'!2269:2269,"AAAAAGues5w=",0)</f>
        <v>0</v>
      </c>
      <c r="FB151" t="e">
        <f>AND('Planilla_General_29-11-2012_10_'!A2269,"AAAAAGues50=")</f>
        <v>#VALUE!</v>
      </c>
      <c r="FC151" t="e">
        <f>AND('Planilla_General_29-11-2012_10_'!B2269,"AAAAAGues54=")</f>
        <v>#VALUE!</v>
      </c>
      <c r="FD151" t="e">
        <f>AND('Planilla_General_29-11-2012_10_'!C2269,"AAAAAGues58=")</f>
        <v>#VALUE!</v>
      </c>
      <c r="FE151" t="e">
        <f>AND('Planilla_General_29-11-2012_10_'!D2269,"AAAAAGues6A=")</f>
        <v>#VALUE!</v>
      </c>
      <c r="FF151" t="e">
        <f>AND('Planilla_General_29-11-2012_10_'!E2269,"AAAAAGues6E=")</f>
        <v>#VALUE!</v>
      </c>
      <c r="FG151" t="e">
        <f>AND('Planilla_General_29-11-2012_10_'!F2269,"AAAAAGues6I=")</f>
        <v>#VALUE!</v>
      </c>
      <c r="FH151" t="e">
        <f>AND('Planilla_General_29-11-2012_10_'!G2269,"AAAAAGues6M=")</f>
        <v>#VALUE!</v>
      </c>
      <c r="FI151" t="e">
        <f>AND('Planilla_General_29-11-2012_10_'!H2269,"AAAAAGues6Q=")</f>
        <v>#VALUE!</v>
      </c>
      <c r="FJ151" t="e">
        <f>AND('Planilla_General_29-11-2012_10_'!I2269,"AAAAAGues6U=")</f>
        <v>#VALUE!</v>
      </c>
      <c r="FK151" t="e">
        <f>AND('Planilla_General_29-11-2012_10_'!J2269,"AAAAAGues6Y=")</f>
        <v>#VALUE!</v>
      </c>
      <c r="FL151" t="e">
        <f>AND('Planilla_General_29-11-2012_10_'!K2269,"AAAAAGues6c=")</f>
        <v>#VALUE!</v>
      </c>
      <c r="FM151" t="e">
        <f>AND('Planilla_General_29-11-2012_10_'!L2269,"AAAAAGues6g=")</f>
        <v>#VALUE!</v>
      </c>
      <c r="FN151" t="e">
        <f>AND('Planilla_General_29-11-2012_10_'!M2269,"AAAAAGues6k=")</f>
        <v>#VALUE!</v>
      </c>
      <c r="FO151" t="e">
        <f>AND('Planilla_General_29-11-2012_10_'!N2269,"AAAAAGues6o=")</f>
        <v>#VALUE!</v>
      </c>
      <c r="FP151" t="e">
        <f>AND('Planilla_General_29-11-2012_10_'!O2269,"AAAAAGues6s=")</f>
        <v>#VALUE!</v>
      </c>
      <c r="FQ151" t="e">
        <f>AND('Planilla_General_29-11-2012_10_'!P2269,"AAAAAGues6w=")</f>
        <v>#VALUE!</v>
      </c>
      <c r="FR151">
        <f>IF('Planilla_General_29-11-2012_10_'!2270:2270,"AAAAAGues60=",0)</f>
        <v>0</v>
      </c>
      <c r="FS151" t="e">
        <f>AND('Planilla_General_29-11-2012_10_'!A2270,"AAAAAGues64=")</f>
        <v>#VALUE!</v>
      </c>
      <c r="FT151" t="e">
        <f>AND('Planilla_General_29-11-2012_10_'!B2270,"AAAAAGues68=")</f>
        <v>#VALUE!</v>
      </c>
      <c r="FU151" t="e">
        <f>AND('Planilla_General_29-11-2012_10_'!C2270,"AAAAAGues7A=")</f>
        <v>#VALUE!</v>
      </c>
      <c r="FV151" t="e">
        <f>AND('Planilla_General_29-11-2012_10_'!D2270,"AAAAAGues7E=")</f>
        <v>#VALUE!</v>
      </c>
      <c r="FW151" t="e">
        <f>AND('Planilla_General_29-11-2012_10_'!E2270,"AAAAAGues7I=")</f>
        <v>#VALUE!</v>
      </c>
      <c r="FX151" t="e">
        <f>AND('Planilla_General_29-11-2012_10_'!F2270,"AAAAAGues7M=")</f>
        <v>#VALUE!</v>
      </c>
      <c r="FY151" t="e">
        <f>AND('Planilla_General_29-11-2012_10_'!G2270,"AAAAAGues7Q=")</f>
        <v>#VALUE!</v>
      </c>
      <c r="FZ151" t="e">
        <f>AND('Planilla_General_29-11-2012_10_'!H2270,"AAAAAGues7U=")</f>
        <v>#VALUE!</v>
      </c>
      <c r="GA151" t="e">
        <f>AND('Planilla_General_29-11-2012_10_'!I2270,"AAAAAGues7Y=")</f>
        <v>#VALUE!</v>
      </c>
      <c r="GB151" t="e">
        <f>AND('Planilla_General_29-11-2012_10_'!J2270,"AAAAAGues7c=")</f>
        <v>#VALUE!</v>
      </c>
      <c r="GC151" t="e">
        <f>AND('Planilla_General_29-11-2012_10_'!K2270,"AAAAAGues7g=")</f>
        <v>#VALUE!</v>
      </c>
      <c r="GD151" t="e">
        <f>AND('Planilla_General_29-11-2012_10_'!L2270,"AAAAAGues7k=")</f>
        <v>#VALUE!</v>
      </c>
      <c r="GE151" t="e">
        <f>AND('Planilla_General_29-11-2012_10_'!M2270,"AAAAAGues7o=")</f>
        <v>#VALUE!</v>
      </c>
      <c r="GF151" t="e">
        <f>AND('Planilla_General_29-11-2012_10_'!N2270,"AAAAAGues7s=")</f>
        <v>#VALUE!</v>
      </c>
      <c r="GG151" t="e">
        <f>AND('Planilla_General_29-11-2012_10_'!O2270,"AAAAAGues7w=")</f>
        <v>#VALUE!</v>
      </c>
      <c r="GH151" t="e">
        <f>AND('Planilla_General_29-11-2012_10_'!P2270,"AAAAAGues70=")</f>
        <v>#VALUE!</v>
      </c>
      <c r="GI151">
        <f>IF('Planilla_General_29-11-2012_10_'!2271:2271,"AAAAAGues74=",0)</f>
        <v>0</v>
      </c>
      <c r="GJ151" t="e">
        <f>AND('Planilla_General_29-11-2012_10_'!A2271,"AAAAAGues78=")</f>
        <v>#VALUE!</v>
      </c>
      <c r="GK151" t="e">
        <f>AND('Planilla_General_29-11-2012_10_'!B2271,"AAAAAGues8A=")</f>
        <v>#VALUE!</v>
      </c>
      <c r="GL151" t="e">
        <f>AND('Planilla_General_29-11-2012_10_'!C2271,"AAAAAGues8E=")</f>
        <v>#VALUE!</v>
      </c>
      <c r="GM151" t="e">
        <f>AND('Planilla_General_29-11-2012_10_'!D2271,"AAAAAGues8I=")</f>
        <v>#VALUE!</v>
      </c>
      <c r="GN151" t="e">
        <f>AND('Planilla_General_29-11-2012_10_'!E2271,"AAAAAGues8M=")</f>
        <v>#VALUE!</v>
      </c>
      <c r="GO151" t="e">
        <f>AND('Planilla_General_29-11-2012_10_'!F2271,"AAAAAGues8Q=")</f>
        <v>#VALUE!</v>
      </c>
      <c r="GP151" t="e">
        <f>AND('Planilla_General_29-11-2012_10_'!G2271,"AAAAAGues8U=")</f>
        <v>#VALUE!</v>
      </c>
      <c r="GQ151" t="e">
        <f>AND('Planilla_General_29-11-2012_10_'!H2271,"AAAAAGues8Y=")</f>
        <v>#VALUE!</v>
      </c>
      <c r="GR151" t="e">
        <f>AND('Planilla_General_29-11-2012_10_'!I2271,"AAAAAGues8c=")</f>
        <v>#VALUE!</v>
      </c>
      <c r="GS151" t="e">
        <f>AND('Planilla_General_29-11-2012_10_'!J2271,"AAAAAGues8g=")</f>
        <v>#VALUE!</v>
      </c>
      <c r="GT151" t="e">
        <f>AND('Planilla_General_29-11-2012_10_'!K2271,"AAAAAGues8k=")</f>
        <v>#VALUE!</v>
      </c>
      <c r="GU151" t="e">
        <f>AND('Planilla_General_29-11-2012_10_'!L2271,"AAAAAGues8o=")</f>
        <v>#VALUE!</v>
      </c>
      <c r="GV151" t="e">
        <f>AND('Planilla_General_29-11-2012_10_'!M2271,"AAAAAGues8s=")</f>
        <v>#VALUE!</v>
      </c>
      <c r="GW151" t="e">
        <f>AND('Planilla_General_29-11-2012_10_'!N2271,"AAAAAGues8w=")</f>
        <v>#VALUE!</v>
      </c>
      <c r="GX151" t="e">
        <f>AND('Planilla_General_29-11-2012_10_'!O2271,"AAAAAGues80=")</f>
        <v>#VALUE!</v>
      </c>
      <c r="GY151" t="e">
        <f>AND('Planilla_General_29-11-2012_10_'!P2271,"AAAAAGues84=")</f>
        <v>#VALUE!</v>
      </c>
      <c r="GZ151">
        <f>IF('Planilla_General_29-11-2012_10_'!2272:2272,"AAAAAGues88=",0)</f>
        <v>0</v>
      </c>
      <c r="HA151" t="e">
        <f>AND('Planilla_General_29-11-2012_10_'!A2272,"AAAAAGues9A=")</f>
        <v>#VALUE!</v>
      </c>
      <c r="HB151" t="e">
        <f>AND('Planilla_General_29-11-2012_10_'!B2272,"AAAAAGues9E=")</f>
        <v>#VALUE!</v>
      </c>
      <c r="HC151" t="e">
        <f>AND('Planilla_General_29-11-2012_10_'!C2272,"AAAAAGues9I=")</f>
        <v>#VALUE!</v>
      </c>
      <c r="HD151" t="e">
        <f>AND('Planilla_General_29-11-2012_10_'!D2272,"AAAAAGues9M=")</f>
        <v>#VALUE!</v>
      </c>
      <c r="HE151" t="e">
        <f>AND('Planilla_General_29-11-2012_10_'!E2272,"AAAAAGues9Q=")</f>
        <v>#VALUE!</v>
      </c>
      <c r="HF151" t="e">
        <f>AND('Planilla_General_29-11-2012_10_'!F2272,"AAAAAGues9U=")</f>
        <v>#VALUE!</v>
      </c>
      <c r="HG151" t="e">
        <f>AND('Planilla_General_29-11-2012_10_'!G2272,"AAAAAGues9Y=")</f>
        <v>#VALUE!</v>
      </c>
      <c r="HH151" t="e">
        <f>AND('Planilla_General_29-11-2012_10_'!H2272,"AAAAAGues9c=")</f>
        <v>#VALUE!</v>
      </c>
      <c r="HI151" t="e">
        <f>AND('Planilla_General_29-11-2012_10_'!I2272,"AAAAAGues9g=")</f>
        <v>#VALUE!</v>
      </c>
      <c r="HJ151" t="e">
        <f>AND('Planilla_General_29-11-2012_10_'!J2272,"AAAAAGues9k=")</f>
        <v>#VALUE!</v>
      </c>
      <c r="HK151" t="e">
        <f>AND('Planilla_General_29-11-2012_10_'!K2272,"AAAAAGues9o=")</f>
        <v>#VALUE!</v>
      </c>
      <c r="HL151" t="e">
        <f>AND('Planilla_General_29-11-2012_10_'!L2272,"AAAAAGues9s=")</f>
        <v>#VALUE!</v>
      </c>
      <c r="HM151" t="e">
        <f>AND('Planilla_General_29-11-2012_10_'!M2272,"AAAAAGues9w=")</f>
        <v>#VALUE!</v>
      </c>
      <c r="HN151" t="e">
        <f>AND('Planilla_General_29-11-2012_10_'!N2272,"AAAAAGues90=")</f>
        <v>#VALUE!</v>
      </c>
      <c r="HO151" t="e">
        <f>AND('Planilla_General_29-11-2012_10_'!O2272,"AAAAAGues94=")</f>
        <v>#VALUE!</v>
      </c>
      <c r="HP151" t="e">
        <f>AND('Planilla_General_29-11-2012_10_'!P2272,"AAAAAGues98=")</f>
        <v>#VALUE!</v>
      </c>
      <c r="HQ151">
        <f>IF('Planilla_General_29-11-2012_10_'!2273:2273,"AAAAAGues+A=",0)</f>
        <v>0</v>
      </c>
      <c r="HR151" t="e">
        <f>AND('Planilla_General_29-11-2012_10_'!A2273,"AAAAAGues+E=")</f>
        <v>#VALUE!</v>
      </c>
      <c r="HS151" t="e">
        <f>AND('Planilla_General_29-11-2012_10_'!B2273,"AAAAAGues+I=")</f>
        <v>#VALUE!</v>
      </c>
      <c r="HT151" t="e">
        <f>AND('Planilla_General_29-11-2012_10_'!C2273,"AAAAAGues+M=")</f>
        <v>#VALUE!</v>
      </c>
      <c r="HU151" t="e">
        <f>AND('Planilla_General_29-11-2012_10_'!D2273,"AAAAAGues+Q=")</f>
        <v>#VALUE!</v>
      </c>
      <c r="HV151" t="e">
        <f>AND('Planilla_General_29-11-2012_10_'!E2273,"AAAAAGues+U=")</f>
        <v>#VALUE!</v>
      </c>
      <c r="HW151" t="e">
        <f>AND('Planilla_General_29-11-2012_10_'!F2273,"AAAAAGues+Y=")</f>
        <v>#VALUE!</v>
      </c>
      <c r="HX151" t="e">
        <f>AND('Planilla_General_29-11-2012_10_'!G2273,"AAAAAGues+c=")</f>
        <v>#VALUE!</v>
      </c>
      <c r="HY151" t="e">
        <f>AND('Planilla_General_29-11-2012_10_'!H2273,"AAAAAGues+g=")</f>
        <v>#VALUE!</v>
      </c>
      <c r="HZ151" t="e">
        <f>AND('Planilla_General_29-11-2012_10_'!I2273,"AAAAAGues+k=")</f>
        <v>#VALUE!</v>
      </c>
      <c r="IA151" t="e">
        <f>AND('Planilla_General_29-11-2012_10_'!J2273,"AAAAAGues+o=")</f>
        <v>#VALUE!</v>
      </c>
      <c r="IB151" t="e">
        <f>AND('Planilla_General_29-11-2012_10_'!K2273,"AAAAAGues+s=")</f>
        <v>#VALUE!</v>
      </c>
      <c r="IC151" t="e">
        <f>AND('Planilla_General_29-11-2012_10_'!L2273,"AAAAAGues+w=")</f>
        <v>#VALUE!</v>
      </c>
      <c r="ID151" t="e">
        <f>AND('Planilla_General_29-11-2012_10_'!M2273,"AAAAAGues+0=")</f>
        <v>#VALUE!</v>
      </c>
      <c r="IE151" t="e">
        <f>AND('Planilla_General_29-11-2012_10_'!N2273,"AAAAAGues+4=")</f>
        <v>#VALUE!</v>
      </c>
      <c r="IF151" t="e">
        <f>AND('Planilla_General_29-11-2012_10_'!O2273,"AAAAAGues+8=")</f>
        <v>#VALUE!</v>
      </c>
      <c r="IG151" t="e">
        <f>AND('Planilla_General_29-11-2012_10_'!P2273,"AAAAAGues/A=")</f>
        <v>#VALUE!</v>
      </c>
      <c r="IH151">
        <f>IF('Planilla_General_29-11-2012_10_'!2274:2274,"AAAAAGues/E=",0)</f>
        <v>0</v>
      </c>
      <c r="II151" t="e">
        <f>AND('Planilla_General_29-11-2012_10_'!A2274,"AAAAAGues/I=")</f>
        <v>#VALUE!</v>
      </c>
      <c r="IJ151" t="e">
        <f>AND('Planilla_General_29-11-2012_10_'!B2274,"AAAAAGues/M=")</f>
        <v>#VALUE!</v>
      </c>
      <c r="IK151" t="e">
        <f>AND('Planilla_General_29-11-2012_10_'!C2274,"AAAAAGues/Q=")</f>
        <v>#VALUE!</v>
      </c>
      <c r="IL151" t="e">
        <f>AND('Planilla_General_29-11-2012_10_'!D2274,"AAAAAGues/U=")</f>
        <v>#VALUE!</v>
      </c>
      <c r="IM151" t="e">
        <f>AND('Planilla_General_29-11-2012_10_'!E2274,"AAAAAGues/Y=")</f>
        <v>#VALUE!</v>
      </c>
      <c r="IN151" t="e">
        <f>AND('Planilla_General_29-11-2012_10_'!F2274,"AAAAAGues/c=")</f>
        <v>#VALUE!</v>
      </c>
      <c r="IO151" t="e">
        <f>AND('Planilla_General_29-11-2012_10_'!G2274,"AAAAAGues/g=")</f>
        <v>#VALUE!</v>
      </c>
      <c r="IP151" t="e">
        <f>AND('Planilla_General_29-11-2012_10_'!H2274,"AAAAAGues/k=")</f>
        <v>#VALUE!</v>
      </c>
      <c r="IQ151" t="e">
        <f>AND('Planilla_General_29-11-2012_10_'!I2274,"AAAAAGues/o=")</f>
        <v>#VALUE!</v>
      </c>
      <c r="IR151" t="e">
        <f>AND('Planilla_General_29-11-2012_10_'!J2274,"AAAAAGues/s=")</f>
        <v>#VALUE!</v>
      </c>
      <c r="IS151" t="e">
        <f>AND('Planilla_General_29-11-2012_10_'!K2274,"AAAAAGues/w=")</f>
        <v>#VALUE!</v>
      </c>
      <c r="IT151" t="e">
        <f>AND('Planilla_General_29-11-2012_10_'!L2274,"AAAAAGues/0=")</f>
        <v>#VALUE!</v>
      </c>
      <c r="IU151" t="e">
        <f>AND('Planilla_General_29-11-2012_10_'!M2274,"AAAAAGues/4=")</f>
        <v>#VALUE!</v>
      </c>
      <c r="IV151" t="e">
        <f>AND('Planilla_General_29-11-2012_10_'!N2274,"AAAAAGues/8=")</f>
        <v>#VALUE!</v>
      </c>
    </row>
    <row r="152" spans="1:256" x14ac:dyDescent="0.25">
      <c r="A152" t="e">
        <f>AND('Planilla_General_29-11-2012_10_'!O2274,"AAAAAD/VuwA=")</f>
        <v>#VALUE!</v>
      </c>
      <c r="B152" t="e">
        <f>AND('Planilla_General_29-11-2012_10_'!P2274,"AAAAAD/VuwE=")</f>
        <v>#VALUE!</v>
      </c>
      <c r="C152" t="str">
        <f>IF('Planilla_General_29-11-2012_10_'!2275:2275,"AAAAAD/VuwI=",0)</f>
        <v>AAAAAD/VuwI=</v>
      </c>
      <c r="D152" t="e">
        <f>AND('Planilla_General_29-11-2012_10_'!A2275,"AAAAAD/VuwM=")</f>
        <v>#VALUE!</v>
      </c>
      <c r="E152" t="e">
        <f>AND('Planilla_General_29-11-2012_10_'!B2275,"AAAAAD/VuwQ=")</f>
        <v>#VALUE!</v>
      </c>
      <c r="F152" t="e">
        <f>AND('Planilla_General_29-11-2012_10_'!C2275,"AAAAAD/VuwU=")</f>
        <v>#VALUE!</v>
      </c>
      <c r="G152" t="e">
        <f>AND('Planilla_General_29-11-2012_10_'!D2275,"AAAAAD/VuwY=")</f>
        <v>#VALUE!</v>
      </c>
      <c r="H152" t="e">
        <f>AND('Planilla_General_29-11-2012_10_'!E2275,"AAAAAD/Vuwc=")</f>
        <v>#VALUE!</v>
      </c>
      <c r="I152" t="e">
        <f>AND('Planilla_General_29-11-2012_10_'!F2275,"AAAAAD/Vuwg=")</f>
        <v>#VALUE!</v>
      </c>
      <c r="J152" t="e">
        <f>AND('Planilla_General_29-11-2012_10_'!G2275,"AAAAAD/Vuwk=")</f>
        <v>#VALUE!</v>
      </c>
      <c r="K152" t="e">
        <f>AND('Planilla_General_29-11-2012_10_'!H2275,"AAAAAD/Vuwo=")</f>
        <v>#VALUE!</v>
      </c>
      <c r="L152" t="e">
        <f>AND('Planilla_General_29-11-2012_10_'!I2275,"AAAAAD/Vuws=")</f>
        <v>#VALUE!</v>
      </c>
      <c r="M152" t="e">
        <f>AND('Planilla_General_29-11-2012_10_'!J2275,"AAAAAD/Vuww=")</f>
        <v>#VALUE!</v>
      </c>
      <c r="N152" t="e">
        <f>AND('Planilla_General_29-11-2012_10_'!K2275,"AAAAAD/Vuw0=")</f>
        <v>#VALUE!</v>
      </c>
      <c r="O152" t="e">
        <f>AND('Planilla_General_29-11-2012_10_'!L2275,"AAAAAD/Vuw4=")</f>
        <v>#VALUE!</v>
      </c>
      <c r="P152" t="e">
        <f>AND('Planilla_General_29-11-2012_10_'!M2275,"AAAAAD/Vuw8=")</f>
        <v>#VALUE!</v>
      </c>
      <c r="Q152" t="e">
        <f>AND('Planilla_General_29-11-2012_10_'!N2275,"AAAAAD/VuxA=")</f>
        <v>#VALUE!</v>
      </c>
      <c r="R152" t="e">
        <f>AND('Planilla_General_29-11-2012_10_'!O2275,"AAAAAD/VuxE=")</f>
        <v>#VALUE!</v>
      </c>
      <c r="S152" t="e">
        <f>AND('Planilla_General_29-11-2012_10_'!P2275,"AAAAAD/VuxI=")</f>
        <v>#VALUE!</v>
      </c>
      <c r="T152">
        <f>IF('Planilla_General_29-11-2012_10_'!2276:2276,"AAAAAD/VuxM=",0)</f>
        <v>0</v>
      </c>
      <c r="U152" t="e">
        <f>AND('Planilla_General_29-11-2012_10_'!A2276,"AAAAAD/VuxQ=")</f>
        <v>#VALUE!</v>
      </c>
      <c r="V152" t="e">
        <f>AND('Planilla_General_29-11-2012_10_'!B2276,"AAAAAD/VuxU=")</f>
        <v>#VALUE!</v>
      </c>
      <c r="W152" t="e">
        <f>AND('Planilla_General_29-11-2012_10_'!C2276,"AAAAAD/VuxY=")</f>
        <v>#VALUE!</v>
      </c>
      <c r="X152" t="e">
        <f>AND('Planilla_General_29-11-2012_10_'!D2276,"AAAAAD/Vuxc=")</f>
        <v>#VALUE!</v>
      </c>
      <c r="Y152" t="e">
        <f>AND('Planilla_General_29-11-2012_10_'!E2276,"AAAAAD/Vuxg=")</f>
        <v>#VALUE!</v>
      </c>
      <c r="Z152" t="e">
        <f>AND('Planilla_General_29-11-2012_10_'!F2276,"AAAAAD/Vuxk=")</f>
        <v>#VALUE!</v>
      </c>
      <c r="AA152" t="e">
        <f>AND('Planilla_General_29-11-2012_10_'!G2276,"AAAAAD/Vuxo=")</f>
        <v>#VALUE!</v>
      </c>
      <c r="AB152" t="e">
        <f>AND('Planilla_General_29-11-2012_10_'!H2276,"AAAAAD/Vuxs=")</f>
        <v>#VALUE!</v>
      </c>
      <c r="AC152" t="e">
        <f>AND('Planilla_General_29-11-2012_10_'!I2276,"AAAAAD/Vuxw=")</f>
        <v>#VALUE!</v>
      </c>
      <c r="AD152" t="e">
        <f>AND('Planilla_General_29-11-2012_10_'!J2276,"AAAAAD/Vux0=")</f>
        <v>#VALUE!</v>
      </c>
      <c r="AE152" t="e">
        <f>AND('Planilla_General_29-11-2012_10_'!K2276,"AAAAAD/Vux4=")</f>
        <v>#VALUE!</v>
      </c>
      <c r="AF152" t="e">
        <f>AND('Planilla_General_29-11-2012_10_'!L2276,"AAAAAD/Vux8=")</f>
        <v>#VALUE!</v>
      </c>
      <c r="AG152" t="e">
        <f>AND('Planilla_General_29-11-2012_10_'!M2276,"AAAAAD/VuyA=")</f>
        <v>#VALUE!</v>
      </c>
      <c r="AH152" t="e">
        <f>AND('Planilla_General_29-11-2012_10_'!N2276,"AAAAAD/VuyE=")</f>
        <v>#VALUE!</v>
      </c>
      <c r="AI152" t="e">
        <f>AND('Planilla_General_29-11-2012_10_'!O2276,"AAAAAD/VuyI=")</f>
        <v>#VALUE!</v>
      </c>
      <c r="AJ152" t="e">
        <f>AND('Planilla_General_29-11-2012_10_'!P2276,"AAAAAD/VuyM=")</f>
        <v>#VALUE!</v>
      </c>
      <c r="AK152">
        <f>IF('Planilla_General_29-11-2012_10_'!2277:2277,"AAAAAD/VuyQ=",0)</f>
        <v>0</v>
      </c>
      <c r="AL152" t="e">
        <f>AND('Planilla_General_29-11-2012_10_'!A2277,"AAAAAD/VuyU=")</f>
        <v>#VALUE!</v>
      </c>
      <c r="AM152" t="e">
        <f>AND('Planilla_General_29-11-2012_10_'!B2277,"AAAAAD/VuyY=")</f>
        <v>#VALUE!</v>
      </c>
      <c r="AN152" t="e">
        <f>AND('Planilla_General_29-11-2012_10_'!C2277,"AAAAAD/Vuyc=")</f>
        <v>#VALUE!</v>
      </c>
      <c r="AO152" t="e">
        <f>AND('Planilla_General_29-11-2012_10_'!D2277,"AAAAAD/Vuyg=")</f>
        <v>#VALUE!</v>
      </c>
      <c r="AP152" t="e">
        <f>AND('Planilla_General_29-11-2012_10_'!E2277,"AAAAAD/Vuyk=")</f>
        <v>#VALUE!</v>
      </c>
      <c r="AQ152" t="e">
        <f>AND('Planilla_General_29-11-2012_10_'!F2277,"AAAAAD/Vuyo=")</f>
        <v>#VALUE!</v>
      </c>
      <c r="AR152" t="e">
        <f>AND('Planilla_General_29-11-2012_10_'!G2277,"AAAAAD/Vuys=")</f>
        <v>#VALUE!</v>
      </c>
      <c r="AS152" t="e">
        <f>AND('Planilla_General_29-11-2012_10_'!H2277,"AAAAAD/Vuyw=")</f>
        <v>#VALUE!</v>
      </c>
      <c r="AT152" t="e">
        <f>AND('Planilla_General_29-11-2012_10_'!I2277,"AAAAAD/Vuy0=")</f>
        <v>#VALUE!</v>
      </c>
      <c r="AU152" t="e">
        <f>AND('Planilla_General_29-11-2012_10_'!J2277,"AAAAAD/Vuy4=")</f>
        <v>#VALUE!</v>
      </c>
      <c r="AV152" t="e">
        <f>AND('Planilla_General_29-11-2012_10_'!K2277,"AAAAAD/Vuy8=")</f>
        <v>#VALUE!</v>
      </c>
      <c r="AW152" t="e">
        <f>AND('Planilla_General_29-11-2012_10_'!L2277,"AAAAAD/VuzA=")</f>
        <v>#VALUE!</v>
      </c>
      <c r="AX152" t="e">
        <f>AND('Planilla_General_29-11-2012_10_'!M2277,"AAAAAD/VuzE=")</f>
        <v>#VALUE!</v>
      </c>
      <c r="AY152" t="e">
        <f>AND('Planilla_General_29-11-2012_10_'!N2277,"AAAAAD/VuzI=")</f>
        <v>#VALUE!</v>
      </c>
      <c r="AZ152" t="e">
        <f>AND('Planilla_General_29-11-2012_10_'!O2277,"AAAAAD/VuzM=")</f>
        <v>#VALUE!</v>
      </c>
      <c r="BA152" t="e">
        <f>AND('Planilla_General_29-11-2012_10_'!P2277,"AAAAAD/VuzQ=")</f>
        <v>#VALUE!</v>
      </c>
      <c r="BB152">
        <f>IF('Planilla_General_29-11-2012_10_'!2278:2278,"AAAAAD/VuzU=",0)</f>
        <v>0</v>
      </c>
      <c r="BC152" t="e">
        <f>AND('Planilla_General_29-11-2012_10_'!A2278,"AAAAAD/VuzY=")</f>
        <v>#VALUE!</v>
      </c>
      <c r="BD152" t="e">
        <f>AND('Planilla_General_29-11-2012_10_'!B2278,"AAAAAD/Vuzc=")</f>
        <v>#VALUE!</v>
      </c>
      <c r="BE152" t="e">
        <f>AND('Planilla_General_29-11-2012_10_'!C2278,"AAAAAD/Vuzg=")</f>
        <v>#VALUE!</v>
      </c>
      <c r="BF152" t="e">
        <f>AND('Planilla_General_29-11-2012_10_'!D2278,"AAAAAD/Vuzk=")</f>
        <v>#VALUE!</v>
      </c>
      <c r="BG152" t="e">
        <f>AND('Planilla_General_29-11-2012_10_'!E2278,"AAAAAD/Vuzo=")</f>
        <v>#VALUE!</v>
      </c>
      <c r="BH152" t="e">
        <f>AND('Planilla_General_29-11-2012_10_'!F2278,"AAAAAD/Vuzs=")</f>
        <v>#VALUE!</v>
      </c>
      <c r="BI152" t="e">
        <f>AND('Planilla_General_29-11-2012_10_'!G2278,"AAAAAD/Vuzw=")</f>
        <v>#VALUE!</v>
      </c>
      <c r="BJ152" t="e">
        <f>AND('Planilla_General_29-11-2012_10_'!H2278,"AAAAAD/Vuz0=")</f>
        <v>#VALUE!</v>
      </c>
      <c r="BK152" t="e">
        <f>AND('Planilla_General_29-11-2012_10_'!I2278,"AAAAAD/Vuz4=")</f>
        <v>#VALUE!</v>
      </c>
      <c r="BL152" t="e">
        <f>AND('Planilla_General_29-11-2012_10_'!J2278,"AAAAAD/Vuz8=")</f>
        <v>#VALUE!</v>
      </c>
      <c r="BM152" t="e">
        <f>AND('Planilla_General_29-11-2012_10_'!K2278,"AAAAAD/Vu0A=")</f>
        <v>#VALUE!</v>
      </c>
      <c r="BN152" t="e">
        <f>AND('Planilla_General_29-11-2012_10_'!L2278,"AAAAAD/Vu0E=")</f>
        <v>#VALUE!</v>
      </c>
      <c r="BO152" t="e">
        <f>AND('Planilla_General_29-11-2012_10_'!M2278,"AAAAAD/Vu0I=")</f>
        <v>#VALUE!</v>
      </c>
      <c r="BP152" t="e">
        <f>AND('Planilla_General_29-11-2012_10_'!N2278,"AAAAAD/Vu0M=")</f>
        <v>#VALUE!</v>
      </c>
      <c r="BQ152" t="e">
        <f>AND('Planilla_General_29-11-2012_10_'!O2278,"AAAAAD/Vu0Q=")</f>
        <v>#VALUE!</v>
      </c>
      <c r="BR152" t="e">
        <f>AND('Planilla_General_29-11-2012_10_'!P2278,"AAAAAD/Vu0U=")</f>
        <v>#VALUE!</v>
      </c>
      <c r="BS152">
        <f>IF('Planilla_General_29-11-2012_10_'!2279:2279,"AAAAAD/Vu0Y=",0)</f>
        <v>0</v>
      </c>
      <c r="BT152" t="e">
        <f>AND('Planilla_General_29-11-2012_10_'!A2279,"AAAAAD/Vu0c=")</f>
        <v>#VALUE!</v>
      </c>
      <c r="BU152" t="e">
        <f>AND('Planilla_General_29-11-2012_10_'!B2279,"AAAAAD/Vu0g=")</f>
        <v>#VALUE!</v>
      </c>
      <c r="BV152" t="e">
        <f>AND('Planilla_General_29-11-2012_10_'!C2279,"AAAAAD/Vu0k=")</f>
        <v>#VALUE!</v>
      </c>
      <c r="BW152" t="e">
        <f>AND('Planilla_General_29-11-2012_10_'!D2279,"AAAAAD/Vu0o=")</f>
        <v>#VALUE!</v>
      </c>
      <c r="BX152" t="e">
        <f>AND('Planilla_General_29-11-2012_10_'!E2279,"AAAAAD/Vu0s=")</f>
        <v>#VALUE!</v>
      </c>
      <c r="BY152" t="e">
        <f>AND('Planilla_General_29-11-2012_10_'!F2279,"AAAAAD/Vu0w=")</f>
        <v>#VALUE!</v>
      </c>
      <c r="BZ152" t="e">
        <f>AND('Planilla_General_29-11-2012_10_'!G2279,"AAAAAD/Vu00=")</f>
        <v>#VALUE!</v>
      </c>
      <c r="CA152" t="e">
        <f>AND('Planilla_General_29-11-2012_10_'!H2279,"AAAAAD/Vu04=")</f>
        <v>#VALUE!</v>
      </c>
      <c r="CB152" t="e">
        <f>AND('Planilla_General_29-11-2012_10_'!I2279,"AAAAAD/Vu08=")</f>
        <v>#VALUE!</v>
      </c>
      <c r="CC152" t="e">
        <f>AND('Planilla_General_29-11-2012_10_'!J2279,"AAAAAD/Vu1A=")</f>
        <v>#VALUE!</v>
      </c>
      <c r="CD152" t="e">
        <f>AND('Planilla_General_29-11-2012_10_'!K2279,"AAAAAD/Vu1E=")</f>
        <v>#VALUE!</v>
      </c>
      <c r="CE152" t="e">
        <f>AND('Planilla_General_29-11-2012_10_'!L2279,"AAAAAD/Vu1I=")</f>
        <v>#VALUE!</v>
      </c>
      <c r="CF152" t="e">
        <f>AND('Planilla_General_29-11-2012_10_'!M2279,"AAAAAD/Vu1M=")</f>
        <v>#VALUE!</v>
      </c>
      <c r="CG152" t="e">
        <f>AND('Planilla_General_29-11-2012_10_'!N2279,"AAAAAD/Vu1Q=")</f>
        <v>#VALUE!</v>
      </c>
      <c r="CH152" t="e">
        <f>AND('Planilla_General_29-11-2012_10_'!O2279,"AAAAAD/Vu1U=")</f>
        <v>#VALUE!</v>
      </c>
      <c r="CI152" t="e">
        <f>AND('Planilla_General_29-11-2012_10_'!P2279,"AAAAAD/Vu1Y=")</f>
        <v>#VALUE!</v>
      </c>
      <c r="CJ152">
        <f>IF('Planilla_General_29-11-2012_10_'!2280:2280,"AAAAAD/Vu1c=",0)</f>
        <v>0</v>
      </c>
      <c r="CK152" t="e">
        <f>AND('Planilla_General_29-11-2012_10_'!A2280,"AAAAAD/Vu1g=")</f>
        <v>#VALUE!</v>
      </c>
      <c r="CL152" t="e">
        <f>AND('Planilla_General_29-11-2012_10_'!B2280,"AAAAAD/Vu1k=")</f>
        <v>#VALUE!</v>
      </c>
      <c r="CM152" t="e">
        <f>AND('Planilla_General_29-11-2012_10_'!C2280,"AAAAAD/Vu1o=")</f>
        <v>#VALUE!</v>
      </c>
      <c r="CN152" t="e">
        <f>AND('Planilla_General_29-11-2012_10_'!D2280,"AAAAAD/Vu1s=")</f>
        <v>#VALUE!</v>
      </c>
      <c r="CO152" t="e">
        <f>AND('Planilla_General_29-11-2012_10_'!E2280,"AAAAAD/Vu1w=")</f>
        <v>#VALUE!</v>
      </c>
      <c r="CP152" t="e">
        <f>AND('Planilla_General_29-11-2012_10_'!F2280,"AAAAAD/Vu10=")</f>
        <v>#VALUE!</v>
      </c>
      <c r="CQ152" t="e">
        <f>AND('Planilla_General_29-11-2012_10_'!G2280,"AAAAAD/Vu14=")</f>
        <v>#VALUE!</v>
      </c>
      <c r="CR152" t="e">
        <f>AND('Planilla_General_29-11-2012_10_'!H2280,"AAAAAD/Vu18=")</f>
        <v>#VALUE!</v>
      </c>
      <c r="CS152" t="e">
        <f>AND('Planilla_General_29-11-2012_10_'!I2280,"AAAAAD/Vu2A=")</f>
        <v>#VALUE!</v>
      </c>
      <c r="CT152" t="e">
        <f>AND('Planilla_General_29-11-2012_10_'!J2280,"AAAAAD/Vu2E=")</f>
        <v>#VALUE!</v>
      </c>
      <c r="CU152" t="e">
        <f>AND('Planilla_General_29-11-2012_10_'!K2280,"AAAAAD/Vu2I=")</f>
        <v>#VALUE!</v>
      </c>
      <c r="CV152" t="e">
        <f>AND('Planilla_General_29-11-2012_10_'!L2280,"AAAAAD/Vu2M=")</f>
        <v>#VALUE!</v>
      </c>
      <c r="CW152" t="e">
        <f>AND('Planilla_General_29-11-2012_10_'!M2280,"AAAAAD/Vu2Q=")</f>
        <v>#VALUE!</v>
      </c>
      <c r="CX152" t="e">
        <f>AND('Planilla_General_29-11-2012_10_'!N2280,"AAAAAD/Vu2U=")</f>
        <v>#VALUE!</v>
      </c>
      <c r="CY152" t="e">
        <f>AND('Planilla_General_29-11-2012_10_'!O2280,"AAAAAD/Vu2Y=")</f>
        <v>#VALUE!</v>
      </c>
      <c r="CZ152" t="e">
        <f>AND('Planilla_General_29-11-2012_10_'!P2280,"AAAAAD/Vu2c=")</f>
        <v>#VALUE!</v>
      </c>
      <c r="DA152">
        <f>IF('Planilla_General_29-11-2012_10_'!2281:2281,"AAAAAD/Vu2g=",0)</f>
        <v>0</v>
      </c>
      <c r="DB152" t="e">
        <f>AND('Planilla_General_29-11-2012_10_'!A2281,"AAAAAD/Vu2k=")</f>
        <v>#VALUE!</v>
      </c>
      <c r="DC152" t="e">
        <f>AND('Planilla_General_29-11-2012_10_'!B2281,"AAAAAD/Vu2o=")</f>
        <v>#VALUE!</v>
      </c>
      <c r="DD152" t="e">
        <f>AND('Planilla_General_29-11-2012_10_'!C2281,"AAAAAD/Vu2s=")</f>
        <v>#VALUE!</v>
      </c>
      <c r="DE152" t="e">
        <f>AND('Planilla_General_29-11-2012_10_'!D2281,"AAAAAD/Vu2w=")</f>
        <v>#VALUE!</v>
      </c>
      <c r="DF152" t="e">
        <f>AND('Planilla_General_29-11-2012_10_'!E2281,"AAAAAD/Vu20=")</f>
        <v>#VALUE!</v>
      </c>
      <c r="DG152" t="e">
        <f>AND('Planilla_General_29-11-2012_10_'!F2281,"AAAAAD/Vu24=")</f>
        <v>#VALUE!</v>
      </c>
      <c r="DH152" t="e">
        <f>AND('Planilla_General_29-11-2012_10_'!G2281,"AAAAAD/Vu28=")</f>
        <v>#VALUE!</v>
      </c>
      <c r="DI152" t="e">
        <f>AND('Planilla_General_29-11-2012_10_'!H2281,"AAAAAD/Vu3A=")</f>
        <v>#VALUE!</v>
      </c>
      <c r="DJ152" t="e">
        <f>AND('Planilla_General_29-11-2012_10_'!I2281,"AAAAAD/Vu3E=")</f>
        <v>#VALUE!</v>
      </c>
      <c r="DK152" t="e">
        <f>AND('Planilla_General_29-11-2012_10_'!J2281,"AAAAAD/Vu3I=")</f>
        <v>#VALUE!</v>
      </c>
      <c r="DL152" t="e">
        <f>AND('Planilla_General_29-11-2012_10_'!K2281,"AAAAAD/Vu3M=")</f>
        <v>#VALUE!</v>
      </c>
      <c r="DM152" t="e">
        <f>AND('Planilla_General_29-11-2012_10_'!L2281,"AAAAAD/Vu3Q=")</f>
        <v>#VALUE!</v>
      </c>
      <c r="DN152" t="e">
        <f>AND('Planilla_General_29-11-2012_10_'!M2281,"AAAAAD/Vu3U=")</f>
        <v>#VALUE!</v>
      </c>
      <c r="DO152" t="e">
        <f>AND('Planilla_General_29-11-2012_10_'!N2281,"AAAAAD/Vu3Y=")</f>
        <v>#VALUE!</v>
      </c>
      <c r="DP152" t="e">
        <f>AND('Planilla_General_29-11-2012_10_'!O2281,"AAAAAD/Vu3c=")</f>
        <v>#VALUE!</v>
      </c>
      <c r="DQ152" t="e">
        <f>AND('Planilla_General_29-11-2012_10_'!P2281,"AAAAAD/Vu3g=")</f>
        <v>#VALUE!</v>
      </c>
      <c r="DR152">
        <f>IF('Planilla_General_29-11-2012_10_'!2282:2282,"AAAAAD/Vu3k=",0)</f>
        <v>0</v>
      </c>
      <c r="DS152" t="e">
        <f>AND('Planilla_General_29-11-2012_10_'!A2282,"AAAAAD/Vu3o=")</f>
        <v>#VALUE!</v>
      </c>
      <c r="DT152" t="e">
        <f>AND('Planilla_General_29-11-2012_10_'!B2282,"AAAAAD/Vu3s=")</f>
        <v>#VALUE!</v>
      </c>
      <c r="DU152" t="e">
        <f>AND('Planilla_General_29-11-2012_10_'!C2282,"AAAAAD/Vu3w=")</f>
        <v>#VALUE!</v>
      </c>
      <c r="DV152" t="e">
        <f>AND('Planilla_General_29-11-2012_10_'!D2282,"AAAAAD/Vu30=")</f>
        <v>#VALUE!</v>
      </c>
      <c r="DW152" t="e">
        <f>AND('Planilla_General_29-11-2012_10_'!E2282,"AAAAAD/Vu34=")</f>
        <v>#VALUE!</v>
      </c>
      <c r="DX152" t="e">
        <f>AND('Planilla_General_29-11-2012_10_'!F2282,"AAAAAD/Vu38=")</f>
        <v>#VALUE!</v>
      </c>
      <c r="DY152" t="e">
        <f>AND('Planilla_General_29-11-2012_10_'!G2282,"AAAAAD/Vu4A=")</f>
        <v>#VALUE!</v>
      </c>
      <c r="DZ152" t="e">
        <f>AND('Planilla_General_29-11-2012_10_'!H2282,"AAAAAD/Vu4E=")</f>
        <v>#VALUE!</v>
      </c>
      <c r="EA152" t="e">
        <f>AND('Planilla_General_29-11-2012_10_'!I2282,"AAAAAD/Vu4I=")</f>
        <v>#VALUE!</v>
      </c>
      <c r="EB152" t="e">
        <f>AND('Planilla_General_29-11-2012_10_'!J2282,"AAAAAD/Vu4M=")</f>
        <v>#VALUE!</v>
      </c>
      <c r="EC152" t="e">
        <f>AND('Planilla_General_29-11-2012_10_'!K2282,"AAAAAD/Vu4Q=")</f>
        <v>#VALUE!</v>
      </c>
      <c r="ED152" t="e">
        <f>AND('Planilla_General_29-11-2012_10_'!L2282,"AAAAAD/Vu4U=")</f>
        <v>#VALUE!</v>
      </c>
      <c r="EE152" t="e">
        <f>AND('Planilla_General_29-11-2012_10_'!M2282,"AAAAAD/Vu4Y=")</f>
        <v>#VALUE!</v>
      </c>
      <c r="EF152" t="e">
        <f>AND('Planilla_General_29-11-2012_10_'!N2282,"AAAAAD/Vu4c=")</f>
        <v>#VALUE!</v>
      </c>
      <c r="EG152" t="e">
        <f>AND('Planilla_General_29-11-2012_10_'!O2282,"AAAAAD/Vu4g=")</f>
        <v>#VALUE!</v>
      </c>
      <c r="EH152" t="e">
        <f>AND('Planilla_General_29-11-2012_10_'!P2282,"AAAAAD/Vu4k=")</f>
        <v>#VALUE!</v>
      </c>
      <c r="EI152">
        <f>IF('Planilla_General_29-11-2012_10_'!2283:2283,"AAAAAD/Vu4o=",0)</f>
        <v>0</v>
      </c>
      <c r="EJ152" t="e">
        <f>AND('Planilla_General_29-11-2012_10_'!A2283,"AAAAAD/Vu4s=")</f>
        <v>#VALUE!</v>
      </c>
      <c r="EK152" t="e">
        <f>AND('Planilla_General_29-11-2012_10_'!B2283,"AAAAAD/Vu4w=")</f>
        <v>#VALUE!</v>
      </c>
      <c r="EL152" t="e">
        <f>AND('Planilla_General_29-11-2012_10_'!C2283,"AAAAAD/Vu40=")</f>
        <v>#VALUE!</v>
      </c>
      <c r="EM152" t="e">
        <f>AND('Planilla_General_29-11-2012_10_'!D2283,"AAAAAD/Vu44=")</f>
        <v>#VALUE!</v>
      </c>
      <c r="EN152" t="e">
        <f>AND('Planilla_General_29-11-2012_10_'!E2283,"AAAAAD/Vu48=")</f>
        <v>#VALUE!</v>
      </c>
      <c r="EO152" t="e">
        <f>AND('Planilla_General_29-11-2012_10_'!F2283,"AAAAAD/Vu5A=")</f>
        <v>#VALUE!</v>
      </c>
      <c r="EP152" t="e">
        <f>AND('Planilla_General_29-11-2012_10_'!G2283,"AAAAAD/Vu5E=")</f>
        <v>#VALUE!</v>
      </c>
      <c r="EQ152" t="e">
        <f>AND('Planilla_General_29-11-2012_10_'!H2283,"AAAAAD/Vu5I=")</f>
        <v>#VALUE!</v>
      </c>
      <c r="ER152" t="e">
        <f>AND('Planilla_General_29-11-2012_10_'!I2283,"AAAAAD/Vu5M=")</f>
        <v>#VALUE!</v>
      </c>
      <c r="ES152" t="e">
        <f>AND('Planilla_General_29-11-2012_10_'!J2283,"AAAAAD/Vu5Q=")</f>
        <v>#VALUE!</v>
      </c>
      <c r="ET152" t="e">
        <f>AND('Planilla_General_29-11-2012_10_'!K2283,"AAAAAD/Vu5U=")</f>
        <v>#VALUE!</v>
      </c>
      <c r="EU152" t="e">
        <f>AND('Planilla_General_29-11-2012_10_'!L2283,"AAAAAD/Vu5Y=")</f>
        <v>#VALUE!</v>
      </c>
      <c r="EV152" t="e">
        <f>AND('Planilla_General_29-11-2012_10_'!M2283,"AAAAAD/Vu5c=")</f>
        <v>#VALUE!</v>
      </c>
      <c r="EW152" t="e">
        <f>AND('Planilla_General_29-11-2012_10_'!N2283,"AAAAAD/Vu5g=")</f>
        <v>#VALUE!</v>
      </c>
      <c r="EX152" t="e">
        <f>AND('Planilla_General_29-11-2012_10_'!O2283,"AAAAAD/Vu5k=")</f>
        <v>#VALUE!</v>
      </c>
      <c r="EY152" t="e">
        <f>AND('Planilla_General_29-11-2012_10_'!P2283,"AAAAAD/Vu5o=")</f>
        <v>#VALUE!</v>
      </c>
      <c r="EZ152">
        <f>IF('Planilla_General_29-11-2012_10_'!2284:2284,"AAAAAD/Vu5s=",0)</f>
        <v>0</v>
      </c>
      <c r="FA152" t="e">
        <f>AND('Planilla_General_29-11-2012_10_'!A2284,"AAAAAD/Vu5w=")</f>
        <v>#VALUE!</v>
      </c>
      <c r="FB152" t="e">
        <f>AND('Planilla_General_29-11-2012_10_'!B2284,"AAAAAD/Vu50=")</f>
        <v>#VALUE!</v>
      </c>
      <c r="FC152" t="e">
        <f>AND('Planilla_General_29-11-2012_10_'!C2284,"AAAAAD/Vu54=")</f>
        <v>#VALUE!</v>
      </c>
      <c r="FD152" t="e">
        <f>AND('Planilla_General_29-11-2012_10_'!D2284,"AAAAAD/Vu58=")</f>
        <v>#VALUE!</v>
      </c>
      <c r="FE152" t="e">
        <f>AND('Planilla_General_29-11-2012_10_'!E2284,"AAAAAD/Vu6A=")</f>
        <v>#VALUE!</v>
      </c>
      <c r="FF152" t="e">
        <f>AND('Planilla_General_29-11-2012_10_'!F2284,"AAAAAD/Vu6E=")</f>
        <v>#VALUE!</v>
      </c>
      <c r="FG152" t="e">
        <f>AND('Planilla_General_29-11-2012_10_'!G2284,"AAAAAD/Vu6I=")</f>
        <v>#VALUE!</v>
      </c>
      <c r="FH152" t="e">
        <f>AND('Planilla_General_29-11-2012_10_'!H2284,"AAAAAD/Vu6M=")</f>
        <v>#VALUE!</v>
      </c>
      <c r="FI152" t="e">
        <f>AND('Planilla_General_29-11-2012_10_'!I2284,"AAAAAD/Vu6Q=")</f>
        <v>#VALUE!</v>
      </c>
      <c r="FJ152" t="e">
        <f>AND('Planilla_General_29-11-2012_10_'!J2284,"AAAAAD/Vu6U=")</f>
        <v>#VALUE!</v>
      </c>
      <c r="FK152" t="e">
        <f>AND('Planilla_General_29-11-2012_10_'!K2284,"AAAAAD/Vu6Y=")</f>
        <v>#VALUE!</v>
      </c>
      <c r="FL152" t="e">
        <f>AND('Planilla_General_29-11-2012_10_'!L2284,"AAAAAD/Vu6c=")</f>
        <v>#VALUE!</v>
      </c>
      <c r="FM152" t="e">
        <f>AND('Planilla_General_29-11-2012_10_'!M2284,"AAAAAD/Vu6g=")</f>
        <v>#VALUE!</v>
      </c>
      <c r="FN152" t="e">
        <f>AND('Planilla_General_29-11-2012_10_'!N2284,"AAAAAD/Vu6k=")</f>
        <v>#VALUE!</v>
      </c>
      <c r="FO152" t="e">
        <f>AND('Planilla_General_29-11-2012_10_'!O2284,"AAAAAD/Vu6o=")</f>
        <v>#VALUE!</v>
      </c>
      <c r="FP152" t="e">
        <f>AND('Planilla_General_29-11-2012_10_'!P2284,"AAAAAD/Vu6s=")</f>
        <v>#VALUE!</v>
      </c>
      <c r="FQ152">
        <f>IF('Planilla_General_29-11-2012_10_'!2285:2285,"AAAAAD/Vu6w=",0)</f>
        <v>0</v>
      </c>
      <c r="FR152" t="e">
        <f>AND('Planilla_General_29-11-2012_10_'!A2285,"AAAAAD/Vu60=")</f>
        <v>#VALUE!</v>
      </c>
      <c r="FS152" t="e">
        <f>AND('Planilla_General_29-11-2012_10_'!B2285,"AAAAAD/Vu64=")</f>
        <v>#VALUE!</v>
      </c>
      <c r="FT152" t="e">
        <f>AND('Planilla_General_29-11-2012_10_'!C2285,"AAAAAD/Vu68=")</f>
        <v>#VALUE!</v>
      </c>
      <c r="FU152" t="e">
        <f>AND('Planilla_General_29-11-2012_10_'!D2285,"AAAAAD/Vu7A=")</f>
        <v>#VALUE!</v>
      </c>
      <c r="FV152" t="e">
        <f>AND('Planilla_General_29-11-2012_10_'!E2285,"AAAAAD/Vu7E=")</f>
        <v>#VALUE!</v>
      </c>
      <c r="FW152" t="e">
        <f>AND('Planilla_General_29-11-2012_10_'!F2285,"AAAAAD/Vu7I=")</f>
        <v>#VALUE!</v>
      </c>
      <c r="FX152" t="e">
        <f>AND('Planilla_General_29-11-2012_10_'!G2285,"AAAAAD/Vu7M=")</f>
        <v>#VALUE!</v>
      </c>
      <c r="FY152" t="e">
        <f>AND('Planilla_General_29-11-2012_10_'!H2285,"AAAAAD/Vu7Q=")</f>
        <v>#VALUE!</v>
      </c>
      <c r="FZ152" t="e">
        <f>AND('Planilla_General_29-11-2012_10_'!I2285,"AAAAAD/Vu7U=")</f>
        <v>#VALUE!</v>
      </c>
      <c r="GA152" t="e">
        <f>AND('Planilla_General_29-11-2012_10_'!J2285,"AAAAAD/Vu7Y=")</f>
        <v>#VALUE!</v>
      </c>
      <c r="GB152" t="e">
        <f>AND('Planilla_General_29-11-2012_10_'!K2285,"AAAAAD/Vu7c=")</f>
        <v>#VALUE!</v>
      </c>
      <c r="GC152" t="e">
        <f>AND('Planilla_General_29-11-2012_10_'!L2285,"AAAAAD/Vu7g=")</f>
        <v>#VALUE!</v>
      </c>
      <c r="GD152" t="e">
        <f>AND('Planilla_General_29-11-2012_10_'!M2285,"AAAAAD/Vu7k=")</f>
        <v>#VALUE!</v>
      </c>
      <c r="GE152" t="e">
        <f>AND('Planilla_General_29-11-2012_10_'!N2285,"AAAAAD/Vu7o=")</f>
        <v>#VALUE!</v>
      </c>
      <c r="GF152" t="e">
        <f>AND('Planilla_General_29-11-2012_10_'!O2285,"AAAAAD/Vu7s=")</f>
        <v>#VALUE!</v>
      </c>
      <c r="GG152" t="e">
        <f>AND('Planilla_General_29-11-2012_10_'!P2285,"AAAAAD/Vu7w=")</f>
        <v>#VALUE!</v>
      </c>
      <c r="GH152">
        <f>IF('Planilla_General_29-11-2012_10_'!2286:2286,"AAAAAD/Vu70=",0)</f>
        <v>0</v>
      </c>
      <c r="GI152" t="e">
        <f>AND('Planilla_General_29-11-2012_10_'!A2286,"AAAAAD/Vu74=")</f>
        <v>#VALUE!</v>
      </c>
      <c r="GJ152" t="e">
        <f>AND('Planilla_General_29-11-2012_10_'!B2286,"AAAAAD/Vu78=")</f>
        <v>#VALUE!</v>
      </c>
      <c r="GK152" t="e">
        <f>AND('Planilla_General_29-11-2012_10_'!C2286,"AAAAAD/Vu8A=")</f>
        <v>#VALUE!</v>
      </c>
      <c r="GL152" t="e">
        <f>AND('Planilla_General_29-11-2012_10_'!D2286,"AAAAAD/Vu8E=")</f>
        <v>#VALUE!</v>
      </c>
      <c r="GM152" t="e">
        <f>AND('Planilla_General_29-11-2012_10_'!E2286,"AAAAAD/Vu8I=")</f>
        <v>#VALUE!</v>
      </c>
      <c r="GN152" t="e">
        <f>AND('Planilla_General_29-11-2012_10_'!F2286,"AAAAAD/Vu8M=")</f>
        <v>#VALUE!</v>
      </c>
      <c r="GO152" t="e">
        <f>AND('Planilla_General_29-11-2012_10_'!G2286,"AAAAAD/Vu8Q=")</f>
        <v>#VALUE!</v>
      </c>
      <c r="GP152" t="e">
        <f>AND('Planilla_General_29-11-2012_10_'!H2286,"AAAAAD/Vu8U=")</f>
        <v>#VALUE!</v>
      </c>
      <c r="GQ152" t="e">
        <f>AND('Planilla_General_29-11-2012_10_'!I2286,"AAAAAD/Vu8Y=")</f>
        <v>#VALUE!</v>
      </c>
      <c r="GR152" t="e">
        <f>AND('Planilla_General_29-11-2012_10_'!J2286,"AAAAAD/Vu8c=")</f>
        <v>#VALUE!</v>
      </c>
      <c r="GS152" t="e">
        <f>AND('Planilla_General_29-11-2012_10_'!K2286,"AAAAAD/Vu8g=")</f>
        <v>#VALUE!</v>
      </c>
      <c r="GT152" t="e">
        <f>AND('Planilla_General_29-11-2012_10_'!L2286,"AAAAAD/Vu8k=")</f>
        <v>#VALUE!</v>
      </c>
      <c r="GU152" t="e">
        <f>AND('Planilla_General_29-11-2012_10_'!M2286,"AAAAAD/Vu8o=")</f>
        <v>#VALUE!</v>
      </c>
      <c r="GV152" t="e">
        <f>AND('Planilla_General_29-11-2012_10_'!N2286,"AAAAAD/Vu8s=")</f>
        <v>#VALUE!</v>
      </c>
      <c r="GW152" t="e">
        <f>AND('Planilla_General_29-11-2012_10_'!O2286,"AAAAAD/Vu8w=")</f>
        <v>#VALUE!</v>
      </c>
      <c r="GX152" t="e">
        <f>AND('Planilla_General_29-11-2012_10_'!P2286,"AAAAAD/Vu80=")</f>
        <v>#VALUE!</v>
      </c>
      <c r="GY152">
        <f>IF('Planilla_General_29-11-2012_10_'!2287:2287,"AAAAAD/Vu84=",0)</f>
        <v>0</v>
      </c>
      <c r="GZ152" t="e">
        <f>AND('Planilla_General_29-11-2012_10_'!A2287,"AAAAAD/Vu88=")</f>
        <v>#VALUE!</v>
      </c>
      <c r="HA152" t="e">
        <f>AND('Planilla_General_29-11-2012_10_'!B2287,"AAAAAD/Vu9A=")</f>
        <v>#VALUE!</v>
      </c>
      <c r="HB152" t="e">
        <f>AND('Planilla_General_29-11-2012_10_'!C2287,"AAAAAD/Vu9E=")</f>
        <v>#VALUE!</v>
      </c>
      <c r="HC152" t="e">
        <f>AND('Planilla_General_29-11-2012_10_'!D2287,"AAAAAD/Vu9I=")</f>
        <v>#VALUE!</v>
      </c>
      <c r="HD152" t="e">
        <f>AND('Planilla_General_29-11-2012_10_'!E2287,"AAAAAD/Vu9M=")</f>
        <v>#VALUE!</v>
      </c>
      <c r="HE152" t="e">
        <f>AND('Planilla_General_29-11-2012_10_'!F2287,"AAAAAD/Vu9Q=")</f>
        <v>#VALUE!</v>
      </c>
      <c r="HF152" t="e">
        <f>AND('Planilla_General_29-11-2012_10_'!G2287,"AAAAAD/Vu9U=")</f>
        <v>#VALUE!</v>
      </c>
      <c r="HG152" t="e">
        <f>AND('Planilla_General_29-11-2012_10_'!H2287,"AAAAAD/Vu9Y=")</f>
        <v>#VALUE!</v>
      </c>
      <c r="HH152" t="e">
        <f>AND('Planilla_General_29-11-2012_10_'!I2287,"AAAAAD/Vu9c=")</f>
        <v>#VALUE!</v>
      </c>
      <c r="HI152" t="e">
        <f>AND('Planilla_General_29-11-2012_10_'!J2287,"AAAAAD/Vu9g=")</f>
        <v>#VALUE!</v>
      </c>
      <c r="HJ152" t="e">
        <f>AND('Planilla_General_29-11-2012_10_'!K2287,"AAAAAD/Vu9k=")</f>
        <v>#VALUE!</v>
      </c>
      <c r="HK152" t="e">
        <f>AND('Planilla_General_29-11-2012_10_'!L2287,"AAAAAD/Vu9o=")</f>
        <v>#VALUE!</v>
      </c>
      <c r="HL152" t="e">
        <f>AND('Planilla_General_29-11-2012_10_'!M2287,"AAAAAD/Vu9s=")</f>
        <v>#VALUE!</v>
      </c>
      <c r="HM152" t="e">
        <f>AND('Planilla_General_29-11-2012_10_'!N2287,"AAAAAD/Vu9w=")</f>
        <v>#VALUE!</v>
      </c>
      <c r="HN152" t="e">
        <f>AND('Planilla_General_29-11-2012_10_'!O2287,"AAAAAD/Vu90=")</f>
        <v>#VALUE!</v>
      </c>
      <c r="HO152" t="e">
        <f>AND('Planilla_General_29-11-2012_10_'!P2287,"AAAAAD/Vu94=")</f>
        <v>#VALUE!</v>
      </c>
      <c r="HP152">
        <f>IF('Planilla_General_29-11-2012_10_'!2288:2288,"AAAAAD/Vu98=",0)</f>
        <v>0</v>
      </c>
      <c r="HQ152" t="e">
        <f>AND('Planilla_General_29-11-2012_10_'!A2288,"AAAAAD/Vu+A=")</f>
        <v>#VALUE!</v>
      </c>
      <c r="HR152" t="e">
        <f>AND('Planilla_General_29-11-2012_10_'!B2288,"AAAAAD/Vu+E=")</f>
        <v>#VALUE!</v>
      </c>
      <c r="HS152" t="e">
        <f>AND('Planilla_General_29-11-2012_10_'!C2288,"AAAAAD/Vu+I=")</f>
        <v>#VALUE!</v>
      </c>
      <c r="HT152" t="e">
        <f>AND('Planilla_General_29-11-2012_10_'!D2288,"AAAAAD/Vu+M=")</f>
        <v>#VALUE!</v>
      </c>
      <c r="HU152" t="e">
        <f>AND('Planilla_General_29-11-2012_10_'!E2288,"AAAAAD/Vu+Q=")</f>
        <v>#VALUE!</v>
      </c>
      <c r="HV152" t="e">
        <f>AND('Planilla_General_29-11-2012_10_'!F2288,"AAAAAD/Vu+U=")</f>
        <v>#VALUE!</v>
      </c>
      <c r="HW152" t="e">
        <f>AND('Planilla_General_29-11-2012_10_'!G2288,"AAAAAD/Vu+Y=")</f>
        <v>#VALUE!</v>
      </c>
      <c r="HX152" t="e">
        <f>AND('Planilla_General_29-11-2012_10_'!H2288,"AAAAAD/Vu+c=")</f>
        <v>#VALUE!</v>
      </c>
      <c r="HY152" t="e">
        <f>AND('Planilla_General_29-11-2012_10_'!I2288,"AAAAAD/Vu+g=")</f>
        <v>#VALUE!</v>
      </c>
      <c r="HZ152" t="e">
        <f>AND('Planilla_General_29-11-2012_10_'!J2288,"AAAAAD/Vu+k=")</f>
        <v>#VALUE!</v>
      </c>
      <c r="IA152" t="e">
        <f>AND('Planilla_General_29-11-2012_10_'!K2288,"AAAAAD/Vu+o=")</f>
        <v>#VALUE!</v>
      </c>
      <c r="IB152" t="e">
        <f>AND('Planilla_General_29-11-2012_10_'!L2288,"AAAAAD/Vu+s=")</f>
        <v>#VALUE!</v>
      </c>
      <c r="IC152" t="e">
        <f>AND('Planilla_General_29-11-2012_10_'!M2288,"AAAAAD/Vu+w=")</f>
        <v>#VALUE!</v>
      </c>
      <c r="ID152" t="e">
        <f>AND('Planilla_General_29-11-2012_10_'!N2288,"AAAAAD/Vu+0=")</f>
        <v>#VALUE!</v>
      </c>
      <c r="IE152" t="e">
        <f>AND('Planilla_General_29-11-2012_10_'!O2288,"AAAAAD/Vu+4=")</f>
        <v>#VALUE!</v>
      </c>
      <c r="IF152" t="e">
        <f>AND('Planilla_General_29-11-2012_10_'!P2288,"AAAAAD/Vu+8=")</f>
        <v>#VALUE!</v>
      </c>
      <c r="IG152">
        <f>IF('Planilla_General_29-11-2012_10_'!2289:2289,"AAAAAD/Vu/A=",0)</f>
        <v>0</v>
      </c>
      <c r="IH152" t="e">
        <f>AND('Planilla_General_29-11-2012_10_'!A2289,"AAAAAD/Vu/E=")</f>
        <v>#VALUE!</v>
      </c>
      <c r="II152" t="e">
        <f>AND('Planilla_General_29-11-2012_10_'!B2289,"AAAAAD/Vu/I=")</f>
        <v>#VALUE!</v>
      </c>
      <c r="IJ152" t="e">
        <f>AND('Planilla_General_29-11-2012_10_'!C2289,"AAAAAD/Vu/M=")</f>
        <v>#VALUE!</v>
      </c>
      <c r="IK152" t="e">
        <f>AND('Planilla_General_29-11-2012_10_'!D2289,"AAAAAD/Vu/Q=")</f>
        <v>#VALUE!</v>
      </c>
      <c r="IL152" t="e">
        <f>AND('Planilla_General_29-11-2012_10_'!E2289,"AAAAAD/Vu/U=")</f>
        <v>#VALUE!</v>
      </c>
      <c r="IM152" t="e">
        <f>AND('Planilla_General_29-11-2012_10_'!F2289,"AAAAAD/Vu/Y=")</f>
        <v>#VALUE!</v>
      </c>
      <c r="IN152" t="e">
        <f>AND('Planilla_General_29-11-2012_10_'!G2289,"AAAAAD/Vu/c=")</f>
        <v>#VALUE!</v>
      </c>
      <c r="IO152" t="e">
        <f>AND('Planilla_General_29-11-2012_10_'!H2289,"AAAAAD/Vu/g=")</f>
        <v>#VALUE!</v>
      </c>
      <c r="IP152" t="e">
        <f>AND('Planilla_General_29-11-2012_10_'!I2289,"AAAAAD/Vu/k=")</f>
        <v>#VALUE!</v>
      </c>
      <c r="IQ152" t="e">
        <f>AND('Planilla_General_29-11-2012_10_'!J2289,"AAAAAD/Vu/o=")</f>
        <v>#VALUE!</v>
      </c>
      <c r="IR152" t="e">
        <f>AND('Planilla_General_29-11-2012_10_'!K2289,"AAAAAD/Vu/s=")</f>
        <v>#VALUE!</v>
      </c>
      <c r="IS152" t="e">
        <f>AND('Planilla_General_29-11-2012_10_'!L2289,"AAAAAD/Vu/w=")</f>
        <v>#VALUE!</v>
      </c>
      <c r="IT152" t="e">
        <f>AND('Planilla_General_29-11-2012_10_'!M2289,"AAAAAD/Vu/0=")</f>
        <v>#VALUE!</v>
      </c>
      <c r="IU152" t="e">
        <f>AND('Planilla_General_29-11-2012_10_'!N2289,"AAAAAD/Vu/4=")</f>
        <v>#VALUE!</v>
      </c>
      <c r="IV152" t="e">
        <f>AND('Planilla_General_29-11-2012_10_'!O2289,"AAAAAD/Vu/8=")</f>
        <v>#VALUE!</v>
      </c>
    </row>
    <row r="153" spans="1:256" x14ac:dyDescent="0.25">
      <c r="A153" t="e">
        <f>AND('Planilla_General_29-11-2012_10_'!P2289,"AAAAAG+/twA=")</f>
        <v>#VALUE!</v>
      </c>
      <c r="B153" t="e">
        <f>IF('Planilla_General_29-11-2012_10_'!2290:2290,"AAAAAG+/twE=",0)</f>
        <v>#VALUE!</v>
      </c>
      <c r="C153" t="e">
        <f>AND('Planilla_General_29-11-2012_10_'!A2290,"AAAAAG+/twI=")</f>
        <v>#VALUE!</v>
      </c>
      <c r="D153" t="e">
        <f>AND('Planilla_General_29-11-2012_10_'!B2290,"AAAAAG+/twM=")</f>
        <v>#VALUE!</v>
      </c>
      <c r="E153" t="e">
        <f>AND('Planilla_General_29-11-2012_10_'!C2290,"AAAAAG+/twQ=")</f>
        <v>#VALUE!</v>
      </c>
      <c r="F153" t="e">
        <f>AND('Planilla_General_29-11-2012_10_'!D2290,"AAAAAG+/twU=")</f>
        <v>#VALUE!</v>
      </c>
      <c r="G153" t="e">
        <f>AND('Planilla_General_29-11-2012_10_'!E2290,"AAAAAG+/twY=")</f>
        <v>#VALUE!</v>
      </c>
      <c r="H153" t="e">
        <f>AND('Planilla_General_29-11-2012_10_'!F2290,"AAAAAG+/twc=")</f>
        <v>#VALUE!</v>
      </c>
      <c r="I153" t="e">
        <f>AND('Planilla_General_29-11-2012_10_'!G2290,"AAAAAG+/twg=")</f>
        <v>#VALUE!</v>
      </c>
      <c r="J153" t="e">
        <f>AND('Planilla_General_29-11-2012_10_'!H2290,"AAAAAG+/twk=")</f>
        <v>#VALUE!</v>
      </c>
      <c r="K153" t="e">
        <f>AND('Planilla_General_29-11-2012_10_'!I2290,"AAAAAG+/two=")</f>
        <v>#VALUE!</v>
      </c>
      <c r="L153" t="e">
        <f>AND('Planilla_General_29-11-2012_10_'!J2290,"AAAAAG+/tws=")</f>
        <v>#VALUE!</v>
      </c>
      <c r="M153" t="e">
        <f>AND('Planilla_General_29-11-2012_10_'!K2290,"AAAAAG+/tww=")</f>
        <v>#VALUE!</v>
      </c>
      <c r="N153" t="e">
        <f>AND('Planilla_General_29-11-2012_10_'!L2290,"AAAAAG+/tw0=")</f>
        <v>#VALUE!</v>
      </c>
      <c r="O153" t="e">
        <f>AND('Planilla_General_29-11-2012_10_'!M2290,"AAAAAG+/tw4=")</f>
        <v>#VALUE!</v>
      </c>
      <c r="P153" t="e">
        <f>AND('Planilla_General_29-11-2012_10_'!N2290,"AAAAAG+/tw8=")</f>
        <v>#VALUE!</v>
      </c>
      <c r="Q153" t="e">
        <f>AND('Planilla_General_29-11-2012_10_'!O2290,"AAAAAG+/txA=")</f>
        <v>#VALUE!</v>
      </c>
      <c r="R153" t="e">
        <f>AND('Planilla_General_29-11-2012_10_'!P2290,"AAAAAG+/txE=")</f>
        <v>#VALUE!</v>
      </c>
      <c r="S153">
        <f>IF('Planilla_General_29-11-2012_10_'!2291:2291,"AAAAAG+/txI=",0)</f>
        <v>0</v>
      </c>
      <c r="T153" t="e">
        <f>AND('Planilla_General_29-11-2012_10_'!A2291,"AAAAAG+/txM=")</f>
        <v>#VALUE!</v>
      </c>
      <c r="U153" t="e">
        <f>AND('Planilla_General_29-11-2012_10_'!B2291,"AAAAAG+/txQ=")</f>
        <v>#VALUE!</v>
      </c>
      <c r="V153" t="e">
        <f>AND('Planilla_General_29-11-2012_10_'!C2291,"AAAAAG+/txU=")</f>
        <v>#VALUE!</v>
      </c>
      <c r="W153" t="e">
        <f>AND('Planilla_General_29-11-2012_10_'!D2291,"AAAAAG+/txY=")</f>
        <v>#VALUE!</v>
      </c>
      <c r="X153" t="e">
        <f>AND('Planilla_General_29-11-2012_10_'!E2291,"AAAAAG+/txc=")</f>
        <v>#VALUE!</v>
      </c>
      <c r="Y153" t="e">
        <f>AND('Planilla_General_29-11-2012_10_'!F2291,"AAAAAG+/txg=")</f>
        <v>#VALUE!</v>
      </c>
      <c r="Z153" t="e">
        <f>AND('Planilla_General_29-11-2012_10_'!G2291,"AAAAAG+/txk=")</f>
        <v>#VALUE!</v>
      </c>
      <c r="AA153" t="e">
        <f>AND('Planilla_General_29-11-2012_10_'!H2291,"AAAAAG+/txo=")</f>
        <v>#VALUE!</v>
      </c>
      <c r="AB153" t="e">
        <f>AND('Planilla_General_29-11-2012_10_'!I2291,"AAAAAG+/txs=")</f>
        <v>#VALUE!</v>
      </c>
      <c r="AC153" t="e">
        <f>AND('Planilla_General_29-11-2012_10_'!J2291,"AAAAAG+/txw=")</f>
        <v>#VALUE!</v>
      </c>
      <c r="AD153" t="e">
        <f>AND('Planilla_General_29-11-2012_10_'!K2291,"AAAAAG+/tx0=")</f>
        <v>#VALUE!</v>
      </c>
      <c r="AE153" t="e">
        <f>AND('Planilla_General_29-11-2012_10_'!L2291,"AAAAAG+/tx4=")</f>
        <v>#VALUE!</v>
      </c>
      <c r="AF153" t="e">
        <f>AND('Planilla_General_29-11-2012_10_'!M2291,"AAAAAG+/tx8=")</f>
        <v>#VALUE!</v>
      </c>
      <c r="AG153" t="e">
        <f>AND('Planilla_General_29-11-2012_10_'!N2291,"AAAAAG+/tyA=")</f>
        <v>#VALUE!</v>
      </c>
      <c r="AH153" t="e">
        <f>AND('Planilla_General_29-11-2012_10_'!O2291,"AAAAAG+/tyE=")</f>
        <v>#VALUE!</v>
      </c>
      <c r="AI153" t="e">
        <f>AND('Planilla_General_29-11-2012_10_'!P2291,"AAAAAG+/tyI=")</f>
        <v>#VALUE!</v>
      </c>
      <c r="AJ153">
        <f>IF('Planilla_General_29-11-2012_10_'!2292:2292,"AAAAAG+/tyM=",0)</f>
        <v>0</v>
      </c>
      <c r="AK153" t="e">
        <f>AND('Planilla_General_29-11-2012_10_'!A2292,"AAAAAG+/tyQ=")</f>
        <v>#VALUE!</v>
      </c>
      <c r="AL153" t="e">
        <f>AND('Planilla_General_29-11-2012_10_'!B2292,"AAAAAG+/tyU=")</f>
        <v>#VALUE!</v>
      </c>
      <c r="AM153" t="e">
        <f>AND('Planilla_General_29-11-2012_10_'!C2292,"AAAAAG+/tyY=")</f>
        <v>#VALUE!</v>
      </c>
      <c r="AN153" t="e">
        <f>AND('Planilla_General_29-11-2012_10_'!D2292,"AAAAAG+/tyc=")</f>
        <v>#VALUE!</v>
      </c>
      <c r="AO153" t="e">
        <f>AND('Planilla_General_29-11-2012_10_'!E2292,"AAAAAG+/tyg=")</f>
        <v>#VALUE!</v>
      </c>
      <c r="AP153" t="e">
        <f>AND('Planilla_General_29-11-2012_10_'!F2292,"AAAAAG+/tyk=")</f>
        <v>#VALUE!</v>
      </c>
      <c r="AQ153" t="e">
        <f>AND('Planilla_General_29-11-2012_10_'!G2292,"AAAAAG+/tyo=")</f>
        <v>#VALUE!</v>
      </c>
      <c r="AR153" t="e">
        <f>AND('Planilla_General_29-11-2012_10_'!H2292,"AAAAAG+/tys=")</f>
        <v>#VALUE!</v>
      </c>
      <c r="AS153" t="e">
        <f>AND('Planilla_General_29-11-2012_10_'!I2292,"AAAAAG+/tyw=")</f>
        <v>#VALUE!</v>
      </c>
      <c r="AT153" t="e">
        <f>AND('Planilla_General_29-11-2012_10_'!J2292,"AAAAAG+/ty0=")</f>
        <v>#VALUE!</v>
      </c>
      <c r="AU153" t="e">
        <f>AND('Planilla_General_29-11-2012_10_'!K2292,"AAAAAG+/ty4=")</f>
        <v>#VALUE!</v>
      </c>
      <c r="AV153" t="e">
        <f>AND('Planilla_General_29-11-2012_10_'!L2292,"AAAAAG+/ty8=")</f>
        <v>#VALUE!</v>
      </c>
      <c r="AW153" t="e">
        <f>AND('Planilla_General_29-11-2012_10_'!M2292,"AAAAAG+/tzA=")</f>
        <v>#VALUE!</v>
      </c>
      <c r="AX153" t="e">
        <f>AND('Planilla_General_29-11-2012_10_'!N2292,"AAAAAG+/tzE=")</f>
        <v>#VALUE!</v>
      </c>
      <c r="AY153" t="e">
        <f>AND('Planilla_General_29-11-2012_10_'!O2292,"AAAAAG+/tzI=")</f>
        <v>#VALUE!</v>
      </c>
      <c r="AZ153" t="e">
        <f>AND('Planilla_General_29-11-2012_10_'!P2292,"AAAAAG+/tzM=")</f>
        <v>#VALUE!</v>
      </c>
      <c r="BA153">
        <f>IF('Planilla_General_29-11-2012_10_'!2293:2293,"AAAAAG+/tzQ=",0)</f>
        <v>0</v>
      </c>
      <c r="BB153" t="e">
        <f>AND('Planilla_General_29-11-2012_10_'!A2293,"AAAAAG+/tzU=")</f>
        <v>#VALUE!</v>
      </c>
      <c r="BC153" t="e">
        <f>AND('Planilla_General_29-11-2012_10_'!B2293,"AAAAAG+/tzY=")</f>
        <v>#VALUE!</v>
      </c>
      <c r="BD153" t="e">
        <f>AND('Planilla_General_29-11-2012_10_'!C2293,"AAAAAG+/tzc=")</f>
        <v>#VALUE!</v>
      </c>
      <c r="BE153" t="e">
        <f>AND('Planilla_General_29-11-2012_10_'!D2293,"AAAAAG+/tzg=")</f>
        <v>#VALUE!</v>
      </c>
      <c r="BF153" t="e">
        <f>AND('Planilla_General_29-11-2012_10_'!E2293,"AAAAAG+/tzk=")</f>
        <v>#VALUE!</v>
      </c>
      <c r="BG153" t="e">
        <f>AND('Planilla_General_29-11-2012_10_'!F2293,"AAAAAG+/tzo=")</f>
        <v>#VALUE!</v>
      </c>
      <c r="BH153" t="e">
        <f>AND('Planilla_General_29-11-2012_10_'!G2293,"AAAAAG+/tzs=")</f>
        <v>#VALUE!</v>
      </c>
      <c r="BI153" t="e">
        <f>AND('Planilla_General_29-11-2012_10_'!H2293,"AAAAAG+/tzw=")</f>
        <v>#VALUE!</v>
      </c>
      <c r="BJ153" t="e">
        <f>AND('Planilla_General_29-11-2012_10_'!I2293,"AAAAAG+/tz0=")</f>
        <v>#VALUE!</v>
      </c>
      <c r="BK153" t="e">
        <f>AND('Planilla_General_29-11-2012_10_'!J2293,"AAAAAG+/tz4=")</f>
        <v>#VALUE!</v>
      </c>
      <c r="BL153" t="e">
        <f>AND('Planilla_General_29-11-2012_10_'!K2293,"AAAAAG+/tz8=")</f>
        <v>#VALUE!</v>
      </c>
      <c r="BM153" t="e">
        <f>AND('Planilla_General_29-11-2012_10_'!L2293,"AAAAAG+/t0A=")</f>
        <v>#VALUE!</v>
      </c>
      <c r="BN153" t="e">
        <f>AND('Planilla_General_29-11-2012_10_'!M2293,"AAAAAG+/t0E=")</f>
        <v>#VALUE!</v>
      </c>
      <c r="BO153" t="e">
        <f>AND('Planilla_General_29-11-2012_10_'!N2293,"AAAAAG+/t0I=")</f>
        <v>#VALUE!</v>
      </c>
      <c r="BP153" t="e">
        <f>AND('Planilla_General_29-11-2012_10_'!O2293,"AAAAAG+/t0M=")</f>
        <v>#VALUE!</v>
      </c>
      <c r="BQ153" t="e">
        <f>AND('Planilla_General_29-11-2012_10_'!P2293,"AAAAAG+/t0Q=")</f>
        <v>#VALUE!</v>
      </c>
      <c r="BR153">
        <f>IF('Planilla_General_29-11-2012_10_'!2294:2294,"AAAAAG+/t0U=",0)</f>
        <v>0</v>
      </c>
      <c r="BS153" t="e">
        <f>AND('Planilla_General_29-11-2012_10_'!A2294,"AAAAAG+/t0Y=")</f>
        <v>#VALUE!</v>
      </c>
      <c r="BT153" t="e">
        <f>AND('Planilla_General_29-11-2012_10_'!B2294,"AAAAAG+/t0c=")</f>
        <v>#VALUE!</v>
      </c>
      <c r="BU153" t="e">
        <f>AND('Planilla_General_29-11-2012_10_'!C2294,"AAAAAG+/t0g=")</f>
        <v>#VALUE!</v>
      </c>
      <c r="BV153" t="e">
        <f>AND('Planilla_General_29-11-2012_10_'!D2294,"AAAAAG+/t0k=")</f>
        <v>#VALUE!</v>
      </c>
      <c r="BW153" t="e">
        <f>AND('Planilla_General_29-11-2012_10_'!E2294,"AAAAAG+/t0o=")</f>
        <v>#VALUE!</v>
      </c>
      <c r="BX153" t="e">
        <f>AND('Planilla_General_29-11-2012_10_'!F2294,"AAAAAG+/t0s=")</f>
        <v>#VALUE!</v>
      </c>
      <c r="BY153" t="e">
        <f>AND('Planilla_General_29-11-2012_10_'!G2294,"AAAAAG+/t0w=")</f>
        <v>#VALUE!</v>
      </c>
      <c r="BZ153" t="e">
        <f>AND('Planilla_General_29-11-2012_10_'!H2294,"AAAAAG+/t00=")</f>
        <v>#VALUE!</v>
      </c>
      <c r="CA153" t="e">
        <f>AND('Planilla_General_29-11-2012_10_'!I2294,"AAAAAG+/t04=")</f>
        <v>#VALUE!</v>
      </c>
      <c r="CB153" t="e">
        <f>AND('Planilla_General_29-11-2012_10_'!J2294,"AAAAAG+/t08=")</f>
        <v>#VALUE!</v>
      </c>
      <c r="CC153" t="e">
        <f>AND('Planilla_General_29-11-2012_10_'!K2294,"AAAAAG+/t1A=")</f>
        <v>#VALUE!</v>
      </c>
      <c r="CD153" t="e">
        <f>AND('Planilla_General_29-11-2012_10_'!L2294,"AAAAAG+/t1E=")</f>
        <v>#VALUE!</v>
      </c>
      <c r="CE153" t="e">
        <f>AND('Planilla_General_29-11-2012_10_'!M2294,"AAAAAG+/t1I=")</f>
        <v>#VALUE!</v>
      </c>
      <c r="CF153" t="e">
        <f>AND('Planilla_General_29-11-2012_10_'!N2294,"AAAAAG+/t1M=")</f>
        <v>#VALUE!</v>
      </c>
      <c r="CG153" t="e">
        <f>AND('Planilla_General_29-11-2012_10_'!O2294,"AAAAAG+/t1Q=")</f>
        <v>#VALUE!</v>
      </c>
      <c r="CH153" t="e">
        <f>AND('Planilla_General_29-11-2012_10_'!P2294,"AAAAAG+/t1U=")</f>
        <v>#VALUE!</v>
      </c>
      <c r="CI153">
        <f>IF('Planilla_General_29-11-2012_10_'!2295:2295,"AAAAAG+/t1Y=",0)</f>
        <v>0</v>
      </c>
      <c r="CJ153" t="e">
        <f>AND('Planilla_General_29-11-2012_10_'!A2295,"AAAAAG+/t1c=")</f>
        <v>#VALUE!</v>
      </c>
      <c r="CK153" t="e">
        <f>AND('Planilla_General_29-11-2012_10_'!B2295,"AAAAAG+/t1g=")</f>
        <v>#VALUE!</v>
      </c>
      <c r="CL153" t="e">
        <f>AND('Planilla_General_29-11-2012_10_'!C2295,"AAAAAG+/t1k=")</f>
        <v>#VALUE!</v>
      </c>
      <c r="CM153" t="e">
        <f>AND('Planilla_General_29-11-2012_10_'!D2295,"AAAAAG+/t1o=")</f>
        <v>#VALUE!</v>
      </c>
      <c r="CN153" t="e">
        <f>AND('Planilla_General_29-11-2012_10_'!E2295,"AAAAAG+/t1s=")</f>
        <v>#VALUE!</v>
      </c>
      <c r="CO153" t="e">
        <f>AND('Planilla_General_29-11-2012_10_'!F2295,"AAAAAG+/t1w=")</f>
        <v>#VALUE!</v>
      </c>
      <c r="CP153" t="e">
        <f>AND('Planilla_General_29-11-2012_10_'!G2295,"AAAAAG+/t10=")</f>
        <v>#VALUE!</v>
      </c>
      <c r="CQ153" t="e">
        <f>AND('Planilla_General_29-11-2012_10_'!H2295,"AAAAAG+/t14=")</f>
        <v>#VALUE!</v>
      </c>
      <c r="CR153" t="e">
        <f>AND('Planilla_General_29-11-2012_10_'!I2295,"AAAAAG+/t18=")</f>
        <v>#VALUE!</v>
      </c>
      <c r="CS153" t="e">
        <f>AND('Planilla_General_29-11-2012_10_'!J2295,"AAAAAG+/t2A=")</f>
        <v>#VALUE!</v>
      </c>
      <c r="CT153" t="e">
        <f>AND('Planilla_General_29-11-2012_10_'!K2295,"AAAAAG+/t2E=")</f>
        <v>#VALUE!</v>
      </c>
      <c r="CU153" t="e">
        <f>AND('Planilla_General_29-11-2012_10_'!L2295,"AAAAAG+/t2I=")</f>
        <v>#VALUE!</v>
      </c>
      <c r="CV153" t="e">
        <f>AND('Planilla_General_29-11-2012_10_'!M2295,"AAAAAG+/t2M=")</f>
        <v>#VALUE!</v>
      </c>
      <c r="CW153" t="e">
        <f>AND('Planilla_General_29-11-2012_10_'!N2295,"AAAAAG+/t2Q=")</f>
        <v>#VALUE!</v>
      </c>
      <c r="CX153" t="e">
        <f>AND('Planilla_General_29-11-2012_10_'!O2295,"AAAAAG+/t2U=")</f>
        <v>#VALUE!</v>
      </c>
      <c r="CY153" t="e">
        <f>AND('Planilla_General_29-11-2012_10_'!P2295,"AAAAAG+/t2Y=")</f>
        <v>#VALUE!</v>
      </c>
      <c r="CZ153">
        <f>IF('Planilla_General_29-11-2012_10_'!2296:2296,"AAAAAG+/t2c=",0)</f>
        <v>0</v>
      </c>
      <c r="DA153" t="e">
        <f>AND('Planilla_General_29-11-2012_10_'!A2296,"AAAAAG+/t2g=")</f>
        <v>#VALUE!</v>
      </c>
      <c r="DB153" t="e">
        <f>AND('Planilla_General_29-11-2012_10_'!B2296,"AAAAAG+/t2k=")</f>
        <v>#VALUE!</v>
      </c>
      <c r="DC153" t="e">
        <f>AND('Planilla_General_29-11-2012_10_'!C2296,"AAAAAG+/t2o=")</f>
        <v>#VALUE!</v>
      </c>
      <c r="DD153" t="e">
        <f>AND('Planilla_General_29-11-2012_10_'!D2296,"AAAAAG+/t2s=")</f>
        <v>#VALUE!</v>
      </c>
      <c r="DE153" t="e">
        <f>AND('Planilla_General_29-11-2012_10_'!E2296,"AAAAAG+/t2w=")</f>
        <v>#VALUE!</v>
      </c>
      <c r="DF153" t="e">
        <f>AND('Planilla_General_29-11-2012_10_'!F2296,"AAAAAG+/t20=")</f>
        <v>#VALUE!</v>
      </c>
      <c r="DG153" t="e">
        <f>AND('Planilla_General_29-11-2012_10_'!G2296,"AAAAAG+/t24=")</f>
        <v>#VALUE!</v>
      </c>
      <c r="DH153" t="e">
        <f>AND('Planilla_General_29-11-2012_10_'!H2296,"AAAAAG+/t28=")</f>
        <v>#VALUE!</v>
      </c>
      <c r="DI153" t="e">
        <f>AND('Planilla_General_29-11-2012_10_'!I2296,"AAAAAG+/t3A=")</f>
        <v>#VALUE!</v>
      </c>
      <c r="DJ153" t="e">
        <f>AND('Planilla_General_29-11-2012_10_'!J2296,"AAAAAG+/t3E=")</f>
        <v>#VALUE!</v>
      </c>
      <c r="DK153" t="e">
        <f>AND('Planilla_General_29-11-2012_10_'!K2296,"AAAAAG+/t3I=")</f>
        <v>#VALUE!</v>
      </c>
      <c r="DL153" t="e">
        <f>AND('Planilla_General_29-11-2012_10_'!L2296,"AAAAAG+/t3M=")</f>
        <v>#VALUE!</v>
      </c>
      <c r="DM153" t="e">
        <f>AND('Planilla_General_29-11-2012_10_'!M2296,"AAAAAG+/t3Q=")</f>
        <v>#VALUE!</v>
      </c>
      <c r="DN153" t="e">
        <f>AND('Planilla_General_29-11-2012_10_'!N2296,"AAAAAG+/t3U=")</f>
        <v>#VALUE!</v>
      </c>
      <c r="DO153" t="e">
        <f>AND('Planilla_General_29-11-2012_10_'!O2296,"AAAAAG+/t3Y=")</f>
        <v>#VALUE!</v>
      </c>
      <c r="DP153" t="e">
        <f>AND('Planilla_General_29-11-2012_10_'!P2296,"AAAAAG+/t3c=")</f>
        <v>#VALUE!</v>
      </c>
      <c r="DQ153">
        <f>IF('Planilla_General_29-11-2012_10_'!2297:2297,"AAAAAG+/t3g=",0)</f>
        <v>0</v>
      </c>
      <c r="DR153" t="e">
        <f>AND('Planilla_General_29-11-2012_10_'!A2297,"AAAAAG+/t3k=")</f>
        <v>#VALUE!</v>
      </c>
      <c r="DS153" t="e">
        <f>AND('Planilla_General_29-11-2012_10_'!B2297,"AAAAAG+/t3o=")</f>
        <v>#VALUE!</v>
      </c>
      <c r="DT153" t="e">
        <f>AND('Planilla_General_29-11-2012_10_'!C2297,"AAAAAG+/t3s=")</f>
        <v>#VALUE!</v>
      </c>
      <c r="DU153" t="e">
        <f>AND('Planilla_General_29-11-2012_10_'!D2297,"AAAAAG+/t3w=")</f>
        <v>#VALUE!</v>
      </c>
      <c r="DV153" t="e">
        <f>AND('Planilla_General_29-11-2012_10_'!E2297,"AAAAAG+/t30=")</f>
        <v>#VALUE!</v>
      </c>
      <c r="DW153" t="e">
        <f>AND('Planilla_General_29-11-2012_10_'!F2297,"AAAAAG+/t34=")</f>
        <v>#VALUE!</v>
      </c>
      <c r="DX153" t="e">
        <f>AND('Planilla_General_29-11-2012_10_'!G2297,"AAAAAG+/t38=")</f>
        <v>#VALUE!</v>
      </c>
      <c r="DY153" t="e">
        <f>AND('Planilla_General_29-11-2012_10_'!H2297,"AAAAAG+/t4A=")</f>
        <v>#VALUE!</v>
      </c>
      <c r="DZ153" t="e">
        <f>AND('Planilla_General_29-11-2012_10_'!I2297,"AAAAAG+/t4E=")</f>
        <v>#VALUE!</v>
      </c>
      <c r="EA153" t="e">
        <f>AND('Planilla_General_29-11-2012_10_'!J2297,"AAAAAG+/t4I=")</f>
        <v>#VALUE!</v>
      </c>
      <c r="EB153" t="e">
        <f>AND('Planilla_General_29-11-2012_10_'!K2297,"AAAAAG+/t4M=")</f>
        <v>#VALUE!</v>
      </c>
      <c r="EC153" t="e">
        <f>AND('Planilla_General_29-11-2012_10_'!L2297,"AAAAAG+/t4Q=")</f>
        <v>#VALUE!</v>
      </c>
      <c r="ED153" t="e">
        <f>AND('Planilla_General_29-11-2012_10_'!M2297,"AAAAAG+/t4U=")</f>
        <v>#VALUE!</v>
      </c>
      <c r="EE153" t="e">
        <f>AND('Planilla_General_29-11-2012_10_'!N2297,"AAAAAG+/t4Y=")</f>
        <v>#VALUE!</v>
      </c>
      <c r="EF153" t="e">
        <f>AND('Planilla_General_29-11-2012_10_'!O2297,"AAAAAG+/t4c=")</f>
        <v>#VALUE!</v>
      </c>
      <c r="EG153" t="e">
        <f>AND('Planilla_General_29-11-2012_10_'!P2297,"AAAAAG+/t4g=")</f>
        <v>#VALUE!</v>
      </c>
      <c r="EH153">
        <f>IF('Planilla_General_29-11-2012_10_'!2298:2298,"AAAAAG+/t4k=",0)</f>
        <v>0</v>
      </c>
      <c r="EI153" t="e">
        <f>AND('Planilla_General_29-11-2012_10_'!A2298,"AAAAAG+/t4o=")</f>
        <v>#VALUE!</v>
      </c>
      <c r="EJ153" t="e">
        <f>AND('Planilla_General_29-11-2012_10_'!B2298,"AAAAAG+/t4s=")</f>
        <v>#VALUE!</v>
      </c>
      <c r="EK153" t="e">
        <f>AND('Planilla_General_29-11-2012_10_'!C2298,"AAAAAG+/t4w=")</f>
        <v>#VALUE!</v>
      </c>
      <c r="EL153" t="e">
        <f>AND('Planilla_General_29-11-2012_10_'!D2298,"AAAAAG+/t40=")</f>
        <v>#VALUE!</v>
      </c>
      <c r="EM153" t="e">
        <f>AND('Planilla_General_29-11-2012_10_'!E2298,"AAAAAG+/t44=")</f>
        <v>#VALUE!</v>
      </c>
      <c r="EN153" t="e">
        <f>AND('Planilla_General_29-11-2012_10_'!F2298,"AAAAAG+/t48=")</f>
        <v>#VALUE!</v>
      </c>
      <c r="EO153" t="e">
        <f>AND('Planilla_General_29-11-2012_10_'!G2298,"AAAAAG+/t5A=")</f>
        <v>#VALUE!</v>
      </c>
      <c r="EP153" t="e">
        <f>AND('Planilla_General_29-11-2012_10_'!H2298,"AAAAAG+/t5E=")</f>
        <v>#VALUE!</v>
      </c>
      <c r="EQ153" t="e">
        <f>AND('Planilla_General_29-11-2012_10_'!I2298,"AAAAAG+/t5I=")</f>
        <v>#VALUE!</v>
      </c>
      <c r="ER153" t="e">
        <f>AND('Planilla_General_29-11-2012_10_'!J2298,"AAAAAG+/t5M=")</f>
        <v>#VALUE!</v>
      </c>
      <c r="ES153" t="e">
        <f>AND('Planilla_General_29-11-2012_10_'!K2298,"AAAAAG+/t5Q=")</f>
        <v>#VALUE!</v>
      </c>
      <c r="ET153" t="e">
        <f>AND('Planilla_General_29-11-2012_10_'!L2298,"AAAAAG+/t5U=")</f>
        <v>#VALUE!</v>
      </c>
      <c r="EU153" t="e">
        <f>AND('Planilla_General_29-11-2012_10_'!M2298,"AAAAAG+/t5Y=")</f>
        <v>#VALUE!</v>
      </c>
      <c r="EV153" t="e">
        <f>AND('Planilla_General_29-11-2012_10_'!N2298,"AAAAAG+/t5c=")</f>
        <v>#VALUE!</v>
      </c>
      <c r="EW153" t="e">
        <f>AND('Planilla_General_29-11-2012_10_'!O2298,"AAAAAG+/t5g=")</f>
        <v>#VALUE!</v>
      </c>
      <c r="EX153" t="e">
        <f>AND('Planilla_General_29-11-2012_10_'!P2298,"AAAAAG+/t5k=")</f>
        <v>#VALUE!</v>
      </c>
      <c r="EY153">
        <f>IF('Planilla_General_29-11-2012_10_'!2299:2299,"AAAAAG+/t5o=",0)</f>
        <v>0</v>
      </c>
      <c r="EZ153" t="e">
        <f>AND('Planilla_General_29-11-2012_10_'!A2299,"AAAAAG+/t5s=")</f>
        <v>#VALUE!</v>
      </c>
      <c r="FA153" t="e">
        <f>AND('Planilla_General_29-11-2012_10_'!B2299,"AAAAAG+/t5w=")</f>
        <v>#VALUE!</v>
      </c>
      <c r="FB153" t="e">
        <f>AND('Planilla_General_29-11-2012_10_'!C2299,"AAAAAG+/t50=")</f>
        <v>#VALUE!</v>
      </c>
      <c r="FC153" t="e">
        <f>AND('Planilla_General_29-11-2012_10_'!D2299,"AAAAAG+/t54=")</f>
        <v>#VALUE!</v>
      </c>
      <c r="FD153" t="e">
        <f>AND('Planilla_General_29-11-2012_10_'!E2299,"AAAAAG+/t58=")</f>
        <v>#VALUE!</v>
      </c>
      <c r="FE153" t="e">
        <f>AND('Planilla_General_29-11-2012_10_'!F2299,"AAAAAG+/t6A=")</f>
        <v>#VALUE!</v>
      </c>
      <c r="FF153" t="e">
        <f>AND('Planilla_General_29-11-2012_10_'!G2299,"AAAAAG+/t6E=")</f>
        <v>#VALUE!</v>
      </c>
      <c r="FG153" t="e">
        <f>AND('Planilla_General_29-11-2012_10_'!H2299,"AAAAAG+/t6I=")</f>
        <v>#VALUE!</v>
      </c>
      <c r="FH153" t="e">
        <f>AND('Planilla_General_29-11-2012_10_'!I2299,"AAAAAG+/t6M=")</f>
        <v>#VALUE!</v>
      </c>
      <c r="FI153" t="e">
        <f>AND('Planilla_General_29-11-2012_10_'!J2299,"AAAAAG+/t6Q=")</f>
        <v>#VALUE!</v>
      </c>
      <c r="FJ153" t="e">
        <f>AND('Planilla_General_29-11-2012_10_'!K2299,"AAAAAG+/t6U=")</f>
        <v>#VALUE!</v>
      </c>
      <c r="FK153" t="e">
        <f>AND('Planilla_General_29-11-2012_10_'!L2299,"AAAAAG+/t6Y=")</f>
        <v>#VALUE!</v>
      </c>
      <c r="FL153" t="e">
        <f>AND('Planilla_General_29-11-2012_10_'!M2299,"AAAAAG+/t6c=")</f>
        <v>#VALUE!</v>
      </c>
      <c r="FM153" t="e">
        <f>AND('Planilla_General_29-11-2012_10_'!N2299,"AAAAAG+/t6g=")</f>
        <v>#VALUE!</v>
      </c>
      <c r="FN153" t="e">
        <f>AND('Planilla_General_29-11-2012_10_'!O2299,"AAAAAG+/t6k=")</f>
        <v>#VALUE!</v>
      </c>
      <c r="FO153" t="e">
        <f>AND('Planilla_General_29-11-2012_10_'!P2299,"AAAAAG+/t6o=")</f>
        <v>#VALUE!</v>
      </c>
      <c r="FP153">
        <f>IF('Planilla_General_29-11-2012_10_'!2300:2300,"AAAAAG+/t6s=",0)</f>
        <v>0</v>
      </c>
      <c r="FQ153" t="e">
        <f>AND('Planilla_General_29-11-2012_10_'!A2300,"AAAAAG+/t6w=")</f>
        <v>#VALUE!</v>
      </c>
      <c r="FR153" t="e">
        <f>AND('Planilla_General_29-11-2012_10_'!B2300,"AAAAAG+/t60=")</f>
        <v>#VALUE!</v>
      </c>
      <c r="FS153" t="e">
        <f>AND('Planilla_General_29-11-2012_10_'!C2300,"AAAAAG+/t64=")</f>
        <v>#VALUE!</v>
      </c>
      <c r="FT153" t="e">
        <f>AND('Planilla_General_29-11-2012_10_'!D2300,"AAAAAG+/t68=")</f>
        <v>#VALUE!</v>
      </c>
      <c r="FU153" t="e">
        <f>AND('Planilla_General_29-11-2012_10_'!E2300,"AAAAAG+/t7A=")</f>
        <v>#VALUE!</v>
      </c>
      <c r="FV153" t="e">
        <f>AND('Planilla_General_29-11-2012_10_'!F2300,"AAAAAG+/t7E=")</f>
        <v>#VALUE!</v>
      </c>
      <c r="FW153" t="e">
        <f>AND('Planilla_General_29-11-2012_10_'!G2300,"AAAAAG+/t7I=")</f>
        <v>#VALUE!</v>
      </c>
      <c r="FX153" t="e">
        <f>AND('Planilla_General_29-11-2012_10_'!H2300,"AAAAAG+/t7M=")</f>
        <v>#VALUE!</v>
      </c>
      <c r="FY153" t="e">
        <f>AND('Planilla_General_29-11-2012_10_'!I2300,"AAAAAG+/t7Q=")</f>
        <v>#VALUE!</v>
      </c>
      <c r="FZ153" t="e">
        <f>AND('Planilla_General_29-11-2012_10_'!J2300,"AAAAAG+/t7U=")</f>
        <v>#VALUE!</v>
      </c>
      <c r="GA153" t="e">
        <f>AND('Planilla_General_29-11-2012_10_'!K2300,"AAAAAG+/t7Y=")</f>
        <v>#VALUE!</v>
      </c>
      <c r="GB153" t="e">
        <f>AND('Planilla_General_29-11-2012_10_'!L2300,"AAAAAG+/t7c=")</f>
        <v>#VALUE!</v>
      </c>
      <c r="GC153" t="e">
        <f>AND('Planilla_General_29-11-2012_10_'!M2300,"AAAAAG+/t7g=")</f>
        <v>#VALUE!</v>
      </c>
      <c r="GD153" t="e">
        <f>AND('Planilla_General_29-11-2012_10_'!N2300,"AAAAAG+/t7k=")</f>
        <v>#VALUE!</v>
      </c>
      <c r="GE153" t="e">
        <f>AND('Planilla_General_29-11-2012_10_'!O2300,"AAAAAG+/t7o=")</f>
        <v>#VALUE!</v>
      </c>
      <c r="GF153" t="e">
        <f>AND('Planilla_General_29-11-2012_10_'!P2300,"AAAAAG+/t7s=")</f>
        <v>#VALUE!</v>
      </c>
      <c r="GG153">
        <f>IF('Planilla_General_29-11-2012_10_'!2301:2301,"AAAAAG+/t7w=",0)</f>
        <v>0</v>
      </c>
      <c r="GH153" t="e">
        <f>AND('Planilla_General_29-11-2012_10_'!A2301,"AAAAAG+/t70=")</f>
        <v>#VALUE!</v>
      </c>
      <c r="GI153" t="e">
        <f>AND('Planilla_General_29-11-2012_10_'!B2301,"AAAAAG+/t74=")</f>
        <v>#VALUE!</v>
      </c>
      <c r="GJ153" t="e">
        <f>AND('Planilla_General_29-11-2012_10_'!C2301,"AAAAAG+/t78=")</f>
        <v>#VALUE!</v>
      </c>
      <c r="GK153" t="e">
        <f>AND('Planilla_General_29-11-2012_10_'!D2301,"AAAAAG+/t8A=")</f>
        <v>#VALUE!</v>
      </c>
      <c r="GL153" t="e">
        <f>AND('Planilla_General_29-11-2012_10_'!E2301,"AAAAAG+/t8E=")</f>
        <v>#VALUE!</v>
      </c>
      <c r="GM153" t="e">
        <f>AND('Planilla_General_29-11-2012_10_'!F2301,"AAAAAG+/t8I=")</f>
        <v>#VALUE!</v>
      </c>
      <c r="GN153" t="e">
        <f>AND('Planilla_General_29-11-2012_10_'!G2301,"AAAAAG+/t8M=")</f>
        <v>#VALUE!</v>
      </c>
      <c r="GO153" t="e">
        <f>AND('Planilla_General_29-11-2012_10_'!H2301,"AAAAAG+/t8Q=")</f>
        <v>#VALUE!</v>
      </c>
      <c r="GP153" t="e">
        <f>AND('Planilla_General_29-11-2012_10_'!I2301,"AAAAAG+/t8U=")</f>
        <v>#VALUE!</v>
      </c>
      <c r="GQ153" t="e">
        <f>AND('Planilla_General_29-11-2012_10_'!J2301,"AAAAAG+/t8Y=")</f>
        <v>#VALUE!</v>
      </c>
      <c r="GR153" t="e">
        <f>AND('Planilla_General_29-11-2012_10_'!K2301,"AAAAAG+/t8c=")</f>
        <v>#VALUE!</v>
      </c>
      <c r="GS153" t="e">
        <f>AND('Planilla_General_29-11-2012_10_'!L2301,"AAAAAG+/t8g=")</f>
        <v>#VALUE!</v>
      </c>
      <c r="GT153" t="e">
        <f>AND('Planilla_General_29-11-2012_10_'!M2301,"AAAAAG+/t8k=")</f>
        <v>#VALUE!</v>
      </c>
      <c r="GU153" t="e">
        <f>AND('Planilla_General_29-11-2012_10_'!N2301,"AAAAAG+/t8o=")</f>
        <v>#VALUE!</v>
      </c>
      <c r="GV153" t="e">
        <f>AND('Planilla_General_29-11-2012_10_'!O2301,"AAAAAG+/t8s=")</f>
        <v>#VALUE!</v>
      </c>
      <c r="GW153" t="e">
        <f>AND('Planilla_General_29-11-2012_10_'!P2301,"AAAAAG+/t8w=")</f>
        <v>#VALUE!</v>
      </c>
      <c r="GX153">
        <f>IF('Planilla_General_29-11-2012_10_'!2302:2302,"AAAAAG+/t80=",0)</f>
        <v>0</v>
      </c>
      <c r="GY153" t="e">
        <f>AND('Planilla_General_29-11-2012_10_'!A2302,"AAAAAG+/t84=")</f>
        <v>#VALUE!</v>
      </c>
      <c r="GZ153" t="e">
        <f>AND('Planilla_General_29-11-2012_10_'!B2302,"AAAAAG+/t88=")</f>
        <v>#VALUE!</v>
      </c>
      <c r="HA153" t="e">
        <f>AND('Planilla_General_29-11-2012_10_'!C2302,"AAAAAG+/t9A=")</f>
        <v>#VALUE!</v>
      </c>
      <c r="HB153" t="e">
        <f>AND('Planilla_General_29-11-2012_10_'!D2302,"AAAAAG+/t9E=")</f>
        <v>#VALUE!</v>
      </c>
      <c r="HC153" t="e">
        <f>AND('Planilla_General_29-11-2012_10_'!E2302,"AAAAAG+/t9I=")</f>
        <v>#VALUE!</v>
      </c>
      <c r="HD153" t="e">
        <f>AND('Planilla_General_29-11-2012_10_'!F2302,"AAAAAG+/t9M=")</f>
        <v>#VALUE!</v>
      </c>
      <c r="HE153" t="e">
        <f>AND('Planilla_General_29-11-2012_10_'!G2302,"AAAAAG+/t9Q=")</f>
        <v>#VALUE!</v>
      </c>
      <c r="HF153" t="e">
        <f>AND('Planilla_General_29-11-2012_10_'!H2302,"AAAAAG+/t9U=")</f>
        <v>#VALUE!</v>
      </c>
      <c r="HG153" t="e">
        <f>AND('Planilla_General_29-11-2012_10_'!I2302,"AAAAAG+/t9Y=")</f>
        <v>#VALUE!</v>
      </c>
      <c r="HH153" t="e">
        <f>AND('Planilla_General_29-11-2012_10_'!J2302,"AAAAAG+/t9c=")</f>
        <v>#VALUE!</v>
      </c>
      <c r="HI153" t="e">
        <f>AND('Planilla_General_29-11-2012_10_'!K2302,"AAAAAG+/t9g=")</f>
        <v>#VALUE!</v>
      </c>
      <c r="HJ153" t="e">
        <f>AND('Planilla_General_29-11-2012_10_'!L2302,"AAAAAG+/t9k=")</f>
        <v>#VALUE!</v>
      </c>
      <c r="HK153" t="e">
        <f>AND('Planilla_General_29-11-2012_10_'!M2302,"AAAAAG+/t9o=")</f>
        <v>#VALUE!</v>
      </c>
      <c r="HL153" t="e">
        <f>AND('Planilla_General_29-11-2012_10_'!N2302,"AAAAAG+/t9s=")</f>
        <v>#VALUE!</v>
      </c>
      <c r="HM153" t="e">
        <f>AND('Planilla_General_29-11-2012_10_'!O2302,"AAAAAG+/t9w=")</f>
        <v>#VALUE!</v>
      </c>
      <c r="HN153" t="e">
        <f>AND('Planilla_General_29-11-2012_10_'!P2302,"AAAAAG+/t90=")</f>
        <v>#VALUE!</v>
      </c>
      <c r="HO153">
        <f>IF('Planilla_General_29-11-2012_10_'!2303:2303,"AAAAAG+/t94=",0)</f>
        <v>0</v>
      </c>
      <c r="HP153" t="e">
        <f>AND('Planilla_General_29-11-2012_10_'!A2303,"AAAAAG+/t98=")</f>
        <v>#VALUE!</v>
      </c>
      <c r="HQ153" t="e">
        <f>AND('Planilla_General_29-11-2012_10_'!B2303,"AAAAAG+/t+A=")</f>
        <v>#VALUE!</v>
      </c>
      <c r="HR153" t="e">
        <f>AND('Planilla_General_29-11-2012_10_'!C2303,"AAAAAG+/t+E=")</f>
        <v>#VALUE!</v>
      </c>
      <c r="HS153" t="e">
        <f>AND('Planilla_General_29-11-2012_10_'!D2303,"AAAAAG+/t+I=")</f>
        <v>#VALUE!</v>
      </c>
      <c r="HT153" t="e">
        <f>AND('Planilla_General_29-11-2012_10_'!E2303,"AAAAAG+/t+M=")</f>
        <v>#VALUE!</v>
      </c>
      <c r="HU153" t="e">
        <f>AND('Planilla_General_29-11-2012_10_'!F2303,"AAAAAG+/t+Q=")</f>
        <v>#VALUE!</v>
      </c>
      <c r="HV153" t="e">
        <f>AND('Planilla_General_29-11-2012_10_'!G2303,"AAAAAG+/t+U=")</f>
        <v>#VALUE!</v>
      </c>
      <c r="HW153" t="e">
        <f>AND('Planilla_General_29-11-2012_10_'!H2303,"AAAAAG+/t+Y=")</f>
        <v>#VALUE!</v>
      </c>
      <c r="HX153" t="e">
        <f>AND('Planilla_General_29-11-2012_10_'!I2303,"AAAAAG+/t+c=")</f>
        <v>#VALUE!</v>
      </c>
      <c r="HY153" t="e">
        <f>AND('Planilla_General_29-11-2012_10_'!J2303,"AAAAAG+/t+g=")</f>
        <v>#VALUE!</v>
      </c>
      <c r="HZ153" t="e">
        <f>AND('Planilla_General_29-11-2012_10_'!K2303,"AAAAAG+/t+k=")</f>
        <v>#VALUE!</v>
      </c>
      <c r="IA153" t="e">
        <f>AND('Planilla_General_29-11-2012_10_'!L2303,"AAAAAG+/t+o=")</f>
        <v>#VALUE!</v>
      </c>
      <c r="IB153" t="e">
        <f>AND('Planilla_General_29-11-2012_10_'!M2303,"AAAAAG+/t+s=")</f>
        <v>#VALUE!</v>
      </c>
      <c r="IC153" t="e">
        <f>AND('Planilla_General_29-11-2012_10_'!N2303,"AAAAAG+/t+w=")</f>
        <v>#VALUE!</v>
      </c>
      <c r="ID153" t="e">
        <f>AND('Planilla_General_29-11-2012_10_'!O2303,"AAAAAG+/t+0=")</f>
        <v>#VALUE!</v>
      </c>
      <c r="IE153" t="e">
        <f>AND('Planilla_General_29-11-2012_10_'!P2303,"AAAAAG+/t+4=")</f>
        <v>#VALUE!</v>
      </c>
      <c r="IF153">
        <f>IF('Planilla_General_29-11-2012_10_'!2304:2304,"AAAAAG+/t+8=",0)</f>
        <v>0</v>
      </c>
      <c r="IG153" t="e">
        <f>AND('Planilla_General_29-11-2012_10_'!A2304,"AAAAAG+/t/A=")</f>
        <v>#VALUE!</v>
      </c>
      <c r="IH153" t="e">
        <f>AND('Planilla_General_29-11-2012_10_'!B2304,"AAAAAG+/t/E=")</f>
        <v>#VALUE!</v>
      </c>
      <c r="II153" t="e">
        <f>AND('Planilla_General_29-11-2012_10_'!C2304,"AAAAAG+/t/I=")</f>
        <v>#VALUE!</v>
      </c>
      <c r="IJ153" t="e">
        <f>AND('Planilla_General_29-11-2012_10_'!D2304,"AAAAAG+/t/M=")</f>
        <v>#VALUE!</v>
      </c>
      <c r="IK153" t="e">
        <f>AND('Planilla_General_29-11-2012_10_'!E2304,"AAAAAG+/t/Q=")</f>
        <v>#VALUE!</v>
      </c>
      <c r="IL153" t="e">
        <f>AND('Planilla_General_29-11-2012_10_'!F2304,"AAAAAG+/t/U=")</f>
        <v>#VALUE!</v>
      </c>
      <c r="IM153" t="e">
        <f>AND('Planilla_General_29-11-2012_10_'!G2304,"AAAAAG+/t/Y=")</f>
        <v>#VALUE!</v>
      </c>
      <c r="IN153" t="e">
        <f>AND('Planilla_General_29-11-2012_10_'!H2304,"AAAAAG+/t/c=")</f>
        <v>#VALUE!</v>
      </c>
      <c r="IO153" t="e">
        <f>AND('Planilla_General_29-11-2012_10_'!I2304,"AAAAAG+/t/g=")</f>
        <v>#VALUE!</v>
      </c>
      <c r="IP153" t="e">
        <f>AND('Planilla_General_29-11-2012_10_'!J2304,"AAAAAG+/t/k=")</f>
        <v>#VALUE!</v>
      </c>
      <c r="IQ153" t="e">
        <f>AND('Planilla_General_29-11-2012_10_'!K2304,"AAAAAG+/t/o=")</f>
        <v>#VALUE!</v>
      </c>
      <c r="IR153" t="e">
        <f>AND('Planilla_General_29-11-2012_10_'!L2304,"AAAAAG+/t/s=")</f>
        <v>#VALUE!</v>
      </c>
      <c r="IS153" t="e">
        <f>AND('Planilla_General_29-11-2012_10_'!M2304,"AAAAAG+/t/w=")</f>
        <v>#VALUE!</v>
      </c>
      <c r="IT153" t="e">
        <f>AND('Planilla_General_29-11-2012_10_'!N2304,"AAAAAG+/t/0=")</f>
        <v>#VALUE!</v>
      </c>
      <c r="IU153" t="e">
        <f>AND('Planilla_General_29-11-2012_10_'!O2304,"AAAAAG+/t/4=")</f>
        <v>#VALUE!</v>
      </c>
      <c r="IV153" t="e">
        <f>AND('Planilla_General_29-11-2012_10_'!P2304,"AAAAAG+/t/8=")</f>
        <v>#VALUE!</v>
      </c>
    </row>
    <row r="154" spans="1:256" x14ac:dyDescent="0.25">
      <c r="A154" t="e">
        <f>IF('Planilla_General_29-11-2012_10_'!2305:2305,"AAAAAG2t/QA=",0)</f>
        <v>#VALUE!</v>
      </c>
      <c r="B154" t="e">
        <f>AND('Planilla_General_29-11-2012_10_'!A2305,"AAAAAG2t/QE=")</f>
        <v>#VALUE!</v>
      </c>
      <c r="C154" t="e">
        <f>AND('Planilla_General_29-11-2012_10_'!B2305,"AAAAAG2t/QI=")</f>
        <v>#VALUE!</v>
      </c>
      <c r="D154" t="e">
        <f>AND('Planilla_General_29-11-2012_10_'!C2305,"AAAAAG2t/QM=")</f>
        <v>#VALUE!</v>
      </c>
      <c r="E154" t="e">
        <f>AND('Planilla_General_29-11-2012_10_'!D2305,"AAAAAG2t/QQ=")</f>
        <v>#VALUE!</v>
      </c>
      <c r="F154" t="e">
        <f>AND('Planilla_General_29-11-2012_10_'!E2305,"AAAAAG2t/QU=")</f>
        <v>#VALUE!</v>
      </c>
      <c r="G154" t="e">
        <f>AND('Planilla_General_29-11-2012_10_'!F2305,"AAAAAG2t/QY=")</f>
        <v>#VALUE!</v>
      </c>
      <c r="H154" t="e">
        <f>AND('Planilla_General_29-11-2012_10_'!G2305,"AAAAAG2t/Qc=")</f>
        <v>#VALUE!</v>
      </c>
      <c r="I154" t="e">
        <f>AND('Planilla_General_29-11-2012_10_'!H2305,"AAAAAG2t/Qg=")</f>
        <v>#VALUE!</v>
      </c>
      <c r="J154" t="e">
        <f>AND('Planilla_General_29-11-2012_10_'!I2305,"AAAAAG2t/Qk=")</f>
        <v>#VALUE!</v>
      </c>
      <c r="K154" t="e">
        <f>AND('Planilla_General_29-11-2012_10_'!J2305,"AAAAAG2t/Qo=")</f>
        <v>#VALUE!</v>
      </c>
      <c r="L154" t="e">
        <f>AND('Planilla_General_29-11-2012_10_'!K2305,"AAAAAG2t/Qs=")</f>
        <v>#VALUE!</v>
      </c>
      <c r="M154" t="e">
        <f>AND('Planilla_General_29-11-2012_10_'!L2305,"AAAAAG2t/Qw=")</f>
        <v>#VALUE!</v>
      </c>
      <c r="N154" t="e">
        <f>AND('Planilla_General_29-11-2012_10_'!M2305,"AAAAAG2t/Q0=")</f>
        <v>#VALUE!</v>
      </c>
      <c r="O154" t="e">
        <f>AND('Planilla_General_29-11-2012_10_'!N2305,"AAAAAG2t/Q4=")</f>
        <v>#VALUE!</v>
      </c>
      <c r="P154" t="e">
        <f>AND('Planilla_General_29-11-2012_10_'!O2305,"AAAAAG2t/Q8=")</f>
        <v>#VALUE!</v>
      </c>
      <c r="Q154" t="e">
        <f>AND('Planilla_General_29-11-2012_10_'!P2305,"AAAAAG2t/RA=")</f>
        <v>#VALUE!</v>
      </c>
      <c r="R154">
        <f>IF('Planilla_General_29-11-2012_10_'!2306:2306,"AAAAAG2t/RE=",0)</f>
        <v>0</v>
      </c>
      <c r="S154" t="e">
        <f>AND('Planilla_General_29-11-2012_10_'!A2306,"AAAAAG2t/RI=")</f>
        <v>#VALUE!</v>
      </c>
      <c r="T154" t="e">
        <f>AND('Planilla_General_29-11-2012_10_'!B2306,"AAAAAG2t/RM=")</f>
        <v>#VALUE!</v>
      </c>
      <c r="U154" t="e">
        <f>AND('Planilla_General_29-11-2012_10_'!C2306,"AAAAAG2t/RQ=")</f>
        <v>#VALUE!</v>
      </c>
      <c r="V154" t="e">
        <f>AND('Planilla_General_29-11-2012_10_'!D2306,"AAAAAG2t/RU=")</f>
        <v>#VALUE!</v>
      </c>
      <c r="W154" t="e">
        <f>AND('Planilla_General_29-11-2012_10_'!E2306,"AAAAAG2t/RY=")</f>
        <v>#VALUE!</v>
      </c>
      <c r="X154" t="e">
        <f>AND('Planilla_General_29-11-2012_10_'!F2306,"AAAAAG2t/Rc=")</f>
        <v>#VALUE!</v>
      </c>
      <c r="Y154" t="e">
        <f>AND('Planilla_General_29-11-2012_10_'!G2306,"AAAAAG2t/Rg=")</f>
        <v>#VALUE!</v>
      </c>
      <c r="Z154" t="e">
        <f>AND('Planilla_General_29-11-2012_10_'!H2306,"AAAAAG2t/Rk=")</f>
        <v>#VALUE!</v>
      </c>
      <c r="AA154" t="e">
        <f>AND('Planilla_General_29-11-2012_10_'!I2306,"AAAAAG2t/Ro=")</f>
        <v>#VALUE!</v>
      </c>
      <c r="AB154" t="e">
        <f>AND('Planilla_General_29-11-2012_10_'!J2306,"AAAAAG2t/Rs=")</f>
        <v>#VALUE!</v>
      </c>
      <c r="AC154" t="e">
        <f>AND('Planilla_General_29-11-2012_10_'!K2306,"AAAAAG2t/Rw=")</f>
        <v>#VALUE!</v>
      </c>
      <c r="AD154" t="e">
        <f>AND('Planilla_General_29-11-2012_10_'!L2306,"AAAAAG2t/R0=")</f>
        <v>#VALUE!</v>
      </c>
      <c r="AE154" t="e">
        <f>AND('Planilla_General_29-11-2012_10_'!M2306,"AAAAAG2t/R4=")</f>
        <v>#VALUE!</v>
      </c>
      <c r="AF154" t="e">
        <f>AND('Planilla_General_29-11-2012_10_'!N2306,"AAAAAG2t/R8=")</f>
        <v>#VALUE!</v>
      </c>
      <c r="AG154" t="e">
        <f>AND('Planilla_General_29-11-2012_10_'!O2306,"AAAAAG2t/SA=")</f>
        <v>#VALUE!</v>
      </c>
      <c r="AH154" t="e">
        <f>AND('Planilla_General_29-11-2012_10_'!P2306,"AAAAAG2t/SE=")</f>
        <v>#VALUE!</v>
      </c>
      <c r="AI154">
        <f>IF('Planilla_General_29-11-2012_10_'!2307:2307,"AAAAAG2t/SI=",0)</f>
        <v>0</v>
      </c>
      <c r="AJ154" t="e">
        <f>AND('Planilla_General_29-11-2012_10_'!A2307,"AAAAAG2t/SM=")</f>
        <v>#VALUE!</v>
      </c>
      <c r="AK154" t="e">
        <f>AND('Planilla_General_29-11-2012_10_'!B2307,"AAAAAG2t/SQ=")</f>
        <v>#VALUE!</v>
      </c>
      <c r="AL154" t="e">
        <f>AND('Planilla_General_29-11-2012_10_'!C2307,"AAAAAG2t/SU=")</f>
        <v>#VALUE!</v>
      </c>
      <c r="AM154" t="e">
        <f>AND('Planilla_General_29-11-2012_10_'!D2307,"AAAAAG2t/SY=")</f>
        <v>#VALUE!</v>
      </c>
      <c r="AN154" t="e">
        <f>AND('Planilla_General_29-11-2012_10_'!E2307,"AAAAAG2t/Sc=")</f>
        <v>#VALUE!</v>
      </c>
      <c r="AO154" t="e">
        <f>AND('Planilla_General_29-11-2012_10_'!F2307,"AAAAAG2t/Sg=")</f>
        <v>#VALUE!</v>
      </c>
      <c r="AP154" t="e">
        <f>AND('Planilla_General_29-11-2012_10_'!G2307,"AAAAAG2t/Sk=")</f>
        <v>#VALUE!</v>
      </c>
      <c r="AQ154" t="e">
        <f>AND('Planilla_General_29-11-2012_10_'!H2307,"AAAAAG2t/So=")</f>
        <v>#VALUE!</v>
      </c>
      <c r="AR154" t="e">
        <f>AND('Planilla_General_29-11-2012_10_'!I2307,"AAAAAG2t/Ss=")</f>
        <v>#VALUE!</v>
      </c>
      <c r="AS154" t="e">
        <f>AND('Planilla_General_29-11-2012_10_'!J2307,"AAAAAG2t/Sw=")</f>
        <v>#VALUE!</v>
      </c>
      <c r="AT154" t="e">
        <f>AND('Planilla_General_29-11-2012_10_'!K2307,"AAAAAG2t/S0=")</f>
        <v>#VALUE!</v>
      </c>
      <c r="AU154" t="e">
        <f>AND('Planilla_General_29-11-2012_10_'!L2307,"AAAAAG2t/S4=")</f>
        <v>#VALUE!</v>
      </c>
      <c r="AV154" t="e">
        <f>AND('Planilla_General_29-11-2012_10_'!M2307,"AAAAAG2t/S8=")</f>
        <v>#VALUE!</v>
      </c>
      <c r="AW154" t="e">
        <f>AND('Planilla_General_29-11-2012_10_'!N2307,"AAAAAG2t/TA=")</f>
        <v>#VALUE!</v>
      </c>
      <c r="AX154" t="e">
        <f>AND('Planilla_General_29-11-2012_10_'!O2307,"AAAAAG2t/TE=")</f>
        <v>#VALUE!</v>
      </c>
      <c r="AY154" t="e">
        <f>AND('Planilla_General_29-11-2012_10_'!P2307,"AAAAAG2t/TI=")</f>
        <v>#VALUE!</v>
      </c>
      <c r="AZ154">
        <f>IF('Planilla_General_29-11-2012_10_'!2308:2308,"AAAAAG2t/TM=",0)</f>
        <v>0</v>
      </c>
      <c r="BA154" t="e">
        <f>AND('Planilla_General_29-11-2012_10_'!A2308,"AAAAAG2t/TQ=")</f>
        <v>#VALUE!</v>
      </c>
      <c r="BB154" t="e">
        <f>AND('Planilla_General_29-11-2012_10_'!B2308,"AAAAAG2t/TU=")</f>
        <v>#VALUE!</v>
      </c>
      <c r="BC154" t="e">
        <f>AND('Planilla_General_29-11-2012_10_'!C2308,"AAAAAG2t/TY=")</f>
        <v>#VALUE!</v>
      </c>
      <c r="BD154" t="e">
        <f>AND('Planilla_General_29-11-2012_10_'!D2308,"AAAAAG2t/Tc=")</f>
        <v>#VALUE!</v>
      </c>
      <c r="BE154" t="e">
        <f>AND('Planilla_General_29-11-2012_10_'!E2308,"AAAAAG2t/Tg=")</f>
        <v>#VALUE!</v>
      </c>
      <c r="BF154" t="e">
        <f>AND('Planilla_General_29-11-2012_10_'!F2308,"AAAAAG2t/Tk=")</f>
        <v>#VALUE!</v>
      </c>
      <c r="BG154" t="e">
        <f>AND('Planilla_General_29-11-2012_10_'!G2308,"AAAAAG2t/To=")</f>
        <v>#VALUE!</v>
      </c>
      <c r="BH154" t="e">
        <f>AND('Planilla_General_29-11-2012_10_'!H2308,"AAAAAG2t/Ts=")</f>
        <v>#VALUE!</v>
      </c>
      <c r="BI154" t="e">
        <f>AND('Planilla_General_29-11-2012_10_'!I2308,"AAAAAG2t/Tw=")</f>
        <v>#VALUE!</v>
      </c>
      <c r="BJ154" t="e">
        <f>AND('Planilla_General_29-11-2012_10_'!J2308,"AAAAAG2t/T0=")</f>
        <v>#VALUE!</v>
      </c>
      <c r="BK154" t="e">
        <f>AND('Planilla_General_29-11-2012_10_'!K2308,"AAAAAG2t/T4=")</f>
        <v>#VALUE!</v>
      </c>
      <c r="BL154" t="e">
        <f>AND('Planilla_General_29-11-2012_10_'!L2308,"AAAAAG2t/T8=")</f>
        <v>#VALUE!</v>
      </c>
      <c r="BM154" t="e">
        <f>AND('Planilla_General_29-11-2012_10_'!M2308,"AAAAAG2t/UA=")</f>
        <v>#VALUE!</v>
      </c>
      <c r="BN154" t="e">
        <f>AND('Planilla_General_29-11-2012_10_'!N2308,"AAAAAG2t/UE=")</f>
        <v>#VALUE!</v>
      </c>
      <c r="BO154" t="e">
        <f>AND('Planilla_General_29-11-2012_10_'!O2308,"AAAAAG2t/UI=")</f>
        <v>#VALUE!</v>
      </c>
      <c r="BP154" t="e">
        <f>AND('Planilla_General_29-11-2012_10_'!P2308,"AAAAAG2t/UM=")</f>
        <v>#VALUE!</v>
      </c>
      <c r="BQ154">
        <f>IF('Planilla_General_29-11-2012_10_'!2309:2309,"AAAAAG2t/UQ=",0)</f>
        <v>0</v>
      </c>
      <c r="BR154" t="e">
        <f>AND('Planilla_General_29-11-2012_10_'!A2309,"AAAAAG2t/UU=")</f>
        <v>#VALUE!</v>
      </c>
      <c r="BS154" t="e">
        <f>AND('Planilla_General_29-11-2012_10_'!B2309,"AAAAAG2t/UY=")</f>
        <v>#VALUE!</v>
      </c>
      <c r="BT154" t="e">
        <f>AND('Planilla_General_29-11-2012_10_'!C2309,"AAAAAG2t/Uc=")</f>
        <v>#VALUE!</v>
      </c>
      <c r="BU154" t="e">
        <f>AND('Planilla_General_29-11-2012_10_'!D2309,"AAAAAG2t/Ug=")</f>
        <v>#VALUE!</v>
      </c>
      <c r="BV154" t="e">
        <f>AND('Planilla_General_29-11-2012_10_'!E2309,"AAAAAG2t/Uk=")</f>
        <v>#VALUE!</v>
      </c>
      <c r="BW154" t="e">
        <f>AND('Planilla_General_29-11-2012_10_'!F2309,"AAAAAG2t/Uo=")</f>
        <v>#VALUE!</v>
      </c>
      <c r="BX154" t="e">
        <f>AND('Planilla_General_29-11-2012_10_'!G2309,"AAAAAG2t/Us=")</f>
        <v>#VALUE!</v>
      </c>
      <c r="BY154" t="e">
        <f>AND('Planilla_General_29-11-2012_10_'!H2309,"AAAAAG2t/Uw=")</f>
        <v>#VALUE!</v>
      </c>
      <c r="BZ154" t="e">
        <f>AND('Planilla_General_29-11-2012_10_'!I2309,"AAAAAG2t/U0=")</f>
        <v>#VALUE!</v>
      </c>
      <c r="CA154" t="e">
        <f>AND('Planilla_General_29-11-2012_10_'!J2309,"AAAAAG2t/U4=")</f>
        <v>#VALUE!</v>
      </c>
      <c r="CB154" t="e">
        <f>AND('Planilla_General_29-11-2012_10_'!K2309,"AAAAAG2t/U8=")</f>
        <v>#VALUE!</v>
      </c>
      <c r="CC154" t="e">
        <f>AND('Planilla_General_29-11-2012_10_'!L2309,"AAAAAG2t/VA=")</f>
        <v>#VALUE!</v>
      </c>
      <c r="CD154" t="e">
        <f>AND('Planilla_General_29-11-2012_10_'!M2309,"AAAAAG2t/VE=")</f>
        <v>#VALUE!</v>
      </c>
      <c r="CE154" t="e">
        <f>AND('Planilla_General_29-11-2012_10_'!N2309,"AAAAAG2t/VI=")</f>
        <v>#VALUE!</v>
      </c>
      <c r="CF154" t="e">
        <f>AND('Planilla_General_29-11-2012_10_'!O2309,"AAAAAG2t/VM=")</f>
        <v>#VALUE!</v>
      </c>
      <c r="CG154" t="e">
        <f>AND('Planilla_General_29-11-2012_10_'!P2309,"AAAAAG2t/VQ=")</f>
        <v>#VALUE!</v>
      </c>
      <c r="CH154">
        <f>IF('Planilla_General_29-11-2012_10_'!2310:2310,"AAAAAG2t/VU=",0)</f>
        <v>0</v>
      </c>
      <c r="CI154" t="e">
        <f>AND('Planilla_General_29-11-2012_10_'!A2310,"AAAAAG2t/VY=")</f>
        <v>#VALUE!</v>
      </c>
      <c r="CJ154" t="e">
        <f>AND('Planilla_General_29-11-2012_10_'!B2310,"AAAAAG2t/Vc=")</f>
        <v>#VALUE!</v>
      </c>
      <c r="CK154" t="e">
        <f>AND('Planilla_General_29-11-2012_10_'!C2310,"AAAAAG2t/Vg=")</f>
        <v>#VALUE!</v>
      </c>
      <c r="CL154" t="e">
        <f>AND('Planilla_General_29-11-2012_10_'!D2310,"AAAAAG2t/Vk=")</f>
        <v>#VALUE!</v>
      </c>
      <c r="CM154" t="e">
        <f>AND('Planilla_General_29-11-2012_10_'!E2310,"AAAAAG2t/Vo=")</f>
        <v>#VALUE!</v>
      </c>
      <c r="CN154" t="e">
        <f>AND('Planilla_General_29-11-2012_10_'!F2310,"AAAAAG2t/Vs=")</f>
        <v>#VALUE!</v>
      </c>
      <c r="CO154" t="e">
        <f>AND('Planilla_General_29-11-2012_10_'!G2310,"AAAAAG2t/Vw=")</f>
        <v>#VALUE!</v>
      </c>
      <c r="CP154" t="e">
        <f>AND('Planilla_General_29-11-2012_10_'!H2310,"AAAAAG2t/V0=")</f>
        <v>#VALUE!</v>
      </c>
      <c r="CQ154" t="e">
        <f>AND('Planilla_General_29-11-2012_10_'!I2310,"AAAAAG2t/V4=")</f>
        <v>#VALUE!</v>
      </c>
      <c r="CR154" t="e">
        <f>AND('Planilla_General_29-11-2012_10_'!J2310,"AAAAAG2t/V8=")</f>
        <v>#VALUE!</v>
      </c>
      <c r="CS154" t="e">
        <f>AND('Planilla_General_29-11-2012_10_'!K2310,"AAAAAG2t/WA=")</f>
        <v>#VALUE!</v>
      </c>
      <c r="CT154" t="e">
        <f>AND('Planilla_General_29-11-2012_10_'!L2310,"AAAAAG2t/WE=")</f>
        <v>#VALUE!</v>
      </c>
      <c r="CU154" t="e">
        <f>AND('Planilla_General_29-11-2012_10_'!M2310,"AAAAAG2t/WI=")</f>
        <v>#VALUE!</v>
      </c>
      <c r="CV154" t="e">
        <f>AND('Planilla_General_29-11-2012_10_'!N2310,"AAAAAG2t/WM=")</f>
        <v>#VALUE!</v>
      </c>
      <c r="CW154" t="e">
        <f>AND('Planilla_General_29-11-2012_10_'!O2310,"AAAAAG2t/WQ=")</f>
        <v>#VALUE!</v>
      </c>
      <c r="CX154" t="e">
        <f>AND('Planilla_General_29-11-2012_10_'!P2310,"AAAAAG2t/WU=")</f>
        <v>#VALUE!</v>
      </c>
      <c r="CY154">
        <f>IF('Planilla_General_29-11-2012_10_'!2311:2311,"AAAAAG2t/WY=",0)</f>
        <v>0</v>
      </c>
      <c r="CZ154" t="e">
        <f>AND('Planilla_General_29-11-2012_10_'!A2311,"AAAAAG2t/Wc=")</f>
        <v>#VALUE!</v>
      </c>
      <c r="DA154" t="e">
        <f>AND('Planilla_General_29-11-2012_10_'!B2311,"AAAAAG2t/Wg=")</f>
        <v>#VALUE!</v>
      </c>
      <c r="DB154" t="e">
        <f>AND('Planilla_General_29-11-2012_10_'!C2311,"AAAAAG2t/Wk=")</f>
        <v>#VALUE!</v>
      </c>
      <c r="DC154" t="e">
        <f>AND('Planilla_General_29-11-2012_10_'!D2311,"AAAAAG2t/Wo=")</f>
        <v>#VALUE!</v>
      </c>
      <c r="DD154" t="e">
        <f>AND('Planilla_General_29-11-2012_10_'!E2311,"AAAAAG2t/Ws=")</f>
        <v>#VALUE!</v>
      </c>
      <c r="DE154" t="e">
        <f>AND('Planilla_General_29-11-2012_10_'!F2311,"AAAAAG2t/Ww=")</f>
        <v>#VALUE!</v>
      </c>
      <c r="DF154" t="e">
        <f>AND('Planilla_General_29-11-2012_10_'!G2311,"AAAAAG2t/W0=")</f>
        <v>#VALUE!</v>
      </c>
      <c r="DG154" t="e">
        <f>AND('Planilla_General_29-11-2012_10_'!H2311,"AAAAAG2t/W4=")</f>
        <v>#VALUE!</v>
      </c>
      <c r="DH154" t="e">
        <f>AND('Planilla_General_29-11-2012_10_'!I2311,"AAAAAG2t/W8=")</f>
        <v>#VALUE!</v>
      </c>
      <c r="DI154" t="e">
        <f>AND('Planilla_General_29-11-2012_10_'!J2311,"AAAAAG2t/XA=")</f>
        <v>#VALUE!</v>
      </c>
      <c r="DJ154" t="e">
        <f>AND('Planilla_General_29-11-2012_10_'!K2311,"AAAAAG2t/XE=")</f>
        <v>#VALUE!</v>
      </c>
      <c r="DK154" t="e">
        <f>AND('Planilla_General_29-11-2012_10_'!L2311,"AAAAAG2t/XI=")</f>
        <v>#VALUE!</v>
      </c>
      <c r="DL154" t="e">
        <f>AND('Planilla_General_29-11-2012_10_'!M2311,"AAAAAG2t/XM=")</f>
        <v>#VALUE!</v>
      </c>
      <c r="DM154" t="e">
        <f>AND('Planilla_General_29-11-2012_10_'!N2311,"AAAAAG2t/XQ=")</f>
        <v>#VALUE!</v>
      </c>
      <c r="DN154" t="e">
        <f>AND('Planilla_General_29-11-2012_10_'!O2311,"AAAAAG2t/XU=")</f>
        <v>#VALUE!</v>
      </c>
      <c r="DO154" t="e">
        <f>AND('Planilla_General_29-11-2012_10_'!P2311,"AAAAAG2t/XY=")</f>
        <v>#VALUE!</v>
      </c>
      <c r="DP154">
        <f>IF('Planilla_General_29-11-2012_10_'!2312:2312,"AAAAAG2t/Xc=",0)</f>
        <v>0</v>
      </c>
      <c r="DQ154" t="e">
        <f>AND('Planilla_General_29-11-2012_10_'!A2312,"AAAAAG2t/Xg=")</f>
        <v>#VALUE!</v>
      </c>
      <c r="DR154" t="e">
        <f>AND('Planilla_General_29-11-2012_10_'!B2312,"AAAAAG2t/Xk=")</f>
        <v>#VALUE!</v>
      </c>
      <c r="DS154" t="e">
        <f>AND('Planilla_General_29-11-2012_10_'!C2312,"AAAAAG2t/Xo=")</f>
        <v>#VALUE!</v>
      </c>
      <c r="DT154" t="e">
        <f>AND('Planilla_General_29-11-2012_10_'!D2312,"AAAAAG2t/Xs=")</f>
        <v>#VALUE!</v>
      </c>
      <c r="DU154" t="e">
        <f>AND('Planilla_General_29-11-2012_10_'!E2312,"AAAAAG2t/Xw=")</f>
        <v>#VALUE!</v>
      </c>
      <c r="DV154" t="e">
        <f>AND('Planilla_General_29-11-2012_10_'!F2312,"AAAAAG2t/X0=")</f>
        <v>#VALUE!</v>
      </c>
      <c r="DW154" t="e">
        <f>AND('Planilla_General_29-11-2012_10_'!G2312,"AAAAAG2t/X4=")</f>
        <v>#VALUE!</v>
      </c>
      <c r="DX154" t="e">
        <f>AND('Planilla_General_29-11-2012_10_'!H2312,"AAAAAG2t/X8=")</f>
        <v>#VALUE!</v>
      </c>
      <c r="DY154" t="e">
        <f>AND('Planilla_General_29-11-2012_10_'!I2312,"AAAAAG2t/YA=")</f>
        <v>#VALUE!</v>
      </c>
      <c r="DZ154" t="e">
        <f>AND('Planilla_General_29-11-2012_10_'!J2312,"AAAAAG2t/YE=")</f>
        <v>#VALUE!</v>
      </c>
      <c r="EA154" t="e">
        <f>AND('Planilla_General_29-11-2012_10_'!K2312,"AAAAAG2t/YI=")</f>
        <v>#VALUE!</v>
      </c>
      <c r="EB154" t="e">
        <f>AND('Planilla_General_29-11-2012_10_'!L2312,"AAAAAG2t/YM=")</f>
        <v>#VALUE!</v>
      </c>
      <c r="EC154" t="e">
        <f>AND('Planilla_General_29-11-2012_10_'!M2312,"AAAAAG2t/YQ=")</f>
        <v>#VALUE!</v>
      </c>
      <c r="ED154" t="e">
        <f>AND('Planilla_General_29-11-2012_10_'!N2312,"AAAAAG2t/YU=")</f>
        <v>#VALUE!</v>
      </c>
      <c r="EE154" t="e">
        <f>AND('Planilla_General_29-11-2012_10_'!O2312,"AAAAAG2t/YY=")</f>
        <v>#VALUE!</v>
      </c>
      <c r="EF154" t="e">
        <f>AND('Planilla_General_29-11-2012_10_'!P2312,"AAAAAG2t/Yc=")</f>
        <v>#VALUE!</v>
      </c>
      <c r="EG154">
        <f>IF('Planilla_General_29-11-2012_10_'!2313:2313,"AAAAAG2t/Yg=",0)</f>
        <v>0</v>
      </c>
      <c r="EH154" t="e">
        <f>AND('Planilla_General_29-11-2012_10_'!A2313,"AAAAAG2t/Yk=")</f>
        <v>#VALUE!</v>
      </c>
      <c r="EI154" t="e">
        <f>AND('Planilla_General_29-11-2012_10_'!B2313,"AAAAAG2t/Yo=")</f>
        <v>#VALUE!</v>
      </c>
      <c r="EJ154" t="e">
        <f>AND('Planilla_General_29-11-2012_10_'!C2313,"AAAAAG2t/Ys=")</f>
        <v>#VALUE!</v>
      </c>
      <c r="EK154" t="e">
        <f>AND('Planilla_General_29-11-2012_10_'!D2313,"AAAAAG2t/Yw=")</f>
        <v>#VALUE!</v>
      </c>
      <c r="EL154" t="e">
        <f>AND('Planilla_General_29-11-2012_10_'!E2313,"AAAAAG2t/Y0=")</f>
        <v>#VALUE!</v>
      </c>
      <c r="EM154" t="e">
        <f>AND('Planilla_General_29-11-2012_10_'!F2313,"AAAAAG2t/Y4=")</f>
        <v>#VALUE!</v>
      </c>
      <c r="EN154" t="e">
        <f>AND('Planilla_General_29-11-2012_10_'!G2313,"AAAAAG2t/Y8=")</f>
        <v>#VALUE!</v>
      </c>
      <c r="EO154" t="e">
        <f>AND('Planilla_General_29-11-2012_10_'!H2313,"AAAAAG2t/ZA=")</f>
        <v>#VALUE!</v>
      </c>
      <c r="EP154" t="e">
        <f>AND('Planilla_General_29-11-2012_10_'!I2313,"AAAAAG2t/ZE=")</f>
        <v>#VALUE!</v>
      </c>
      <c r="EQ154" t="e">
        <f>AND('Planilla_General_29-11-2012_10_'!J2313,"AAAAAG2t/ZI=")</f>
        <v>#VALUE!</v>
      </c>
      <c r="ER154" t="e">
        <f>AND('Planilla_General_29-11-2012_10_'!K2313,"AAAAAG2t/ZM=")</f>
        <v>#VALUE!</v>
      </c>
      <c r="ES154" t="e">
        <f>AND('Planilla_General_29-11-2012_10_'!L2313,"AAAAAG2t/ZQ=")</f>
        <v>#VALUE!</v>
      </c>
      <c r="ET154" t="e">
        <f>AND('Planilla_General_29-11-2012_10_'!M2313,"AAAAAG2t/ZU=")</f>
        <v>#VALUE!</v>
      </c>
      <c r="EU154" t="e">
        <f>AND('Planilla_General_29-11-2012_10_'!N2313,"AAAAAG2t/ZY=")</f>
        <v>#VALUE!</v>
      </c>
      <c r="EV154" t="e">
        <f>AND('Planilla_General_29-11-2012_10_'!O2313,"AAAAAG2t/Zc=")</f>
        <v>#VALUE!</v>
      </c>
      <c r="EW154" t="e">
        <f>AND('Planilla_General_29-11-2012_10_'!P2313,"AAAAAG2t/Zg=")</f>
        <v>#VALUE!</v>
      </c>
      <c r="EX154">
        <f>IF('Planilla_General_29-11-2012_10_'!2314:2314,"AAAAAG2t/Zk=",0)</f>
        <v>0</v>
      </c>
      <c r="EY154" t="e">
        <f>AND('Planilla_General_29-11-2012_10_'!A2314,"AAAAAG2t/Zo=")</f>
        <v>#VALUE!</v>
      </c>
      <c r="EZ154" t="e">
        <f>AND('Planilla_General_29-11-2012_10_'!B2314,"AAAAAG2t/Zs=")</f>
        <v>#VALUE!</v>
      </c>
      <c r="FA154" t="e">
        <f>AND('Planilla_General_29-11-2012_10_'!C2314,"AAAAAG2t/Zw=")</f>
        <v>#VALUE!</v>
      </c>
      <c r="FB154" t="e">
        <f>AND('Planilla_General_29-11-2012_10_'!D2314,"AAAAAG2t/Z0=")</f>
        <v>#VALUE!</v>
      </c>
      <c r="FC154" t="e">
        <f>AND('Planilla_General_29-11-2012_10_'!E2314,"AAAAAG2t/Z4=")</f>
        <v>#VALUE!</v>
      </c>
      <c r="FD154" t="e">
        <f>AND('Planilla_General_29-11-2012_10_'!F2314,"AAAAAG2t/Z8=")</f>
        <v>#VALUE!</v>
      </c>
      <c r="FE154" t="e">
        <f>AND('Planilla_General_29-11-2012_10_'!G2314,"AAAAAG2t/aA=")</f>
        <v>#VALUE!</v>
      </c>
      <c r="FF154" t="e">
        <f>AND('Planilla_General_29-11-2012_10_'!H2314,"AAAAAG2t/aE=")</f>
        <v>#VALUE!</v>
      </c>
      <c r="FG154" t="e">
        <f>AND('Planilla_General_29-11-2012_10_'!I2314,"AAAAAG2t/aI=")</f>
        <v>#VALUE!</v>
      </c>
      <c r="FH154" t="e">
        <f>AND('Planilla_General_29-11-2012_10_'!J2314,"AAAAAG2t/aM=")</f>
        <v>#VALUE!</v>
      </c>
      <c r="FI154" t="e">
        <f>AND('Planilla_General_29-11-2012_10_'!K2314,"AAAAAG2t/aQ=")</f>
        <v>#VALUE!</v>
      </c>
      <c r="FJ154" t="e">
        <f>AND('Planilla_General_29-11-2012_10_'!L2314,"AAAAAG2t/aU=")</f>
        <v>#VALUE!</v>
      </c>
      <c r="FK154" t="e">
        <f>AND('Planilla_General_29-11-2012_10_'!M2314,"AAAAAG2t/aY=")</f>
        <v>#VALUE!</v>
      </c>
      <c r="FL154" t="e">
        <f>AND('Planilla_General_29-11-2012_10_'!N2314,"AAAAAG2t/ac=")</f>
        <v>#VALUE!</v>
      </c>
      <c r="FM154" t="e">
        <f>AND('Planilla_General_29-11-2012_10_'!O2314,"AAAAAG2t/ag=")</f>
        <v>#VALUE!</v>
      </c>
      <c r="FN154" t="e">
        <f>AND('Planilla_General_29-11-2012_10_'!P2314,"AAAAAG2t/ak=")</f>
        <v>#VALUE!</v>
      </c>
      <c r="FO154">
        <f>IF('Planilla_General_29-11-2012_10_'!2315:2315,"AAAAAG2t/ao=",0)</f>
        <v>0</v>
      </c>
      <c r="FP154" t="e">
        <f>AND('Planilla_General_29-11-2012_10_'!A2315,"AAAAAG2t/as=")</f>
        <v>#VALUE!</v>
      </c>
      <c r="FQ154" t="e">
        <f>AND('Planilla_General_29-11-2012_10_'!B2315,"AAAAAG2t/aw=")</f>
        <v>#VALUE!</v>
      </c>
      <c r="FR154" t="e">
        <f>AND('Planilla_General_29-11-2012_10_'!C2315,"AAAAAG2t/a0=")</f>
        <v>#VALUE!</v>
      </c>
      <c r="FS154" t="e">
        <f>AND('Planilla_General_29-11-2012_10_'!D2315,"AAAAAG2t/a4=")</f>
        <v>#VALUE!</v>
      </c>
      <c r="FT154" t="e">
        <f>AND('Planilla_General_29-11-2012_10_'!E2315,"AAAAAG2t/a8=")</f>
        <v>#VALUE!</v>
      </c>
      <c r="FU154" t="e">
        <f>AND('Planilla_General_29-11-2012_10_'!F2315,"AAAAAG2t/bA=")</f>
        <v>#VALUE!</v>
      </c>
      <c r="FV154" t="e">
        <f>AND('Planilla_General_29-11-2012_10_'!G2315,"AAAAAG2t/bE=")</f>
        <v>#VALUE!</v>
      </c>
      <c r="FW154" t="e">
        <f>AND('Planilla_General_29-11-2012_10_'!H2315,"AAAAAG2t/bI=")</f>
        <v>#VALUE!</v>
      </c>
      <c r="FX154" t="e">
        <f>AND('Planilla_General_29-11-2012_10_'!I2315,"AAAAAG2t/bM=")</f>
        <v>#VALUE!</v>
      </c>
      <c r="FY154" t="e">
        <f>AND('Planilla_General_29-11-2012_10_'!J2315,"AAAAAG2t/bQ=")</f>
        <v>#VALUE!</v>
      </c>
      <c r="FZ154" t="e">
        <f>AND('Planilla_General_29-11-2012_10_'!K2315,"AAAAAG2t/bU=")</f>
        <v>#VALUE!</v>
      </c>
      <c r="GA154" t="e">
        <f>AND('Planilla_General_29-11-2012_10_'!L2315,"AAAAAG2t/bY=")</f>
        <v>#VALUE!</v>
      </c>
      <c r="GB154" t="e">
        <f>AND('Planilla_General_29-11-2012_10_'!M2315,"AAAAAG2t/bc=")</f>
        <v>#VALUE!</v>
      </c>
      <c r="GC154" t="e">
        <f>AND('Planilla_General_29-11-2012_10_'!N2315,"AAAAAG2t/bg=")</f>
        <v>#VALUE!</v>
      </c>
      <c r="GD154" t="e">
        <f>AND('Planilla_General_29-11-2012_10_'!O2315,"AAAAAG2t/bk=")</f>
        <v>#VALUE!</v>
      </c>
      <c r="GE154" t="e">
        <f>AND('Planilla_General_29-11-2012_10_'!P2315,"AAAAAG2t/bo=")</f>
        <v>#VALUE!</v>
      </c>
      <c r="GF154">
        <f>IF('Planilla_General_29-11-2012_10_'!2316:2316,"AAAAAG2t/bs=",0)</f>
        <v>0</v>
      </c>
      <c r="GG154" t="e">
        <f>AND('Planilla_General_29-11-2012_10_'!A2316,"AAAAAG2t/bw=")</f>
        <v>#VALUE!</v>
      </c>
      <c r="GH154" t="e">
        <f>AND('Planilla_General_29-11-2012_10_'!B2316,"AAAAAG2t/b0=")</f>
        <v>#VALUE!</v>
      </c>
      <c r="GI154" t="e">
        <f>AND('Planilla_General_29-11-2012_10_'!C2316,"AAAAAG2t/b4=")</f>
        <v>#VALUE!</v>
      </c>
      <c r="GJ154" t="e">
        <f>AND('Planilla_General_29-11-2012_10_'!D2316,"AAAAAG2t/b8=")</f>
        <v>#VALUE!</v>
      </c>
      <c r="GK154" t="e">
        <f>AND('Planilla_General_29-11-2012_10_'!E2316,"AAAAAG2t/cA=")</f>
        <v>#VALUE!</v>
      </c>
      <c r="GL154" t="e">
        <f>AND('Planilla_General_29-11-2012_10_'!F2316,"AAAAAG2t/cE=")</f>
        <v>#VALUE!</v>
      </c>
      <c r="GM154" t="e">
        <f>AND('Planilla_General_29-11-2012_10_'!G2316,"AAAAAG2t/cI=")</f>
        <v>#VALUE!</v>
      </c>
      <c r="GN154" t="e">
        <f>AND('Planilla_General_29-11-2012_10_'!H2316,"AAAAAG2t/cM=")</f>
        <v>#VALUE!</v>
      </c>
      <c r="GO154" t="e">
        <f>AND('Planilla_General_29-11-2012_10_'!I2316,"AAAAAG2t/cQ=")</f>
        <v>#VALUE!</v>
      </c>
      <c r="GP154" t="e">
        <f>AND('Planilla_General_29-11-2012_10_'!J2316,"AAAAAG2t/cU=")</f>
        <v>#VALUE!</v>
      </c>
      <c r="GQ154" t="e">
        <f>AND('Planilla_General_29-11-2012_10_'!K2316,"AAAAAG2t/cY=")</f>
        <v>#VALUE!</v>
      </c>
      <c r="GR154" t="e">
        <f>AND('Planilla_General_29-11-2012_10_'!L2316,"AAAAAG2t/cc=")</f>
        <v>#VALUE!</v>
      </c>
      <c r="GS154" t="e">
        <f>AND('Planilla_General_29-11-2012_10_'!M2316,"AAAAAG2t/cg=")</f>
        <v>#VALUE!</v>
      </c>
      <c r="GT154" t="e">
        <f>AND('Planilla_General_29-11-2012_10_'!N2316,"AAAAAG2t/ck=")</f>
        <v>#VALUE!</v>
      </c>
      <c r="GU154" t="e">
        <f>AND('Planilla_General_29-11-2012_10_'!O2316,"AAAAAG2t/co=")</f>
        <v>#VALUE!</v>
      </c>
      <c r="GV154" t="e">
        <f>AND('Planilla_General_29-11-2012_10_'!P2316,"AAAAAG2t/cs=")</f>
        <v>#VALUE!</v>
      </c>
      <c r="GW154">
        <f>IF('Planilla_General_29-11-2012_10_'!2317:2317,"AAAAAG2t/cw=",0)</f>
        <v>0</v>
      </c>
      <c r="GX154" t="e">
        <f>AND('Planilla_General_29-11-2012_10_'!A2317,"AAAAAG2t/c0=")</f>
        <v>#VALUE!</v>
      </c>
      <c r="GY154" t="e">
        <f>AND('Planilla_General_29-11-2012_10_'!B2317,"AAAAAG2t/c4=")</f>
        <v>#VALUE!</v>
      </c>
      <c r="GZ154" t="e">
        <f>AND('Planilla_General_29-11-2012_10_'!C2317,"AAAAAG2t/c8=")</f>
        <v>#VALUE!</v>
      </c>
      <c r="HA154" t="e">
        <f>AND('Planilla_General_29-11-2012_10_'!D2317,"AAAAAG2t/dA=")</f>
        <v>#VALUE!</v>
      </c>
      <c r="HB154" t="e">
        <f>AND('Planilla_General_29-11-2012_10_'!E2317,"AAAAAG2t/dE=")</f>
        <v>#VALUE!</v>
      </c>
      <c r="HC154" t="e">
        <f>AND('Planilla_General_29-11-2012_10_'!F2317,"AAAAAG2t/dI=")</f>
        <v>#VALUE!</v>
      </c>
      <c r="HD154" t="e">
        <f>AND('Planilla_General_29-11-2012_10_'!G2317,"AAAAAG2t/dM=")</f>
        <v>#VALUE!</v>
      </c>
      <c r="HE154" t="e">
        <f>AND('Planilla_General_29-11-2012_10_'!H2317,"AAAAAG2t/dQ=")</f>
        <v>#VALUE!</v>
      </c>
      <c r="HF154" t="e">
        <f>AND('Planilla_General_29-11-2012_10_'!I2317,"AAAAAG2t/dU=")</f>
        <v>#VALUE!</v>
      </c>
      <c r="HG154" t="e">
        <f>AND('Planilla_General_29-11-2012_10_'!J2317,"AAAAAG2t/dY=")</f>
        <v>#VALUE!</v>
      </c>
      <c r="HH154" t="e">
        <f>AND('Planilla_General_29-11-2012_10_'!K2317,"AAAAAG2t/dc=")</f>
        <v>#VALUE!</v>
      </c>
      <c r="HI154" t="e">
        <f>AND('Planilla_General_29-11-2012_10_'!L2317,"AAAAAG2t/dg=")</f>
        <v>#VALUE!</v>
      </c>
      <c r="HJ154" t="e">
        <f>AND('Planilla_General_29-11-2012_10_'!M2317,"AAAAAG2t/dk=")</f>
        <v>#VALUE!</v>
      </c>
      <c r="HK154" t="e">
        <f>AND('Planilla_General_29-11-2012_10_'!N2317,"AAAAAG2t/do=")</f>
        <v>#VALUE!</v>
      </c>
      <c r="HL154" t="e">
        <f>AND('Planilla_General_29-11-2012_10_'!O2317,"AAAAAG2t/ds=")</f>
        <v>#VALUE!</v>
      </c>
      <c r="HM154" t="e">
        <f>AND('Planilla_General_29-11-2012_10_'!P2317,"AAAAAG2t/dw=")</f>
        <v>#VALUE!</v>
      </c>
      <c r="HN154">
        <f>IF('Planilla_General_29-11-2012_10_'!2318:2318,"AAAAAG2t/d0=",0)</f>
        <v>0</v>
      </c>
      <c r="HO154" t="e">
        <f>AND('Planilla_General_29-11-2012_10_'!A2318,"AAAAAG2t/d4=")</f>
        <v>#VALUE!</v>
      </c>
      <c r="HP154" t="e">
        <f>AND('Planilla_General_29-11-2012_10_'!B2318,"AAAAAG2t/d8=")</f>
        <v>#VALUE!</v>
      </c>
      <c r="HQ154" t="e">
        <f>AND('Planilla_General_29-11-2012_10_'!C2318,"AAAAAG2t/eA=")</f>
        <v>#VALUE!</v>
      </c>
      <c r="HR154" t="e">
        <f>AND('Planilla_General_29-11-2012_10_'!D2318,"AAAAAG2t/eE=")</f>
        <v>#VALUE!</v>
      </c>
      <c r="HS154" t="e">
        <f>AND('Planilla_General_29-11-2012_10_'!E2318,"AAAAAG2t/eI=")</f>
        <v>#VALUE!</v>
      </c>
      <c r="HT154" t="e">
        <f>AND('Planilla_General_29-11-2012_10_'!F2318,"AAAAAG2t/eM=")</f>
        <v>#VALUE!</v>
      </c>
      <c r="HU154" t="e">
        <f>AND('Planilla_General_29-11-2012_10_'!G2318,"AAAAAG2t/eQ=")</f>
        <v>#VALUE!</v>
      </c>
      <c r="HV154" t="e">
        <f>AND('Planilla_General_29-11-2012_10_'!H2318,"AAAAAG2t/eU=")</f>
        <v>#VALUE!</v>
      </c>
      <c r="HW154" t="e">
        <f>AND('Planilla_General_29-11-2012_10_'!I2318,"AAAAAG2t/eY=")</f>
        <v>#VALUE!</v>
      </c>
      <c r="HX154" t="e">
        <f>AND('Planilla_General_29-11-2012_10_'!J2318,"AAAAAG2t/ec=")</f>
        <v>#VALUE!</v>
      </c>
      <c r="HY154" t="e">
        <f>AND('Planilla_General_29-11-2012_10_'!K2318,"AAAAAG2t/eg=")</f>
        <v>#VALUE!</v>
      </c>
      <c r="HZ154" t="e">
        <f>AND('Planilla_General_29-11-2012_10_'!L2318,"AAAAAG2t/ek=")</f>
        <v>#VALUE!</v>
      </c>
      <c r="IA154" t="e">
        <f>AND('Planilla_General_29-11-2012_10_'!M2318,"AAAAAG2t/eo=")</f>
        <v>#VALUE!</v>
      </c>
      <c r="IB154" t="e">
        <f>AND('Planilla_General_29-11-2012_10_'!N2318,"AAAAAG2t/es=")</f>
        <v>#VALUE!</v>
      </c>
      <c r="IC154" t="e">
        <f>AND('Planilla_General_29-11-2012_10_'!O2318,"AAAAAG2t/ew=")</f>
        <v>#VALUE!</v>
      </c>
      <c r="ID154" t="e">
        <f>AND('Planilla_General_29-11-2012_10_'!P2318,"AAAAAG2t/e0=")</f>
        <v>#VALUE!</v>
      </c>
      <c r="IE154">
        <f>IF('Planilla_General_29-11-2012_10_'!2319:2319,"AAAAAG2t/e4=",0)</f>
        <v>0</v>
      </c>
      <c r="IF154" t="e">
        <f>AND('Planilla_General_29-11-2012_10_'!A2319,"AAAAAG2t/e8=")</f>
        <v>#VALUE!</v>
      </c>
      <c r="IG154" t="e">
        <f>AND('Planilla_General_29-11-2012_10_'!B2319,"AAAAAG2t/fA=")</f>
        <v>#VALUE!</v>
      </c>
      <c r="IH154" t="e">
        <f>AND('Planilla_General_29-11-2012_10_'!C2319,"AAAAAG2t/fE=")</f>
        <v>#VALUE!</v>
      </c>
      <c r="II154" t="e">
        <f>AND('Planilla_General_29-11-2012_10_'!D2319,"AAAAAG2t/fI=")</f>
        <v>#VALUE!</v>
      </c>
      <c r="IJ154" t="e">
        <f>AND('Planilla_General_29-11-2012_10_'!E2319,"AAAAAG2t/fM=")</f>
        <v>#VALUE!</v>
      </c>
      <c r="IK154" t="e">
        <f>AND('Planilla_General_29-11-2012_10_'!F2319,"AAAAAG2t/fQ=")</f>
        <v>#VALUE!</v>
      </c>
      <c r="IL154" t="e">
        <f>AND('Planilla_General_29-11-2012_10_'!G2319,"AAAAAG2t/fU=")</f>
        <v>#VALUE!</v>
      </c>
      <c r="IM154" t="e">
        <f>AND('Planilla_General_29-11-2012_10_'!H2319,"AAAAAG2t/fY=")</f>
        <v>#VALUE!</v>
      </c>
      <c r="IN154" t="e">
        <f>AND('Planilla_General_29-11-2012_10_'!I2319,"AAAAAG2t/fc=")</f>
        <v>#VALUE!</v>
      </c>
      <c r="IO154" t="e">
        <f>AND('Planilla_General_29-11-2012_10_'!J2319,"AAAAAG2t/fg=")</f>
        <v>#VALUE!</v>
      </c>
      <c r="IP154" t="e">
        <f>AND('Planilla_General_29-11-2012_10_'!K2319,"AAAAAG2t/fk=")</f>
        <v>#VALUE!</v>
      </c>
      <c r="IQ154" t="e">
        <f>AND('Planilla_General_29-11-2012_10_'!L2319,"AAAAAG2t/fo=")</f>
        <v>#VALUE!</v>
      </c>
      <c r="IR154" t="e">
        <f>AND('Planilla_General_29-11-2012_10_'!M2319,"AAAAAG2t/fs=")</f>
        <v>#VALUE!</v>
      </c>
      <c r="IS154" t="e">
        <f>AND('Planilla_General_29-11-2012_10_'!N2319,"AAAAAG2t/fw=")</f>
        <v>#VALUE!</v>
      </c>
      <c r="IT154" t="e">
        <f>AND('Planilla_General_29-11-2012_10_'!O2319,"AAAAAG2t/f0=")</f>
        <v>#VALUE!</v>
      </c>
      <c r="IU154" t="e">
        <f>AND('Planilla_General_29-11-2012_10_'!P2319,"AAAAAG2t/f4=")</f>
        <v>#VALUE!</v>
      </c>
      <c r="IV154">
        <f>IF('Planilla_General_29-11-2012_10_'!2320:2320,"AAAAAG2t/f8=",0)</f>
        <v>0</v>
      </c>
    </row>
    <row r="155" spans="1:256" x14ac:dyDescent="0.25">
      <c r="A155" t="e">
        <f>AND('Planilla_General_29-11-2012_10_'!A2320,"AAAAAGrvvwA=")</f>
        <v>#VALUE!</v>
      </c>
      <c r="B155" t="e">
        <f>AND('Planilla_General_29-11-2012_10_'!B2320,"AAAAAGrvvwE=")</f>
        <v>#VALUE!</v>
      </c>
      <c r="C155" t="e">
        <f>AND('Planilla_General_29-11-2012_10_'!C2320,"AAAAAGrvvwI=")</f>
        <v>#VALUE!</v>
      </c>
      <c r="D155" t="e">
        <f>AND('Planilla_General_29-11-2012_10_'!D2320,"AAAAAGrvvwM=")</f>
        <v>#VALUE!</v>
      </c>
      <c r="E155" t="e">
        <f>AND('Planilla_General_29-11-2012_10_'!E2320,"AAAAAGrvvwQ=")</f>
        <v>#VALUE!</v>
      </c>
      <c r="F155" t="e">
        <f>AND('Planilla_General_29-11-2012_10_'!F2320,"AAAAAGrvvwU=")</f>
        <v>#VALUE!</v>
      </c>
      <c r="G155" t="e">
        <f>AND('Planilla_General_29-11-2012_10_'!G2320,"AAAAAGrvvwY=")</f>
        <v>#VALUE!</v>
      </c>
      <c r="H155" t="e">
        <f>AND('Planilla_General_29-11-2012_10_'!H2320,"AAAAAGrvvwc=")</f>
        <v>#VALUE!</v>
      </c>
      <c r="I155" t="e">
        <f>AND('Planilla_General_29-11-2012_10_'!I2320,"AAAAAGrvvwg=")</f>
        <v>#VALUE!</v>
      </c>
      <c r="J155" t="e">
        <f>AND('Planilla_General_29-11-2012_10_'!J2320,"AAAAAGrvvwk=")</f>
        <v>#VALUE!</v>
      </c>
      <c r="K155" t="e">
        <f>AND('Planilla_General_29-11-2012_10_'!K2320,"AAAAAGrvvwo=")</f>
        <v>#VALUE!</v>
      </c>
      <c r="L155" t="e">
        <f>AND('Planilla_General_29-11-2012_10_'!L2320,"AAAAAGrvvws=")</f>
        <v>#VALUE!</v>
      </c>
      <c r="M155" t="e">
        <f>AND('Planilla_General_29-11-2012_10_'!M2320,"AAAAAGrvvww=")</f>
        <v>#VALUE!</v>
      </c>
      <c r="N155" t="e">
        <f>AND('Planilla_General_29-11-2012_10_'!N2320,"AAAAAGrvvw0=")</f>
        <v>#VALUE!</v>
      </c>
      <c r="O155" t="e">
        <f>AND('Planilla_General_29-11-2012_10_'!O2320,"AAAAAGrvvw4=")</f>
        <v>#VALUE!</v>
      </c>
      <c r="P155" t="e">
        <f>AND('Planilla_General_29-11-2012_10_'!P2320,"AAAAAGrvvw8=")</f>
        <v>#VALUE!</v>
      </c>
      <c r="Q155">
        <f>IF('Planilla_General_29-11-2012_10_'!2321:2321,"AAAAAGrvvxA=",0)</f>
        <v>0</v>
      </c>
      <c r="R155" t="e">
        <f>AND('Planilla_General_29-11-2012_10_'!A2321,"AAAAAGrvvxE=")</f>
        <v>#VALUE!</v>
      </c>
      <c r="S155" t="e">
        <f>AND('Planilla_General_29-11-2012_10_'!B2321,"AAAAAGrvvxI=")</f>
        <v>#VALUE!</v>
      </c>
      <c r="T155" t="e">
        <f>AND('Planilla_General_29-11-2012_10_'!C2321,"AAAAAGrvvxM=")</f>
        <v>#VALUE!</v>
      </c>
      <c r="U155" t="e">
        <f>AND('Planilla_General_29-11-2012_10_'!D2321,"AAAAAGrvvxQ=")</f>
        <v>#VALUE!</v>
      </c>
      <c r="V155" t="e">
        <f>AND('Planilla_General_29-11-2012_10_'!E2321,"AAAAAGrvvxU=")</f>
        <v>#VALUE!</v>
      </c>
      <c r="W155" t="e">
        <f>AND('Planilla_General_29-11-2012_10_'!F2321,"AAAAAGrvvxY=")</f>
        <v>#VALUE!</v>
      </c>
      <c r="X155" t="e">
        <f>AND('Planilla_General_29-11-2012_10_'!G2321,"AAAAAGrvvxc=")</f>
        <v>#VALUE!</v>
      </c>
      <c r="Y155" t="e">
        <f>AND('Planilla_General_29-11-2012_10_'!H2321,"AAAAAGrvvxg=")</f>
        <v>#VALUE!</v>
      </c>
      <c r="Z155" t="e">
        <f>AND('Planilla_General_29-11-2012_10_'!I2321,"AAAAAGrvvxk=")</f>
        <v>#VALUE!</v>
      </c>
      <c r="AA155" t="e">
        <f>AND('Planilla_General_29-11-2012_10_'!J2321,"AAAAAGrvvxo=")</f>
        <v>#VALUE!</v>
      </c>
      <c r="AB155" t="e">
        <f>AND('Planilla_General_29-11-2012_10_'!K2321,"AAAAAGrvvxs=")</f>
        <v>#VALUE!</v>
      </c>
      <c r="AC155" t="e">
        <f>AND('Planilla_General_29-11-2012_10_'!L2321,"AAAAAGrvvxw=")</f>
        <v>#VALUE!</v>
      </c>
      <c r="AD155" t="e">
        <f>AND('Planilla_General_29-11-2012_10_'!M2321,"AAAAAGrvvx0=")</f>
        <v>#VALUE!</v>
      </c>
      <c r="AE155" t="e">
        <f>AND('Planilla_General_29-11-2012_10_'!N2321,"AAAAAGrvvx4=")</f>
        <v>#VALUE!</v>
      </c>
      <c r="AF155" t="e">
        <f>AND('Planilla_General_29-11-2012_10_'!O2321,"AAAAAGrvvx8=")</f>
        <v>#VALUE!</v>
      </c>
      <c r="AG155" t="e">
        <f>AND('Planilla_General_29-11-2012_10_'!P2321,"AAAAAGrvvyA=")</f>
        <v>#VALUE!</v>
      </c>
      <c r="AH155">
        <f>IF('Planilla_General_29-11-2012_10_'!2322:2322,"AAAAAGrvvyE=",0)</f>
        <v>0</v>
      </c>
      <c r="AI155" t="e">
        <f>AND('Planilla_General_29-11-2012_10_'!A2322,"AAAAAGrvvyI=")</f>
        <v>#VALUE!</v>
      </c>
      <c r="AJ155" t="e">
        <f>AND('Planilla_General_29-11-2012_10_'!B2322,"AAAAAGrvvyM=")</f>
        <v>#VALUE!</v>
      </c>
      <c r="AK155" t="e">
        <f>AND('Planilla_General_29-11-2012_10_'!C2322,"AAAAAGrvvyQ=")</f>
        <v>#VALUE!</v>
      </c>
      <c r="AL155" t="e">
        <f>AND('Planilla_General_29-11-2012_10_'!D2322,"AAAAAGrvvyU=")</f>
        <v>#VALUE!</v>
      </c>
      <c r="AM155" t="e">
        <f>AND('Planilla_General_29-11-2012_10_'!E2322,"AAAAAGrvvyY=")</f>
        <v>#VALUE!</v>
      </c>
      <c r="AN155" t="e">
        <f>AND('Planilla_General_29-11-2012_10_'!F2322,"AAAAAGrvvyc=")</f>
        <v>#VALUE!</v>
      </c>
      <c r="AO155" t="e">
        <f>AND('Planilla_General_29-11-2012_10_'!G2322,"AAAAAGrvvyg=")</f>
        <v>#VALUE!</v>
      </c>
      <c r="AP155" t="e">
        <f>AND('Planilla_General_29-11-2012_10_'!H2322,"AAAAAGrvvyk=")</f>
        <v>#VALUE!</v>
      </c>
      <c r="AQ155" t="e">
        <f>AND('Planilla_General_29-11-2012_10_'!I2322,"AAAAAGrvvyo=")</f>
        <v>#VALUE!</v>
      </c>
      <c r="AR155" t="e">
        <f>AND('Planilla_General_29-11-2012_10_'!J2322,"AAAAAGrvvys=")</f>
        <v>#VALUE!</v>
      </c>
      <c r="AS155" t="e">
        <f>AND('Planilla_General_29-11-2012_10_'!K2322,"AAAAAGrvvyw=")</f>
        <v>#VALUE!</v>
      </c>
      <c r="AT155" t="e">
        <f>AND('Planilla_General_29-11-2012_10_'!L2322,"AAAAAGrvvy0=")</f>
        <v>#VALUE!</v>
      </c>
      <c r="AU155" t="e">
        <f>AND('Planilla_General_29-11-2012_10_'!M2322,"AAAAAGrvvy4=")</f>
        <v>#VALUE!</v>
      </c>
      <c r="AV155" t="e">
        <f>AND('Planilla_General_29-11-2012_10_'!N2322,"AAAAAGrvvy8=")</f>
        <v>#VALUE!</v>
      </c>
      <c r="AW155" t="e">
        <f>AND('Planilla_General_29-11-2012_10_'!O2322,"AAAAAGrvvzA=")</f>
        <v>#VALUE!</v>
      </c>
      <c r="AX155" t="e">
        <f>AND('Planilla_General_29-11-2012_10_'!P2322,"AAAAAGrvvzE=")</f>
        <v>#VALUE!</v>
      </c>
      <c r="AY155">
        <f>IF('Planilla_General_29-11-2012_10_'!2323:2323,"AAAAAGrvvzI=",0)</f>
        <v>0</v>
      </c>
      <c r="AZ155" t="e">
        <f>AND('Planilla_General_29-11-2012_10_'!A2323,"AAAAAGrvvzM=")</f>
        <v>#VALUE!</v>
      </c>
      <c r="BA155" t="e">
        <f>AND('Planilla_General_29-11-2012_10_'!B2323,"AAAAAGrvvzQ=")</f>
        <v>#VALUE!</v>
      </c>
      <c r="BB155" t="e">
        <f>AND('Planilla_General_29-11-2012_10_'!C2323,"AAAAAGrvvzU=")</f>
        <v>#VALUE!</v>
      </c>
      <c r="BC155" t="e">
        <f>AND('Planilla_General_29-11-2012_10_'!D2323,"AAAAAGrvvzY=")</f>
        <v>#VALUE!</v>
      </c>
      <c r="BD155" t="e">
        <f>AND('Planilla_General_29-11-2012_10_'!E2323,"AAAAAGrvvzc=")</f>
        <v>#VALUE!</v>
      </c>
      <c r="BE155" t="e">
        <f>AND('Planilla_General_29-11-2012_10_'!F2323,"AAAAAGrvvzg=")</f>
        <v>#VALUE!</v>
      </c>
      <c r="BF155" t="e">
        <f>AND('Planilla_General_29-11-2012_10_'!G2323,"AAAAAGrvvzk=")</f>
        <v>#VALUE!</v>
      </c>
      <c r="BG155" t="e">
        <f>AND('Planilla_General_29-11-2012_10_'!H2323,"AAAAAGrvvzo=")</f>
        <v>#VALUE!</v>
      </c>
      <c r="BH155" t="e">
        <f>AND('Planilla_General_29-11-2012_10_'!I2323,"AAAAAGrvvzs=")</f>
        <v>#VALUE!</v>
      </c>
      <c r="BI155" t="e">
        <f>AND('Planilla_General_29-11-2012_10_'!J2323,"AAAAAGrvvzw=")</f>
        <v>#VALUE!</v>
      </c>
      <c r="BJ155" t="e">
        <f>AND('Planilla_General_29-11-2012_10_'!K2323,"AAAAAGrvvz0=")</f>
        <v>#VALUE!</v>
      </c>
      <c r="BK155" t="e">
        <f>AND('Planilla_General_29-11-2012_10_'!L2323,"AAAAAGrvvz4=")</f>
        <v>#VALUE!</v>
      </c>
      <c r="BL155" t="e">
        <f>AND('Planilla_General_29-11-2012_10_'!M2323,"AAAAAGrvvz8=")</f>
        <v>#VALUE!</v>
      </c>
      <c r="BM155" t="e">
        <f>AND('Planilla_General_29-11-2012_10_'!N2323,"AAAAAGrvv0A=")</f>
        <v>#VALUE!</v>
      </c>
      <c r="BN155" t="e">
        <f>AND('Planilla_General_29-11-2012_10_'!O2323,"AAAAAGrvv0E=")</f>
        <v>#VALUE!</v>
      </c>
      <c r="BO155" t="e">
        <f>AND('Planilla_General_29-11-2012_10_'!P2323,"AAAAAGrvv0I=")</f>
        <v>#VALUE!</v>
      </c>
      <c r="BP155">
        <f>IF('Planilla_General_29-11-2012_10_'!2324:2324,"AAAAAGrvv0M=",0)</f>
        <v>0</v>
      </c>
      <c r="BQ155" t="e">
        <f>AND('Planilla_General_29-11-2012_10_'!A2324,"AAAAAGrvv0Q=")</f>
        <v>#VALUE!</v>
      </c>
      <c r="BR155" t="e">
        <f>AND('Planilla_General_29-11-2012_10_'!B2324,"AAAAAGrvv0U=")</f>
        <v>#VALUE!</v>
      </c>
      <c r="BS155" t="e">
        <f>AND('Planilla_General_29-11-2012_10_'!C2324,"AAAAAGrvv0Y=")</f>
        <v>#VALUE!</v>
      </c>
      <c r="BT155" t="e">
        <f>AND('Planilla_General_29-11-2012_10_'!D2324,"AAAAAGrvv0c=")</f>
        <v>#VALUE!</v>
      </c>
      <c r="BU155" t="e">
        <f>AND('Planilla_General_29-11-2012_10_'!E2324,"AAAAAGrvv0g=")</f>
        <v>#VALUE!</v>
      </c>
      <c r="BV155" t="e">
        <f>AND('Planilla_General_29-11-2012_10_'!F2324,"AAAAAGrvv0k=")</f>
        <v>#VALUE!</v>
      </c>
      <c r="BW155" t="e">
        <f>AND('Planilla_General_29-11-2012_10_'!G2324,"AAAAAGrvv0o=")</f>
        <v>#VALUE!</v>
      </c>
      <c r="BX155" t="e">
        <f>AND('Planilla_General_29-11-2012_10_'!H2324,"AAAAAGrvv0s=")</f>
        <v>#VALUE!</v>
      </c>
      <c r="BY155" t="e">
        <f>AND('Planilla_General_29-11-2012_10_'!I2324,"AAAAAGrvv0w=")</f>
        <v>#VALUE!</v>
      </c>
      <c r="BZ155" t="e">
        <f>AND('Planilla_General_29-11-2012_10_'!J2324,"AAAAAGrvv00=")</f>
        <v>#VALUE!</v>
      </c>
      <c r="CA155" t="e">
        <f>AND('Planilla_General_29-11-2012_10_'!K2324,"AAAAAGrvv04=")</f>
        <v>#VALUE!</v>
      </c>
      <c r="CB155" t="e">
        <f>AND('Planilla_General_29-11-2012_10_'!L2324,"AAAAAGrvv08=")</f>
        <v>#VALUE!</v>
      </c>
      <c r="CC155" t="e">
        <f>AND('Planilla_General_29-11-2012_10_'!M2324,"AAAAAGrvv1A=")</f>
        <v>#VALUE!</v>
      </c>
      <c r="CD155" t="e">
        <f>AND('Planilla_General_29-11-2012_10_'!N2324,"AAAAAGrvv1E=")</f>
        <v>#VALUE!</v>
      </c>
      <c r="CE155" t="e">
        <f>AND('Planilla_General_29-11-2012_10_'!O2324,"AAAAAGrvv1I=")</f>
        <v>#VALUE!</v>
      </c>
      <c r="CF155" t="e">
        <f>AND('Planilla_General_29-11-2012_10_'!P2324,"AAAAAGrvv1M=")</f>
        <v>#VALUE!</v>
      </c>
      <c r="CG155">
        <f>IF('Planilla_General_29-11-2012_10_'!2325:2325,"AAAAAGrvv1Q=",0)</f>
        <v>0</v>
      </c>
      <c r="CH155" t="e">
        <f>AND('Planilla_General_29-11-2012_10_'!A2325,"AAAAAGrvv1U=")</f>
        <v>#VALUE!</v>
      </c>
      <c r="CI155" t="e">
        <f>AND('Planilla_General_29-11-2012_10_'!B2325,"AAAAAGrvv1Y=")</f>
        <v>#VALUE!</v>
      </c>
      <c r="CJ155" t="e">
        <f>AND('Planilla_General_29-11-2012_10_'!C2325,"AAAAAGrvv1c=")</f>
        <v>#VALUE!</v>
      </c>
      <c r="CK155" t="e">
        <f>AND('Planilla_General_29-11-2012_10_'!D2325,"AAAAAGrvv1g=")</f>
        <v>#VALUE!</v>
      </c>
      <c r="CL155" t="e">
        <f>AND('Planilla_General_29-11-2012_10_'!E2325,"AAAAAGrvv1k=")</f>
        <v>#VALUE!</v>
      </c>
      <c r="CM155" t="e">
        <f>AND('Planilla_General_29-11-2012_10_'!F2325,"AAAAAGrvv1o=")</f>
        <v>#VALUE!</v>
      </c>
      <c r="CN155" t="e">
        <f>AND('Planilla_General_29-11-2012_10_'!G2325,"AAAAAGrvv1s=")</f>
        <v>#VALUE!</v>
      </c>
      <c r="CO155" t="e">
        <f>AND('Planilla_General_29-11-2012_10_'!H2325,"AAAAAGrvv1w=")</f>
        <v>#VALUE!</v>
      </c>
      <c r="CP155" t="e">
        <f>AND('Planilla_General_29-11-2012_10_'!I2325,"AAAAAGrvv10=")</f>
        <v>#VALUE!</v>
      </c>
      <c r="CQ155" t="e">
        <f>AND('Planilla_General_29-11-2012_10_'!J2325,"AAAAAGrvv14=")</f>
        <v>#VALUE!</v>
      </c>
      <c r="CR155" t="e">
        <f>AND('Planilla_General_29-11-2012_10_'!K2325,"AAAAAGrvv18=")</f>
        <v>#VALUE!</v>
      </c>
      <c r="CS155" t="e">
        <f>AND('Planilla_General_29-11-2012_10_'!L2325,"AAAAAGrvv2A=")</f>
        <v>#VALUE!</v>
      </c>
      <c r="CT155" t="e">
        <f>AND('Planilla_General_29-11-2012_10_'!M2325,"AAAAAGrvv2E=")</f>
        <v>#VALUE!</v>
      </c>
      <c r="CU155" t="e">
        <f>AND('Planilla_General_29-11-2012_10_'!N2325,"AAAAAGrvv2I=")</f>
        <v>#VALUE!</v>
      </c>
      <c r="CV155" t="e">
        <f>AND('Planilla_General_29-11-2012_10_'!O2325,"AAAAAGrvv2M=")</f>
        <v>#VALUE!</v>
      </c>
      <c r="CW155" t="e">
        <f>AND('Planilla_General_29-11-2012_10_'!P2325,"AAAAAGrvv2Q=")</f>
        <v>#VALUE!</v>
      </c>
      <c r="CX155">
        <f>IF('Planilla_General_29-11-2012_10_'!2326:2326,"AAAAAGrvv2U=",0)</f>
        <v>0</v>
      </c>
      <c r="CY155" t="e">
        <f>AND('Planilla_General_29-11-2012_10_'!A2326,"AAAAAGrvv2Y=")</f>
        <v>#VALUE!</v>
      </c>
      <c r="CZ155" t="e">
        <f>AND('Planilla_General_29-11-2012_10_'!B2326,"AAAAAGrvv2c=")</f>
        <v>#VALUE!</v>
      </c>
      <c r="DA155" t="e">
        <f>AND('Planilla_General_29-11-2012_10_'!C2326,"AAAAAGrvv2g=")</f>
        <v>#VALUE!</v>
      </c>
      <c r="DB155" t="e">
        <f>AND('Planilla_General_29-11-2012_10_'!D2326,"AAAAAGrvv2k=")</f>
        <v>#VALUE!</v>
      </c>
      <c r="DC155" t="e">
        <f>AND('Planilla_General_29-11-2012_10_'!E2326,"AAAAAGrvv2o=")</f>
        <v>#VALUE!</v>
      </c>
      <c r="DD155" t="e">
        <f>AND('Planilla_General_29-11-2012_10_'!F2326,"AAAAAGrvv2s=")</f>
        <v>#VALUE!</v>
      </c>
      <c r="DE155" t="e">
        <f>AND('Planilla_General_29-11-2012_10_'!G2326,"AAAAAGrvv2w=")</f>
        <v>#VALUE!</v>
      </c>
      <c r="DF155" t="e">
        <f>AND('Planilla_General_29-11-2012_10_'!H2326,"AAAAAGrvv20=")</f>
        <v>#VALUE!</v>
      </c>
      <c r="DG155" t="e">
        <f>AND('Planilla_General_29-11-2012_10_'!I2326,"AAAAAGrvv24=")</f>
        <v>#VALUE!</v>
      </c>
      <c r="DH155" t="e">
        <f>AND('Planilla_General_29-11-2012_10_'!J2326,"AAAAAGrvv28=")</f>
        <v>#VALUE!</v>
      </c>
      <c r="DI155" t="e">
        <f>AND('Planilla_General_29-11-2012_10_'!K2326,"AAAAAGrvv3A=")</f>
        <v>#VALUE!</v>
      </c>
      <c r="DJ155" t="e">
        <f>AND('Planilla_General_29-11-2012_10_'!L2326,"AAAAAGrvv3E=")</f>
        <v>#VALUE!</v>
      </c>
      <c r="DK155" t="e">
        <f>AND('Planilla_General_29-11-2012_10_'!M2326,"AAAAAGrvv3I=")</f>
        <v>#VALUE!</v>
      </c>
      <c r="DL155" t="e">
        <f>AND('Planilla_General_29-11-2012_10_'!N2326,"AAAAAGrvv3M=")</f>
        <v>#VALUE!</v>
      </c>
      <c r="DM155" t="e">
        <f>AND('Planilla_General_29-11-2012_10_'!O2326,"AAAAAGrvv3Q=")</f>
        <v>#VALUE!</v>
      </c>
      <c r="DN155" t="e">
        <f>AND('Planilla_General_29-11-2012_10_'!P2326,"AAAAAGrvv3U=")</f>
        <v>#VALUE!</v>
      </c>
      <c r="DO155">
        <f>IF('Planilla_General_29-11-2012_10_'!2327:2327,"AAAAAGrvv3Y=",0)</f>
        <v>0</v>
      </c>
      <c r="DP155" t="e">
        <f>AND('Planilla_General_29-11-2012_10_'!A2327,"AAAAAGrvv3c=")</f>
        <v>#VALUE!</v>
      </c>
      <c r="DQ155" t="e">
        <f>AND('Planilla_General_29-11-2012_10_'!B2327,"AAAAAGrvv3g=")</f>
        <v>#VALUE!</v>
      </c>
      <c r="DR155" t="e">
        <f>AND('Planilla_General_29-11-2012_10_'!C2327,"AAAAAGrvv3k=")</f>
        <v>#VALUE!</v>
      </c>
      <c r="DS155" t="e">
        <f>AND('Planilla_General_29-11-2012_10_'!D2327,"AAAAAGrvv3o=")</f>
        <v>#VALUE!</v>
      </c>
      <c r="DT155" t="e">
        <f>AND('Planilla_General_29-11-2012_10_'!E2327,"AAAAAGrvv3s=")</f>
        <v>#VALUE!</v>
      </c>
      <c r="DU155" t="e">
        <f>AND('Planilla_General_29-11-2012_10_'!F2327,"AAAAAGrvv3w=")</f>
        <v>#VALUE!</v>
      </c>
      <c r="DV155" t="e">
        <f>AND('Planilla_General_29-11-2012_10_'!G2327,"AAAAAGrvv30=")</f>
        <v>#VALUE!</v>
      </c>
      <c r="DW155" t="e">
        <f>AND('Planilla_General_29-11-2012_10_'!H2327,"AAAAAGrvv34=")</f>
        <v>#VALUE!</v>
      </c>
      <c r="DX155" t="e">
        <f>AND('Planilla_General_29-11-2012_10_'!I2327,"AAAAAGrvv38=")</f>
        <v>#VALUE!</v>
      </c>
      <c r="DY155" t="e">
        <f>AND('Planilla_General_29-11-2012_10_'!J2327,"AAAAAGrvv4A=")</f>
        <v>#VALUE!</v>
      </c>
      <c r="DZ155" t="e">
        <f>AND('Planilla_General_29-11-2012_10_'!K2327,"AAAAAGrvv4E=")</f>
        <v>#VALUE!</v>
      </c>
      <c r="EA155" t="e">
        <f>AND('Planilla_General_29-11-2012_10_'!L2327,"AAAAAGrvv4I=")</f>
        <v>#VALUE!</v>
      </c>
      <c r="EB155" t="e">
        <f>AND('Planilla_General_29-11-2012_10_'!M2327,"AAAAAGrvv4M=")</f>
        <v>#VALUE!</v>
      </c>
      <c r="EC155" t="e">
        <f>AND('Planilla_General_29-11-2012_10_'!N2327,"AAAAAGrvv4Q=")</f>
        <v>#VALUE!</v>
      </c>
      <c r="ED155" t="e">
        <f>AND('Planilla_General_29-11-2012_10_'!O2327,"AAAAAGrvv4U=")</f>
        <v>#VALUE!</v>
      </c>
      <c r="EE155" t="e">
        <f>AND('Planilla_General_29-11-2012_10_'!P2327,"AAAAAGrvv4Y=")</f>
        <v>#VALUE!</v>
      </c>
      <c r="EF155">
        <f>IF('Planilla_General_29-11-2012_10_'!2328:2328,"AAAAAGrvv4c=",0)</f>
        <v>0</v>
      </c>
      <c r="EG155" t="e">
        <f>AND('Planilla_General_29-11-2012_10_'!A2328,"AAAAAGrvv4g=")</f>
        <v>#VALUE!</v>
      </c>
      <c r="EH155" t="e">
        <f>AND('Planilla_General_29-11-2012_10_'!B2328,"AAAAAGrvv4k=")</f>
        <v>#VALUE!</v>
      </c>
      <c r="EI155" t="e">
        <f>AND('Planilla_General_29-11-2012_10_'!C2328,"AAAAAGrvv4o=")</f>
        <v>#VALUE!</v>
      </c>
      <c r="EJ155" t="e">
        <f>AND('Planilla_General_29-11-2012_10_'!D2328,"AAAAAGrvv4s=")</f>
        <v>#VALUE!</v>
      </c>
      <c r="EK155" t="e">
        <f>AND('Planilla_General_29-11-2012_10_'!E2328,"AAAAAGrvv4w=")</f>
        <v>#VALUE!</v>
      </c>
      <c r="EL155" t="e">
        <f>AND('Planilla_General_29-11-2012_10_'!F2328,"AAAAAGrvv40=")</f>
        <v>#VALUE!</v>
      </c>
      <c r="EM155" t="e">
        <f>AND('Planilla_General_29-11-2012_10_'!G2328,"AAAAAGrvv44=")</f>
        <v>#VALUE!</v>
      </c>
      <c r="EN155" t="e">
        <f>AND('Planilla_General_29-11-2012_10_'!H2328,"AAAAAGrvv48=")</f>
        <v>#VALUE!</v>
      </c>
      <c r="EO155" t="e">
        <f>AND('Planilla_General_29-11-2012_10_'!I2328,"AAAAAGrvv5A=")</f>
        <v>#VALUE!</v>
      </c>
      <c r="EP155" t="e">
        <f>AND('Planilla_General_29-11-2012_10_'!J2328,"AAAAAGrvv5E=")</f>
        <v>#VALUE!</v>
      </c>
      <c r="EQ155" t="e">
        <f>AND('Planilla_General_29-11-2012_10_'!K2328,"AAAAAGrvv5I=")</f>
        <v>#VALUE!</v>
      </c>
      <c r="ER155" t="e">
        <f>AND('Planilla_General_29-11-2012_10_'!L2328,"AAAAAGrvv5M=")</f>
        <v>#VALUE!</v>
      </c>
      <c r="ES155" t="e">
        <f>AND('Planilla_General_29-11-2012_10_'!M2328,"AAAAAGrvv5Q=")</f>
        <v>#VALUE!</v>
      </c>
      <c r="ET155" t="e">
        <f>AND('Planilla_General_29-11-2012_10_'!N2328,"AAAAAGrvv5U=")</f>
        <v>#VALUE!</v>
      </c>
      <c r="EU155" t="e">
        <f>AND('Planilla_General_29-11-2012_10_'!O2328,"AAAAAGrvv5Y=")</f>
        <v>#VALUE!</v>
      </c>
      <c r="EV155" t="e">
        <f>AND('Planilla_General_29-11-2012_10_'!P2328,"AAAAAGrvv5c=")</f>
        <v>#VALUE!</v>
      </c>
      <c r="EW155">
        <f>IF('Planilla_General_29-11-2012_10_'!2329:2329,"AAAAAGrvv5g=",0)</f>
        <v>0</v>
      </c>
      <c r="EX155" t="e">
        <f>AND('Planilla_General_29-11-2012_10_'!A2329,"AAAAAGrvv5k=")</f>
        <v>#VALUE!</v>
      </c>
      <c r="EY155" t="e">
        <f>AND('Planilla_General_29-11-2012_10_'!B2329,"AAAAAGrvv5o=")</f>
        <v>#VALUE!</v>
      </c>
      <c r="EZ155" t="e">
        <f>AND('Planilla_General_29-11-2012_10_'!C2329,"AAAAAGrvv5s=")</f>
        <v>#VALUE!</v>
      </c>
      <c r="FA155" t="e">
        <f>AND('Planilla_General_29-11-2012_10_'!D2329,"AAAAAGrvv5w=")</f>
        <v>#VALUE!</v>
      </c>
      <c r="FB155" t="e">
        <f>AND('Planilla_General_29-11-2012_10_'!E2329,"AAAAAGrvv50=")</f>
        <v>#VALUE!</v>
      </c>
      <c r="FC155" t="e">
        <f>AND('Planilla_General_29-11-2012_10_'!F2329,"AAAAAGrvv54=")</f>
        <v>#VALUE!</v>
      </c>
      <c r="FD155" t="e">
        <f>AND('Planilla_General_29-11-2012_10_'!G2329,"AAAAAGrvv58=")</f>
        <v>#VALUE!</v>
      </c>
      <c r="FE155" t="e">
        <f>AND('Planilla_General_29-11-2012_10_'!H2329,"AAAAAGrvv6A=")</f>
        <v>#VALUE!</v>
      </c>
      <c r="FF155" t="e">
        <f>AND('Planilla_General_29-11-2012_10_'!I2329,"AAAAAGrvv6E=")</f>
        <v>#VALUE!</v>
      </c>
      <c r="FG155" t="e">
        <f>AND('Planilla_General_29-11-2012_10_'!J2329,"AAAAAGrvv6I=")</f>
        <v>#VALUE!</v>
      </c>
      <c r="FH155" t="e">
        <f>AND('Planilla_General_29-11-2012_10_'!K2329,"AAAAAGrvv6M=")</f>
        <v>#VALUE!</v>
      </c>
      <c r="FI155" t="e">
        <f>AND('Planilla_General_29-11-2012_10_'!L2329,"AAAAAGrvv6Q=")</f>
        <v>#VALUE!</v>
      </c>
      <c r="FJ155" t="e">
        <f>AND('Planilla_General_29-11-2012_10_'!M2329,"AAAAAGrvv6U=")</f>
        <v>#VALUE!</v>
      </c>
      <c r="FK155" t="e">
        <f>AND('Planilla_General_29-11-2012_10_'!N2329,"AAAAAGrvv6Y=")</f>
        <v>#VALUE!</v>
      </c>
      <c r="FL155" t="e">
        <f>AND('Planilla_General_29-11-2012_10_'!O2329,"AAAAAGrvv6c=")</f>
        <v>#VALUE!</v>
      </c>
      <c r="FM155" t="e">
        <f>AND('Planilla_General_29-11-2012_10_'!P2329,"AAAAAGrvv6g=")</f>
        <v>#VALUE!</v>
      </c>
      <c r="FN155">
        <f>IF('Planilla_General_29-11-2012_10_'!2330:2330,"AAAAAGrvv6k=",0)</f>
        <v>0</v>
      </c>
      <c r="FO155" t="e">
        <f>AND('Planilla_General_29-11-2012_10_'!A2330,"AAAAAGrvv6o=")</f>
        <v>#VALUE!</v>
      </c>
      <c r="FP155" t="e">
        <f>AND('Planilla_General_29-11-2012_10_'!B2330,"AAAAAGrvv6s=")</f>
        <v>#VALUE!</v>
      </c>
      <c r="FQ155" t="e">
        <f>AND('Planilla_General_29-11-2012_10_'!C2330,"AAAAAGrvv6w=")</f>
        <v>#VALUE!</v>
      </c>
      <c r="FR155" t="e">
        <f>AND('Planilla_General_29-11-2012_10_'!D2330,"AAAAAGrvv60=")</f>
        <v>#VALUE!</v>
      </c>
      <c r="FS155" t="e">
        <f>AND('Planilla_General_29-11-2012_10_'!E2330,"AAAAAGrvv64=")</f>
        <v>#VALUE!</v>
      </c>
      <c r="FT155" t="e">
        <f>AND('Planilla_General_29-11-2012_10_'!F2330,"AAAAAGrvv68=")</f>
        <v>#VALUE!</v>
      </c>
      <c r="FU155" t="e">
        <f>AND('Planilla_General_29-11-2012_10_'!G2330,"AAAAAGrvv7A=")</f>
        <v>#VALUE!</v>
      </c>
      <c r="FV155" t="e">
        <f>AND('Planilla_General_29-11-2012_10_'!H2330,"AAAAAGrvv7E=")</f>
        <v>#VALUE!</v>
      </c>
      <c r="FW155" t="e">
        <f>AND('Planilla_General_29-11-2012_10_'!I2330,"AAAAAGrvv7I=")</f>
        <v>#VALUE!</v>
      </c>
      <c r="FX155" t="e">
        <f>AND('Planilla_General_29-11-2012_10_'!J2330,"AAAAAGrvv7M=")</f>
        <v>#VALUE!</v>
      </c>
      <c r="FY155" t="e">
        <f>AND('Planilla_General_29-11-2012_10_'!K2330,"AAAAAGrvv7Q=")</f>
        <v>#VALUE!</v>
      </c>
      <c r="FZ155" t="e">
        <f>AND('Planilla_General_29-11-2012_10_'!L2330,"AAAAAGrvv7U=")</f>
        <v>#VALUE!</v>
      </c>
      <c r="GA155" t="e">
        <f>AND('Planilla_General_29-11-2012_10_'!M2330,"AAAAAGrvv7Y=")</f>
        <v>#VALUE!</v>
      </c>
      <c r="GB155" t="e">
        <f>AND('Planilla_General_29-11-2012_10_'!N2330,"AAAAAGrvv7c=")</f>
        <v>#VALUE!</v>
      </c>
      <c r="GC155" t="e">
        <f>AND('Planilla_General_29-11-2012_10_'!O2330,"AAAAAGrvv7g=")</f>
        <v>#VALUE!</v>
      </c>
      <c r="GD155" t="e">
        <f>AND('Planilla_General_29-11-2012_10_'!P2330,"AAAAAGrvv7k=")</f>
        <v>#VALUE!</v>
      </c>
      <c r="GE155">
        <f>IF('Planilla_General_29-11-2012_10_'!2331:2331,"AAAAAGrvv7o=",0)</f>
        <v>0</v>
      </c>
      <c r="GF155" t="e">
        <f>AND('Planilla_General_29-11-2012_10_'!A2331,"AAAAAGrvv7s=")</f>
        <v>#VALUE!</v>
      </c>
      <c r="GG155" t="e">
        <f>AND('Planilla_General_29-11-2012_10_'!B2331,"AAAAAGrvv7w=")</f>
        <v>#VALUE!</v>
      </c>
      <c r="GH155" t="e">
        <f>AND('Planilla_General_29-11-2012_10_'!C2331,"AAAAAGrvv70=")</f>
        <v>#VALUE!</v>
      </c>
      <c r="GI155" t="e">
        <f>AND('Planilla_General_29-11-2012_10_'!D2331,"AAAAAGrvv74=")</f>
        <v>#VALUE!</v>
      </c>
      <c r="GJ155" t="e">
        <f>AND('Planilla_General_29-11-2012_10_'!E2331,"AAAAAGrvv78=")</f>
        <v>#VALUE!</v>
      </c>
      <c r="GK155" t="e">
        <f>AND('Planilla_General_29-11-2012_10_'!F2331,"AAAAAGrvv8A=")</f>
        <v>#VALUE!</v>
      </c>
      <c r="GL155" t="e">
        <f>AND('Planilla_General_29-11-2012_10_'!G2331,"AAAAAGrvv8E=")</f>
        <v>#VALUE!</v>
      </c>
      <c r="GM155" t="e">
        <f>AND('Planilla_General_29-11-2012_10_'!H2331,"AAAAAGrvv8I=")</f>
        <v>#VALUE!</v>
      </c>
      <c r="GN155" t="e">
        <f>AND('Planilla_General_29-11-2012_10_'!I2331,"AAAAAGrvv8M=")</f>
        <v>#VALUE!</v>
      </c>
      <c r="GO155" t="e">
        <f>AND('Planilla_General_29-11-2012_10_'!J2331,"AAAAAGrvv8Q=")</f>
        <v>#VALUE!</v>
      </c>
      <c r="GP155" t="e">
        <f>AND('Planilla_General_29-11-2012_10_'!K2331,"AAAAAGrvv8U=")</f>
        <v>#VALUE!</v>
      </c>
      <c r="GQ155" t="e">
        <f>AND('Planilla_General_29-11-2012_10_'!L2331,"AAAAAGrvv8Y=")</f>
        <v>#VALUE!</v>
      </c>
      <c r="GR155" t="e">
        <f>AND('Planilla_General_29-11-2012_10_'!M2331,"AAAAAGrvv8c=")</f>
        <v>#VALUE!</v>
      </c>
      <c r="GS155" t="e">
        <f>AND('Planilla_General_29-11-2012_10_'!N2331,"AAAAAGrvv8g=")</f>
        <v>#VALUE!</v>
      </c>
      <c r="GT155" t="e">
        <f>AND('Planilla_General_29-11-2012_10_'!O2331,"AAAAAGrvv8k=")</f>
        <v>#VALUE!</v>
      </c>
      <c r="GU155" t="e">
        <f>AND('Planilla_General_29-11-2012_10_'!P2331,"AAAAAGrvv8o=")</f>
        <v>#VALUE!</v>
      </c>
      <c r="GV155">
        <f>IF('Planilla_General_29-11-2012_10_'!2332:2332,"AAAAAGrvv8s=",0)</f>
        <v>0</v>
      </c>
      <c r="GW155" t="e">
        <f>AND('Planilla_General_29-11-2012_10_'!A2332,"AAAAAGrvv8w=")</f>
        <v>#VALUE!</v>
      </c>
      <c r="GX155" t="e">
        <f>AND('Planilla_General_29-11-2012_10_'!B2332,"AAAAAGrvv80=")</f>
        <v>#VALUE!</v>
      </c>
      <c r="GY155" t="e">
        <f>AND('Planilla_General_29-11-2012_10_'!C2332,"AAAAAGrvv84=")</f>
        <v>#VALUE!</v>
      </c>
      <c r="GZ155" t="e">
        <f>AND('Planilla_General_29-11-2012_10_'!D2332,"AAAAAGrvv88=")</f>
        <v>#VALUE!</v>
      </c>
      <c r="HA155" t="e">
        <f>AND('Planilla_General_29-11-2012_10_'!E2332,"AAAAAGrvv9A=")</f>
        <v>#VALUE!</v>
      </c>
      <c r="HB155" t="e">
        <f>AND('Planilla_General_29-11-2012_10_'!F2332,"AAAAAGrvv9E=")</f>
        <v>#VALUE!</v>
      </c>
      <c r="HC155" t="e">
        <f>AND('Planilla_General_29-11-2012_10_'!G2332,"AAAAAGrvv9I=")</f>
        <v>#VALUE!</v>
      </c>
      <c r="HD155" t="e">
        <f>AND('Planilla_General_29-11-2012_10_'!H2332,"AAAAAGrvv9M=")</f>
        <v>#VALUE!</v>
      </c>
      <c r="HE155" t="e">
        <f>AND('Planilla_General_29-11-2012_10_'!I2332,"AAAAAGrvv9Q=")</f>
        <v>#VALUE!</v>
      </c>
      <c r="HF155" t="e">
        <f>AND('Planilla_General_29-11-2012_10_'!J2332,"AAAAAGrvv9U=")</f>
        <v>#VALUE!</v>
      </c>
      <c r="HG155" t="e">
        <f>AND('Planilla_General_29-11-2012_10_'!K2332,"AAAAAGrvv9Y=")</f>
        <v>#VALUE!</v>
      </c>
      <c r="HH155" t="e">
        <f>AND('Planilla_General_29-11-2012_10_'!L2332,"AAAAAGrvv9c=")</f>
        <v>#VALUE!</v>
      </c>
      <c r="HI155" t="e">
        <f>AND('Planilla_General_29-11-2012_10_'!M2332,"AAAAAGrvv9g=")</f>
        <v>#VALUE!</v>
      </c>
      <c r="HJ155" t="e">
        <f>AND('Planilla_General_29-11-2012_10_'!N2332,"AAAAAGrvv9k=")</f>
        <v>#VALUE!</v>
      </c>
      <c r="HK155" t="e">
        <f>AND('Planilla_General_29-11-2012_10_'!O2332,"AAAAAGrvv9o=")</f>
        <v>#VALUE!</v>
      </c>
      <c r="HL155" t="e">
        <f>AND('Planilla_General_29-11-2012_10_'!P2332,"AAAAAGrvv9s=")</f>
        <v>#VALUE!</v>
      </c>
      <c r="HM155">
        <f>IF('Planilla_General_29-11-2012_10_'!2333:2333,"AAAAAGrvv9w=",0)</f>
        <v>0</v>
      </c>
      <c r="HN155" t="e">
        <f>AND('Planilla_General_29-11-2012_10_'!A2333,"AAAAAGrvv90=")</f>
        <v>#VALUE!</v>
      </c>
      <c r="HO155" t="e">
        <f>AND('Planilla_General_29-11-2012_10_'!B2333,"AAAAAGrvv94=")</f>
        <v>#VALUE!</v>
      </c>
      <c r="HP155" t="e">
        <f>AND('Planilla_General_29-11-2012_10_'!C2333,"AAAAAGrvv98=")</f>
        <v>#VALUE!</v>
      </c>
      <c r="HQ155" t="e">
        <f>AND('Planilla_General_29-11-2012_10_'!D2333,"AAAAAGrvv+A=")</f>
        <v>#VALUE!</v>
      </c>
      <c r="HR155" t="e">
        <f>AND('Planilla_General_29-11-2012_10_'!E2333,"AAAAAGrvv+E=")</f>
        <v>#VALUE!</v>
      </c>
      <c r="HS155" t="e">
        <f>AND('Planilla_General_29-11-2012_10_'!F2333,"AAAAAGrvv+I=")</f>
        <v>#VALUE!</v>
      </c>
      <c r="HT155" t="e">
        <f>AND('Planilla_General_29-11-2012_10_'!G2333,"AAAAAGrvv+M=")</f>
        <v>#VALUE!</v>
      </c>
      <c r="HU155" t="e">
        <f>AND('Planilla_General_29-11-2012_10_'!H2333,"AAAAAGrvv+Q=")</f>
        <v>#VALUE!</v>
      </c>
      <c r="HV155" t="e">
        <f>AND('Planilla_General_29-11-2012_10_'!I2333,"AAAAAGrvv+U=")</f>
        <v>#VALUE!</v>
      </c>
      <c r="HW155" t="e">
        <f>AND('Planilla_General_29-11-2012_10_'!J2333,"AAAAAGrvv+Y=")</f>
        <v>#VALUE!</v>
      </c>
      <c r="HX155" t="e">
        <f>AND('Planilla_General_29-11-2012_10_'!K2333,"AAAAAGrvv+c=")</f>
        <v>#VALUE!</v>
      </c>
      <c r="HY155" t="e">
        <f>AND('Planilla_General_29-11-2012_10_'!L2333,"AAAAAGrvv+g=")</f>
        <v>#VALUE!</v>
      </c>
      <c r="HZ155" t="e">
        <f>AND('Planilla_General_29-11-2012_10_'!M2333,"AAAAAGrvv+k=")</f>
        <v>#VALUE!</v>
      </c>
      <c r="IA155" t="e">
        <f>AND('Planilla_General_29-11-2012_10_'!N2333,"AAAAAGrvv+o=")</f>
        <v>#VALUE!</v>
      </c>
      <c r="IB155" t="e">
        <f>AND('Planilla_General_29-11-2012_10_'!O2333,"AAAAAGrvv+s=")</f>
        <v>#VALUE!</v>
      </c>
      <c r="IC155" t="e">
        <f>AND('Planilla_General_29-11-2012_10_'!P2333,"AAAAAGrvv+w=")</f>
        <v>#VALUE!</v>
      </c>
      <c r="ID155">
        <f>IF('Planilla_General_29-11-2012_10_'!2334:2334,"AAAAAGrvv+0=",0)</f>
        <v>0</v>
      </c>
      <c r="IE155" t="e">
        <f>AND('Planilla_General_29-11-2012_10_'!A2334,"AAAAAGrvv+4=")</f>
        <v>#VALUE!</v>
      </c>
      <c r="IF155" t="e">
        <f>AND('Planilla_General_29-11-2012_10_'!B2334,"AAAAAGrvv+8=")</f>
        <v>#VALUE!</v>
      </c>
      <c r="IG155" t="e">
        <f>AND('Planilla_General_29-11-2012_10_'!C2334,"AAAAAGrvv/A=")</f>
        <v>#VALUE!</v>
      </c>
      <c r="IH155" t="e">
        <f>AND('Planilla_General_29-11-2012_10_'!D2334,"AAAAAGrvv/E=")</f>
        <v>#VALUE!</v>
      </c>
      <c r="II155" t="e">
        <f>AND('Planilla_General_29-11-2012_10_'!E2334,"AAAAAGrvv/I=")</f>
        <v>#VALUE!</v>
      </c>
      <c r="IJ155" t="e">
        <f>AND('Planilla_General_29-11-2012_10_'!F2334,"AAAAAGrvv/M=")</f>
        <v>#VALUE!</v>
      </c>
      <c r="IK155" t="e">
        <f>AND('Planilla_General_29-11-2012_10_'!G2334,"AAAAAGrvv/Q=")</f>
        <v>#VALUE!</v>
      </c>
      <c r="IL155" t="e">
        <f>AND('Planilla_General_29-11-2012_10_'!H2334,"AAAAAGrvv/U=")</f>
        <v>#VALUE!</v>
      </c>
      <c r="IM155" t="e">
        <f>AND('Planilla_General_29-11-2012_10_'!I2334,"AAAAAGrvv/Y=")</f>
        <v>#VALUE!</v>
      </c>
      <c r="IN155" t="e">
        <f>AND('Planilla_General_29-11-2012_10_'!J2334,"AAAAAGrvv/c=")</f>
        <v>#VALUE!</v>
      </c>
      <c r="IO155" t="e">
        <f>AND('Planilla_General_29-11-2012_10_'!K2334,"AAAAAGrvv/g=")</f>
        <v>#VALUE!</v>
      </c>
      <c r="IP155" t="e">
        <f>AND('Planilla_General_29-11-2012_10_'!L2334,"AAAAAGrvv/k=")</f>
        <v>#VALUE!</v>
      </c>
      <c r="IQ155" t="e">
        <f>AND('Planilla_General_29-11-2012_10_'!M2334,"AAAAAGrvv/o=")</f>
        <v>#VALUE!</v>
      </c>
      <c r="IR155" t="e">
        <f>AND('Planilla_General_29-11-2012_10_'!N2334,"AAAAAGrvv/s=")</f>
        <v>#VALUE!</v>
      </c>
      <c r="IS155" t="e">
        <f>AND('Planilla_General_29-11-2012_10_'!O2334,"AAAAAGrvv/w=")</f>
        <v>#VALUE!</v>
      </c>
      <c r="IT155" t="e">
        <f>AND('Planilla_General_29-11-2012_10_'!P2334,"AAAAAGrvv/0=")</f>
        <v>#VALUE!</v>
      </c>
      <c r="IU155">
        <f>IF('Planilla_General_29-11-2012_10_'!2335:2335,"AAAAAGrvv/4=",0)</f>
        <v>0</v>
      </c>
      <c r="IV155" t="e">
        <f>AND('Planilla_General_29-11-2012_10_'!A2335,"AAAAAGrvv/8=")</f>
        <v>#VALUE!</v>
      </c>
    </row>
    <row r="156" spans="1:256" x14ac:dyDescent="0.25">
      <c r="A156" t="e">
        <f>AND('Planilla_General_29-11-2012_10_'!B2335,"AAAAAH7j0wA=")</f>
        <v>#VALUE!</v>
      </c>
      <c r="B156" t="e">
        <f>AND('Planilla_General_29-11-2012_10_'!C2335,"AAAAAH7j0wE=")</f>
        <v>#VALUE!</v>
      </c>
      <c r="C156" t="e">
        <f>AND('Planilla_General_29-11-2012_10_'!D2335,"AAAAAH7j0wI=")</f>
        <v>#VALUE!</v>
      </c>
      <c r="D156" t="e">
        <f>AND('Planilla_General_29-11-2012_10_'!E2335,"AAAAAH7j0wM=")</f>
        <v>#VALUE!</v>
      </c>
      <c r="E156" t="e">
        <f>AND('Planilla_General_29-11-2012_10_'!F2335,"AAAAAH7j0wQ=")</f>
        <v>#VALUE!</v>
      </c>
      <c r="F156" t="e">
        <f>AND('Planilla_General_29-11-2012_10_'!G2335,"AAAAAH7j0wU=")</f>
        <v>#VALUE!</v>
      </c>
      <c r="G156" t="e">
        <f>AND('Planilla_General_29-11-2012_10_'!H2335,"AAAAAH7j0wY=")</f>
        <v>#VALUE!</v>
      </c>
      <c r="H156" t="e">
        <f>AND('Planilla_General_29-11-2012_10_'!I2335,"AAAAAH7j0wc=")</f>
        <v>#VALUE!</v>
      </c>
      <c r="I156" t="e">
        <f>AND('Planilla_General_29-11-2012_10_'!J2335,"AAAAAH7j0wg=")</f>
        <v>#VALUE!</v>
      </c>
      <c r="J156" t="e">
        <f>AND('Planilla_General_29-11-2012_10_'!K2335,"AAAAAH7j0wk=")</f>
        <v>#VALUE!</v>
      </c>
      <c r="K156" t="e">
        <f>AND('Planilla_General_29-11-2012_10_'!L2335,"AAAAAH7j0wo=")</f>
        <v>#VALUE!</v>
      </c>
      <c r="L156" t="e">
        <f>AND('Planilla_General_29-11-2012_10_'!M2335,"AAAAAH7j0ws=")</f>
        <v>#VALUE!</v>
      </c>
      <c r="M156" t="e">
        <f>AND('Planilla_General_29-11-2012_10_'!N2335,"AAAAAH7j0ww=")</f>
        <v>#VALUE!</v>
      </c>
      <c r="N156" t="e">
        <f>AND('Planilla_General_29-11-2012_10_'!O2335,"AAAAAH7j0w0=")</f>
        <v>#VALUE!</v>
      </c>
      <c r="O156" t="e">
        <f>AND('Planilla_General_29-11-2012_10_'!P2335,"AAAAAH7j0w4=")</f>
        <v>#VALUE!</v>
      </c>
      <c r="P156">
        <f>IF('Planilla_General_29-11-2012_10_'!2336:2336,"AAAAAH7j0w8=",0)</f>
        <v>0</v>
      </c>
      <c r="Q156" t="e">
        <f>AND('Planilla_General_29-11-2012_10_'!A2336,"AAAAAH7j0xA=")</f>
        <v>#VALUE!</v>
      </c>
      <c r="R156" t="e">
        <f>AND('Planilla_General_29-11-2012_10_'!B2336,"AAAAAH7j0xE=")</f>
        <v>#VALUE!</v>
      </c>
      <c r="S156" t="e">
        <f>AND('Planilla_General_29-11-2012_10_'!C2336,"AAAAAH7j0xI=")</f>
        <v>#VALUE!</v>
      </c>
      <c r="T156" t="e">
        <f>AND('Planilla_General_29-11-2012_10_'!D2336,"AAAAAH7j0xM=")</f>
        <v>#VALUE!</v>
      </c>
      <c r="U156" t="e">
        <f>AND('Planilla_General_29-11-2012_10_'!E2336,"AAAAAH7j0xQ=")</f>
        <v>#VALUE!</v>
      </c>
      <c r="V156" t="e">
        <f>AND('Planilla_General_29-11-2012_10_'!F2336,"AAAAAH7j0xU=")</f>
        <v>#VALUE!</v>
      </c>
      <c r="W156" t="e">
        <f>AND('Planilla_General_29-11-2012_10_'!G2336,"AAAAAH7j0xY=")</f>
        <v>#VALUE!</v>
      </c>
      <c r="X156" t="e">
        <f>AND('Planilla_General_29-11-2012_10_'!H2336,"AAAAAH7j0xc=")</f>
        <v>#VALUE!</v>
      </c>
      <c r="Y156" t="e">
        <f>AND('Planilla_General_29-11-2012_10_'!I2336,"AAAAAH7j0xg=")</f>
        <v>#VALUE!</v>
      </c>
      <c r="Z156" t="e">
        <f>AND('Planilla_General_29-11-2012_10_'!J2336,"AAAAAH7j0xk=")</f>
        <v>#VALUE!</v>
      </c>
      <c r="AA156" t="e">
        <f>AND('Planilla_General_29-11-2012_10_'!K2336,"AAAAAH7j0xo=")</f>
        <v>#VALUE!</v>
      </c>
      <c r="AB156" t="e">
        <f>AND('Planilla_General_29-11-2012_10_'!L2336,"AAAAAH7j0xs=")</f>
        <v>#VALUE!</v>
      </c>
      <c r="AC156" t="e">
        <f>AND('Planilla_General_29-11-2012_10_'!M2336,"AAAAAH7j0xw=")</f>
        <v>#VALUE!</v>
      </c>
      <c r="AD156" t="e">
        <f>AND('Planilla_General_29-11-2012_10_'!N2336,"AAAAAH7j0x0=")</f>
        <v>#VALUE!</v>
      </c>
      <c r="AE156" t="e">
        <f>AND('Planilla_General_29-11-2012_10_'!O2336,"AAAAAH7j0x4=")</f>
        <v>#VALUE!</v>
      </c>
      <c r="AF156" t="e">
        <f>AND('Planilla_General_29-11-2012_10_'!P2336,"AAAAAH7j0x8=")</f>
        <v>#VALUE!</v>
      </c>
      <c r="AG156">
        <f>IF('Planilla_General_29-11-2012_10_'!2337:2337,"AAAAAH7j0yA=",0)</f>
        <v>0</v>
      </c>
      <c r="AH156" t="e">
        <f>AND('Planilla_General_29-11-2012_10_'!A2337,"AAAAAH7j0yE=")</f>
        <v>#VALUE!</v>
      </c>
      <c r="AI156" t="e">
        <f>AND('Planilla_General_29-11-2012_10_'!B2337,"AAAAAH7j0yI=")</f>
        <v>#VALUE!</v>
      </c>
      <c r="AJ156" t="e">
        <f>AND('Planilla_General_29-11-2012_10_'!C2337,"AAAAAH7j0yM=")</f>
        <v>#VALUE!</v>
      </c>
      <c r="AK156" t="e">
        <f>AND('Planilla_General_29-11-2012_10_'!D2337,"AAAAAH7j0yQ=")</f>
        <v>#VALUE!</v>
      </c>
      <c r="AL156" t="e">
        <f>AND('Planilla_General_29-11-2012_10_'!E2337,"AAAAAH7j0yU=")</f>
        <v>#VALUE!</v>
      </c>
      <c r="AM156" t="e">
        <f>AND('Planilla_General_29-11-2012_10_'!F2337,"AAAAAH7j0yY=")</f>
        <v>#VALUE!</v>
      </c>
      <c r="AN156" t="e">
        <f>AND('Planilla_General_29-11-2012_10_'!G2337,"AAAAAH7j0yc=")</f>
        <v>#VALUE!</v>
      </c>
      <c r="AO156" t="e">
        <f>AND('Planilla_General_29-11-2012_10_'!H2337,"AAAAAH7j0yg=")</f>
        <v>#VALUE!</v>
      </c>
      <c r="AP156" t="e">
        <f>AND('Planilla_General_29-11-2012_10_'!I2337,"AAAAAH7j0yk=")</f>
        <v>#VALUE!</v>
      </c>
      <c r="AQ156" t="e">
        <f>AND('Planilla_General_29-11-2012_10_'!J2337,"AAAAAH7j0yo=")</f>
        <v>#VALUE!</v>
      </c>
      <c r="AR156" t="e">
        <f>AND('Planilla_General_29-11-2012_10_'!K2337,"AAAAAH7j0ys=")</f>
        <v>#VALUE!</v>
      </c>
      <c r="AS156" t="e">
        <f>AND('Planilla_General_29-11-2012_10_'!L2337,"AAAAAH7j0yw=")</f>
        <v>#VALUE!</v>
      </c>
      <c r="AT156" t="e">
        <f>AND('Planilla_General_29-11-2012_10_'!M2337,"AAAAAH7j0y0=")</f>
        <v>#VALUE!</v>
      </c>
      <c r="AU156" t="e">
        <f>AND('Planilla_General_29-11-2012_10_'!N2337,"AAAAAH7j0y4=")</f>
        <v>#VALUE!</v>
      </c>
      <c r="AV156" t="e">
        <f>AND('Planilla_General_29-11-2012_10_'!O2337,"AAAAAH7j0y8=")</f>
        <v>#VALUE!</v>
      </c>
      <c r="AW156" t="e">
        <f>AND('Planilla_General_29-11-2012_10_'!P2337,"AAAAAH7j0zA=")</f>
        <v>#VALUE!</v>
      </c>
      <c r="AX156">
        <f>IF('Planilla_General_29-11-2012_10_'!2338:2338,"AAAAAH7j0zE=",0)</f>
        <v>0</v>
      </c>
      <c r="AY156" t="e">
        <f>AND('Planilla_General_29-11-2012_10_'!A2338,"AAAAAH7j0zI=")</f>
        <v>#VALUE!</v>
      </c>
      <c r="AZ156" t="e">
        <f>AND('Planilla_General_29-11-2012_10_'!B2338,"AAAAAH7j0zM=")</f>
        <v>#VALUE!</v>
      </c>
      <c r="BA156" t="e">
        <f>AND('Planilla_General_29-11-2012_10_'!C2338,"AAAAAH7j0zQ=")</f>
        <v>#VALUE!</v>
      </c>
      <c r="BB156" t="e">
        <f>AND('Planilla_General_29-11-2012_10_'!D2338,"AAAAAH7j0zU=")</f>
        <v>#VALUE!</v>
      </c>
      <c r="BC156" t="e">
        <f>AND('Planilla_General_29-11-2012_10_'!E2338,"AAAAAH7j0zY=")</f>
        <v>#VALUE!</v>
      </c>
      <c r="BD156" t="e">
        <f>AND('Planilla_General_29-11-2012_10_'!F2338,"AAAAAH7j0zc=")</f>
        <v>#VALUE!</v>
      </c>
      <c r="BE156" t="e">
        <f>AND('Planilla_General_29-11-2012_10_'!G2338,"AAAAAH7j0zg=")</f>
        <v>#VALUE!</v>
      </c>
      <c r="BF156" t="e">
        <f>AND('Planilla_General_29-11-2012_10_'!H2338,"AAAAAH7j0zk=")</f>
        <v>#VALUE!</v>
      </c>
      <c r="BG156" t="e">
        <f>AND('Planilla_General_29-11-2012_10_'!I2338,"AAAAAH7j0zo=")</f>
        <v>#VALUE!</v>
      </c>
      <c r="BH156" t="e">
        <f>AND('Planilla_General_29-11-2012_10_'!J2338,"AAAAAH7j0zs=")</f>
        <v>#VALUE!</v>
      </c>
      <c r="BI156" t="e">
        <f>AND('Planilla_General_29-11-2012_10_'!K2338,"AAAAAH7j0zw=")</f>
        <v>#VALUE!</v>
      </c>
      <c r="BJ156" t="e">
        <f>AND('Planilla_General_29-11-2012_10_'!L2338,"AAAAAH7j0z0=")</f>
        <v>#VALUE!</v>
      </c>
      <c r="BK156" t="e">
        <f>AND('Planilla_General_29-11-2012_10_'!M2338,"AAAAAH7j0z4=")</f>
        <v>#VALUE!</v>
      </c>
      <c r="BL156" t="e">
        <f>AND('Planilla_General_29-11-2012_10_'!N2338,"AAAAAH7j0z8=")</f>
        <v>#VALUE!</v>
      </c>
      <c r="BM156" t="e">
        <f>AND('Planilla_General_29-11-2012_10_'!O2338,"AAAAAH7j00A=")</f>
        <v>#VALUE!</v>
      </c>
      <c r="BN156" t="e">
        <f>AND('Planilla_General_29-11-2012_10_'!P2338,"AAAAAH7j00E=")</f>
        <v>#VALUE!</v>
      </c>
      <c r="BO156">
        <f>IF('Planilla_General_29-11-2012_10_'!2339:2339,"AAAAAH7j00I=",0)</f>
        <v>0</v>
      </c>
      <c r="BP156" t="e">
        <f>AND('Planilla_General_29-11-2012_10_'!A2339,"AAAAAH7j00M=")</f>
        <v>#VALUE!</v>
      </c>
      <c r="BQ156" t="e">
        <f>AND('Planilla_General_29-11-2012_10_'!B2339,"AAAAAH7j00Q=")</f>
        <v>#VALUE!</v>
      </c>
      <c r="BR156" t="e">
        <f>AND('Planilla_General_29-11-2012_10_'!C2339,"AAAAAH7j00U=")</f>
        <v>#VALUE!</v>
      </c>
      <c r="BS156" t="e">
        <f>AND('Planilla_General_29-11-2012_10_'!D2339,"AAAAAH7j00Y=")</f>
        <v>#VALUE!</v>
      </c>
      <c r="BT156" t="e">
        <f>AND('Planilla_General_29-11-2012_10_'!E2339,"AAAAAH7j00c=")</f>
        <v>#VALUE!</v>
      </c>
      <c r="BU156" t="e">
        <f>AND('Planilla_General_29-11-2012_10_'!F2339,"AAAAAH7j00g=")</f>
        <v>#VALUE!</v>
      </c>
      <c r="BV156" t="e">
        <f>AND('Planilla_General_29-11-2012_10_'!G2339,"AAAAAH7j00k=")</f>
        <v>#VALUE!</v>
      </c>
      <c r="BW156" t="e">
        <f>AND('Planilla_General_29-11-2012_10_'!H2339,"AAAAAH7j00o=")</f>
        <v>#VALUE!</v>
      </c>
      <c r="BX156" t="e">
        <f>AND('Planilla_General_29-11-2012_10_'!I2339,"AAAAAH7j00s=")</f>
        <v>#VALUE!</v>
      </c>
      <c r="BY156" t="e">
        <f>AND('Planilla_General_29-11-2012_10_'!J2339,"AAAAAH7j00w=")</f>
        <v>#VALUE!</v>
      </c>
      <c r="BZ156" t="e">
        <f>AND('Planilla_General_29-11-2012_10_'!K2339,"AAAAAH7j000=")</f>
        <v>#VALUE!</v>
      </c>
      <c r="CA156" t="e">
        <f>AND('Planilla_General_29-11-2012_10_'!L2339,"AAAAAH7j004=")</f>
        <v>#VALUE!</v>
      </c>
      <c r="CB156" t="e">
        <f>AND('Planilla_General_29-11-2012_10_'!M2339,"AAAAAH7j008=")</f>
        <v>#VALUE!</v>
      </c>
      <c r="CC156" t="e">
        <f>AND('Planilla_General_29-11-2012_10_'!N2339,"AAAAAH7j01A=")</f>
        <v>#VALUE!</v>
      </c>
      <c r="CD156" t="e">
        <f>AND('Planilla_General_29-11-2012_10_'!O2339,"AAAAAH7j01E=")</f>
        <v>#VALUE!</v>
      </c>
      <c r="CE156" t="e">
        <f>AND('Planilla_General_29-11-2012_10_'!P2339,"AAAAAH7j01I=")</f>
        <v>#VALUE!</v>
      </c>
      <c r="CF156">
        <f>IF('Planilla_General_29-11-2012_10_'!2340:2340,"AAAAAH7j01M=",0)</f>
        <v>0</v>
      </c>
      <c r="CG156" t="e">
        <f>AND('Planilla_General_29-11-2012_10_'!A2340,"AAAAAH7j01Q=")</f>
        <v>#VALUE!</v>
      </c>
      <c r="CH156" t="e">
        <f>AND('Planilla_General_29-11-2012_10_'!B2340,"AAAAAH7j01U=")</f>
        <v>#VALUE!</v>
      </c>
      <c r="CI156" t="e">
        <f>AND('Planilla_General_29-11-2012_10_'!C2340,"AAAAAH7j01Y=")</f>
        <v>#VALUE!</v>
      </c>
      <c r="CJ156" t="e">
        <f>AND('Planilla_General_29-11-2012_10_'!D2340,"AAAAAH7j01c=")</f>
        <v>#VALUE!</v>
      </c>
      <c r="CK156" t="e">
        <f>AND('Planilla_General_29-11-2012_10_'!E2340,"AAAAAH7j01g=")</f>
        <v>#VALUE!</v>
      </c>
      <c r="CL156" t="e">
        <f>AND('Planilla_General_29-11-2012_10_'!F2340,"AAAAAH7j01k=")</f>
        <v>#VALUE!</v>
      </c>
      <c r="CM156" t="e">
        <f>AND('Planilla_General_29-11-2012_10_'!G2340,"AAAAAH7j01o=")</f>
        <v>#VALUE!</v>
      </c>
      <c r="CN156" t="e">
        <f>AND('Planilla_General_29-11-2012_10_'!H2340,"AAAAAH7j01s=")</f>
        <v>#VALUE!</v>
      </c>
      <c r="CO156" t="e">
        <f>AND('Planilla_General_29-11-2012_10_'!I2340,"AAAAAH7j01w=")</f>
        <v>#VALUE!</v>
      </c>
      <c r="CP156" t="e">
        <f>AND('Planilla_General_29-11-2012_10_'!J2340,"AAAAAH7j010=")</f>
        <v>#VALUE!</v>
      </c>
      <c r="CQ156" t="e">
        <f>AND('Planilla_General_29-11-2012_10_'!K2340,"AAAAAH7j014=")</f>
        <v>#VALUE!</v>
      </c>
      <c r="CR156" t="e">
        <f>AND('Planilla_General_29-11-2012_10_'!L2340,"AAAAAH7j018=")</f>
        <v>#VALUE!</v>
      </c>
      <c r="CS156" t="e">
        <f>AND('Planilla_General_29-11-2012_10_'!M2340,"AAAAAH7j02A=")</f>
        <v>#VALUE!</v>
      </c>
      <c r="CT156" t="e">
        <f>AND('Planilla_General_29-11-2012_10_'!N2340,"AAAAAH7j02E=")</f>
        <v>#VALUE!</v>
      </c>
      <c r="CU156" t="e">
        <f>AND('Planilla_General_29-11-2012_10_'!O2340,"AAAAAH7j02I=")</f>
        <v>#VALUE!</v>
      </c>
      <c r="CV156" t="e">
        <f>AND('Planilla_General_29-11-2012_10_'!P2340,"AAAAAH7j02M=")</f>
        <v>#VALUE!</v>
      </c>
      <c r="CW156">
        <f>IF('Planilla_General_29-11-2012_10_'!2341:2341,"AAAAAH7j02Q=",0)</f>
        <v>0</v>
      </c>
      <c r="CX156" t="e">
        <f>AND('Planilla_General_29-11-2012_10_'!A2341,"AAAAAH7j02U=")</f>
        <v>#VALUE!</v>
      </c>
      <c r="CY156" t="e">
        <f>AND('Planilla_General_29-11-2012_10_'!B2341,"AAAAAH7j02Y=")</f>
        <v>#VALUE!</v>
      </c>
      <c r="CZ156" t="e">
        <f>AND('Planilla_General_29-11-2012_10_'!C2341,"AAAAAH7j02c=")</f>
        <v>#VALUE!</v>
      </c>
      <c r="DA156" t="e">
        <f>AND('Planilla_General_29-11-2012_10_'!D2341,"AAAAAH7j02g=")</f>
        <v>#VALUE!</v>
      </c>
      <c r="DB156" t="e">
        <f>AND('Planilla_General_29-11-2012_10_'!E2341,"AAAAAH7j02k=")</f>
        <v>#VALUE!</v>
      </c>
      <c r="DC156" t="e">
        <f>AND('Planilla_General_29-11-2012_10_'!F2341,"AAAAAH7j02o=")</f>
        <v>#VALUE!</v>
      </c>
      <c r="DD156" t="e">
        <f>AND('Planilla_General_29-11-2012_10_'!G2341,"AAAAAH7j02s=")</f>
        <v>#VALUE!</v>
      </c>
      <c r="DE156" t="e">
        <f>AND('Planilla_General_29-11-2012_10_'!H2341,"AAAAAH7j02w=")</f>
        <v>#VALUE!</v>
      </c>
      <c r="DF156" t="e">
        <f>AND('Planilla_General_29-11-2012_10_'!I2341,"AAAAAH7j020=")</f>
        <v>#VALUE!</v>
      </c>
      <c r="DG156" t="e">
        <f>AND('Planilla_General_29-11-2012_10_'!J2341,"AAAAAH7j024=")</f>
        <v>#VALUE!</v>
      </c>
      <c r="DH156" t="e">
        <f>AND('Planilla_General_29-11-2012_10_'!K2341,"AAAAAH7j028=")</f>
        <v>#VALUE!</v>
      </c>
      <c r="DI156" t="e">
        <f>AND('Planilla_General_29-11-2012_10_'!L2341,"AAAAAH7j03A=")</f>
        <v>#VALUE!</v>
      </c>
      <c r="DJ156" t="e">
        <f>AND('Planilla_General_29-11-2012_10_'!M2341,"AAAAAH7j03E=")</f>
        <v>#VALUE!</v>
      </c>
      <c r="DK156" t="e">
        <f>AND('Planilla_General_29-11-2012_10_'!N2341,"AAAAAH7j03I=")</f>
        <v>#VALUE!</v>
      </c>
      <c r="DL156" t="e">
        <f>AND('Planilla_General_29-11-2012_10_'!O2341,"AAAAAH7j03M=")</f>
        <v>#VALUE!</v>
      </c>
      <c r="DM156" t="e">
        <f>AND('Planilla_General_29-11-2012_10_'!P2341,"AAAAAH7j03Q=")</f>
        <v>#VALUE!</v>
      </c>
      <c r="DN156">
        <f>IF('Planilla_General_29-11-2012_10_'!2342:2342,"AAAAAH7j03U=",0)</f>
        <v>0</v>
      </c>
      <c r="DO156" t="e">
        <f>AND('Planilla_General_29-11-2012_10_'!A2342,"AAAAAH7j03Y=")</f>
        <v>#VALUE!</v>
      </c>
      <c r="DP156" t="e">
        <f>AND('Planilla_General_29-11-2012_10_'!B2342,"AAAAAH7j03c=")</f>
        <v>#VALUE!</v>
      </c>
      <c r="DQ156" t="e">
        <f>AND('Planilla_General_29-11-2012_10_'!C2342,"AAAAAH7j03g=")</f>
        <v>#VALUE!</v>
      </c>
      <c r="DR156" t="e">
        <f>AND('Planilla_General_29-11-2012_10_'!D2342,"AAAAAH7j03k=")</f>
        <v>#VALUE!</v>
      </c>
      <c r="DS156" t="e">
        <f>AND('Planilla_General_29-11-2012_10_'!E2342,"AAAAAH7j03o=")</f>
        <v>#VALUE!</v>
      </c>
      <c r="DT156" t="e">
        <f>AND('Planilla_General_29-11-2012_10_'!F2342,"AAAAAH7j03s=")</f>
        <v>#VALUE!</v>
      </c>
      <c r="DU156" t="e">
        <f>AND('Planilla_General_29-11-2012_10_'!G2342,"AAAAAH7j03w=")</f>
        <v>#VALUE!</v>
      </c>
      <c r="DV156" t="e">
        <f>AND('Planilla_General_29-11-2012_10_'!H2342,"AAAAAH7j030=")</f>
        <v>#VALUE!</v>
      </c>
      <c r="DW156" t="e">
        <f>AND('Planilla_General_29-11-2012_10_'!I2342,"AAAAAH7j034=")</f>
        <v>#VALUE!</v>
      </c>
      <c r="DX156" t="e">
        <f>AND('Planilla_General_29-11-2012_10_'!J2342,"AAAAAH7j038=")</f>
        <v>#VALUE!</v>
      </c>
      <c r="DY156" t="e">
        <f>AND('Planilla_General_29-11-2012_10_'!K2342,"AAAAAH7j04A=")</f>
        <v>#VALUE!</v>
      </c>
      <c r="DZ156" t="e">
        <f>AND('Planilla_General_29-11-2012_10_'!L2342,"AAAAAH7j04E=")</f>
        <v>#VALUE!</v>
      </c>
      <c r="EA156" t="e">
        <f>AND('Planilla_General_29-11-2012_10_'!M2342,"AAAAAH7j04I=")</f>
        <v>#VALUE!</v>
      </c>
      <c r="EB156" t="e">
        <f>AND('Planilla_General_29-11-2012_10_'!N2342,"AAAAAH7j04M=")</f>
        <v>#VALUE!</v>
      </c>
      <c r="EC156" t="e">
        <f>AND('Planilla_General_29-11-2012_10_'!O2342,"AAAAAH7j04Q=")</f>
        <v>#VALUE!</v>
      </c>
      <c r="ED156" t="e">
        <f>AND('Planilla_General_29-11-2012_10_'!P2342,"AAAAAH7j04U=")</f>
        <v>#VALUE!</v>
      </c>
      <c r="EE156">
        <f>IF('Planilla_General_29-11-2012_10_'!2343:2343,"AAAAAH7j04Y=",0)</f>
        <v>0</v>
      </c>
      <c r="EF156" t="e">
        <f>AND('Planilla_General_29-11-2012_10_'!A2343,"AAAAAH7j04c=")</f>
        <v>#VALUE!</v>
      </c>
      <c r="EG156" t="e">
        <f>AND('Planilla_General_29-11-2012_10_'!B2343,"AAAAAH7j04g=")</f>
        <v>#VALUE!</v>
      </c>
      <c r="EH156" t="e">
        <f>AND('Planilla_General_29-11-2012_10_'!C2343,"AAAAAH7j04k=")</f>
        <v>#VALUE!</v>
      </c>
      <c r="EI156" t="e">
        <f>AND('Planilla_General_29-11-2012_10_'!D2343,"AAAAAH7j04o=")</f>
        <v>#VALUE!</v>
      </c>
      <c r="EJ156" t="e">
        <f>AND('Planilla_General_29-11-2012_10_'!E2343,"AAAAAH7j04s=")</f>
        <v>#VALUE!</v>
      </c>
      <c r="EK156" t="e">
        <f>AND('Planilla_General_29-11-2012_10_'!F2343,"AAAAAH7j04w=")</f>
        <v>#VALUE!</v>
      </c>
      <c r="EL156" t="e">
        <f>AND('Planilla_General_29-11-2012_10_'!G2343,"AAAAAH7j040=")</f>
        <v>#VALUE!</v>
      </c>
      <c r="EM156" t="e">
        <f>AND('Planilla_General_29-11-2012_10_'!H2343,"AAAAAH7j044=")</f>
        <v>#VALUE!</v>
      </c>
      <c r="EN156" t="e">
        <f>AND('Planilla_General_29-11-2012_10_'!I2343,"AAAAAH7j048=")</f>
        <v>#VALUE!</v>
      </c>
      <c r="EO156" t="e">
        <f>AND('Planilla_General_29-11-2012_10_'!J2343,"AAAAAH7j05A=")</f>
        <v>#VALUE!</v>
      </c>
      <c r="EP156" t="e">
        <f>AND('Planilla_General_29-11-2012_10_'!K2343,"AAAAAH7j05E=")</f>
        <v>#VALUE!</v>
      </c>
      <c r="EQ156" t="e">
        <f>AND('Planilla_General_29-11-2012_10_'!L2343,"AAAAAH7j05I=")</f>
        <v>#VALUE!</v>
      </c>
      <c r="ER156" t="e">
        <f>AND('Planilla_General_29-11-2012_10_'!M2343,"AAAAAH7j05M=")</f>
        <v>#VALUE!</v>
      </c>
      <c r="ES156" t="e">
        <f>AND('Planilla_General_29-11-2012_10_'!N2343,"AAAAAH7j05Q=")</f>
        <v>#VALUE!</v>
      </c>
      <c r="ET156" t="e">
        <f>AND('Planilla_General_29-11-2012_10_'!O2343,"AAAAAH7j05U=")</f>
        <v>#VALUE!</v>
      </c>
      <c r="EU156" t="e">
        <f>AND('Planilla_General_29-11-2012_10_'!P2343,"AAAAAH7j05Y=")</f>
        <v>#VALUE!</v>
      </c>
      <c r="EV156">
        <f>IF('Planilla_General_29-11-2012_10_'!2344:2344,"AAAAAH7j05c=",0)</f>
        <v>0</v>
      </c>
      <c r="EW156" t="e">
        <f>AND('Planilla_General_29-11-2012_10_'!A2344,"AAAAAH7j05g=")</f>
        <v>#VALUE!</v>
      </c>
      <c r="EX156" t="e">
        <f>AND('Planilla_General_29-11-2012_10_'!B2344,"AAAAAH7j05k=")</f>
        <v>#VALUE!</v>
      </c>
      <c r="EY156" t="e">
        <f>AND('Planilla_General_29-11-2012_10_'!C2344,"AAAAAH7j05o=")</f>
        <v>#VALUE!</v>
      </c>
      <c r="EZ156" t="e">
        <f>AND('Planilla_General_29-11-2012_10_'!D2344,"AAAAAH7j05s=")</f>
        <v>#VALUE!</v>
      </c>
      <c r="FA156" t="e">
        <f>AND('Planilla_General_29-11-2012_10_'!E2344,"AAAAAH7j05w=")</f>
        <v>#VALUE!</v>
      </c>
      <c r="FB156" t="e">
        <f>AND('Planilla_General_29-11-2012_10_'!F2344,"AAAAAH7j050=")</f>
        <v>#VALUE!</v>
      </c>
      <c r="FC156" t="e">
        <f>AND('Planilla_General_29-11-2012_10_'!G2344,"AAAAAH7j054=")</f>
        <v>#VALUE!</v>
      </c>
      <c r="FD156" t="e">
        <f>AND('Planilla_General_29-11-2012_10_'!H2344,"AAAAAH7j058=")</f>
        <v>#VALUE!</v>
      </c>
      <c r="FE156" t="e">
        <f>AND('Planilla_General_29-11-2012_10_'!I2344,"AAAAAH7j06A=")</f>
        <v>#VALUE!</v>
      </c>
      <c r="FF156" t="e">
        <f>AND('Planilla_General_29-11-2012_10_'!J2344,"AAAAAH7j06E=")</f>
        <v>#VALUE!</v>
      </c>
      <c r="FG156" t="e">
        <f>AND('Planilla_General_29-11-2012_10_'!K2344,"AAAAAH7j06I=")</f>
        <v>#VALUE!</v>
      </c>
      <c r="FH156" t="e">
        <f>AND('Planilla_General_29-11-2012_10_'!L2344,"AAAAAH7j06M=")</f>
        <v>#VALUE!</v>
      </c>
      <c r="FI156" t="e">
        <f>AND('Planilla_General_29-11-2012_10_'!M2344,"AAAAAH7j06Q=")</f>
        <v>#VALUE!</v>
      </c>
      <c r="FJ156" t="e">
        <f>AND('Planilla_General_29-11-2012_10_'!N2344,"AAAAAH7j06U=")</f>
        <v>#VALUE!</v>
      </c>
      <c r="FK156" t="e">
        <f>AND('Planilla_General_29-11-2012_10_'!O2344,"AAAAAH7j06Y=")</f>
        <v>#VALUE!</v>
      </c>
      <c r="FL156" t="e">
        <f>AND('Planilla_General_29-11-2012_10_'!P2344,"AAAAAH7j06c=")</f>
        <v>#VALUE!</v>
      </c>
      <c r="FM156">
        <f>IF('Planilla_General_29-11-2012_10_'!2345:2345,"AAAAAH7j06g=",0)</f>
        <v>0</v>
      </c>
      <c r="FN156" t="e">
        <f>AND('Planilla_General_29-11-2012_10_'!A2345,"AAAAAH7j06k=")</f>
        <v>#VALUE!</v>
      </c>
      <c r="FO156" t="e">
        <f>AND('Planilla_General_29-11-2012_10_'!B2345,"AAAAAH7j06o=")</f>
        <v>#VALUE!</v>
      </c>
      <c r="FP156" t="e">
        <f>AND('Planilla_General_29-11-2012_10_'!C2345,"AAAAAH7j06s=")</f>
        <v>#VALUE!</v>
      </c>
      <c r="FQ156" t="e">
        <f>AND('Planilla_General_29-11-2012_10_'!D2345,"AAAAAH7j06w=")</f>
        <v>#VALUE!</v>
      </c>
      <c r="FR156" t="e">
        <f>AND('Planilla_General_29-11-2012_10_'!E2345,"AAAAAH7j060=")</f>
        <v>#VALUE!</v>
      </c>
      <c r="FS156" t="e">
        <f>AND('Planilla_General_29-11-2012_10_'!F2345,"AAAAAH7j064=")</f>
        <v>#VALUE!</v>
      </c>
      <c r="FT156" t="e">
        <f>AND('Planilla_General_29-11-2012_10_'!G2345,"AAAAAH7j068=")</f>
        <v>#VALUE!</v>
      </c>
      <c r="FU156" t="e">
        <f>AND('Planilla_General_29-11-2012_10_'!H2345,"AAAAAH7j07A=")</f>
        <v>#VALUE!</v>
      </c>
      <c r="FV156" t="e">
        <f>AND('Planilla_General_29-11-2012_10_'!I2345,"AAAAAH7j07E=")</f>
        <v>#VALUE!</v>
      </c>
      <c r="FW156" t="e">
        <f>AND('Planilla_General_29-11-2012_10_'!J2345,"AAAAAH7j07I=")</f>
        <v>#VALUE!</v>
      </c>
      <c r="FX156" t="e">
        <f>AND('Planilla_General_29-11-2012_10_'!K2345,"AAAAAH7j07M=")</f>
        <v>#VALUE!</v>
      </c>
      <c r="FY156" t="e">
        <f>AND('Planilla_General_29-11-2012_10_'!L2345,"AAAAAH7j07Q=")</f>
        <v>#VALUE!</v>
      </c>
      <c r="FZ156" t="e">
        <f>AND('Planilla_General_29-11-2012_10_'!M2345,"AAAAAH7j07U=")</f>
        <v>#VALUE!</v>
      </c>
      <c r="GA156" t="e">
        <f>AND('Planilla_General_29-11-2012_10_'!N2345,"AAAAAH7j07Y=")</f>
        <v>#VALUE!</v>
      </c>
      <c r="GB156" t="e">
        <f>AND('Planilla_General_29-11-2012_10_'!O2345,"AAAAAH7j07c=")</f>
        <v>#VALUE!</v>
      </c>
      <c r="GC156" t="e">
        <f>AND('Planilla_General_29-11-2012_10_'!P2345,"AAAAAH7j07g=")</f>
        <v>#VALUE!</v>
      </c>
      <c r="GD156">
        <f>IF('Planilla_General_29-11-2012_10_'!2346:2346,"AAAAAH7j07k=",0)</f>
        <v>0</v>
      </c>
      <c r="GE156" t="e">
        <f>AND('Planilla_General_29-11-2012_10_'!A2346,"AAAAAH7j07o=")</f>
        <v>#VALUE!</v>
      </c>
      <c r="GF156" t="e">
        <f>AND('Planilla_General_29-11-2012_10_'!B2346,"AAAAAH7j07s=")</f>
        <v>#VALUE!</v>
      </c>
      <c r="GG156" t="e">
        <f>AND('Planilla_General_29-11-2012_10_'!C2346,"AAAAAH7j07w=")</f>
        <v>#VALUE!</v>
      </c>
      <c r="GH156" t="e">
        <f>AND('Planilla_General_29-11-2012_10_'!D2346,"AAAAAH7j070=")</f>
        <v>#VALUE!</v>
      </c>
      <c r="GI156" t="e">
        <f>AND('Planilla_General_29-11-2012_10_'!E2346,"AAAAAH7j074=")</f>
        <v>#VALUE!</v>
      </c>
      <c r="GJ156" t="e">
        <f>AND('Planilla_General_29-11-2012_10_'!F2346,"AAAAAH7j078=")</f>
        <v>#VALUE!</v>
      </c>
      <c r="GK156" t="e">
        <f>AND('Planilla_General_29-11-2012_10_'!G2346,"AAAAAH7j08A=")</f>
        <v>#VALUE!</v>
      </c>
      <c r="GL156" t="e">
        <f>AND('Planilla_General_29-11-2012_10_'!H2346,"AAAAAH7j08E=")</f>
        <v>#VALUE!</v>
      </c>
      <c r="GM156" t="e">
        <f>AND('Planilla_General_29-11-2012_10_'!I2346,"AAAAAH7j08I=")</f>
        <v>#VALUE!</v>
      </c>
      <c r="GN156" t="e">
        <f>AND('Planilla_General_29-11-2012_10_'!J2346,"AAAAAH7j08M=")</f>
        <v>#VALUE!</v>
      </c>
      <c r="GO156" t="e">
        <f>AND('Planilla_General_29-11-2012_10_'!K2346,"AAAAAH7j08Q=")</f>
        <v>#VALUE!</v>
      </c>
      <c r="GP156" t="e">
        <f>AND('Planilla_General_29-11-2012_10_'!L2346,"AAAAAH7j08U=")</f>
        <v>#VALUE!</v>
      </c>
      <c r="GQ156" t="e">
        <f>AND('Planilla_General_29-11-2012_10_'!M2346,"AAAAAH7j08Y=")</f>
        <v>#VALUE!</v>
      </c>
      <c r="GR156" t="e">
        <f>AND('Planilla_General_29-11-2012_10_'!N2346,"AAAAAH7j08c=")</f>
        <v>#VALUE!</v>
      </c>
      <c r="GS156" t="e">
        <f>AND('Planilla_General_29-11-2012_10_'!O2346,"AAAAAH7j08g=")</f>
        <v>#VALUE!</v>
      </c>
      <c r="GT156" t="e">
        <f>AND('Planilla_General_29-11-2012_10_'!P2346,"AAAAAH7j08k=")</f>
        <v>#VALUE!</v>
      </c>
      <c r="GU156">
        <f>IF('Planilla_General_29-11-2012_10_'!2347:2347,"AAAAAH7j08o=",0)</f>
        <v>0</v>
      </c>
      <c r="GV156" t="e">
        <f>AND('Planilla_General_29-11-2012_10_'!A2347,"AAAAAH7j08s=")</f>
        <v>#VALUE!</v>
      </c>
      <c r="GW156" t="e">
        <f>AND('Planilla_General_29-11-2012_10_'!B2347,"AAAAAH7j08w=")</f>
        <v>#VALUE!</v>
      </c>
      <c r="GX156" t="e">
        <f>AND('Planilla_General_29-11-2012_10_'!C2347,"AAAAAH7j080=")</f>
        <v>#VALUE!</v>
      </c>
      <c r="GY156" t="e">
        <f>AND('Planilla_General_29-11-2012_10_'!D2347,"AAAAAH7j084=")</f>
        <v>#VALUE!</v>
      </c>
      <c r="GZ156" t="e">
        <f>AND('Planilla_General_29-11-2012_10_'!E2347,"AAAAAH7j088=")</f>
        <v>#VALUE!</v>
      </c>
      <c r="HA156" t="e">
        <f>AND('Planilla_General_29-11-2012_10_'!F2347,"AAAAAH7j09A=")</f>
        <v>#VALUE!</v>
      </c>
      <c r="HB156" t="e">
        <f>AND('Planilla_General_29-11-2012_10_'!G2347,"AAAAAH7j09E=")</f>
        <v>#VALUE!</v>
      </c>
      <c r="HC156" t="e">
        <f>AND('Planilla_General_29-11-2012_10_'!H2347,"AAAAAH7j09I=")</f>
        <v>#VALUE!</v>
      </c>
      <c r="HD156" t="e">
        <f>AND('Planilla_General_29-11-2012_10_'!I2347,"AAAAAH7j09M=")</f>
        <v>#VALUE!</v>
      </c>
      <c r="HE156" t="e">
        <f>AND('Planilla_General_29-11-2012_10_'!J2347,"AAAAAH7j09Q=")</f>
        <v>#VALUE!</v>
      </c>
      <c r="HF156" t="e">
        <f>AND('Planilla_General_29-11-2012_10_'!K2347,"AAAAAH7j09U=")</f>
        <v>#VALUE!</v>
      </c>
      <c r="HG156" t="e">
        <f>AND('Planilla_General_29-11-2012_10_'!L2347,"AAAAAH7j09Y=")</f>
        <v>#VALUE!</v>
      </c>
      <c r="HH156" t="e">
        <f>AND('Planilla_General_29-11-2012_10_'!M2347,"AAAAAH7j09c=")</f>
        <v>#VALUE!</v>
      </c>
      <c r="HI156" t="e">
        <f>AND('Planilla_General_29-11-2012_10_'!N2347,"AAAAAH7j09g=")</f>
        <v>#VALUE!</v>
      </c>
      <c r="HJ156" t="e">
        <f>AND('Planilla_General_29-11-2012_10_'!O2347,"AAAAAH7j09k=")</f>
        <v>#VALUE!</v>
      </c>
      <c r="HK156" t="e">
        <f>AND('Planilla_General_29-11-2012_10_'!P2347,"AAAAAH7j09o=")</f>
        <v>#VALUE!</v>
      </c>
      <c r="HL156">
        <f>IF('Planilla_General_29-11-2012_10_'!2348:2348,"AAAAAH7j09s=",0)</f>
        <v>0</v>
      </c>
      <c r="HM156" t="e">
        <f>AND('Planilla_General_29-11-2012_10_'!A2348,"AAAAAH7j09w=")</f>
        <v>#VALUE!</v>
      </c>
      <c r="HN156" t="e">
        <f>AND('Planilla_General_29-11-2012_10_'!B2348,"AAAAAH7j090=")</f>
        <v>#VALUE!</v>
      </c>
      <c r="HO156" t="e">
        <f>AND('Planilla_General_29-11-2012_10_'!C2348,"AAAAAH7j094=")</f>
        <v>#VALUE!</v>
      </c>
      <c r="HP156" t="e">
        <f>AND('Planilla_General_29-11-2012_10_'!D2348,"AAAAAH7j098=")</f>
        <v>#VALUE!</v>
      </c>
      <c r="HQ156" t="e">
        <f>AND('Planilla_General_29-11-2012_10_'!E2348,"AAAAAH7j0+A=")</f>
        <v>#VALUE!</v>
      </c>
      <c r="HR156" t="e">
        <f>AND('Planilla_General_29-11-2012_10_'!F2348,"AAAAAH7j0+E=")</f>
        <v>#VALUE!</v>
      </c>
      <c r="HS156" t="e">
        <f>AND('Planilla_General_29-11-2012_10_'!G2348,"AAAAAH7j0+I=")</f>
        <v>#VALUE!</v>
      </c>
      <c r="HT156" t="e">
        <f>AND('Planilla_General_29-11-2012_10_'!H2348,"AAAAAH7j0+M=")</f>
        <v>#VALUE!</v>
      </c>
      <c r="HU156" t="e">
        <f>AND('Planilla_General_29-11-2012_10_'!I2348,"AAAAAH7j0+Q=")</f>
        <v>#VALUE!</v>
      </c>
      <c r="HV156" t="e">
        <f>AND('Planilla_General_29-11-2012_10_'!J2348,"AAAAAH7j0+U=")</f>
        <v>#VALUE!</v>
      </c>
      <c r="HW156" t="e">
        <f>AND('Planilla_General_29-11-2012_10_'!K2348,"AAAAAH7j0+Y=")</f>
        <v>#VALUE!</v>
      </c>
      <c r="HX156" t="e">
        <f>AND('Planilla_General_29-11-2012_10_'!L2348,"AAAAAH7j0+c=")</f>
        <v>#VALUE!</v>
      </c>
      <c r="HY156" t="e">
        <f>AND('Planilla_General_29-11-2012_10_'!M2348,"AAAAAH7j0+g=")</f>
        <v>#VALUE!</v>
      </c>
      <c r="HZ156" t="e">
        <f>AND('Planilla_General_29-11-2012_10_'!N2348,"AAAAAH7j0+k=")</f>
        <v>#VALUE!</v>
      </c>
      <c r="IA156" t="e">
        <f>AND('Planilla_General_29-11-2012_10_'!O2348,"AAAAAH7j0+o=")</f>
        <v>#VALUE!</v>
      </c>
      <c r="IB156" t="e">
        <f>AND('Planilla_General_29-11-2012_10_'!P2348,"AAAAAH7j0+s=")</f>
        <v>#VALUE!</v>
      </c>
      <c r="IC156">
        <f>IF('Planilla_General_29-11-2012_10_'!2349:2349,"AAAAAH7j0+w=",0)</f>
        <v>0</v>
      </c>
      <c r="ID156" t="e">
        <f>AND('Planilla_General_29-11-2012_10_'!A2349,"AAAAAH7j0+0=")</f>
        <v>#VALUE!</v>
      </c>
      <c r="IE156" t="e">
        <f>AND('Planilla_General_29-11-2012_10_'!B2349,"AAAAAH7j0+4=")</f>
        <v>#VALUE!</v>
      </c>
      <c r="IF156" t="e">
        <f>AND('Planilla_General_29-11-2012_10_'!C2349,"AAAAAH7j0+8=")</f>
        <v>#VALUE!</v>
      </c>
      <c r="IG156" t="e">
        <f>AND('Planilla_General_29-11-2012_10_'!D2349,"AAAAAH7j0/A=")</f>
        <v>#VALUE!</v>
      </c>
      <c r="IH156" t="e">
        <f>AND('Planilla_General_29-11-2012_10_'!E2349,"AAAAAH7j0/E=")</f>
        <v>#VALUE!</v>
      </c>
      <c r="II156" t="e">
        <f>AND('Planilla_General_29-11-2012_10_'!F2349,"AAAAAH7j0/I=")</f>
        <v>#VALUE!</v>
      </c>
      <c r="IJ156" t="e">
        <f>AND('Planilla_General_29-11-2012_10_'!G2349,"AAAAAH7j0/M=")</f>
        <v>#VALUE!</v>
      </c>
      <c r="IK156" t="e">
        <f>AND('Planilla_General_29-11-2012_10_'!H2349,"AAAAAH7j0/Q=")</f>
        <v>#VALUE!</v>
      </c>
      <c r="IL156" t="e">
        <f>AND('Planilla_General_29-11-2012_10_'!I2349,"AAAAAH7j0/U=")</f>
        <v>#VALUE!</v>
      </c>
      <c r="IM156" t="e">
        <f>AND('Planilla_General_29-11-2012_10_'!J2349,"AAAAAH7j0/Y=")</f>
        <v>#VALUE!</v>
      </c>
      <c r="IN156" t="e">
        <f>AND('Planilla_General_29-11-2012_10_'!K2349,"AAAAAH7j0/c=")</f>
        <v>#VALUE!</v>
      </c>
      <c r="IO156" t="e">
        <f>AND('Planilla_General_29-11-2012_10_'!L2349,"AAAAAH7j0/g=")</f>
        <v>#VALUE!</v>
      </c>
      <c r="IP156" t="e">
        <f>AND('Planilla_General_29-11-2012_10_'!M2349,"AAAAAH7j0/k=")</f>
        <v>#VALUE!</v>
      </c>
      <c r="IQ156" t="e">
        <f>AND('Planilla_General_29-11-2012_10_'!N2349,"AAAAAH7j0/o=")</f>
        <v>#VALUE!</v>
      </c>
      <c r="IR156" t="e">
        <f>AND('Planilla_General_29-11-2012_10_'!O2349,"AAAAAH7j0/s=")</f>
        <v>#VALUE!</v>
      </c>
      <c r="IS156" t="e">
        <f>AND('Planilla_General_29-11-2012_10_'!P2349,"AAAAAH7j0/w=")</f>
        <v>#VALUE!</v>
      </c>
      <c r="IT156">
        <f>IF('Planilla_General_29-11-2012_10_'!2350:2350,"AAAAAH7j0/0=",0)</f>
        <v>0</v>
      </c>
      <c r="IU156" t="e">
        <f>AND('Planilla_General_29-11-2012_10_'!A2350,"AAAAAH7j0/4=")</f>
        <v>#VALUE!</v>
      </c>
      <c r="IV156" t="e">
        <f>AND('Planilla_General_29-11-2012_10_'!B2350,"AAAAAH7j0/8=")</f>
        <v>#VALUE!</v>
      </c>
    </row>
    <row r="157" spans="1:256" x14ac:dyDescent="0.25">
      <c r="A157" t="e">
        <f>AND('Planilla_General_29-11-2012_10_'!C2350,"AAAAADX/eQA=")</f>
        <v>#VALUE!</v>
      </c>
      <c r="B157" t="e">
        <f>AND('Planilla_General_29-11-2012_10_'!D2350,"AAAAADX/eQE=")</f>
        <v>#VALUE!</v>
      </c>
      <c r="C157" t="e">
        <f>AND('Planilla_General_29-11-2012_10_'!E2350,"AAAAADX/eQI=")</f>
        <v>#VALUE!</v>
      </c>
      <c r="D157" t="e">
        <f>AND('Planilla_General_29-11-2012_10_'!F2350,"AAAAADX/eQM=")</f>
        <v>#VALUE!</v>
      </c>
      <c r="E157" t="e">
        <f>AND('Planilla_General_29-11-2012_10_'!G2350,"AAAAADX/eQQ=")</f>
        <v>#VALUE!</v>
      </c>
      <c r="F157" t="e">
        <f>AND('Planilla_General_29-11-2012_10_'!H2350,"AAAAADX/eQU=")</f>
        <v>#VALUE!</v>
      </c>
      <c r="G157" t="e">
        <f>AND('Planilla_General_29-11-2012_10_'!I2350,"AAAAADX/eQY=")</f>
        <v>#VALUE!</v>
      </c>
      <c r="H157" t="e">
        <f>AND('Planilla_General_29-11-2012_10_'!J2350,"AAAAADX/eQc=")</f>
        <v>#VALUE!</v>
      </c>
      <c r="I157" t="e">
        <f>AND('Planilla_General_29-11-2012_10_'!K2350,"AAAAADX/eQg=")</f>
        <v>#VALUE!</v>
      </c>
      <c r="J157" t="e">
        <f>AND('Planilla_General_29-11-2012_10_'!L2350,"AAAAADX/eQk=")</f>
        <v>#VALUE!</v>
      </c>
      <c r="K157" t="e">
        <f>AND('Planilla_General_29-11-2012_10_'!M2350,"AAAAADX/eQo=")</f>
        <v>#VALUE!</v>
      </c>
      <c r="L157" t="e">
        <f>AND('Planilla_General_29-11-2012_10_'!N2350,"AAAAADX/eQs=")</f>
        <v>#VALUE!</v>
      </c>
      <c r="M157" t="e">
        <f>AND('Planilla_General_29-11-2012_10_'!O2350,"AAAAADX/eQw=")</f>
        <v>#VALUE!</v>
      </c>
      <c r="N157" t="e">
        <f>AND('Planilla_General_29-11-2012_10_'!P2350,"AAAAADX/eQ0=")</f>
        <v>#VALUE!</v>
      </c>
      <c r="O157" t="str">
        <f>IF('Planilla_General_29-11-2012_10_'!2351:2351,"AAAAADX/eQ4=",0)</f>
        <v>AAAAADX/eQ4=</v>
      </c>
      <c r="P157" t="e">
        <f>AND('Planilla_General_29-11-2012_10_'!A2351,"AAAAADX/eQ8=")</f>
        <v>#VALUE!</v>
      </c>
      <c r="Q157" t="e">
        <f>AND('Planilla_General_29-11-2012_10_'!B2351,"AAAAADX/eRA=")</f>
        <v>#VALUE!</v>
      </c>
      <c r="R157" t="e">
        <f>AND('Planilla_General_29-11-2012_10_'!C2351,"AAAAADX/eRE=")</f>
        <v>#VALUE!</v>
      </c>
      <c r="S157" t="e">
        <f>AND('Planilla_General_29-11-2012_10_'!D2351,"AAAAADX/eRI=")</f>
        <v>#VALUE!</v>
      </c>
      <c r="T157" t="e">
        <f>AND('Planilla_General_29-11-2012_10_'!E2351,"AAAAADX/eRM=")</f>
        <v>#VALUE!</v>
      </c>
      <c r="U157" t="e">
        <f>AND('Planilla_General_29-11-2012_10_'!F2351,"AAAAADX/eRQ=")</f>
        <v>#VALUE!</v>
      </c>
      <c r="V157" t="e">
        <f>AND('Planilla_General_29-11-2012_10_'!G2351,"AAAAADX/eRU=")</f>
        <v>#VALUE!</v>
      </c>
      <c r="W157" t="e">
        <f>AND('Planilla_General_29-11-2012_10_'!H2351,"AAAAADX/eRY=")</f>
        <v>#VALUE!</v>
      </c>
      <c r="X157" t="e">
        <f>AND('Planilla_General_29-11-2012_10_'!I2351,"AAAAADX/eRc=")</f>
        <v>#VALUE!</v>
      </c>
      <c r="Y157" t="e">
        <f>AND('Planilla_General_29-11-2012_10_'!J2351,"AAAAADX/eRg=")</f>
        <v>#VALUE!</v>
      </c>
      <c r="Z157" t="e">
        <f>AND('Planilla_General_29-11-2012_10_'!K2351,"AAAAADX/eRk=")</f>
        <v>#VALUE!</v>
      </c>
      <c r="AA157" t="e">
        <f>AND('Planilla_General_29-11-2012_10_'!L2351,"AAAAADX/eRo=")</f>
        <v>#VALUE!</v>
      </c>
      <c r="AB157" t="e">
        <f>AND('Planilla_General_29-11-2012_10_'!M2351,"AAAAADX/eRs=")</f>
        <v>#VALUE!</v>
      </c>
      <c r="AC157" t="e">
        <f>AND('Planilla_General_29-11-2012_10_'!N2351,"AAAAADX/eRw=")</f>
        <v>#VALUE!</v>
      </c>
      <c r="AD157" t="e">
        <f>AND('Planilla_General_29-11-2012_10_'!O2351,"AAAAADX/eR0=")</f>
        <v>#VALUE!</v>
      </c>
      <c r="AE157" t="e">
        <f>AND('Planilla_General_29-11-2012_10_'!P2351,"AAAAADX/eR4=")</f>
        <v>#VALUE!</v>
      </c>
      <c r="AF157">
        <f>IF('Planilla_General_29-11-2012_10_'!2352:2352,"AAAAADX/eR8=",0)</f>
        <v>0</v>
      </c>
      <c r="AG157" t="e">
        <f>AND('Planilla_General_29-11-2012_10_'!A2352,"AAAAADX/eSA=")</f>
        <v>#VALUE!</v>
      </c>
      <c r="AH157" t="e">
        <f>AND('Planilla_General_29-11-2012_10_'!B2352,"AAAAADX/eSE=")</f>
        <v>#VALUE!</v>
      </c>
      <c r="AI157" t="e">
        <f>AND('Planilla_General_29-11-2012_10_'!C2352,"AAAAADX/eSI=")</f>
        <v>#VALUE!</v>
      </c>
      <c r="AJ157" t="e">
        <f>AND('Planilla_General_29-11-2012_10_'!D2352,"AAAAADX/eSM=")</f>
        <v>#VALUE!</v>
      </c>
      <c r="AK157" t="e">
        <f>AND('Planilla_General_29-11-2012_10_'!E2352,"AAAAADX/eSQ=")</f>
        <v>#VALUE!</v>
      </c>
      <c r="AL157" t="e">
        <f>AND('Planilla_General_29-11-2012_10_'!F2352,"AAAAADX/eSU=")</f>
        <v>#VALUE!</v>
      </c>
      <c r="AM157" t="e">
        <f>AND('Planilla_General_29-11-2012_10_'!G2352,"AAAAADX/eSY=")</f>
        <v>#VALUE!</v>
      </c>
      <c r="AN157" t="e">
        <f>AND('Planilla_General_29-11-2012_10_'!H2352,"AAAAADX/eSc=")</f>
        <v>#VALUE!</v>
      </c>
      <c r="AO157" t="e">
        <f>AND('Planilla_General_29-11-2012_10_'!I2352,"AAAAADX/eSg=")</f>
        <v>#VALUE!</v>
      </c>
      <c r="AP157" t="e">
        <f>AND('Planilla_General_29-11-2012_10_'!J2352,"AAAAADX/eSk=")</f>
        <v>#VALUE!</v>
      </c>
      <c r="AQ157" t="e">
        <f>AND('Planilla_General_29-11-2012_10_'!K2352,"AAAAADX/eSo=")</f>
        <v>#VALUE!</v>
      </c>
      <c r="AR157" t="e">
        <f>AND('Planilla_General_29-11-2012_10_'!L2352,"AAAAADX/eSs=")</f>
        <v>#VALUE!</v>
      </c>
      <c r="AS157" t="e">
        <f>AND('Planilla_General_29-11-2012_10_'!M2352,"AAAAADX/eSw=")</f>
        <v>#VALUE!</v>
      </c>
      <c r="AT157" t="e">
        <f>AND('Planilla_General_29-11-2012_10_'!N2352,"AAAAADX/eS0=")</f>
        <v>#VALUE!</v>
      </c>
      <c r="AU157" t="e">
        <f>AND('Planilla_General_29-11-2012_10_'!O2352,"AAAAADX/eS4=")</f>
        <v>#VALUE!</v>
      </c>
      <c r="AV157" t="e">
        <f>AND('Planilla_General_29-11-2012_10_'!P2352,"AAAAADX/eS8=")</f>
        <v>#VALUE!</v>
      </c>
      <c r="AW157">
        <f>IF('Planilla_General_29-11-2012_10_'!2353:2353,"AAAAADX/eTA=",0)</f>
        <v>0</v>
      </c>
      <c r="AX157" t="e">
        <f>AND('Planilla_General_29-11-2012_10_'!A2353,"AAAAADX/eTE=")</f>
        <v>#VALUE!</v>
      </c>
      <c r="AY157" t="e">
        <f>AND('Planilla_General_29-11-2012_10_'!B2353,"AAAAADX/eTI=")</f>
        <v>#VALUE!</v>
      </c>
      <c r="AZ157" t="e">
        <f>AND('Planilla_General_29-11-2012_10_'!C2353,"AAAAADX/eTM=")</f>
        <v>#VALUE!</v>
      </c>
      <c r="BA157" t="e">
        <f>AND('Planilla_General_29-11-2012_10_'!D2353,"AAAAADX/eTQ=")</f>
        <v>#VALUE!</v>
      </c>
      <c r="BB157" t="e">
        <f>AND('Planilla_General_29-11-2012_10_'!E2353,"AAAAADX/eTU=")</f>
        <v>#VALUE!</v>
      </c>
      <c r="BC157" t="e">
        <f>AND('Planilla_General_29-11-2012_10_'!F2353,"AAAAADX/eTY=")</f>
        <v>#VALUE!</v>
      </c>
      <c r="BD157" t="e">
        <f>AND('Planilla_General_29-11-2012_10_'!G2353,"AAAAADX/eTc=")</f>
        <v>#VALUE!</v>
      </c>
      <c r="BE157" t="e">
        <f>AND('Planilla_General_29-11-2012_10_'!H2353,"AAAAADX/eTg=")</f>
        <v>#VALUE!</v>
      </c>
      <c r="BF157" t="e">
        <f>AND('Planilla_General_29-11-2012_10_'!I2353,"AAAAADX/eTk=")</f>
        <v>#VALUE!</v>
      </c>
      <c r="BG157" t="e">
        <f>AND('Planilla_General_29-11-2012_10_'!J2353,"AAAAADX/eTo=")</f>
        <v>#VALUE!</v>
      </c>
      <c r="BH157" t="e">
        <f>AND('Planilla_General_29-11-2012_10_'!K2353,"AAAAADX/eTs=")</f>
        <v>#VALUE!</v>
      </c>
      <c r="BI157" t="e">
        <f>AND('Planilla_General_29-11-2012_10_'!L2353,"AAAAADX/eTw=")</f>
        <v>#VALUE!</v>
      </c>
      <c r="BJ157" t="e">
        <f>AND('Planilla_General_29-11-2012_10_'!M2353,"AAAAADX/eT0=")</f>
        <v>#VALUE!</v>
      </c>
      <c r="BK157" t="e">
        <f>AND('Planilla_General_29-11-2012_10_'!N2353,"AAAAADX/eT4=")</f>
        <v>#VALUE!</v>
      </c>
      <c r="BL157" t="e">
        <f>AND('Planilla_General_29-11-2012_10_'!O2353,"AAAAADX/eT8=")</f>
        <v>#VALUE!</v>
      </c>
      <c r="BM157" t="e">
        <f>AND('Planilla_General_29-11-2012_10_'!P2353,"AAAAADX/eUA=")</f>
        <v>#VALUE!</v>
      </c>
      <c r="BN157">
        <f>IF('Planilla_General_29-11-2012_10_'!2354:2354,"AAAAADX/eUE=",0)</f>
        <v>0</v>
      </c>
      <c r="BO157" t="e">
        <f>AND('Planilla_General_29-11-2012_10_'!A2354,"AAAAADX/eUI=")</f>
        <v>#VALUE!</v>
      </c>
      <c r="BP157" t="e">
        <f>AND('Planilla_General_29-11-2012_10_'!B2354,"AAAAADX/eUM=")</f>
        <v>#VALUE!</v>
      </c>
      <c r="BQ157" t="e">
        <f>AND('Planilla_General_29-11-2012_10_'!C2354,"AAAAADX/eUQ=")</f>
        <v>#VALUE!</v>
      </c>
      <c r="BR157" t="e">
        <f>AND('Planilla_General_29-11-2012_10_'!D2354,"AAAAADX/eUU=")</f>
        <v>#VALUE!</v>
      </c>
      <c r="BS157" t="e">
        <f>AND('Planilla_General_29-11-2012_10_'!E2354,"AAAAADX/eUY=")</f>
        <v>#VALUE!</v>
      </c>
      <c r="BT157" t="e">
        <f>AND('Planilla_General_29-11-2012_10_'!F2354,"AAAAADX/eUc=")</f>
        <v>#VALUE!</v>
      </c>
      <c r="BU157" t="e">
        <f>AND('Planilla_General_29-11-2012_10_'!G2354,"AAAAADX/eUg=")</f>
        <v>#VALUE!</v>
      </c>
      <c r="BV157" t="e">
        <f>AND('Planilla_General_29-11-2012_10_'!H2354,"AAAAADX/eUk=")</f>
        <v>#VALUE!</v>
      </c>
      <c r="BW157" t="e">
        <f>AND('Planilla_General_29-11-2012_10_'!I2354,"AAAAADX/eUo=")</f>
        <v>#VALUE!</v>
      </c>
      <c r="BX157" t="e">
        <f>AND('Planilla_General_29-11-2012_10_'!J2354,"AAAAADX/eUs=")</f>
        <v>#VALUE!</v>
      </c>
      <c r="BY157" t="e">
        <f>AND('Planilla_General_29-11-2012_10_'!K2354,"AAAAADX/eUw=")</f>
        <v>#VALUE!</v>
      </c>
      <c r="BZ157" t="e">
        <f>AND('Planilla_General_29-11-2012_10_'!L2354,"AAAAADX/eU0=")</f>
        <v>#VALUE!</v>
      </c>
      <c r="CA157" t="e">
        <f>AND('Planilla_General_29-11-2012_10_'!M2354,"AAAAADX/eU4=")</f>
        <v>#VALUE!</v>
      </c>
      <c r="CB157" t="e">
        <f>AND('Planilla_General_29-11-2012_10_'!N2354,"AAAAADX/eU8=")</f>
        <v>#VALUE!</v>
      </c>
      <c r="CC157" t="e">
        <f>AND('Planilla_General_29-11-2012_10_'!O2354,"AAAAADX/eVA=")</f>
        <v>#VALUE!</v>
      </c>
      <c r="CD157" t="e">
        <f>AND('Planilla_General_29-11-2012_10_'!P2354,"AAAAADX/eVE=")</f>
        <v>#VALUE!</v>
      </c>
      <c r="CE157">
        <f>IF('Planilla_General_29-11-2012_10_'!2355:2355,"AAAAADX/eVI=",0)</f>
        <v>0</v>
      </c>
      <c r="CF157" t="e">
        <f>AND('Planilla_General_29-11-2012_10_'!A2355,"AAAAADX/eVM=")</f>
        <v>#VALUE!</v>
      </c>
      <c r="CG157" t="e">
        <f>AND('Planilla_General_29-11-2012_10_'!B2355,"AAAAADX/eVQ=")</f>
        <v>#VALUE!</v>
      </c>
      <c r="CH157" t="e">
        <f>AND('Planilla_General_29-11-2012_10_'!C2355,"AAAAADX/eVU=")</f>
        <v>#VALUE!</v>
      </c>
      <c r="CI157" t="e">
        <f>AND('Planilla_General_29-11-2012_10_'!D2355,"AAAAADX/eVY=")</f>
        <v>#VALUE!</v>
      </c>
      <c r="CJ157" t="e">
        <f>AND('Planilla_General_29-11-2012_10_'!E2355,"AAAAADX/eVc=")</f>
        <v>#VALUE!</v>
      </c>
      <c r="CK157" t="e">
        <f>AND('Planilla_General_29-11-2012_10_'!F2355,"AAAAADX/eVg=")</f>
        <v>#VALUE!</v>
      </c>
      <c r="CL157" t="e">
        <f>AND('Planilla_General_29-11-2012_10_'!G2355,"AAAAADX/eVk=")</f>
        <v>#VALUE!</v>
      </c>
      <c r="CM157" t="e">
        <f>AND('Planilla_General_29-11-2012_10_'!H2355,"AAAAADX/eVo=")</f>
        <v>#VALUE!</v>
      </c>
      <c r="CN157" t="e">
        <f>AND('Planilla_General_29-11-2012_10_'!I2355,"AAAAADX/eVs=")</f>
        <v>#VALUE!</v>
      </c>
      <c r="CO157" t="e">
        <f>AND('Planilla_General_29-11-2012_10_'!J2355,"AAAAADX/eVw=")</f>
        <v>#VALUE!</v>
      </c>
      <c r="CP157" t="e">
        <f>AND('Planilla_General_29-11-2012_10_'!K2355,"AAAAADX/eV0=")</f>
        <v>#VALUE!</v>
      </c>
      <c r="CQ157" t="e">
        <f>AND('Planilla_General_29-11-2012_10_'!L2355,"AAAAADX/eV4=")</f>
        <v>#VALUE!</v>
      </c>
      <c r="CR157" t="e">
        <f>AND('Planilla_General_29-11-2012_10_'!M2355,"AAAAADX/eV8=")</f>
        <v>#VALUE!</v>
      </c>
      <c r="CS157" t="e">
        <f>AND('Planilla_General_29-11-2012_10_'!N2355,"AAAAADX/eWA=")</f>
        <v>#VALUE!</v>
      </c>
      <c r="CT157" t="e">
        <f>AND('Planilla_General_29-11-2012_10_'!O2355,"AAAAADX/eWE=")</f>
        <v>#VALUE!</v>
      </c>
      <c r="CU157" t="e">
        <f>AND('Planilla_General_29-11-2012_10_'!P2355,"AAAAADX/eWI=")</f>
        <v>#VALUE!</v>
      </c>
      <c r="CV157">
        <f>IF('Planilla_General_29-11-2012_10_'!2356:2356,"AAAAADX/eWM=",0)</f>
        <v>0</v>
      </c>
      <c r="CW157" t="e">
        <f>AND('Planilla_General_29-11-2012_10_'!A2356,"AAAAADX/eWQ=")</f>
        <v>#VALUE!</v>
      </c>
      <c r="CX157" t="e">
        <f>AND('Planilla_General_29-11-2012_10_'!B2356,"AAAAADX/eWU=")</f>
        <v>#VALUE!</v>
      </c>
      <c r="CY157" t="e">
        <f>AND('Planilla_General_29-11-2012_10_'!C2356,"AAAAADX/eWY=")</f>
        <v>#VALUE!</v>
      </c>
      <c r="CZ157" t="e">
        <f>AND('Planilla_General_29-11-2012_10_'!D2356,"AAAAADX/eWc=")</f>
        <v>#VALUE!</v>
      </c>
      <c r="DA157" t="e">
        <f>AND('Planilla_General_29-11-2012_10_'!E2356,"AAAAADX/eWg=")</f>
        <v>#VALUE!</v>
      </c>
      <c r="DB157" t="e">
        <f>AND('Planilla_General_29-11-2012_10_'!F2356,"AAAAADX/eWk=")</f>
        <v>#VALUE!</v>
      </c>
      <c r="DC157" t="e">
        <f>AND('Planilla_General_29-11-2012_10_'!G2356,"AAAAADX/eWo=")</f>
        <v>#VALUE!</v>
      </c>
      <c r="DD157" t="e">
        <f>AND('Planilla_General_29-11-2012_10_'!H2356,"AAAAADX/eWs=")</f>
        <v>#VALUE!</v>
      </c>
      <c r="DE157" t="e">
        <f>AND('Planilla_General_29-11-2012_10_'!I2356,"AAAAADX/eWw=")</f>
        <v>#VALUE!</v>
      </c>
      <c r="DF157" t="e">
        <f>AND('Planilla_General_29-11-2012_10_'!J2356,"AAAAADX/eW0=")</f>
        <v>#VALUE!</v>
      </c>
      <c r="DG157" t="e">
        <f>AND('Planilla_General_29-11-2012_10_'!K2356,"AAAAADX/eW4=")</f>
        <v>#VALUE!</v>
      </c>
      <c r="DH157" t="e">
        <f>AND('Planilla_General_29-11-2012_10_'!L2356,"AAAAADX/eW8=")</f>
        <v>#VALUE!</v>
      </c>
      <c r="DI157" t="e">
        <f>AND('Planilla_General_29-11-2012_10_'!M2356,"AAAAADX/eXA=")</f>
        <v>#VALUE!</v>
      </c>
      <c r="DJ157" t="e">
        <f>AND('Planilla_General_29-11-2012_10_'!N2356,"AAAAADX/eXE=")</f>
        <v>#VALUE!</v>
      </c>
      <c r="DK157" t="e">
        <f>AND('Planilla_General_29-11-2012_10_'!O2356,"AAAAADX/eXI=")</f>
        <v>#VALUE!</v>
      </c>
      <c r="DL157" t="e">
        <f>AND('Planilla_General_29-11-2012_10_'!P2356,"AAAAADX/eXM=")</f>
        <v>#VALUE!</v>
      </c>
      <c r="DM157">
        <f>IF('Planilla_General_29-11-2012_10_'!2357:2357,"AAAAADX/eXQ=",0)</f>
        <v>0</v>
      </c>
      <c r="DN157" t="e">
        <f>AND('Planilla_General_29-11-2012_10_'!A2357,"AAAAADX/eXU=")</f>
        <v>#VALUE!</v>
      </c>
      <c r="DO157" t="e">
        <f>AND('Planilla_General_29-11-2012_10_'!B2357,"AAAAADX/eXY=")</f>
        <v>#VALUE!</v>
      </c>
      <c r="DP157" t="e">
        <f>AND('Planilla_General_29-11-2012_10_'!C2357,"AAAAADX/eXc=")</f>
        <v>#VALUE!</v>
      </c>
      <c r="DQ157" t="e">
        <f>AND('Planilla_General_29-11-2012_10_'!D2357,"AAAAADX/eXg=")</f>
        <v>#VALUE!</v>
      </c>
      <c r="DR157" t="e">
        <f>AND('Planilla_General_29-11-2012_10_'!E2357,"AAAAADX/eXk=")</f>
        <v>#VALUE!</v>
      </c>
      <c r="DS157" t="e">
        <f>AND('Planilla_General_29-11-2012_10_'!F2357,"AAAAADX/eXo=")</f>
        <v>#VALUE!</v>
      </c>
      <c r="DT157" t="e">
        <f>AND('Planilla_General_29-11-2012_10_'!G2357,"AAAAADX/eXs=")</f>
        <v>#VALUE!</v>
      </c>
      <c r="DU157" t="e">
        <f>AND('Planilla_General_29-11-2012_10_'!H2357,"AAAAADX/eXw=")</f>
        <v>#VALUE!</v>
      </c>
      <c r="DV157" t="e">
        <f>AND('Planilla_General_29-11-2012_10_'!I2357,"AAAAADX/eX0=")</f>
        <v>#VALUE!</v>
      </c>
      <c r="DW157" t="e">
        <f>AND('Planilla_General_29-11-2012_10_'!J2357,"AAAAADX/eX4=")</f>
        <v>#VALUE!</v>
      </c>
      <c r="DX157" t="e">
        <f>AND('Planilla_General_29-11-2012_10_'!K2357,"AAAAADX/eX8=")</f>
        <v>#VALUE!</v>
      </c>
      <c r="DY157" t="e">
        <f>AND('Planilla_General_29-11-2012_10_'!L2357,"AAAAADX/eYA=")</f>
        <v>#VALUE!</v>
      </c>
      <c r="DZ157" t="e">
        <f>AND('Planilla_General_29-11-2012_10_'!M2357,"AAAAADX/eYE=")</f>
        <v>#VALUE!</v>
      </c>
      <c r="EA157" t="e">
        <f>AND('Planilla_General_29-11-2012_10_'!N2357,"AAAAADX/eYI=")</f>
        <v>#VALUE!</v>
      </c>
      <c r="EB157" t="e">
        <f>AND('Planilla_General_29-11-2012_10_'!O2357,"AAAAADX/eYM=")</f>
        <v>#VALUE!</v>
      </c>
      <c r="EC157" t="e">
        <f>AND('Planilla_General_29-11-2012_10_'!P2357,"AAAAADX/eYQ=")</f>
        <v>#VALUE!</v>
      </c>
      <c r="ED157">
        <f>IF('Planilla_General_29-11-2012_10_'!2358:2358,"AAAAADX/eYU=",0)</f>
        <v>0</v>
      </c>
      <c r="EE157" t="e">
        <f>AND('Planilla_General_29-11-2012_10_'!A2358,"AAAAADX/eYY=")</f>
        <v>#VALUE!</v>
      </c>
      <c r="EF157" t="e">
        <f>AND('Planilla_General_29-11-2012_10_'!B2358,"AAAAADX/eYc=")</f>
        <v>#VALUE!</v>
      </c>
      <c r="EG157" t="e">
        <f>AND('Planilla_General_29-11-2012_10_'!C2358,"AAAAADX/eYg=")</f>
        <v>#VALUE!</v>
      </c>
      <c r="EH157" t="e">
        <f>AND('Planilla_General_29-11-2012_10_'!D2358,"AAAAADX/eYk=")</f>
        <v>#VALUE!</v>
      </c>
      <c r="EI157" t="e">
        <f>AND('Planilla_General_29-11-2012_10_'!E2358,"AAAAADX/eYo=")</f>
        <v>#VALUE!</v>
      </c>
      <c r="EJ157" t="e">
        <f>AND('Planilla_General_29-11-2012_10_'!F2358,"AAAAADX/eYs=")</f>
        <v>#VALUE!</v>
      </c>
      <c r="EK157" t="e">
        <f>AND('Planilla_General_29-11-2012_10_'!G2358,"AAAAADX/eYw=")</f>
        <v>#VALUE!</v>
      </c>
      <c r="EL157" t="e">
        <f>AND('Planilla_General_29-11-2012_10_'!H2358,"AAAAADX/eY0=")</f>
        <v>#VALUE!</v>
      </c>
      <c r="EM157" t="e">
        <f>AND('Planilla_General_29-11-2012_10_'!I2358,"AAAAADX/eY4=")</f>
        <v>#VALUE!</v>
      </c>
      <c r="EN157" t="e">
        <f>AND('Planilla_General_29-11-2012_10_'!J2358,"AAAAADX/eY8=")</f>
        <v>#VALUE!</v>
      </c>
      <c r="EO157" t="e">
        <f>AND('Planilla_General_29-11-2012_10_'!K2358,"AAAAADX/eZA=")</f>
        <v>#VALUE!</v>
      </c>
      <c r="EP157" t="e">
        <f>AND('Planilla_General_29-11-2012_10_'!L2358,"AAAAADX/eZE=")</f>
        <v>#VALUE!</v>
      </c>
      <c r="EQ157" t="e">
        <f>AND('Planilla_General_29-11-2012_10_'!M2358,"AAAAADX/eZI=")</f>
        <v>#VALUE!</v>
      </c>
      <c r="ER157" t="e">
        <f>AND('Planilla_General_29-11-2012_10_'!N2358,"AAAAADX/eZM=")</f>
        <v>#VALUE!</v>
      </c>
      <c r="ES157" t="e">
        <f>AND('Planilla_General_29-11-2012_10_'!O2358,"AAAAADX/eZQ=")</f>
        <v>#VALUE!</v>
      </c>
      <c r="ET157" t="e">
        <f>AND('Planilla_General_29-11-2012_10_'!P2358,"AAAAADX/eZU=")</f>
        <v>#VALUE!</v>
      </c>
      <c r="EU157">
        <f>IF('Planilla_General_29-11-2012_10_'!2359:2359,"AAAAADX/eZY=",0)</f>
        <v>0</v>
      </c>
      <c r="EV157" t="e">
        <f>AND('Planilla_General_29-11-2012_10_'!A2359,"AAAAADX/eZc=")</f>
        <v>#VALUE!</v>
      </c>
      <c r="EW157" t="e">
        <f>AND('Planilla_General_29-11-2012_10_'!B2359,"AAAAADX/eZg=")</f>
        <v>#VALUE!</v>
      </c>
      <c r="EX157" t="e">
        <f>AND('Planilla_General_29-11-2012_10_'!C2359,"AAAAADX/eZk=")</f>
        <v>#VALUE!</v>
      </c>
      <c r="EY157" t="e">
        <f>AND('Planilla_General_29-11-2012_10_'!D2359,"AAAAADX/eZo=")</f>
        <v>#VALUE!</v>
      </c>
      <c r="EZ157" t="e">
        <f>AND('Planilla_General_29-11-2012_10_'!E2359,"AAAAADX/eZs=")</f>
        <v>#VALUE!</v>
      </c>
      <c r="FA157" t="e">
        <f>AND('Planilla_General_29-11-2012_10_'!F2359,"AAAAADX/eZw=")</f>
        <v>#VALUE!</v>
      </c>
      <c r="FB157" t="e">
        <f>AND('Planilla_General_29-11-2012_10_'!G2359,"AAAAADX/eZ0=")</f>
        <v>#VALUE!</v>
      </c>
      <c r="FC157" t="e">
        <f>AND('Planilla_General_29-11-2012_10_'!H2359,"AAAAADX/eZ4=")</f>
        <v>#VALUE!</v>
      </c>
      <c r="FD157" t="e">
        <f>AND('Planilla_General_29-11-2012_10_'!I2359,"AAAAADX/eZ8=")</f>
        <v>#VALUE!</v>
      </c>
      <c r="FE157" t="e">
        <f>AND('Planilla_General_29-11-2012_10_'!J2359,"AAAAADX/eaA=")</f>
        <v>#VALUE!</v>
      </c>
      <c r="FF157" t="e">
        <f>AND('Planilla_General_29-11-2012_10_'!K2359,"AAAAADX/eaE=")</f>
        <v>#VALUE!</v>
      </c>
      <c r="FG157" t="e">
        <f>AND('Planilla_General_29-11-2012_10_'!L2359,"AAAAADX/eaI=")</f>
        <v>#VALUE!</v>
      </c>
      <c r="FH157" t="e">
        <f>AND('Planilla_General_29-11-2012_10_'!M2359,"AAAAADX/eaM=")</f>
        <v>#VALUE!</v>
      </c>
      <c r="FI157" t="e">
        <f>AND('Planilla_General_29-11-2012_10_'!N2359,"AAAAADX/eaQ=")</f>
        <v>#VALUE!</v>
      </c>
      <c r="FJ157" t="e">
        <f>AND('Planilla_General_29-11-2012_10_'!O2359,"AAAAADX/eaU=")</f>
        <v>#VALUE!</v>
      </c>
      <c r="FK157" t="e">
        <f>AND('Planilla_General_29-11-2012_10_'!P2359,"AAAAADX/eaY=")</f>
        <v>#VALUE!</v>
      </c>
      <c r="FL157">
        <f>IF('Planilla_General_29-11-2012_10_'!2360:2360,"AAAAADX/eac=",0)</f>
        <v>0</v>
      </c>
      <c r="FM157" t="e">
        <f>AND('Planilla_General_29-11-2012_10_'!A2360,"AAAAADX/eag=")</f>
        <v>#VALUE!</v>
      </c>
      <c r="FN157" t="e">
        <f>AND('Planilla_General_29-11-2012_10_'!B2360,"AAAAADX/eak=")</f>
        <v>#VALUE!</v>
      </c>
      <c r="FO157" t="e">
        <f>AND('Planilla_General_29-11-2012_10_'!C2360,"AAAAADX/eao=")</f>
        <v>#VALUE!</v>
      </c>
      <c r="FP157" t="e">
        <f>AND('Planilla_General_29-11-2012_10_'!D2360,"AAAAADX/eas=")</f>
        <v>#VALUE!</v>
      </c>
      <c r="FQ157" t="e">
        <f>AND('Planilla_General_29-11-2012_10_'!E2360,"AAAAADX/eaw=")</f>
        <v>#VALUE!</v>
      </c>
      <c r="FR157" t="e">
        <f>AND('Planilla_General_29-11-2012_10_'!F2360,"AAAAADX/ea0=")</f>
        <v>#VALUE!</v>
      </c>
      <c r="FS157" t="e">
        <f>AND('Planilla_General_29-11-2012_10_'!G2360,"AAAAADX/ea4=")</f>
        <v>#VALUE!</v>
      </c>
      <c r="FT157" t="e">
        <f>AND('Planilla_General_29-11-2012_10_'!H2360,"AAAAADX/ea8=")</f>
        <v>#VALUE!</v>
      </c>
      <c r="FU157" t="e">
        <f>AND('Planilla_General_29-11-2012_10_'!I2360,"AAAAADX/ebA=")</f>
        <v>#VALUE!</v>
      </c>
      <c r="FV157" t="e">
        <f>AND('Planilla_General_29-11-2012_10_'!J2360,"AAAAADX/ebE=")</f>
        <v>#VALUE!</v>
      </c>
      <c r="FW157" t="e">
        <f>AND('Planilla_General_29-11-2012_10_'!K2360,"AAAAADX/ebI=")</f>
        <v>#VALUE!</v>
      </c>
      <c r="FX157" t="e">
        <f>AND('Planilla_General_29-11-2012_10_'!L2360,"AAAAADX/ebM=")</f>
        <v>#VALUE!</v>
      </c>
      <c r="FY157" t="e">
        <f>AND('Planilla_General_29-11-2012_10_'!M2360,"AAAAADX/ebQ=")</f>
        <v>#VALUE!</v>
      </c>
      <c r="FZ157" t="e">
        <f>AND('Planilla_General_29-11-2012_10_'!N2360,"AAAAADX/ebU=")</f>
        <v>#VALUE!</v>
      </c>
      <c r="GA157" t="e">
        <f>AND('Planilla_General_29-11-2012_10_'!O2360,"AAAAADX/ebY=")</f>
        <v>#VALUE!</v>
      </c>
      <c r="GB157" t="e">
        <f>AND('Planilla_General_29-11-2012_10_'!P2360,"AAAAADX/ebc=")</f>
        <v>#VALUE!</v>
      </c>
      <c r="GC157">
        <f>IF('Planilla_General_29-11-2012_10_'!2361:2361,"AAAAADX/ebg=",0)</f>
        <v>0</v>
      </c>
      <c r="GD157" t="e">
        <f>AND('Planilla_General_29-11-2012_10_'!A2361,"AAAAADX/ebk=")</f>
        <v>#VALUE!</v>
      </c>
      <c r="GE157" t="e">
        <f>AND('Planilla_General_29-11-2012_10_'!B2361,"AAAAADX/ebo=")</f>
        <v>#VALUE!</v>
      </c>
      <c r="GF157" t="e">
        <f>AND('Planilla_General_29-11-2012_10_'!C2361,"AAAAADX/ebs=")</f>
        <v>#VALUE!</v>
      </c>
      <c r="GG157" t="e">
        <f>AND('Planilla_General_29-11-2012_10_'!D2361,"AAAAADX/ebw=")</f>
        <v>#VALUE!</v>
      </c>
      <c r="GH157" t="e">
        <f>AND('Planilla_General_29-11-2012_10_'!E2361,"AAAAADX/eb0=")</f>
        <v>#VALUE!</v>
      </c>
      <c r="GI157" t="e">
        <f>AND('Planilla_General_29-11-2012_10_'!F2361,"AAAAADX/eb4=")</f>
        <v>#VALUE!</v>
      </c>
      <c r="GJ157" t="e">
        <f>AND('Planilla_General_29-11-2012_10_'!G2361,"AAAAADX/eb8=")</f>
        <v>#VALUE!</v>
      </c>
      <c r="GK157" t="e">
        <f>AND('Planilla_General_29-11-2012_10_'!H2361,"AAAAADX/ecA=")</f>
        <v>#VALUE!</v>
      </c>
      <c r="GL157" t="e">
        <f>AND('Planilla_General_29-11-2012_10_'!I2361,"AAAAADX/ecE=")</f>
        <v>#VALUE!</v>
      </c>
      <c r="GM157" t="e">
        <f>AND('Planilla_General_29-11-2012_10_'!J2361,"AAAAADX/ecI=")</f>
        <v>#VALUE!</v>
      </c>
      <c r="GN157" t="e">
        <f>AND('Planilla_General_29-11-2012_10_'!K2361,"AAAAADX/ecM=")</f>
        <v>#VALUE!</v>
      </c>
      <c r="GO157" t="e">
        <f>AND('Planilla_General_29-11-2012_10_'!L2361,"AAAAADX/ecQ=")</f>
        <v>#VALUE!</v>
      </c>
      <c r="GP157" t="e">
        <f>AND('Planilla_General_29-11-2012_10_'!M2361,"AAAAADX/ecU=")</f>
        <v>#VALUE!</v>
      </c>
      <c r="GQ157" t="e">
        <f>AND('Planilla_General_29-11-2012_10_'!N2361,"AAAAADX/ecY=")</f>
        <v>#VALUE!</v>
      </c>
      <c r="GR157" t="e">
        <f>AND('Planilla_General_29-11-2012_10_'!O2361,"AAAAADX/ecc=")</f>
        <v>#VALUE!</v>
      </c>
      <c r="GS157" t="e">
        <f>AND('Planilla_General_29-11-2012_10_'!P2361,"AAAAADX/ecg=")</f>
        <v>#VALUE!</v>
      </c>
      <c r="GT157">
        <f>IF('Planilla_General_29-11-2012_10_'!2362:2362,"AAAAADX/eck=",0)</f>
        <v>0</v>
      </c>
      <c r="GU157" t="e">
        <f>AND('Planilla_General_29-11-2012_10_'!A2362,"AAAAADX/eco=")</f>
        <v>#VALUE!</v>
      </c>
      <c r="GV157" t="e">
        <f>AND('Planilla_General_29-11-2012_10_'!B2362,"AAAAADX/ecs=")</f>
        <v>#VALUE!</v>
      </c>
      <c r="GW157" t="e">
        <f>AND('Planilla_General_29-11-2012_10_'!C2362,"AAAAADX/ecw=")</f>
        <v>#VALUE!</v>
      </c>
      <c r="GX157" t="e">
        <f>AND('Planilla_General_29-11-2012_10_'!D2362,"AAAAADX/ec0=")</f>
        <v>#VALUE!</v>
      </c>
      <c r="GY157" t="e">
        <f>AND('Planilla_General_29-11-2012_10_'!E2362,"AAAAADX/ec4=")</f>
        <v>#VALUE!</v>
      </c>
      <c r="GZ157" t="e">
        <f>AND('Planilla_General_29-11-2012_10_'!F2362,"AAAAADX/ec8=")</f>
        <v>#VALUE!</v>
      </c>
      <c r="HA157" t="e">
        <f>AND('Planilla_General_29-11-2012_10_'!G2362,"AAAAADX/edA=")</f>
        <v>#VALUE!</v>
      </c>
      <c r="HB157" t="e">
        <f>AND('Planilla_General_29-11-2012_10_'!H2362,"AAAAADX/edE=")</f>
        <v>#VALUE!</v>
      </c>
      <c r="HC157" t="e">
        <f>AND('Planilla_General_29-11-2012_10_'!I2362,"AAAAADX/edI=")</f>
        <v>#VALUE!</v>
      </c>
      <c r="HD157" t="e">
        <f>AND('Planilla_General_29-11-2012_10_'!J2362,"AAAAADX/edM=")</f>
        <v>#VALUE!</v>
      </c>
      <c r="HE157" t="e">
        <f>AND('Planilla_General_29-11-2012_10_'!K2362,"AAAAADX/edQ=")</f>
        <v>#VALUE!</v>
      </c>
      <c r="HF157" t="e">
        <f>AND('Planilla_General_29-11-2012_10_'!L2362,"AAAAADX/edU=")</f>
        <v>#VALUE!</v>
      </c>
      <c r="HG157" t="e">
        <f>AND('Planilla_General_29-11-2012_10_'!M2362,"AAAAADX/edY=")</f>
        <v>#VALUE!</v>
      </c>
      <c r="HH157" t="e">
        <f>AND('Planilla_General_29-11-2012_10_'!N2362,"AAAAADX/edc=")</f>
        <v>#VALUE!</v>
      </c>
      <c r="HI157" t="e">
        <f>AND('Planilla_General_29-11-2012_10_'!O2362,"AAAAADX/edg=")</f>
        <v>#VALUE!</v>
      </c>
      <c r="HJ157" t="e">
        <f>AND('Planilla_General_29-11-2012_10_'!P2362,"AAAAADX/edk=")</f>
        <v>#VALUE!</v>
      </c>
      <c r="HK157">
        <f>IF('Planilla_General_29-11-2012_10_'!2363:2363,"AAAAADX/edo=",0)</f>
        <v>0</v>
      </c>
      <c r="HL157" t="e">
        <f>AND('Planilla_General_29-11-2012_10_'!A2363,"AAAAADX/eds=")</f>
        <v>#VALUE!</v>
      </c>
      <c r="HM157" t="e">
        <f>AND('Planilla_General_29-11-2012_10_'!B2363,"AAAAADX/edw=")</f>
        <v>#VALUE!</v>
      </c>
      <c r="HN157" t="e">
        <f>AND('Planilla_General_29-11-2012_10_'!C2363,"AAAAADX/ed0=")</f>
        <v>#VALUE!</v>
      </c>
      <c r="HO157" t="e">
        <f>AND('Planilla_General_29-11-2012_10_'!D2363,"AAAAADX/ed4=")</f>
        <v>#VALUE!</v>
      </c>
      <c r="HP157" t="e">
        <f>AND('Planilla_General_29-11-2012_10_'!E2363,"AAAAADX/ed8=")</f>
        <v>#VALUE!</v>
      </c>
      <c r="HQ157" t="e">
        <f>AND('Planilla_General_29-11-2012_10_'!F2363,"AAAAADX/eeA=")</f>
        <v>#VALUE!</v>
      </c>
      <c r="HR157" t="e">
        <f>AND('Planilla_General_29-11-2012_10_'!G2363,"AAAAADX/eeE=")</f>
        <v>#VALUE!</v>
      </c>
      <c r="HS157" t="e">
        <f>AND('Planilla_General_29-11-2012_10_'!H2363,"AAAAADX/eeI=")</f>
        <v>#VALUE!</v>
      </c>
      <c r="HT157" t="e">
        <f>AND('Planilla_General_29-11-2012_10_'!I2363,"AAAAADX/eeM=")</f>
        <v>#VALUE!</v>
      </c>
      <c r="HU157" t="e">
        <f>AND('Planilla_General_29-11-2012_10_'!J2363,"AAAAADX/eeQ=")</f>
        <v>#VALUE!</v>
      </c>
      <c r="HV157" t="e">
        <f>AND('Planilla_General_29-11-2012_10_'!K2363,"AAAAADX/eeU=")</f>
        <v>#VALUE!</v>
      </c>
      <c r="HW157" t="e">
        <f>AND('Planilla_General_29-11-2012_10_'!L2363,"AAAAADX/eeY=")</f>
        <v>#VALUE!</v>
      </c>
      <c r="HX157" t="e">
        <f>AND('Planilla_General_29-11-2012_10_'!M2363,"AAAAADX/eec=")</f>
        <v>#VALUE!</v>
      </c>
      <c r="HY157" t="e">
        <f>AND('Planilla_General_29-11-2012_10_'!N2363,"AAAAADX/eeg=")</f>
        <v>#VALUE!</v>
      </c>
      <c r="HZ157" t="e">
        <f>AND('Planilla_General_29-11-2012_10_'!O2363,"AAAAADX/eek=")</f>
        <v>#VALUE!</v>
      </c>
      <c r="IA157" t="e">
        <f>AND('Planilla_General_29-11-2012_10_'!P2363,"AAAAADX/eeo=")</f>
        <v>#VALUE!</v>
      </c>
      <c r="IB157">
        <f>IF('Planilla_General_29-11-2012_10_'!2364:2364,"AAAAADX/ees=",0)</f>
        <v>0</v>
      </c>
      <c r="IC157" t="e">
        <f>AND('Planilla_General_29-11-2012_10_'!A2364,"AAAAADX/eew=")</f>
        <v>#VALUE!</v>
      </c>
      <c r="ID157" t="e">
        <f>AND('Planilla_General_29-11-2012_10_'!B2364,"AAAAADX/ee0=")</f>
        <v>#VALUE!</v>
      </c>
      <c r="IE157" t="e">
        <f>AND('Planilla_General_29-11-2012_10_'!C2364,"AAAAADX/ee4=")</f>
        <v>#VALUE!</v>
      </c>
      <c r="IF157" t="e">
        <f>AND('Planilla_General_29-11-2012_10_'!D2364,"AAAAADX/ee8=")</f>
        <v>#VALUE!</v>
      </c>
      <c r="IG157" t="e">
        <f>AND('Planilla_General_29-11-2012_10_'!E2364,"AAAAADX/efA=")</f>
        <v>#VALUE!</v>
      </c>
      <c r="IH157" t="e">
        <f>AND('Planilla_General_29-11-2012_10_'!F2364,"AAAAADX/efE=")</f>
        <v>#VALUE!</v>
      </c>
      <c r="II157" t="e">
        <f>AND('Planilla_General_29-11-2012_10_'!G2364,"AAAAADX/efI=")</f>
        <v>#VALUE!</v>
      </c>
      <c r="IJ157" t="e">
        <f>AND('Planilla_General_29-11-2012_10_'!H2364,"AAAAADX/efM=")</f>
        <v>#VALUE!</v>
      </c>
      <c r="IK157" t="e">
        <f>AND('Planilla_General_29-11-2012_10_'!I2364,"AAAAADX/efQ=")</f>
        <v>#VALUE!</v>
      </c>
      <c r="IL157" t="e">
        <f>AND('Planilla_General_29-11-2012_10_'!J2364,"AAAAADX/efU=")</f>
        <v>#VALUE!</v>
      </c>
      <c r="IM157" t="e">
        <f>AND('Planilla_General_29-11-2012_10_'!K2364,"AAAAADX/efY=")</f>
        <v>#VALUE!</v>
      </c>
      <c r="IN157" t="e">
        <f>AND('Planilla_General_29-11-2012_10_'!L2364,"AAAAADX/efc=")</f>
        <v>#VALUE!</v>
      </c>
      <c r="IO157" t="e">
        <f>AND('Planilla_General_29-11-2012_10_'!M2364,"AAAAADX/efg=")</f>
        <v>#VALUE!</v>
      </c>
      <c r="IP157" t="e">
        <f>AND('Planilla_General_29-11-2012_10_'!N2364,"AAAAADX/efk=")</f>
        <v>#VALUE!</v>
      </c>
      <c r="IQ157" t="e">
        <f>AND('Planilla_General_29-11-2012_10_'!O2364,"AAAAADX/efo=")</f>
        <v>#VALUE!</v>
      </c>
      <c r="IR157" t="e">
        <f>AND('Planilla_General_29-11-2012_10_'!P2364,"AAAAADX/efs=")</f>
        <v>#VALUE!</v>
      </c>
      <c r="IS157">
        <f>IF('Planilla_General_29-11-2012_10_'!2365:2365,"AAAAADX/efw=",0)</f>
        <v>0</v>
      </c>
      <c r="IT157" t="e">
        <f>AND('Planilla_General_29-11-2012_10_'!A2365,"AAAAADX/ef0=")</f>
        <v>#VALUE!</v>
      </c>
      <c r="IU157" t="e">
        <f>AND('Planilla_General_29-11-2012_10_'!B2365,"AAAAADX/ef4=")</f>
        <v>#VALUE!</v>
      </c>
      <c r="IV157" t="e">
        <f>AND('Planilla_General_29-11-2012_10_'!C2365,"AAAAADX/ef8=")</f>
        <v>#VALUE!</v>
      </c>
    </row>
    <row r="158" spans="1:256" x14ac:dyDescent="0.25">
      <c r="A158" t="e">
        <f>AND('Planilla_General_29-11-2012_10_'!D2365,"AAAAAEe+1wA=")</f>
        <v>#VALUE!</v>
      </c>
      <c r="B158" t="e">
        <f>AND('Planilla_General_29-11-2012_10_'!E2365,"AAAAAEe+1wE=")</f>
        <v>#VALUE!</v>
      </c>
      <c r="C158" t="e">
        <f>AND('Planilla_General_29-11-2012_10_'!F2365,"AAAAAEe+1wI=")</f>
        <v>#VALUE!</v>
      </c>
      <c r="D158" t="e">
        <f>AND('Planilla_General_29-11-2012_10_'!G2365,"AAAAAEe+1wM=")</f>
        <v>#VALUE!</v>
      </c>
      <c r="E158" t="e">
        <f>AND('Planilla_General_29-11-2012_10_'!H2365,"AAAAAEe+1wQ=")</f>
        <v>#VALUE!</v>
      </c>
      <c r="F158" t="e">
        <f>AND('Planilla_General_29-11-2012_10_'!I2365,"AAAAAEe+1wU=")</f>
        <v>#VALUE!</v>
      </c>
      <c r="G158" t="e">
        <f>AND('Planilla_General_29-11-2012_10_'!J2365,"AAAAAEe+1wY=")</f>
        <v>#VALUE!</v>
      </c>
      <c r="H158" t="e">
        <f>AND('Planilla_General_29-11-2012_10_'!K2365,"AAAAAEe+1wc=")</f>
        <v>#VALUE!</v>
      </c>
      <c r="I158" t="e">
        <f>AND('Planilla_General_29-11-2012_10_'!L2365,"AAAAAEe+1wg=")</f>
        <v>#VALUE!</v>
      </c>
      <c r="J158" t="e">
        <f>AND('Planilla_General_29-11-2012_10_'!M2365,"AAAAAEe+1wk=")</f>
        <v>#VALUE!</v>
      </c>
      <c r="K158" t="e">
        <f>AND('Planilla_General_29-11-2012_10_'!N2365,"AAAAAEe+1wo=")</f>
        <v>#VALUE!</v>
      </c>
      <c r="L158" t="e">
        <f>AND('Planilla_General_29-11-2012_10_'!O2365,"AAAAAEe+1ws=")</f>
        <v>#VALUE!</v>
      </c>
      <c r="M158" t="e">
        <f>AND('Planilla_General_29-11-2012_10_'!P2365,"AAAAAEe+1ww=")</f>
        <v>#VALUE!</v>
      </c>
      <c r="N158" t="str">
        <f>IF('Planilla_General_29-11-2012_10_'!2366:2366,"AAAAAEe+1w0=",0)</f>
        <v>AAAAAEe+1w0=</v>
      </c>
      <c r="O158" t="e">
        <f>AND('Planilla_General_29-11-2012_10_'!A2366,"AAAAAEe+1w4=")</f>
        <v>#VALUE!</v>
      </c>
      <c r="P158" t="e">
        <f>AND('Planilla_General_29-11-2012_10_'!B2366,"AAAAAEe+1w8=")</f>
        <v>#VALUE!</v>
      </c>
      <c r="Q158" t="e">
        <f>AND('Planilla_General_29-11-2012_10_'!C2366,"AAAAAEe+1xA=")</f>
        <v>#VALUE!</v>
      </c>
      <c r="R158" t="e">
        <f>AND('Planilla_General_29-11-2012_10_'!D2366,"AAAAAEe+1xE=")</f>
        <v>#VALUE!</v>
      </c>
      <c r="S158" t="e">
        <f>AND('Planilla_General_29-11-2012_10_'!E2366,"AAAAAEe+1xI=")</f>
        <v>#VALUE!</v>
      </c>
      <c r="T158" t="e">
        <f>AND('Planilla_General_29-11-2012_10_'!F2366,"AAAAAEe+1xM=")</f>
        <v>#VALUE!</v>
      </c>
      <c r="U158" t="e">
        <f>AND('Planilla_General_29-11-2012_10_'!G2366,"AAAAAEe+1xQ=")</f>
        <v>#VALUE!</v>
      </c>
      <c r="V158" t="e">
        <f>AND('Planilla_General_29-11-2012_10_'!H2366,"AAAAAEe+1xU=")</f>
        <v>#VALUE!</v>
      </c>
      <c r="W158" t="e">
        <f>AND('Planilla_General_29-11-2012_10_'!I2366,"AAAAAEe+1xY=")</f>
        <v>#VALUE!</v>
      </c>
      <c r="X158" t="e">
        <f>AND('Planilla_General_29-11-2012_10_'!J2366,"AAAAAEe+1xc=")</f>
        <v>#VALUE!</v>
      </c>
      <c r="Y158" t="e">
        <f>AND('Planilla_General_29-11-2012_10_'!K2366,"AAAAAEe+1xg=")</f>
        <v>#VALUE!</v>
      </c>
      <c r="Z158" t="e">
        <f>AND('Planilla_General_29-11-2012_10_'!L2366,"AAAAAEe+1xk=")</f>
        <v>#VALUE!</v>
      </c>
      <c r="AA158" t="e">
        <f>AND('Planilla_General_29-11-2012_10_'!M2366,"AAAAAEe+1xo=")</f>
        <v>#VALUE!</v>
      </c>
      <c r="AB158" t="e">
        <f>AND('Planilla_General_29-11-2012_10_'!N2366,"AAAAAEe+1xs=")</f>
        <v>#VALUE!</v>
      </c>
      <c r="AC158" t="e">
        <f>AND('Planilla_General_29-11-2012_10_'!O2366,"AAAAAEe+1xw=")</f>
        <v>#VALUE!</v>
      </c>
      <c r="AD158" t="e">
        <f>AND('Planilla_General_29-11-2012_10_'!P2366,"AAAAAEe+1x0=")</f>
        <v>#VALUE!</v>
      </c>
      <c r="AE158">
        <f>IF('Planilla_General_29-11-2012_10_'!2367:2367,"AAAAAEe+1x4=",0)</f>
        <v>0</v>
      </c>
      <c r="AF158" t="e">
        <f>AND('Planilla_General_29-11-2012_10_'!A2367,"AAAAAEe+1x8=")</f>
        <v>#VALUE!</v>
      </c>
      <c r="AG158" t="e">
        <f>AND('Planilla_General_29-11-2012_10_'!B2367,"AAAAAEe+1yA=")</f>
        <v>#VALUE!</v>
      </c>
      <c r="AH158" t="e">
        <f>AND('Planilla_General_29-11-2012_10_'!C2367,"AAAAAEe+1yE=")</f>
        <v>#VALUE!</v>
      </c>
      <c r="AI158" t="e">
        <f>AND('Planilla_General_29-11-2012_10_'!D2367,"AAAAAEe+1yI=")</f>
        <v>#VALUE!</v>
      </c>
      <c r="AJ158" t="e">
        <f>AND('Planilla_General_29-11-2012_10_'!E2367,"AAAAAEe+1yM=")</f>
        <v>#VALUE!</v>
      </c>
      <c r="AK158" t="e">
        <f>AND('Planilla_General_29-11-2012_10_'!F2367,"AAAAAEe+1yQ=")</f>
        <v>#VALUE!</v>
      </c>
      <c r="AL158" t="e">
        <f>AND('Planilla_General_29-11-2012_10_'!G2367,"AAAAAEe+1yU=")</f>
        <v>#VALUE!</v>
      </c>
      <c r="AM158" t="e">
        <f>AND('Planilla_General_29-11-2012_10_'!H2367,"AAAAAEe+1yY=")</f>
        <v>#VALUE!</v>
      </c>
      <c r="AN158" t="e">
        <f>AND('Planilla_General_29-11-2012_10_'!I2367,"AAAAAEe+1yc=")</f>
        <v>#VALUE!</v>
      </c>
      <c r="AO158" t="e">
        <f>AND('Planilla_General_29-11-2012_10_'!J2367,"AAAAAEe+1yg=")</f>
        <v>#VALUE!</v>
      </c>
      <c r="AP158" t="e">
        <f>AND('Planilla_General_29-11-2012_10_'!K2367,"AAAAAEe+1yk=")</f>
        <v>#VALUE!</v>
      </c>
      <c r="AQ158" t="e">
        <f>AND('Planilla_General_29-11-2012_10_'!L2367,"AAAAAEe+1yo=")</f>
        <v>#VALUE!</v>
      </c>
      <c r="AR158" t="e">
        <f>AND('Planilla_General_29-11-2012_10_'!M2367,"AAAAAEe+1ys=")</f>
        <v>#VALUE!</v>
      </c>
      <c r="AS158" t="e">
        <f>AND('Planilla_General_29-11-2012_10_'!N2367,"AAAAAEe+1yw=")</f>
        <v>#VALUE!</v>
      </c>
      <c r="AT158" t="e">
        <f>AND('Planilla_General_29-11-2012_10_'!O2367,"AAAAAEe+1y0=")</f>
        <v>#VALUE!</v>
      </c>
      <c r="AU158" t="e">
        <f>AND('Planilla_General_29-11-2012_10_'!P2367,"AAAAAEe+1y4=")</f>
        <v>#VALUE!</v>
      </c>
      <c r="AV158">
        <f>IF('Planilla_General_29-11-2012_10_'!2368:2368,"AAAAAEe+1y8=",0)</f>
        <v>0</v>
      </c>
      <c r="AW158" t="e">
        <f>AND('Planilla_General_29-11-2012_10_'!A2368,"AAAAAEe+1zA=")</f>
        <v>#VALUE!</v>
      </c>
      <c r="AX158" t="e">
        <f>AND('Planilla_General_29-11-2012_10_'!B2368,"AAAAAEe+1zE=")</f>
        <v>#VALUE!</v>
      </c>
      <c r="AY158" t="e">
        <f>AND('Planilla_General_29-11-2012_10_'!C2368,"AAAAAEe+1zI=")</f>
        <v>#VALUE!</v>
      </c>
      <c r="AZ158" t="e">
        <f>AND('Planilla_General_29-11-2012_10_'!D2368,"AAAAAEe+1zM=")</f>
        <v>#VALUE!</v>
      </c>
      <c r="BA158" t="e">
        <f>AND('Planilla_General_29-11-2012_10_'!E2368,"AAAAAEe+1zQ=")</f>
        <v>#VALUE!</v>
      </c>
      <c r="BB158" t="e">
        <f>AND('Planilla_General_29-11-2012_10_'!F2368,"AAAAAEe+1zU=")</f>
        <v>#VALUE!</v>
      </c>
      <c r="BC158" t="e">
        <f>AND('Planilla_General_29-11-2012_10_'!G2368,"AAAAAEe+1zY=")</f>
        <v>#VALUE!</v>
      </c>
      <c r="BD158" t="e">
        <f>AND('Planilla_General_29-11-2012_10_'!H2368,"AAAAAEe+1zc=")</f>
        <v>#VALUE!</v>
      </c>
      <c r="BE158" t="e">
        <f>AND('Planilla_General_29-11-2012_10_'!I2368,"AAAAAEe+1zg=")</f>
        <v>#VALUE!</v>
      </c>
      <c r="BF158" t="e">
        <f>AND('Planilla_General_29-11-2012_10_'!J2368,"AAAAAEe+1zk=")</f>
        <v>#VALUE!</v>
      </c>
      <c r="BG158" t="e">
        <f>AND('Planilla_General_29-11-2012_10_'!K2368,"AAAAAEe+1zo=")</f>
        <v>#VALUE!</v>
      </c>
      <c r="BH158" t="e">
        <f>AND('Planilla_General_29-11-2012_10_'!L2368,"AAAAAEe+1zs=")</f>
        <v>#VALUE!</v>
      </c>
      <c r="BI158" t="e">
        <f>AND('Planilla_General_29-11-2012_10_'!M2368,"AAAAAEe+1zw=")</f>
        <v>#VALUE!</v>
      </c>
      <c r="BJ158" t="e">
        <f>AND('Planilla_General_29-11-2012_10_'!N2368,"AAAAAEe+1z0=")</f>
        <v>#VALUE!</v>
      </c>
      <c r="BK158" t="e">
        <f>AND('Planilla_General_29-11-2012_10_'!O2368,"AAAAAEe+1z4=")</f>
        <v>#VALUE!</v>
      </c>
      <c r="BL158" t="e">
        <f>AND('Planilla_General_29-11-2012_10_'!P2368,"AAAAAEe+1z8=")</f>
        <v>#VALUE!</v>
      </c>
      <c r="BM158">
        <f>IF('Planilla_General_29-11-2012_10_'!2369:2369,"AAAAAEe+10A=",0)</f>
        <v>0</v>
      </c>
      <c r="BN158" t="e">
        <f>AND('Planilla_General_29-11-2012_10_'!A2369,"AAAAAEe+10E=")</f>
        <v>#VALUE!</v>
      </c>
      <c r="BO158" t="e">
        <f>AND('Planilla_General_29-11-2012_10_'!B2369,"AAAAAEe+10I=")</f>
        <v>#VALUE!</v>
      </c>
      <c r="BP158" t="e">
        <f>AND('Planilla_General_29-11-2012_10_'!C2369,"AAAAAEe+10M=")</f>
        <v>#VALUE!</v>
      </c>
      <c r="BQ158" t="e">
        <f>AND('Planilla_General_29-11-2012_10_'!D2369,"AAAAAEe+10Q=")</f>
        <v>#VALUE!</v>
      </c>
      <c r="BR158" t="e">
        <f>AND('Planilla_General_29-11-2012_10_'!E2369,"AAAAAEe+10U=")</f>
        <v>#VALUE!</v>
      </c>
      <c r="BS158" t="e">
        <f>AND('Planilla_General_29-11-2012_10_'!F2369,"AAAAAEe+10Y=")</f>
        <v>#VALUE!</v>
      </c>
      <c r="BT158" t="e">
        <f>AND('Planilla_General_29-11-2012_10_'!G2369,"AAAAAEe+10c=")</f>
        <v>#VALUE!</v>
      </c>
      <c r="BU158" t="e">
        <f>AND('Planilla_General_29-11-2012_10_'!H2369,"AAAAAEe+10g=")</f>
        <v>#VALUE!</v>
      </c>
      <c r="BV158" t="e">
        <f>AND('Planilla_General_29-11-2012_10_'!I2369,"AAAAAEe+10k=")</f>
        <v>#VALUE!</v>
      </c>
      <c r="BW158" t="e">
        <f>AND('Planilla_General_29-11-2012_10_'!J2369,"AAAAAEe+10o=")</f>
        <v>#VALUE!</v>
      </c>
      <c r="BX158" t="e">
        <f>AND('Planilla_General_29-11-2012_10_'!K2369,"AAAAAEe+10s=")</f>
        <v>#VALUE!</v>
      </c>
      <c r="BY158" t="e">
        <f>AND('Planilla_General_29-11-2012_10_'!L2369,"AAAAAEe+10w=")</f>
        <v>#VALUE!</v>
      </c>
      <c r="BZ158" t="e">
        <f>AND('Planilla_General_29-11-2012_10_'!M2369,"AAAAAEe+100=")</f>
        <v>#VALUE!</v>
      </c>
      <c r="CA158" t="e">
        <f>AND('Planilla_General_29-11-2012_10_'!N2369,"AAAAAEe+104=")</f>
        <v>#VALUE!</v>
      </c>
      <c r="CB158" t="e">
        <f>AND('Planilla_General_29-11-2012_10_'!O2369,"AAAAAEe+108=")</f>
        <v>#VALUE!</v>
      </c>
      <c r="CC158" t="e">
        <f>AND('Planilla_General_29-11-2012_10_'!P2369,"AAAAAEe+11A=")</f>
        <v>#VALUE!</v>
      </c>
      <c r="CD158">
        <f>IF('Planilla_General_29-11-2012_10_'!2370:2370,"AAAAAEe+11E=",0)</f>
        <v>0</v>
      </c>
      <c r="CE158" t="e">
        <f>AND('Planilla_General_29-11-2012_10_'!A2370,"AAAAAEe+11I=")</f>
        <v>#VALUE!</v>
      </c>
      <c r="CF158" t="e">
        <f>AND('Planilla_General_29-11-2012_10_'!B2370,"AAAAAEe+11M=")</f>
        <v>#VALUE!</v>
      </c>
      <c r="CG158" t="e">
        <f>AND('Planilla_General_29-11-2012_10_'!C2370,"AAAAAEe+11Q=")</f>
        <v>#VALUE!</v>
      </c>
      <c r="CH158" t="e">
        <f>AND('Planilla_General_29-11-2012_10_'!D2370,"AAAAAEe+11U=")</f>
        <v>#VALUE!</v>
      </c>
      <c r="CI158" t="e">
        <f>AND('Planilla_General_29-11-2012_10_'!E2370,"AAAAAEe+11Y=")</f>
        <v>#VALUE!</v>
      </c>
      <c r="CJ158" t="e">
        <f>AND('Planilla_General_29-11-2012_10_'!F2370,"AAAAAEe+11c=")</f>
        <v>#VALUE!</v>
      </c>
      <c r="CK158" t="e">
        <f>AND('Planilla_General_29-11-2012_10_'!G2370,"AAAAAEe+11g=")</f>
        <v>#VALUE!</v>
      </c>
      <c r="CL158" t="e">
        <f>AND('Planilla_General_29-11-2012_10_'!H2370,"AAAAAEe+11k=")</f>
        <v>#VALUE!</v>
      </c>
      <c r="CM158" t="e">
        <f>AND('Planilla_General_29-11-2012_10_'!I2370,"AAAAAEe+11o=")</f>
        <v>#VALUE!</v>
      </c>
      <c r="CN158" t="e">
        <f>AND('Planilla_General_29-11-2012_10_'!J2370,"AAAAAEe+11s=")</f>
        <v>#VALUE!</v>
      </c>
      <c r="CO158" t="e">
        <f>AND('Planilla_General_29-11-2012_10_'!K2370,"AAAAAEe+11w=")</f>
        <v>#VALUE!</v>
      </c>
      <c r="CP158" t="e">
        <f>AND('Planilla_General_29-11-2012_10_'!L2370,"AAAAAEe+110=")</f>
        <v>#VALUE!</v>
      </c>
      <c r="CQ158" t="e">
        <f>AND('Planilla_General_29-11-2012_10_'!M2370,"AAAAAEe+114=")</f>
        <v>#VALUE!</v>
      </c>
      <c r="CR158" t="e">
        <f>AND('Planilla_General_29-11-2012_10_'!N2370,"AAAAAEe+118=")</f>
        <v>#VALUE!</v>
      </c>
      <c r="CS158" t="e">
        <f>AND('Planilla_General_29-11-2012_10_'!O2370,"AAAAAEe+12A=")</f>
        <v>#VALUE!</v>
      </c>
      <c r="CT158" t="e">
        <f>AND('Planilla_General_29-11-2012_10_'!P2370,"AAAAAEe+12E=")</f>
        <v>#VALUE!</v>
      </c>
      <c r="CU158">
        <f>IF('Planilla_General_29-11-2012_10_'!2371:2371,"AAAAAEe+12I=",0)</f>
        <v>0</v>
      </c>
      <c r="CV158" t="e">
        <f>AND('Planilla_General_29-11-2012_10_'!A2371,"AAAAAEe+12M=")</f>
        <v>#VALUE!</v>
      </c>
      <c r="CW158" t="e">
        <f>AND('Planilla_General_29-11-2012_10_'!B2371,"AAAAAEe+12Q=")</f>
        <v>#VALUE!</v>
      </c>
      <c r="CX158" t="e">
        <f>AND('Planilla_General_29-11-2012_10_'!C2371,"AAAAAEe+12U=")</f>
        <v>#VALUE!</v>
      </c>
      <c r="CY158" t="e">
        <f>AND('Planilla_General_29-11-2012_10_'!D2371,"AAAAAEe+12Y=")</f>
        <v>#VALUE!</v>
      </c>
      <c r="CZ158" t="e">
        <f>AND('Planilla_General_29-11-2012_10_'!E2371,"AAAAAEe+12c=")</f>
        <v>#VALUE!</v>
      </c>
      <c r="DA158" t="e">
        <f>AND('Planilla_General_29-11-2012_10_'!F2371,"AAAAAEe+12g=")</f>
        <v>#VALUE!</v>
      </c>
      <c r="DB158" t="e">
        <f>AND('Planilla_General_29-11-2012_10_'!G2371,"AAAAAEe+12k=")</f>
        <v>#VALUE!</v>
      </c>
      <c r="DC158" t="e">
        <f>AND('Planilla_General_29-11-2012_10_'!H2371,"AAAAAEe+12o=")</f>
        <v>#VALUE!</v>
      </c>
      <c r="DD158" t="e">
        <f>AND('Planilla_General_29-11-2012_10_'!I2371,"AAAAAEe+12s=")</f>
        <v>#VALUE!</v>
      </c>
      <c r="DE158" t="e">
        <f>AND('Planilla_General_29-11-2012_10_'!J2371,"AAAAAEe+12w=")</f>
        <v>#VALUE!</v>
      </c>
      <c r="DF158" t="e">
        <f>AND('Planilla_General_29-11-2012_10_'!K2371,"AAAAAEe+120=")</f>
        <v>#VALUE!</v>
      </c>
      <c r="DG158" t="e">
        <f>AND('Planilla_General_29-11-2012_10_'!L2371,"AAAAAEe+124=")</f>
        <v>#VALUE!</v>
      </c>
      <c r="DH158" t="e">
        <f>AND('Planilla_General_29-11-2012_10_'!M2371,"AAAAAEe+128=")</f>
        <v>#VALUE!</v>
      </c>
      <c r="DI158" t="e">
        <f>AND('Planilla_General_29-11-2012_10_'!N2371,"AAAAAEe+13A=")</f>
        <v>#VALUE!</v>
      </c>
      <c r="DJ158" t="e">
        <f>AND('Planilla_General_29-11-2012_10_'!O2371,"AAAAAEe+13E=")</f>
        <v>#VALUE!</v>
      </c>
      <c r="DK158" t="e">
        <f>AND('Planilla_General_29-11-2012_10_'!P2371,"AAAAAEe+13I=")</f>
        <v>#VALUE!</v>
      </c>
      <c r="DL158">
        <f>IF('Planilla_General_29-11-2012_10_'!2372:2372,"AAAAAEe+13M=",0)</f>
        <v>0</v>
      </c>
      <c r="DM158" t="e">
        <f>AND('Planilla_General_29-11-2012_10_'!A2372,"AAAAAEe+13Q=")</f>
        <v>#VALUE!</v>
      </c>
      <c r="DN158" t="e">
        <f>AND('Planilla_General_29-11-2012_10_'!B2372,"AAAAAEe+13U=")</f>
        <v>#VALUE!</v>
      </c>
      <c r="DO158" t="e">
        <f>AND('Planilla_General_29-11-2012_10_'!C2372,"AAAAAEe+13Y=")</f>
        <v>#VALUE!</v>
      </c>
      <c r="DP158" t="e">
        <f>AND('Planilla_General_29-11-2012_10_'!D2372,"AAAAAEe+13c=")</f>
        <v>#VALUE!</v>
      </c>
      <c r="DQ158" t="e">
        <f>AND('Planilla_General_29-11-2012_10_'!E2372,"AAAAAEe+13g=")</f>
        <v>#VALUE!</v>
      </c>
      <c r="DR158" t="e">
        <f>AND('Planilla_General_29-11-2012_10_'!F2372,"AAAAAEe+13k=")</f>
        <v>#VALUE!</v>
      </c>
      <c r="DS158" t="e">
        <f>AND('Planilla_General_29-11-2012_10_'!G2372,"AAAAAEe+13o=")</f>
        <v>#VALUE!</v>
      </c>
      <c r="DT158" t="e">
        <f>AND('Planilla_General_29-11-2012_10_'!H2372,"AAAAAEe+13s=")</f>
        <v>#VALUE!</v>
      </c>
      <c r="DU158" t="e">
        <f>AND('Planilla_General_29-11-2012_10_'!I2372,"AAAAAEe+13w=")</f>
        <v>#VALUE!</v>
      </c>
      <c r="DV158" t="e">
        <f>AND('Planilla_General_29-11-2012_10_'!J2372,"AAAAAEe+130=")</f>
        <v>#VALUE!</v>
      </c>
      <c r="DW158" t="e">
        <f>AND('Planilla_General_29-11-2012_10_'!K2372,"AAAAAEe+134=")</f>
        <v>#VALUE!</v>
      </c>
      <c r="DX158" t="e">
        <f>AND('Planilla_General_29-11-2012_10_'!L2372,"AAAAAEe+138=")</f>
        <v>#VALUE!</v>
      </c>
      <c r="DY158" t="e">
        <f>AND('Planilla_General_29-11-2012_10_'!M2372,"AAAAAEe+14A=")</f>
        <v>#VALUE!</v>
      </c>
      <c r="DZ158" t="e">
        <f>AND('Planilla_General_29-11-2012_10_'!N2372,"AAAAAEe+14E=")</f>
        <v>#VALUE!</v>
      </c>
      <c r="EA158" t="e">
        <f>AND('Planilla_General_29-11-2012_10_'!O2372,"AAAAAEe+14I=")</f>
        <v>#VALUE!</v>
      </c>
      <c r="EB158" t="e">
        <f>AND('Planilla_General_29-11-2012_10_'!P2372,"AAAAAEe+14M=")</f>
        <v>#VALUE!</v>
      </c>
      <c r="EC158">
        <f>IF('Planilla_General_29-11-2012_10_'!2373:2373,"AAAAAEe+14Q=",0)</f>
        <v>0</v>
      </c>
      <c r="ED158" t="e">
        <f>AND('Planilla_General_29-11-2012_10_'!A2373,"AAAAAEe+14U=")</f>
        <v>#VALUE!</v>
      </c>
      <c r="EE158" t="e">
        <f>AND('Planilla_General_29-11-2012_10_'!B2373,"AAAAAEe+14Y=")</f>
        <v>#VALUE!</v>
      </c>
      <c r="EF158" t="e">
        <f>AND('Planilla_General_29-11-2012_10_'!C2373,"AAAAAEe+14c=")</f>
        <v>#VALUE!</v>
      </c>
      <c r="EG158" t="e">
        <f>AND('Planilla_General_29-11-2012_10_'!D2373,"AAAAAEe+14g=")</f>
        <v>#VALUE!</v>
      </c>
      <c r="EH158" t="e">
        <f>AND('Planilla_General_29-11-2012_10_'!E2373,"AAAAAEe+14k=")</f>
        <v>#VALUE!</v>
      </c>
      <c r="EI158" t="e">
        <f>AND('Planilla_General_29-11-2012_10_'!F2373,"AAAAAEe+14o=")</f>
        <v>#VALUE!</v>
      </c>
      <c r="EJ158" t="e">
        <f>AND('Planilla_General_29-11-2012_10_'!G2373,"AAAAAEe+14s=")</f>
        <v>#VALUE!</v>
      </c>
      <c r="EK158" t="e">
        <f>AND('Planilla_General_29-11-2012_10_'!H2373,"AAAAAEe+14w=")</f>
        <v>#VALUE!</v>
      </c>
      <c r="EL158" t="e">
        <f>AND('Planilla_General_29-11-2012_10_'!I2373,"AAAAAEe+140=")</f>
        <v>#VALUE!</v>
      </c>
      <c r="EM158" t="e">
        <f>AND('Planilla_General_29-11-2012_10_'!J2373,"AAAAAEe+144=")</f>
        <v>#VALUE!</v>
      </c>
      <c r="EN158" t="e">
        <f>AND('Planilla_General_29-11-2012_10_'!K2373,"AAAAAEe+148=")</f>
        <v>#VALUE!</v>
      </c>
      <c r="EO158" t="e">
        <f>AND('Planilla_General_29-11-2012_10_'!L2373,"AAAAAEe+15A=")</f>
        <v>#VALUE!</v>
      </c>
      <c r="EP158" t="e">
        <f>AND('Planilla_General_29-11-2012_10_'!M2373,"AAAAAEe+15E=")</f>
        <v>#VALUE!</v>
      </c>
      <c r="EQ158" t="e">
        <f>AND('Planilla_General_29-11-2012_10_'!N2373,"AAAAAEe+15I=")</f>
        <v>#VALUE!</v>
      </c>
      <c r="ER158" t="e">
        <f>AND('Planilla_General_29-11-2012_10_'!O2373,"AAAAAEe+15M=")</f>
        <v>#VALUE!</v>
      </c>
      <c r="ES158" t="e">
        <f>AND('Planilla_General_29-11-2012_10_'!P2373,"AAAAAEe+15Q=")</f>
        <v>#VALUE!</v>
      </c>
      <c r="ET158">
        <f>IF('Planilla_General_29-11-2012_10_'!2374:2374,"AAAAAEe+15U=",0)</f>
        <v>0</v>
      </c>
      <c r="EU158" t="e">
        <f>AND('Planilla_General_29-11-2012_10_'!A2374,"AAAAAEe+15Y=")</f>
        <v>#VALUE!</v>
      </c>
      <c r="EV158" t="e">
        <f>AND('Planilla_General_29-11-2012_10_'!B2374,"AAAAAEe+15c=")</f>
        <v>#VALUE!</v>
      </c>
      <c r="EW158" t="e">
        <f>AND('Planilla_General_29-11-2012_10_'!C2374,"AAAAAEe+15g=")</f>
        <v>#VALUE!</v>
      </c>
      <c r="EX158" t="e">
        <f>AND('Planilla_General_29-11-2012_10_'!D2374,"AAAAAEe+15k=")</f>
        <v>#VALUE!</v>
      </c>
      <c r="EY158" t="e">
        <f>AND('Planilla_General_29-11-2012_10_'!E2374,"AAAAAEe+15o=")</f>
        <v>#VALUE!</v>
      </c>
      <c r="EZ158" t="e">
        <f>AND('Planilla_General_29-11-2012_10_'!F2374,"AAAAAEe+15s=")</f>
        <v>#VALUE!</v>
      </c>
      <c r="FA158" t="e">
        <f>AND('Planilla_General_29-11-2012_10_'!G2374,"AAAAAEe+15w=")</f>
        <v>#VALUE!</v>
      </c>
      <c r="FB158" t="e">
        <f>AND('Planilla_General_29-11-2012_10_'!H2374,"AAAAAEe+150=")</f>
        <v>#VALUE!</v>
      </c>
      <c r="FC158" t="e">
        <f>AND('Planilla_General_29-11-2012_10_'!I2374,"AAAAAEe+154=")</f>
        <v>#VALUE!</v>
      </c>
      <c r="FD158" t="e">
        <f>AND('Planilla_General_29-11-2012_10_'!J2374,"AAAAAEe+158=")</f>
        <v>#VALUE!</v>
      </c>
      <c r="FE158" t="e">
        <f>AND('Planilla_General_29-11-2012_10_'!K2374,"AAAAAEe+16A=")</f>
        <v>#VALUE!</v>
      </c>
      <c r="FF158" t="e">
        <f>AND('Planilla_General_29-11-2012_10_'!L2374,"AAAAAEe+16E=")</f>
        <v>#VALUE!</v>
      </c>
      <c r="FG158" t="e">
        <f>AND('Planilla_General_29-11-2012_10_'!M2374,"AAAAAEe+16I=")</f>
        <v>#VALUE!</v>
      </c>
      <c r="FH158" t="e">
        <f>AND('Planilla_General_29-11-2012_10_'!N2374,"AAAAAEe+16M=")</f>
        <v>#VALUE!</v>
      </c>
      <c r="FI158" t="e">
        <f>AND('Planilla_General_29-11-2012_10_'!O2374,"AAAAAEe+16Q=")</f>
        <v>#VALUE!</v>
      </c>
      <c r="FJ158" t="e">
        <f>AND('Planilla_General_29-11-2012_10_'!P2374,"AAAAAEe+16U=")</f>
        <v>#VALUE!</v>
      </c>
      <c r="FK158">
        <f>IF('Planilla_General_29-11-2012_10_'!2375:2375,"AAAAAEe+16Y=",0)</f>
        <v>0</v>
      </c>
      <c r="FL158" t="e">
        <f>AND('Planilla_General_29-11-2012_10_'!A2375,"AAAAAEe+16c=")</f>
        <v>#VALUE!</v>
      </c>
      <c r="FM158" t="e">
        <f>AND('Planilla_General_29-11-2012_10_'!B2375,"AAAAAEe+16g=")</f>
        <v>#VALUE!</v>
      </c>
      <c r="FN158" t="e">
        <f>AND('Planilla_General_29-11-2012_10_'!C2375,"AAAAAEe+16k=")</f>
        <v>#VALUE!</v>
      </c>
      <c r="FO158" t="e">
        <f>AND('Planilla_General_29-11-2012_10_'!D2375,"AAAAAEe+16o=")</f>
        <v>#VALUE!</v>
      </c>
      <c r="FP158" t="e">
        <f>AND('Planilla_General_29-11-2012_10_'!E2375,"AAAAAEe+16s=")</f>
        <v>#VALUE!</v>
      </c>
      <c r="FQ158" t="e">
        <f>AND('Planilla_General_29-11-2012_10_'!F2375,"AAAAAEe+16w=")</f>
        <v>#VALUE!</v>
      </c>
      <c r="FR158" t="e">
        <f>AND('Planilla_General_29-11-2012_10_'!G2375,"AAAAAEe+160=")</f>
        <v>#VALUE!</v>
      </c>
      <c r="FS158" t="e">
        <f>AND('Planilla_General_29-11-2012_10_'!H2375,"AAAAAEe+164=")</f>
        <v>#VALUE!</v>
      </c>
      <c r="FT158" t="e">
        <f>AND('Planilla_General_29-11-2012_10_'!I2375,"AAAAAEe+168=")</f>
        <v>#VALUE!</v>
      </c>
      <c r="FU158" t="e">
        <f>AND('Planilla_General_29-11-2012_10_'!J2375,"AAAAAEe+17A=")</f>
        <v>#VALUE!</v>
      </c>
      <c r="FV158" t="e">
        <f>AND('Planilla_General_29-11-2012_10_'!K2375,"AAAAAEe+17E=")</f>
        <v>#VALUE!</v>
      </c>
      <c r="FW158" t="e">
        <f>AND('Planilla_General_29-11-2012_10_'!L2375,"AAAAAEe+17I=")</f>
        <v>#VALUE!</v>
      </c>
      <c r="FX158" t="e">
        <f>AND('Planilla_General_29-11-2012_10_'!M2375,"AAAAAEe+17M=")</f>
        <v>#VALUE!</v>
      </c>
      <c r="FY158" t="e">
        <f>AND('Planilla_General_29-11-2012_10_'!N2375,"AAAAAEe+17Q=")</f>
        <v>#VALUE!</v>
      </c>
      <c r="FZ158" t="e">
        <f>AND('Planilla_General_29-11-2012_10_'!O2375,"AAAAAEe+17U=")</f>
        <v>#VALUE!</v>
      </c>
      <c r="GA158" t="e">
        <f>AND('Planilla_General_29-11-2012_10_'!P2375,"AAAAAEe+17Y=")</f>
        <v>#VALUE!</v>
      </c>
      <c r="GB158">
        <f>IF('Planilla_General_29-11-2012_10_'!2376:2376,"AAAAAEe+17c=",0)</f>
        <v>0</v>
      </c>
      <c r="GC158" t="e">
        <f>AND('Planilla_General_29-11-2012_10_'!A2376,"AAAAAEe+17g=")</f>
        <v>#VALUE!</v>
      </c>
      <c r="GD158" t="e">
        <f>AND('Planilla_General_29-11-2012_10_'!B2376,"AAAAAEe+17k=")</f>
        <v>#VALUE!</v>
      </c>
      <c r="GE158" t="e">
        <f>AND('Planilla_General_29-11-2012_10_'!C2376,"AAAAAEe+17o=")</f>
        <v>#VALUE!</v>
      </c>
      <c r="GF158" t="e">
        <f>AND('Planilla_General_29-11-2012_10_'!D2376,"AAAAAEe+17s=")</f>
        <v>#VALUE!</v>
      </c>
      <c r="GG158" t="e">
        <f>AND('Planilla_General_29-11-2012_10_'!E2376,"AAAAAEe+17w=")</f>
        <v>#VALUE!</v>
      </c>
      <c r="GH158" t="e">
        <f>AND('Planilla_General_29-11-2012_10_'!F2376,"AAAAAEe+170=")</f>
        <v>#VALUE!</v>
      </c>
      <c r="GI158" t="e">
        <f>AND('Planilla_General_29-11-2012_10_'!G2376,"AAAAAEe+174=")</f>
        <v>#VALUE!</v>
      </c>
      <c r="GJ158" t="e">
        <f>AND('Planilla_General_29-11-2012_10_'!H2376,"AAAAAEe+178=")</f>
        <v>#VALUE!</v>
      </c>
      <c r="GK158" t="e">
        <f>AND('Planilla_General_29-11-2012_10_'!I2376,"AAAAAEe+18A=")</f>
        <v>#VALUE!</v>
      </c>
      <c r="GL158" t="e">
        <f>AND('Planilla_General_29-11-2012_10_'!J2376,"AAAAAEe+18E=")</f>
        <v>#VALUE!</v>
      </c>
      <c r="GM158" t="e">
        <f>AND('Planilla_General_29-11-2012_10_'!K2376,"AAAAAEe+18I=")</f>
        <v>#VALUE!</v>
      </c>
      <c r="GN158" t="e">
        <f>AND('Planilla_General_29-11-2012_10_'!L2376,"AAAAAEe+18M=")</f>
        <v>#VALUE!</v>
      </c>
      <c r="GO158" t="e">
        <f>AND('Planilla_General_29-11-2012_10_'!M2376,"AAAAAEe+18Q=")</f>
        <v>#VALUE!</v>
      </c>
      <c r="GP158" t="e">
        <f>AND('Planilla_General_29-11-2012_10_'!N2376,"AAAAAEe+18U=")</f>
        <v>#VALUE!</v>
      </c>
      <c r="GQ158" t="e">
        <f>AND('Planilla_General_29-11-2012_10_'!O2376,"AAAAAEe+18Y=")</f>
        <v>#VALUE!</v>
      </c>
      <c r="GR158" t="e">
        <f>AND('Planilla_General_29-11-2012_10_'!P2376,"AAAAAEe+18c=")</f>
        <v>#VALUE!</v>
      </c>
      <c r="GS158">
        <f>IF('Planilla_General_29-11-2012_10_'!2377:2377,"AAAAAEe+18g=",0)</f>
        <v>0</v>
      </c>
      <c r="GT158" t="e">
        <f>AND('Planilla_General_29-11-2012_10_'!A2377,"AAAAAEe+18k=")</f>
        <v>#VALUE!</v>
      </c>
      <c r="GU158" t="e">
        <f>AND('Planilla_General_29-11-2012_10_'!B2377,"AAAAAEe+18o=")</f>
        <v>#VALUE!</v>
      </c>
      <c r="GV158" t="e">
        <f>AND('Planilla_General_29-11-2012_10_'!C2377,"AAAAAEe+18s=")</f>
        <v>#VALUE!</v>
      </c>
      <c r="GW158" t="e">
        <f>AND('Planilla_General_29-11-2012_10_'!D2377,"AAAAAEe+18w=")</f>
        <v>#VALUE!</v>
      </c>
      <c r="GX158" t="e">
        <f>AND('Planilla_General_29-11-2012_10_'!E2377,"AAAAAEe+180=")</f>
        <v>#VALUE!</v>
      </c>
      <c r="GY158" t="e">
        <f>AND('Planilla_General_29-11-2012_10_'!F2377,"AAAAAEe+184=")</f>
        <v>#VALUE!</v>
      </c>
      <c r="GZ158" t="e">
        <f>AND('Planilla_General_29-11-2012_10_'!G2377,"AAAAAEe+188=")</f>
        <v>#VALUE!</v>
      </c>
      <c r="HA158" t="e">
        <f>AND('Planilla_General_29-11-2012_10_'!H2377,"AAAAAEe+19A=")</f>
        <v>#VALUE!</v>
      </c>
      <c r="HB158" t="e">
        <f>AND('Planilla_General_29-11-2012_10_'!I2377,"AAAAAEe+19E=")</f>
        <v>#VALUE!</v>
      </c>
      <c r="HC158" t="e">
        <f>AND('Planilla_General_29-11-2012_10_'!J2377,"AAAAAEe+19I=")</f>
        <v>#VALUE!</v>
      </c>
      <c r="HD158" t="e">
        <f>AND('Planilla_General_29-11-2012_10_'!K2377,"AAAAAEe+19M=")</f>
        <v>#VALUE!</v>
      </c>
      <c r="HE158" t="e">
        <f>AND('Planilla_General_29-11-2012_10_'!L2377,"AAAAAEe+19Q=")</f>
        <v>#VALUE!</v>
      </c>
      <c r="HF158" t="e">
        <f>AND('Planilla_General_29-11-2012_10_'!M2377,"AAAAAEe+19U=")</f>
        <v>#VALUE!</v>
      </c>
      <c r="HG158" t="e">
        <f>AND('Planilla_General_29-11-2012_10_'!N2377,"AAAAAEe+19Y=")</f>
        <v>#VALUE!</v>
      </c>
      <c r="HH158" t="e">
        <f>AND('Planilla_General_29-11-2012_10_'!O2377,"AAAAAEe+19c=")</f>
        <v>#VALUE!</v>
      </c>
      <c r="HI158" t="e">
        <f>AND('Planilla_General_29-11-2012_10_'!P2377,"AAAAAEe+19g=")</f>
        <v>#VALUE!</v>
      </c>
      <c r="HJ158">
        <f>IF('Planilla_General_29-11-2012_10_'!2378:2378,"AAAAAEe+19k=",0)</f>
        <v>0</v>
      </c>
      <c r="HK158" t="e">
        <f>AND('Planilla_General_29-11-2012_10_'!A2378,"AAAAAEe+19o=")</f>
        <v>#VALUE!</v>
      </c>
      <c r="HL158" t="e">
        <f>AND('Planilla_General_29-11-2012_10_'!B2378,"AAAAAEe+19s=")</f>
        <v>#VALUE!</v>
      </c>
      <c r="HM158" t="e">
        <f>AND('Planilla_General_29-11-2012_10_'!C2378,"AAAAAEe+19w=")</f>
        <v>#VALUE!</v>
      </c>
      <c r="HN158" t="e">
        <f>AND('Planilla_General_29-11-2012_10_'!D2378,"AAAAAEe+190=")</f>
        <v>#VALUE!</v>
      </c>
      <c r="HO158" t="e">
        <f>AND('Planilla_General_29-11-2012_10_'!E2378,"AAAAAEe+194=")</f>
        <v>#VALUE!</v>
      </c>
      <c r="HP158" t="e">
        <f>AND('Planilla_General_29-11-2012_10_'!F2378,"AAAAAEe+198=")</f>
        <v>#VALUE!</v>
      </c>
      <c r="HQ158" t="e">
        <f>AND('Planilla_General_29-11-2012_10_'!G2378,"AAAAAEe+1+A=")</f>
        <v>#VALUE!</v>
      </c>
      <c r="HR158" t="e">
        <f>AND('Planilla_General_29-11-2012_10_'!H2378,"AAAAAEe+1+E=")</f>
        <v>#VALUE!</v>
      </c>
      <c r="HS158" t="e">
        <f>AND('Planilla_General_29-11-2012_10_'!I2378,"AAAAAEe+1+I=")</f>
        <v>#VALUE!</v>
      </c>
      <c r="HT158" t="e">
        <f>AND('Planilla_General_29-11-2012_10_'!J2378,"AAAAAEe+1+M=")</f>
        <v>#VALUE!</v>
      </c>
      <c r="HU158" t="e">
        <f>AND('Planilla_General_29-11-2012_10_'!K2378,"AAAAAEe+1+Q=")</f>
        <v>#VALUE!</v>
      </c>
      <c r="HV158" t="e">
        <f>AND('Planilla_General_29-11-2012_10_'!L2378,"AAAAAEe+1+U=")</f>
        <v>#VALUE!</v>
      </c>
      <c r="HW158" t="e">
        <f>AND('Planilla_General_29-11-2012_10_'!M2378,"AAAAAEe+1+Y=")</f>
        <v>#VALUE!</v>
      </c>
      <c r="HX158" t="e">
        <f>AND('Planilla_General_29-11-2012_10_'!N2378,"AAAAAEe+1+c=")</f>
        <v>#VALUE!</v>
      </c>
      <c r="HY158" t="e">
        <f>AND('Planilla_General_29-11-2012_10_'!O2378,"AAAAAEe+1+g=")</f>
        <v>#VALUE!</v>
      </c>
      <c r="HZ158" t="e">
        <f>AND('Planilla_General_29-11-2012_10_'!P2378,"AAAAAEe+1+k=")</f>
        <v>#VALUE!</v>
      </c>
      <c r="IA158">
        <f>IF('Planilla_General_29-11-2012_10_'!2379:2379,"AAAAAEe+1+o=",0)</f>
        <v>0</v>
      </c>
      <c r="IB158" t="e">
        <f>AND('Planilla_General_29-11-2012_10_'!A2379,"AAAAAEe+1+s=")</f>
        <v>#VALUE!</v>
      </c>
      <c r="IC158" t="e">
        <f>AND('Planilla_General_29-11-2012_10_'!B2379,"AAAAAEe+1+w=")</f>
        <v>#VALUE!</v>
      </c>
      <c r="ID158" t="e">
        <f>AND('Planilla_General_29-11-2012_10_'!C2379,"AAAAAEe+1+0=")</f>
        <v>#VALUE!</v>
      </c>
      <c r="IE158" t="e">
        <f>AND('Planilla_General_29-11-2012_10_'!D2379,"AAAAAEe+1+4=")</f>
        <v>#VALUE!</v>
      </c>
      <c r="IF158" t="e">
        <f>AND('Planilla_General_29-11-2012_10_'!E2379,"AAAAAEe+1+8=")</f>
        <v>#VALUE!</v>
      </c>
      <c r="IG158" t="e">
        <f>AND('Planilla_General_29-11-2012_10_'!F2379,"AAAAAEe+1/A=")</f>
        <v>#VALUE!</v>
      </c>
      <c r="IH158" t="e">
        <f>AND('Planilla_General_29-11-2012_10_'!G2379,"AAAAAEe+1/E=")</f>
        <v>#VALUE!</v>
      </c>
      <c r="II158" t="e">
        <f>AND('Planilla_General_29-11-2012_10_'!H2379,"AAAAAEe+1/I=")</f>
        <v>#VALUE!</v>
      </c>
      <c r="IJ158" t="e">
        <f>AND('Planilla_General_29-11-2012_10_'!I2379,"AAAAAEe+1/M=")</f>
        <v>#VALUE!</v>
      </c>
      <c r="IK158" t="e">
        <f>AND('Planilla_General_29-11-2012_10_'!J2379,"AAAAAEe+1/Q=")</f>
        <v>#VALUE!</v>
      </c>
      <c r="IL158" t="e">
        <f>AND('Planilla_General_29-11-2012_10_'!K2379,"AAAAAEe+1/U=")</f>
        <v>#VALUE!</v>
      </c>
      <c r="IM158" t="e">
        <f>AND('Planilla_General_29-11-2012_10_'!L2379,"AAAAAEe+1/Y=")</f>
        <v>#VALUE!</v>
      </c>
      <c r="IN158" t="e">
        <f>AND('Planilla_General_29-11-2012_10_'!M2379,"AAAAAEe+1/c=")</f>
        <v>#VALUE!</v>
      </c>
      <c r="IO158" t="e">
        <f>AND('Planilla_General_29-11-2012_10_'!N2379,"AAAAAEe+1/g=")</f>
        <v>#VALUE!</v>
      </c>
      <c r="IP158" t="e">
        <f>AND('Planilla_General_29-11-2012_10_'!O2379,"AAAAAEe+1/k=")</f>
        <v>#VALUE!</v>
      </c>
      <c r="IQ158" t="e">
        <f>AND('Planilla_General_29-11-2012_10_'!P2379,"AAAAAEe+1/o=")</f>
        <v>#VALUE!</v>
      </c>
      <c r="IR158">
        <f>IF('Planilla_General_29-11-2012_10_'!2380:2380,"AAAAAEe+1/s=",0)</f>
        <v>0</v>
      </c>
      <c r="IS158" t="e">
        <f>AND('Planilla_General_29-11-2012_10_'!A2380,"AAAAAEe+1/w=")</f>
        <v>#VALUE!</v>
      </c>
      <c r="IT158" t="e">
        <f>AND('Planilla_General_29-11-2012_10_'!B2380,"AAAAAEe+1/0=")</f>
        <v>#VALUE!</v>
      </c>
      <c r="IU158" t="e">
        <f>AND('Planilla_General_29-11-2012_10_'!C2380,"AAAAAEe+1/4=")</f>
        <v>#VALUE!</v>
      </c>
      <c r="IV158" t="e">
        <f>AND('Planilla_General_29-11-2012_10_'!D2380,"AAAAAEe+1/8=")</f>
        <v>#VALUE!</v>
      </c>
    </row>
    <row r="159" spans="1:256" x14ac:dyDescent="0.25">
      <c r="A159" t="e">
        <f>AND('Planilla_General_29-11-2012_10_'!E2380,"AAAAAF9d/QA=")</f>
        <v>#VALUE!</v>
      </c>
      <c r="B159" t="e">
        <f>AND('Planilla_General_29-11-2012_10_'!F2380,"AAAAAF9d/QE=")</f>
        <v>#VALUE!</v>
      </c>
      <c r="C159" t="e">
        <f>AND('Planilla_General_29-11-2012_10_'!G2380,"AAAAAF9d/QI=")</f>
        <v>#VALUE!</v>
      </c>
      <c r="D159" t="e">
        <f>AND('Planilla_General_29-11-2012_10_'!H2380,"AAAAAF9d/QM=")</f>
        <v>#VALUE!</v>
      </c>
      <c r="E159" t="e">
        <f>AND('Planilla_General_29-11-2012_10_'!I2380,"AAAAAF9d/QQ=")</f>
        <v>#VALUE!</v>
      </c>
      <c r="F159" t="e">
        <f>AND('Planilla_General_29-11-2012_10_'!J2380,"AAAAAF9d/QU=")</f>
        <v>#VALUE!</v>
      </c>
      <c r="G159" t="e">
        <f>AND('Planilla_General_29-11-2012_10_'!K2380,"AAAAAF9d/QY=")</f>
        <v>#VALUE!</v>
      </c>
      <c r="H159" t="e">
        <f>AND('Planilla_General_29-11-2012_10_'!L2380,"AAAAAF9d/Qc=")</f>
        <v>#VALUE!</v>
      </c>
      <c r="I159" t="e">
        <f>AND('Planilla_General_29-11-2012_10_'!M2380,"AAAAAF9d/Qg=")</f>
        <v>#VALUE!</v>
      </c>
      <c r="J159" t="e">
        <f>AND('Planilla_General_29-11-2012_10_'!N2380,"AAAAAF9d/Qk=")</f>
        <v>#VALUE!</v>
      </c>
      <c r="K159" t="e">
        <f>AND('Planilla_General_29-11-2012_10_'!O2380,"AAAAAF9d/Qo=")</f>
        <v>#VALUE!</v>
      </c>
      <c r="L159" t="e">
        <f>AND('Planilla_General_29-11-2012_10_'!P2380,"AAAAAF9d/Qs=")</f>
        <v>#VALUE!</v>
      </c>
      <c r="M159" t="str">
        <f>IF('Planilla_General_29-11-2012_10_'!2381:2381,"AAAAAF9d/Qw=",0)</f>
        <v>AAAAAF9d/Qw=</v>
      </c>
      <c r="N159" t="e">
        <f>AND('Planilla_General_29-11-2012_10_'!A2381,"AAAAAF9d/Q0=")</f>
        <v>#VALUE!</v>
      </c>
      <c r="O159" t="e">
        <f>AND('Planilla_General_29-11-2012_10_'!B2381,"AAAAAF9d/Q4=")</f>
        <v>#VALUE!</v>
      </c>
      <c r="P159" t="e">
        <f>AND('Planilla_General_29-11-2012_10_'!C2381,"AAAAAF9d/Q8=")</f>
        <v>#VALUE!</v>
      </c>
      <c r="Q159" t="e">
        <f>AND('Planilla_General_29-11-2012_10_'!D2381,"AAAAAF9d/RA=")</f>
        <v>#VALUE!</v>
      </c>
      <c r="R159" t="e">
        <f>AND('Planilla_General_29-11-2012_10_'!E2381,"AAAAAF9d/RE=")</f>
        <v>#VALUE!</v>
      </c>
      <c r="S159" t="e">
        <f>AND('Planilla_General_29-11-2012_10_'!F2381,"AAAAAF9d/RI=")</f>
        <v>#VALUE!</v>
      </c>
      <c r="T159" t="e">
        <f>AND('Planilla_General_29-11-2012_10_'!G2381,"AAAAAF9d/RM=")</f>
        <v>#VALUE!</v>
      </c>
      <c r="U159" t="e">
        <f>AND('Planilla_General_29-11-2012_10_'!H2381,"AAAAAF9d/RQ=")</f>
        <v>#VALUE!</v>
      </c>
      <c r="V159" t="e">
        <f>AND('Planilla_General_29-11-2012_10_'!I2381,"AAAAAF9d/RU=")</f>
        <v>#VALUE!</v>
      </c>
      <c r="W159" t="e">
        <f>AND('Planilla_General_29-11-2012_10_'!J2381,"AAAAAF9d/RY=")</f>
        <v>#VALUE!</v>
      </c>
      <c r="X159" t="e">
        <f>AND('Planilla_General_29-11-2012_10_'!K2381,"AAAAAF9d/Rc=")</f>
        <v>#VALUE!</v>
      </c>
      <c r="Y159" t="e">
        <f>AND('Planilla_General_29-11-2012_10_'!L2381,"AAAAAF9d/Rg=")</f>
        <v>#VALUE!</v>
      </c>
      <c r="Z159" t="e">
        <f>AND('Planilla_General_29-11-2012_10_'!M2381,"AAAAAF9d/Rk=")</f>
        <v>#VALUE!</v>
      </c>
      <c r="AA159" t="e">
        <f>AND('Planilla_General_29-11-2012_10_'!N2381,"AAAAAF9d/Ro=")</f>
        <v>#VALUE!</v>
      </c>
      <c r="AB159" t="e">
        <f>AND('Planilla_General_29-11-2012_10_'!O2381,"AAAAAF9d/Rs=")</f>
        <v>#VALUE!</v>
      </c>
      <c r="AC159" t="e">
        <f>AND('Planilla_General_29-11-2012_10_'!P2381,"AAAAAF9d/Rw=")</f>
        <v>#VALUE!</v>
      </c>
      <c r="AD159">
        <f>IF('Planilla_General_29-11-2012_10_'!2382:2382,"AAAAAF9d/R0=",0)</f>
        <v>0</v>
      </c>
      <c r="AE159" t="e">
        <f>AND('Planilla_General_29-11-2012_10_'!A2382,"AAAAAF9d/R4=")</f>
        <v>#VALUE!</v>
      </c>
      <c r="AF159" t="e">
        <f>AND('Planilla_General_29-11-2012_10_'!B2382,"AAAAAF9d/R8=")</f>
        <v>#VALUE!</v>
      </c>
      <c r="AG159" t="e">
        <f>AND('Planilla_General_29-11-2012_10_'!C2382,"AAAAAF9d/SA=")</f>
        <v>#VALUE!</v>
      </c>
      <c r="AH159" t="e">
        <f>AND('Planilla_General_29-11-2012_10_'!D2382,"AAAAAF9d/SE=")</f>
        <v>#VALUE!</v>
      </c>
      <c r="AI159" t="e">
        <f>AND('Planilla_General_29-11-2012_10_'!E2382,"AAAAAF9d/SI=")</f>
        <v>#VALUE!</v>
      </c>
      <c r="AJ159" t="e">
        <f>AND('Planilla_General_29-11-2012_10_'!F2382,"AAAAAF9d/SM=")</f>
        <v>#VALUE!</v>
      </c>
      <c r="AK159" t="e">
        <f>AND('Planilla_General_29-11-2012_10_'!G2382,"AAAAAF9d/SQ=")</f>
        <v>#VALUE!</v>
      </c>
      <c r="AL159" t="e">
        <f>AND('Planilla_General_29-11-2012_10_'!H2382,"AAAAAF9d/SU=")</f>
        <v>#VALUE!</v>
      </c>
      <c r="AM159" t="e">
        <f>AND('Planilla_General_29-11-2012_10_'!I2382,"AAAAAF9d/SY=")</f>
        <v>#VALUE!</v>
      </c>
      <c r="AN159" t="e">
        <f>AND('Planilla_General_29-11-2012_10_'!J2382,"AAAAAF9d/Sc=")</f>
        <v>#VALUE!</v>
      </c>
      <c r="AO159" t="e">
        <f>AND('Planilla_General_29-11-2012_10_'!K2382,"AAAAAF9d/Sg=")</f>
        <v>#VALUE!</v>
      </c>
      <c r="AP159" t="e">
        <f>AND('Planilla_General_29-11-2012_10_'!L2382,"AAAAAF9d/Sk=")</f>
        <v>#VALUE!</v>
      </c>
      <c r="AQ159" t="e">
        <f>AND('Planilla_General_29-11-2012_10_'!M2382,"AAAAAF9d/So=")</f>
        <v>#VALUE!</v>
      </c>
      <c r="AR159" t="e">
        <f>AND('Planilla_General_29-11-2012_10_'!N2382,"AAAAAF9d/Ss=")</f>
        <v>#VALUE!</v>
      </c>
      <c r="AS159" t="e">
        <f>AND('Planilla_General_29-11-2012_10_'!O2382,"AAAAAF9d/Sw=")</f>
        <v>#VALUE!</v>
      </c>
      <c r="AT159" t="e">
        <f>AND('Planilla_General_29-11-2012_10_'!P2382,"AAAAAF9d/S0=")</f>
        <v>#VALUE!</v>
      </c>
      <c r="AU159">
        <f>IF('Planilla_General_29-11-2012_10_'!2383:2383,"AAAAAF9d/S4=",0)</f>
        <v>0</v>
      </c>
      <c r="AV159" t="e">
        <f>AND('Planilla_General_29-11-2012_10_'!A2383,"AAAAAF9d/S8=")</f>
        <v>#VALUE!</v>
      </c>
      <c r="AW159" t="e">
        <f>AND('Planilla_General_29-11-2012_10_'!B2383,"AAAAAF9d/TA=")</f>
        <v>#VALUE!</v>
      </c>
      <c r="AX159" t="e">
        <f>AND('Planilla_General_29-11-2012_10_'!C2383,"AAAAAF9d/TE=")</f>
        <v>#VALUE!</v>
      </c>
      <c r="AY159" t="e">
        <f>AND('Planilla_General_29-11-2012_10_'!D2383,"AAAAAF9d/TI=")</f>
        <v>#VALUE!</v>
      </c>
      <c r="AZ159" t="e">
        <f>AND('Planilla_General_29-11-2012_10_'!E2383,"AAAAAF9d/TM=")</f>
        <v>#VALUE!</v>
      </c>
      <c r="BA159" t="e">
        <f>AND('Planilla_General_29-11-2012_10_'!F2383,"AAAAAF9d/TQ=")</f>
        <v>#VALUE!</v>
      </c>
      <c r="BB159" t="e">
        <f>AND('Planilla_General_29-11-2012_10_'!G2383,"AAAAAF9d/TU=")</f>
        <v>#VALUE!</v>
      </c>
      <c r="BC159" t="e">
        <f>AND('Planilla_General_29-11-2012_10_'!H2383,"AAAAAF9d/TY=")</f>
        <v>#VALUE!</v>
      </c>
      <c r="BD159" t="e">
        <f>AND('Planilla_General_29-11-2012_10_'!I2383,"AAAAAF9d/Tc=")</f>
        <v>#VALUE!</v>
      </c>
      <c r="BE159" t="e">
        <f>AND('Planilla_General_29-11-2012_10_'!J2383,"AAAAAF9d/Tg=")</f>
        <v>#VALUE!</v>
      </c>
      <c r="BF159" t="e">
        <f>AND('Planilla_General_29-11-2012_10_'!K2383,"AAAAAF9d/Tk=")</f>
        <v>#VALUE!</v>
      </c>
      <c r="BG159" t="e">
        <f>AND('Planilla_General_29-11-2012_10_'!L2383,"AAAAAF9d/To=")</f>
        <v>#VALUE!</v>
      </c>
      <c r="BH159" t="e">
        <f>AND('Planilla_General_29-11-2012_10_'!M2383,"AAAAAF9d/Ts=")</f>
        <v>#VALUE!</v>
      </c>
      <c r="BI159" t="e">
        <f>AND('Planilla_General_29-11-2012_10_'!N2383,"AAAAAF9d/Tw=")</f>
        <v>#VALUE!</v>
      </c>
      <c r="BJ159" t="e">
        <f>AND('Planilla_General_29-11-2012_10_'!O2383,"AAAAAF9d/T0=")</f>
        <v>#VALUE!</v>
      </c>
      <c r="BK159" t="e">
        <f>AND('Planilla_General_29-11-2012_10_'!P2383,"AAAAAF9d/T4=")</f>
        <v>#VALUE!</v>
      </c>
      <c r="BL159">
        <f>IF('Planilla_General_29-11-2012_10_'!2384:2384,"AAAAAF9d/T8=",0)</f>
        <v>0</v>
      </c>
      <c r="BM159" t="e">
        <f>AND('Planilla_General_29-11-2012_10_'!A2384,"AAAAAF9d/UA=")</f>
        <v>#VALUE!</v>
      </c>
      <c r="BN159" t="e">
        <f>AND('Planilla_General_29-11-2012_10_'!B2384,"AAAAAF9d/UE=")</f>
        <v>#VALUE!</v>
      </c>
      <c r="BO159" t="e">
        <f>AND('Planilla_General_29-11-2012_10_'!C2384,"AAAAAF9d/UI=")</f>
        <v>#VALUE!</v>
      </c>
      <c r="BP159" t="e">
        <f>AND('Planilla_General_29-11-2012_10_'!D2384,"AAAAAF9d/UM=")</f>
        <v>#VALUE!</v>
      </c>
      <c r="BQ159" t="e">
        <f>AND('Planilla_General_29-11-2012_10_'!E2384,"AAAAAF9d/UQ=")</f>
        <v>#VALUE!</v>
      </c>
      <c r="BR159" t="e">
        <f>AND('Planilla_General_29-11-2012_10_'!F2384,"AAAAAF9d/UU=")</f>
        <v>#VALUE!</v>
      </c>
      <c r="BS159" t="e">
        <f>AND('Planilla_General_29-11-2012_10_'!G2384,"AAAAAF9d/UY=")</f>
        <v>#VALUE!</v>
      </c>
      <c r="BT159" t="e">
        <f>AND('Planilla_General_29-11-2012_10_'!H2384,"AAAAAF9d/Uc=")</f>
        <v>#VALUE!</v>
      </c>
      <c r="BU159" t="e">
        <f>AND('Planilla_General_29-11-2012_10_'!I2384,"AAAAAF9d/Ug=")</f>
        <v>#VALUE!</v>
      </c>
      <c r="BV159" t="e">
        <f>AND('Planilla_General_29-11-2012_10_'!J2384,"AAAAAF9d/Uk=")</f>
        <v>#VALUE!</v>
      </c>
      <c r="BW159" t="e">
        <f>AND('Planilla_General_29-11-2012_10_'!K2384,"AAAAAF9d/Uo=")</f>
        <v>#VALUE!</v>
      </c>
      <c r="BX159" t="e">
        <f>AND('Planilla_General_29-11-2012_10_'!L2384,"AAAAAF9d/Us=")</f>
        <v>#VALUE!</v>
      </c>
      <c r="BY159" t="e">
        <f>AND('Planilla_General_29-11-2012_10_'!M2384,"AAAAAF9d/Uw=")</f>
        <v>#VALUE!</v>
      </c>
      <c r="BZ159" t="e">
        <f>AND('Planilla_General_29-11-2012_10_'!N2384,"AAAAAF9d/U0=")</f>
        <v>#VALUE!</v>
      </c>
      <c r="CA159" t="e">
        <f>AND('Planilla_General_29-11-2012_10_'!O2384,"AAAAAF9d/U4=")</f>
        <v>#VALUE!</v>
      </c>
      <c r="CB159" t="e">
        <f>AND('Planilla_General_29-11-2012_10_'!P2384,"AAAAAF9d/U8=")</f>
        <v>#VALUE!</v>
      </c>
      <c r="CC159">
        <f>IF('Planilla_General_29-11-2012_10_'!2385:2385,"AAAAAF9d/VA=",0)</f>
        <v>0</v>
      </c>
      <c r="CD159" t="e">
        <f>AND('Planilla_General_29-11-2012_10_'!A2385,"AAAAAF9d/VE=")</f>
        <v>#VALUE!</v>
      </c>
      <c r="CE159" t="e">
        <f>AND('Planilla_General_29-11-2012_10_'!B2385,"AAAAAF9d/VI=")</f>
        <v>#VALUE!</v>
      </c>
      <c r="CF159" t="e">
        <f>AND('Planilla_General_29-11-2012_10_'!C2385,"AAAAAF9d/VM=")</f>
        <v>#VALUE!</v>
      </c>
      <c r="CG159" t="e">
        <f>AND('Planilla_General_29-11-2012_10_'!D2385,"AAAAAF9d/VQ=")</f>
        <v>#VALUE!</v>
      </c>
      <c r="CH159" t="e">
        <f>AND('Planilla_General_29-11-2012_10_'!E2385,"AAAAAF9d/VU=")</f>
        <v>#VALUE!</v>
      </c>
      <c r="CI159" t="e">
        <f>AND('Planilla_General_29-11-2012_10_'!F2385,"AAAAAF9d/VY=")</f>
        <v>#VALUE!</v>
      </c>
      <c r="CJ159" t="e">
        <f>AND('Planilla_General_29-11-2012_10_'!G2385,"AAAAAF9d/Vc=")</f>
        <v>#VALUE!</v>
      </c>
      <c r="CK159" t="e">
        <f>AND('Planilla_General_29-11-2012_10_'!H2385,"AAAAAF9d/Vg=")</f>
        <v>#VALUE!</v>
      </c>
      <c r="CL159" t="e">
        <f>AND('Planilla_General_29-11-2012_10_'!I2385,"AAAAAF9d/Vk=")</f>
        <v>#VALUE!</v>
      </c>
      <c r="CM159" t="e">
        <f>AND('Planilla_General_29-11-2012_10_'!J2385,"AAAAAF9d/Vo=")</f>
        <v>#VALUE!</v>
      </c>
      <c r="CN159" t="e">
        <f>AND('Planilla_General_29-11-2012_10_'!K2385,"AAAAAF9d/Vs=")</f>
        <v>#VALUE!</v>
      </c>
      <c r="CO159" t="e">
        <f>AND('Planilla_General_29-11-2012_10_'!L2385,"AAAAAF9d/Vw=")</f>
        <v>#VALUE!</v>
      </c>
      <c r="CP159" t="e">
        <f>AND('Planilla_General_29-11-2012_10_'!M2385,"AAAAAF9d/V0=")</f>
        <v>#VALUE!</v>
      </c>
      <c r="CQ159" t="e">
        <f>AND('Planilla_General_29-11-2012_10_'!N2385,"AAAAAF9d/V4=")</f>
        <v>#VALUE!</v>
      </c>
      <c r="CR159" t="e">
        <f>AND('Planilla_General_29-11-2012_10_'!O2385,"AAAAAF9d/V8=")</f>
        <v>#VALUE!</v>
      </c>
      <c r="CS159" t="e">
        <f>AND('Planilla_General_29-11-2012_10_'!P2385,"AAAAAF9d/WA=")</f>
        <v>#VALUE!</v>
      </c>
      <c r="CT159">
        <f>IF('Planilla_General_29-11-2012_10_'!2386:2386,"AAAAAF9d/WE=",0)</f>
        <v>0</v>
      </c>
      <c r="CU159" t="e">
        <f>AND('Planilla_General_29-11-2012_10_'!A2386,"AAAAAF9d/WI=")</f>
        <v>#VALUE!</v>
      </c>
      <c r="CV159" t="e">
        <f>AND('Planilla_General_29-11-2012_10_'!B2386,"AAAAAF9d/WM=")</f>
        <v>#VALUE!</v>
      </c>
      <c r="CW159" t="e">
        <f>AND('Planilla_General_29-11-2012_10_'!C2386,"AAAAAF9d/WQ=")</f>
        <v>#VALUE!</v>
      </c>
      <c r="CX159" t="e">
        <f>AND('Planilla_General_29-11-2012_10_'!D2386,"AAAAAF9d/WU=")</f>
        <v>#VALUE!</v>
      </c>
      <c r="CY159" t="e">
        <f>AND('Planilla_General_29-11-2012_10_'!E2386,"AAAAAF9d/WY=")</f>
        <v>#VALUE!</v>
      </c>
      <c r="CZ159" t="e">
        <f>AND('Planilla_General_29-11-2012_10_'!F2386,"AAAAAF9d/Wc=")</f>
        <v>#VALUE!</v>
      </c>
      <c r="DA159" t="e">
        <f>AND('Planilla_General_29-11-2012_10_'!G2386,"AAAAAF9d/Wg=")</f>
        <v>#VALUE!</v>
      </c>
      <c r="DB159" t="e">
        <f>AND('Planilla_General_29-11-2012_10_'!H2386,"AAAAAF9d/Wk=")</f>
        <v>#VALUE!</v>
      </c>
      <c r="DC159" t="e">
        <f>AND('Planilla_General_29-11-2012_10_'!I2386,"AAAAAF9d/Wo=")</f>
        <v>#VALUE!</v>
      </c>
      <c r="DD159" t="e">
        <f>AND('Planilla_General_29-11-2012_10_'!J2386,"AAAAAF9d/Ws=")</f>
        <v>#VALUE!</v>
      </c>
      <c r="DE159" t="e">
        <f>AND('Planilla_General_29-11-2012_10_'!K2386,"AAAAAF9d/Ww=")</f>
        <v>#VALUE!</v>
      </c>
      <c r="DF159" t="e">
        <f>AND('Planilla_General_29-11-2012_10_'!L2386,"AAAAAF9d/W0=")</f>
        <v>#VALUE!</v>
      </c>
      <c r="DG159" t="e">
        <f>AND('Planilla_General_29-11-2012_10_'!M2386,"AAAAAF9d/W4=")</f>
        <v>#VALUE!</v>
      </c>
      <c r="DH159" t="e">
        <f>AND('Planilla_General_29-11-2012_10_'!N2386,"AAAAAF9d/W8=")</f>
        <v>#VALUE!</v>
      </c>
      <c r="DI159" t="e">
        <f>AND('Planilla_General_29-11-2012_10_'!O2386,"AAAAAF9d/XA=")</f>
        <v>#VALUE!</v>
      </c>
      <c r="DJ159" t="e">
        <f>AND('Planilla_General_29-11-2012_10_'!P2386,"AAAAAF9d/XE=")</f>
        <v>#VALUE!</v>
      </c>
      <c r="DK159">
        <f>IF('Planilla_General_29-11-2012_10_'!2387:2387,"AAAAAF9d/XI=",0)</f>
        <v>0</v>
      </c>
      <c r="DL159" t="e">
        <f>AND('Planilla_General_29-11-2012_10_'!A2387,"AAAAAF9d/XM=")</f>
        <v>#VALUE!</v>
      </c>
      <c r="DM159" t="e">
        <f>AND('Planilla_General_29-11-2012_10_'!B2387,"AAAAAF9d/XQ=")</f>
        <v>#VALUE!</v>
      </c>
      <c r="DN159" t="e">
        <f>AND('Planilla_General_29-11-2012_10_'!C2387,"AAAAAF9d/XU=")</f>
        <v>#VALUE!</v>
      </c>
      <c r="DO159" t="e">
        <f>AND('Planilla_General_29-11-2012_10_'!D2387,"AAAAAF9d/XY=")</f>
        <v>#VALUE!</v>
      </c>
      <c r="DP159" t="e">
        <f>AND('Planilla_General_29-11-2012_10_'!E2387,"AAAAAF9d/Xc=")</f>
        <v>#VALUE!</v>
      </c>
      <c r="DQ159" t="e">
        <f>AND('Planilla_General_29-11-2012_10_'!F2387,"AAAAAF9d/Xg=")</f>
        <v>#VALUE!</v>
      </c>
      <c r="DR159" t="e">
        <f>AND('Planilla_General_29-11-2012_10_'!G2387,"AAAAAF9d/Xk=")</f>
        <v>#VALUE!</v>
      </c>
      <c r="DS159" t="e">
        <f>AND('Planilla_General_29-11-2012_10_'!H2387,"AAAAAF9d/Xo=")</f>
        <v>#VALUE!</v>
      </c>
      <c r="DT159" t="e">
        <f>AND('Planilla_General_29-11-2012_10_'!I2387,"AAAAAF9d/Xs=")</f>
        <v>#VALUE!</v>
      </c>
      <c r="DU159" t="e">
        <f>AND('Planilla_General_29-11-2012_10_'!J2387,"AAAAAF9d/Xw=")</f>
        <v>#VALUE!</v>
      </c>
      <c r="DV159" t="e">
        <f>AND('Planilla_General_29-11-2012_10_'!K2387,"AAAAAF9d/X0=")</f>
        <v>#VALUE!</v>
      </c>
      <c r="DW159" t="e">
        <f>AND('Planilla_General_29-11-2012_10_'!L2387,"AAAAAF9d/X4=")</f>
        <v>#VALUE!</v>
      </c>
      <c r="DX159" t="e">
        <f>AND('Planilla_General_29-11-2012_10_'!M2387,"AAAAAF9d/X8=")</f>
        <v>#VALUE!</v>
      </c>
      <c r="DY159" t="e">
        <f>AND('Planilla_General_29-11-2012_10_'!N2387,"AAAAAF9d/YA=")</f>
        <v>#VALUE!</v>
      </c>
      <c r="DZ159" t="e">
        <f>AND('Planilla_General_29-11-2012_10_'!O2387,"AAAAAF9d/YE=")</f>
        <v>#VALUE!</v>
      </c>
      <c r="EA159" t="e">
        <f>AND('Planilla_General_29-11-2012_10_'!P2387,"AAAAAF9d/YI=")</f>
        <v>#VALUE!</v>
      </c>
      <c r="EB159">
        <f>IF('Planilla_General_29-11-2012_10_'!2388:2388,"AAAAAF9d/YM=",0)</f>
        <v>0</v>
      </c>
      <c r="EC159" t="e">
        <f>AND('Planilla_General_29-11-2012_10_'!A2388,"AAAAAF9d/YQ=")</f>
        <v>#VALUE!</v>
      </c>
      <c r="ED159" t="e">
        <f>AND('Planilla_General_29-11-2012_10_'!B2388,"AAAAAF9d/YU=")</f>
        <v>#VALUE!</v>
      </c>
      <c r="EE159" t="e">
        <f>AND('Planilla_General_29-11-2012_10_'!C2388,"AAAAAF9d/YY=")</f>
        <v>#VALUE!</v>
      </c>
      <c r="EF159" t="e">
        <f>AND('Planilla_General_29-11-2012_10_'!D2388,"AAAAAF9d/Yc=")</f>
        <v>#VALUE!</v>
      </c>
      <c r="EG159" t="e">
        <f>AND('Planilla_General_29-11-2012_10_'!E2388,"AAAAAF9d/Yg=")</f>
        <v>#VALUE!</v>
      </c>
      <c r="EH159" t="e">
        <f>AND('Planilla_General_29-11-2012_10_'!F2388,"AAAAAF9d/Yk=")</f>
        <v>#VALUE!</v>
      </c>
      <c r="EI159" t="e">
        <f>AND('Planilla_General_29-11-2012_10_'!G2388,"AAAAAF9d/Yo=")</f>
        <v>#VALUE!</v>
      </c>
      <c r="EJ159" t="e">
        <f>AND('Planilla_General_29-11-2012_10_'!H2388,"AAAAAF9d/Ys=")</f>
        <v>#VALUE!</v>
      </c>
      <c r="EK159" t="e">
        <f>AND('Planilla_General_29-11-2012_10_'!I2388,"AAAAAF9d/Yw=")</f>
        <v>#VALUE!</v>
      </c>
      <c r="EL159" t="e">
        <f>AND('Planilla_General_29-11-2012_10_'!J2388,"AAAAAF9d/Y0=")</f>
        <v>#VALUE!</v>
      </c>
      <c r="EM159" t="e">
        <f>AND('Planilla_General_29-11-2012_10_'!K2388,"AAAAAF9d/Y4=")</f>
        <v>#VALUE!</v>
      </c>
      <c r="EN159" t="e">
        <f>AND('Planilla_General_29-11-2012_10_'!L2388,"AAAAAF9d/Y8=")</f>
        <v>#VALUE!</v>
      </c>
      <c r="EO159" t="e">
        <f>AND('Planilla_General_29-11-2012_10_'!M2388,"AAAAAF9d/ZA=")</f>
        <v>#VALUE!</v>
      </c>
      <c r="EP159" t="e">
        <f>AND('Planilla_General_29-11-2012_10_'!N2388,"AAAAAF9d/ZE=")</f>
        <v>#VALUE!</v>
      </c>
      <c r="EQ159" t="e">
        <f>AND('Planilla_General_29-11-2012_10_'!O2388,"AAAAAF9d/ZI=")</f>
        <v>#VALUE!</v>
      </c>
      <c r="ER159" t="e">
        <f>AND('Planilla_General_29-11-2012_10_'!P2388,"AAAAAF9d/ZM=")</f>
        <v>#VALUE!</v>
      </c>
      <c r="ES159">
        <f>IF('Planilla_General_29-11-2012_10_'!2389:2389,"AAAAAF9d/ZQ=",0)</f>
        <v>0</v>
      </c>
      <c r="ET159" t="e">
        <f>AND('Planilla_General_29-11-2012_10_'!A2389,"AAAAAF9d/ZU=")</f>
        <v>#VALUE!</v>
      </c>
      <c r="EU159" t="e">
        <f>AND('Planilla_General_29-11-2012_10_'!B2389,"AAAAAF9d/ZY=")</f>
        <v>#VALUE!</v>
      </c>
      <c r="EV159" t="e">
        <f>AND('Planilla_General_29-11-2012_10_'!C2389,"AAAAAF9d/Zc=")</f>
        <v>#VALUE!</v>
      </c>
      <c r="EW159" t="e">
        <f>AND('Planilla_General_29-11-2012_10_'!D2389,"AAAAAF9d/Zg=")</f>
        <v>#VALUE!</v>
      </c>
      <c r="EX159" t="e">
        <f>AND('Planilla_General_29-11-2012_10_'!E2389,"AAAAAF9d/Zk=")</f>
        <v>#VALUE!</v>
      </c>
      <c r="EY159" t="e">
        <f>AND('Planilla_General_29-11-2012_10_'!F2389,"AAAAAF9d/Zo=")</f>
        <v>#VALUE!</v>
      </c>
      <c r="EZ159" t="e">
        <f>AND('Planilla_General_29-11-2012_10_'!G2389,"AAAAAF9d/Zs=")</f>
        <v>#VALUE!</v>
      </c>
      <c r="FA159" t="e">
        <f>AND('Planilla_General_29-11-2012_10_'!H2389,"AAAAAF9d/Zw=")</f>
        <v>#VALUE!</v>
      </c>
      <c r="FB159" t="e">
        <f>AND('Planilla_General_29-11-2012_10_'!I2389,"AAAAAF9d/Z0=")</f>
        <v>#VALUE!</v>
      </c>
      <c r="FC159" t="e">
        <f>AND('Planilla_General_29-11-2012_10_'!J2389,"AAAAAF9d/Z4=")</f>
        <v>#VALUE!</v>
      </c>
      <c r="FD159" t="e">
        <f>AND('Planilla_General_29-11-2012_10_'!K2389,"AAAAAF9d/Z8=")</f>
        <v>#VALUE!</v>
      </c>
      <c r="FE159" t="e">
        <f>AND('Planilla_General_29-11-2012_10_'!L2389,"AAAAAF9d/aA=")</f>
        <v>#VALUE!</v>
      </c>
      <c r="FF159" t="e">
        <f>AND('Planilla_General_29-11-2012_10_'!M2389,"AAAAAF9d/aE=")</f>
        <v>#VALUE!</v>
      </c>
      <c r="FG159" t="e">
        <f>AND('Planilla_General_29-11-2012_10_'!N2389,"AAAAAF9d/aI=")</f>
        <v>#VALUE!</v>
      </c>
      <c r="FH159" t="e">
        <f>AND('Planilla_General_29-11-2012_10_'!O2389,"AAAAAF9d/aM=")</f>
        <v>#VALUE!</v>
      </c>
      <c r="FI159" t="e">
        <f>AND('Planilla_General_29-11-2012_10_'!P2389,"AAAAAF9d/aQ=")</f>
        <v>#VALUE!</v>
      </c>
      <c r="FJ159">
        <f>IF('Planilla_General_29-11-2012_10_'!2390:2390,"AAAAAF9d/aU=",0)</f>
        <v>0</v>
      </c>
      <c r="FK159" t="e">
        <f>AND('Planilla_General_29-11-2012_10_'!A2390,"AAAAAF9d/aY=")</f>
        <v>#VALUE!</v>
      </c>
      <c r="FL159" t="e">
        <f>AND('Planilla_General_29-11-2012_10_'!B2390,"AAAAAF9d/ac=")</f>
        <v>#VALUE!</v>
      </c>
      <c r="FM159" t="e">
        <f>AND('Planilla_General_29-11-2012_10_'!C2390,"AAAAAF9d/ag=")</f>
        <v>#VALUE!</v>
      </c>
      <c r="FN159" t="e">
        <f>AND('Planilla_General_29-11-2012_10_'!D2390,"AAAAAF9d/ak=")</f>
        <v>#VALUE!</v>
      </c>
      <c r="FO159" t="e">
        <f>AND('Planilla_General_29-11-2012_10_'!E2390,"AAAAAF9d/ao=")</f>
        <v>#VALUE!</v>
      </c>
      <c r="FP159" t="e">
        <f>AND('Planilla_General_29-11-2012_10_'!F2390,"AAAAAF9d/as=")</f>
        <v>#VALUE!</v>
      </c>
      <c r="FQ159" t="e">
        <f>AND('Planilla_General_29-11-2012_10_'!G2390,"AAAAAF9d/aw=")</f>
        <v>#VALUE!</v>
      </c>
      <c r="FR159" t="e">
        <f>AND('Planilla_General_29-11-2012_10_'!H2390,"AAAAAF9d/a0=")</f>
        <v>#VALUE!</v>
      </c>
      <c r="FS159" t="e">
        <f>AND('Planilla_General_29-11-2012_10_'!I2390,"AAAAAF9d/a4=")</f>
        <v>#VALUE!</v>
      </c>
      <c r="FT159" t="e">
        <f>AND('Planilla_General_29-11-2012_10_'!J2390,"AAAAAF9d/a8=")</f>
        <v>#VALUE!</v>
      </c>
      <c r="FU159" t="e">
        <f>AND('Planilla_General_29-11-2012_10_'!K2390,"AAAAAF9d/bA=")</f>
        <v>#VALUE!</v>
      </c>
      <c r="FV159" t="e">
        <f>AND('Planilla_General_29-11-2012_10_'!L2390,"AAAAAF9d/bE=")</f>
        <v>#VALUE!</v>
      </c>
      <c r="FW159" t="e">
        <f>AND('Planilla_General_29-11-2012_10_'!M2390,"AAAAAF9d/bI=")</f>
        <v>#VALUE!</v>
      </c>
      <c r="FX159" t="e">
        <f>AND('Planilla_General_29-11-2012_10_'!N2390,"AAAAAF9d/bM=")</f>
        <v>#VALUE!</v>
      </c>
      <c r="FY159" t="e">
        <f>AND('Planilla_General_29-11-2012_10_'!O2390,"AAAAAF9d/bQ=")</f>
        <v>#VALUE!</v>
      </c>
      <c r="FZ159" t="e">
        <f>AND('Planilla_General_29-11-2012_10_'!P2390,"AAAAAF9d/bU=")</f>
        <v>#VALUE!</v>
      </c>
      <c r="GA159">
        <f>IF('Planilla_General_29-11-2012_10_'!2391:2391,"AAAAAF9d/bY=",0)</f>
        <v>0</v>
      </c>
      <c r="GB159" t="e">
        <f>AND('Planilla_General_29-11-2012_10_'!A2391,"AAAAAF9d/bc=")</f>
        <v>#VALUE!</v>
      </c>
      <c r="GC159" t="e">
        <f>AND('Planilla_General_29-11-2012_10_'!B2391,"AAAAAF9d/bg=")</f>
        <v>#VALUE!</v>
      </c>
      <c r="GD159" t="e">
        <f>AND('Planilla_General_29-11-2012_10_'!C2391,"AAAAAF9d/bk=")</f>
        <v>#VALUE!</v>
      </c>
      <c r="GE159" t="e">
        <f>AND('Planilla_General_29-11-2012_10_'!D2391,"AAAAAF9d/bo=")</f>
        <v>#VALUE!</v>
      </c>
      <c r="GF159" t="e">
        <f>AND('Planilla_General_29-11-2012_10_'!E2391,"AAAAAF9d/bs=")</f>
        <v>#VALUE!</v>
      </c>
      <c r="GG159" t="e">
        <f>AND('Planilla_General_29-11-2012_10_'!F2391,"AAAAAF9d/bw=")</f>
        <v>#VALUE!</v>
      </c>
      <c r="GH159" t="e">
        <f>AND('Planilla_General_29-11-2012_10_'!G2391,"AAAAAF9d/b0=")</f>
        <v>#VALUE!</v>
      </c>
      <c r="GI159" t="e">
        <f>AND('Planilla_General_29-11-2012_10_'!H2391,"AAAAAF9d/b4=")</f>
        <v>#VALUE!</v>
      </c>
      <c r="GJ159" t="e">
        <f>AND('Planilla_General_29-11-2012_10_'!I2391,"AAAAAF9d/b8=")</f>
        <v>#VALUE!</v>
      </c>
      <c r="GK159" t="e">
        <f>AND('Planilla_General_29-11-2012_10_'!J2391,"AAAAAF9d/cA=")</f>
        <v>#VALUE!</v>
      </c>
      <c r="GL159" t="e">
        <f>AND('Planilla_General_29-11-2012_10_'!K2391,"AAAAAF9d/cE=")</f>
        <v>#VALUE!</v>
      </c>
      <c r="GM159" t="e">
        <f>AND('Planilla_General_29-11-2012_10_'!L2391,"AAAAAF9d/cI=")</f>
        <v>#VALUE!</v>
      </c>
      <c r="GN159" t="e">
        <f>AND('Planilla_General_29-11-2012_10_'!M2391,"AAAAAF9d/cM=")</f>
        <v>#VALUE!</v>
      </c>
      <c r="GO159" t="e">
        <f>AND('Planilla_General_29-11-2012_10_'!N2391,"AAAAAF9d/cQ=")</f>
        <v>#VALUE!</v>
      </c>
      <c r="GP159" t="e">
        <f>AND('Planilla_General_29-11-2012_10_'!O2391,"AAAAAF9d/cU=")</f>
        <v>#VALUE!</v>
      </c>
      <c r="GQ159" t="e">
        <f>AND('Planilla_General_29-11-2012_10_'!P2391,"AAAAAF9d/cY=")</f>
        <v>#VALUE!</v>
      </c>
      <c r="GR159">
        <f>IF('Planilla_General_29-11-2012_10_'!2392:2392,"AAAAAF9d/cc=",0)</f>
        <v>0</v>
      </c>
      <c r="GS159" t="e">
        <f>AND('Planilla_General_29-11-2012_10_'!A2392,"AAAAAF9d/cg=")</f>
        <v>#VALUE!</v>
      </c>
      <c r="GT159" t="e">
        <f>AND('Planilla_General_29-11-2012_10_'!B2392,"AAAAAF9d/ck=")</f>
        <v>#VALUE!</v>
      </c>
      <c r="GU159" t="e">
        <f>AND('Planilla_General_29-11-2012_10_'!C2392,"AAAAAF9d/co=")</f>
        <v>#VALUE!</v>
      </c>
      <c r="GV159" t="e">
        <f>AND('Planilla_General_29-11-2012_10_'!D2392,"AAAAAF9d/cs=")</f>
        <v>#VALUE!</v>
      </c>
      <c r="GW159" t="e">
        <f>AND('Planilla_General_29-11-2012_10_'!E2392,"AAAAAF9d/cw=")</f>
        <v>#VALUE!</v>
      </c>
      <c r="GX159" t="e">
        <f>AND('Planilla_General_29-11-2012_10_'!F2392,"AAAAAF9d/c0=")</f>
        <v>#VALUE!</v>
      </c>
      <c r="GY159" t="e">
        <f>AND('Planilla_General_29-11-2012_10_'!G2392,"AAAAAF9d/c4=")</f>
        <v>#VALUE!</v>
      </c>
      <c r="GZ159" t="e">
        <f>AND('Planilla_General_29-11-2012_10_'!H2392,"AAAAAF9d/c8=")</f>
        <v>#VALUE!</v>
      </c>
      <c r="HA159" t="e">
        <f>AND('Planilla_General_29-11-2012_10_'!I2392,"AAAAAF9d/dA=")</f>
        <v>#VALUE!</v>
      </c>
      <c r="HB159" t="e">
        <f>AND('Planilla_General_29-11-2012_10_'!J2392,"AAAAAF9d/dE=")</f>
        <v>#VALUE!</v>
      </c>
      <c r="HC159" t="e">
        <f>AND('Planilla_General_29-11-2012_10_'!K2392,"AAAAAF9d/dI=")</f>
        <v>#VALUE!</v>
      </c>
      <c r="HD159" t="e">
        <f>AND('Planilla_General_29-11-2012_10_'!L2392,"AAAAAF9d/dM=")</f>
        <v>#VALUE!</v>
      </c>
      <c r="HE159" t="e">
        <f>AND('Planilla_General_29-11-2012_10_'!M2392,"AAAAAF9d/dQ=")</f>
        <v>#VALUE!</v>
      </c>
      <c r="HF159" t="e">
        <f>AND('Planilla_General_29-11-2012_10_'!N2392,"AAAAAF9d/dU=")</f>
        <v>#VALUE!</v>
      </c>
      <c r="HG159" t="e">
        <f>AND('Planilla_General_29-11-2012_10_'!O2392,"AAAAAF9d/dY=")</f>
        <v>#VALUE!</v>
      </c>
      <c r="HH159" t="e">
        <f>AND('Planilla_General_29-11-2012_10_'!P2392,"AAAAAF9d/dc=")</f>
        <v>#VALUE!</v>
      </c>
      <c r="HI159">
        <f>IF('Planilla_General_29-11-2012_10_'!2393:2393,"AAAAAF9d/dg=",0)</f>
        <v>0</v>
      </c>
      <c r="HJ159" t="e">
        <f>AND('Planilla_General_29-11-2012_10_'!A2393,"AAAAAF9d/dk=")</f>
        <v>#VALUE!</v>
      </c>
      <c r="HK159" t="e">
        <f>AND('Planilla_General_29-11-2012_10_'!B2393,"AAAAAF9d/do=")</f>
        <v>#VALUE!</v>
      </c>
      <c r="HL159" t="e">
        <f>AND('Planilla_General_29-11-2012_10_'!C2393,"AAAAAF9d/ds=")</f>
        <v>#VALUE!</v>
      </c>
      <c r="HM159" t="e">
        <f>AND('Planilla_General_29-11-2012_10_'!D2393,"AAAAAF9d/dw=")</f>
        <v>#VALUE!</v>
      </c>
      <c r="HN159" t="e">
        <f>AND('Planilla_General_29-11-2012_10_'!E2393,"AAAAAF9d/d0=")</f>
        <v>#VALUE!</v>
      </c>
      <c r="HO159" t="e">
        <f>AND('Planilla_General_29-11-2012_10_'!F2393,"AAAAAF9d/d4=")</f>
        <v>#VALUE!</v>
      </c>
      <c r="HP159" t="e">
        <f>AND('Planilla_General_29-11-2012_10_'!G2393,"AAAAAF9d/d8=")</f>
        <v>#VALUE!</v>
      </c>
      <c r="HQ159" t="e">
        <f>AND('Planilla_General_29-11-2012_10_'!H2393,"AAAAAF9d/eA=")</f>
        <v>#VALUE!</v>
      </c>
      <c r="HR159" t="e">
        <f>AND('Planilla_General_29-11-2012_10_'!I2393,"AAAAAF9d/eE=")</f>
        <v>#VALUE!</v>
      </c>
      <c r="HS159" t="e">
        <f>AND('Planilla_General_29-11-2012_10_'!J2393,"AAAAAF9d/eI=")</f>
        <v>#VALUE!</v>
      </c>
      <c r="HT159" t="e">
        <f>AND('Planilla_General_29-11-2012_10_'!K2393,"AAAAAF9d/eM=")</f>
        <v>#VALUE!</v>
      </c>
      <c r="HU159" t="e">
        <f>AND('Planilla_General_29-11-2012_10_'!L2393,"AAAAAF9d/eQ=")</f>
        <v>#VALUE!</v>
      </c>
      <c r="HV159" t="e">
        <f>AND('Planilla_General_29-11-2012_10_'!M2393,"AAAAAF9d/eU=")</f>
        <v>#VALUE!</v>
      </c>
      <c r="HW159" t="e">
        <f>AND('Planilla_General_29-11-2012_10_'!N2393,"AAAAAF9d/eY=")</f>
        <v>#VALUE!</v>
      </c>
      <c r="HX159" t="e">
        <f>AND('Planilla_General_29-11-2012_10_'!O2393,"AAAAAF9d/ec=")</f>
        <v>#VALUE!</v>
      </c>
      <c r="HY159" t="e">
        <f>AND('Planilla_General_29-11-2012_10_'!P2393,"AAAAAF9d/eg=")</f>
        <v>#VALUE!</v>
      </c>
      <c r="HZ159">
        <f>IF('Planilla_General_29-11-2012_10_'!2394:2394,"AAAAAF9d/ek=",0)</f>
        <v>0</v>
      </c>
      <c r="IA159" t="e">
        <f>AND('Planilla_General_29-11-2012_10_'!A2394,"AAAAAF9d/eo=")</f>
        <v>#VALUE!</v>
      </c>
      <c r="IB159" t="e">
        <f>AND('Planilla_General_29-11-2012_10_'!B2394,"AAAAAF9d/es=")</f>
        <v>#VALUE!</v>
      </c>
      <c r="IC159" t="e">
        <f>AND('Planilla_General_29-11-2012_10_'!C2394,"AAAAAF9d/ew=")</f>
        <v>#VALUE!</v>
      </c>
      <c r="ID159" t="e">
        <f>AND('Planilla_General_29-11-2012_10_'!D2394,"AAAAAF9d/e0=")</f>
        <v>#VALUE!</v>
      </c>
      <c r="IE159" t="e">
        <f>AND('Planilla_General_29-11-2012_10_'!E2394,"AAAAAF9d/e4=")</f>
        <v>#VALUE!</v>
      </c>
      <c r="IF159" t="e">
        <f>AND('Planilla_General_29-11-2012_10_'!F2394,"AAAAAF9d/e8=")</f>
        <v>#VALUE!</v>
      </c>
      <c r="IG159" t="e">
        <f>AND('Planilla_General_29-11-2012_10_'!G2394,"AAAAAF9d/fA=")</f>
        <v>#VALUE!</v>
      </c>
      <c r="IH159" t="e">
        <f>AND('Planilla_General_29-11-2012_10_'!H2394,"AAAAAF9d/fE=")</f>
        <v>#VALUE!</v>
      </c>
      <c r="II159" t="e">
        <f>AND('Planilla_General_29-11-2012_10_'!I2394,"AAAAAF9d/fI=")</f>
        <v>#VALUE!</v>
      </c>
      <c r="IJ159" t="e">
        <f>AND('Planilla_General_29-11-2012_10_'!J2394,"AAAAAF9d/fM=")</f>
        <v>#VALUE!</v>
      </c>
      <c r="IK159" t="e">
        <f>AND('Planilla_General_29-11-2012_10_'!K2394,"AAAAAF9d/fQ=")</f>
        <v>#VALUE!</v>
      </c>
      <c r="IL159" t="e">
        <f>AND('Planilla_General_29-11-2012_10_'!L2394,"AAAAAF9d/fU=")</f>
        <v>#VALUE!</v>
      </c>
      <c r="IM159" t="e">
        <f>AND('Planilla_General_29-11-2012_10_'!M2394,"AAAAAF9d/fY=")</f>
        <v>#VALUE!</v>
      </c>
      <c r="IN159" t="e">
        <f>AND('Planilla_General_29-11-2012_10_'!N2394,"AAAAAF9d/fc=")</f>
        <v>#VALUE!</v>
      </c>
      <c r="IO159" t="e">
        <f>AND('Planilla_General_29-11-2012_10_'!O2394,"AAAAAF9d/fg=")</f>
        <v>#VALUE!</v>
      </c>
      <c r="IP159" t="e">
        <f>AND('Planilla_General_29-11-2012_10_'!P2394,"AAAAAF9d/fk=")</f>
        <v>#VALUE!</v>
      </c>
      <c r="IQ159">
        <f>IF('Planilla_General_29-11-2012_10_'!2395:2395,"AAAAAF9d/fo=",0)</f>
        <v>0</v>
      </c>
      <c r="IR159" t="e">
        <f>AND('Planilla_General_29-11-2012_10_'!A2395,"AAAAAF9d/fs=")</f>
        <v>#VALUE!</v>
      </c>
      <c r="IS159" t="e">
        <f>AND('Planilla_General_29-11-2012_10_'!B2395,"AAAAAF9d/fw=")</f>
        <v>#VALUE!</v>
      </c>
      <c r="IT159" t="e">
        <f>AND('Planilla_General_29-11-2012_10_'!C2395,"AAAAAF9d/f0=")</f>
        <v>#VALUE!</v>
      </c>
      <c r="IU159" t="e">
        <f>AND('Planilla_General_29-11-2012_10_'!D2395,"AAAAAF9d/f4=")</f>
        <v>#VALUE!</v>
      </c>
      <c r="IV159" t="e">
        <f>AND('Planilla_General_29-11-2012_10_'!E2395,"AAAAAF9d/f8=")</f>
        <v>#VALUE!</v>
      </c>
    </row>
    <row r="160" spans="1:256" x14ac:dyDescent="0.25">
      <c r="A160" t="e">
        <f>AND('Planilla_General_29-11-2012_10_'!F2395,"AAAAAH/r+wA=")</f>
        <v>#VALUE!</v>
      </c>
      <c r="B160" t="e">
        <f>AND('Planilla_General_29-11-2012_10_'!G2395,"AAAAAH/r+wE=")</f>
        <v>#VALUE!</v>
      </c>
      <c r="C160" t="e">
        <f>AND('Planilla_General_29-11-2012_10_'!H2395,"AAAAAH/r+wI=")</f>
        <v>#VALUE!</v>
      </c>
      <c r="D160" t="e">
        <f>AND('Planilla_General_29-11-2012_10_'!I2395,"AAAAAH/r+wM=")</f>
        <v>#VALUE!</v>
      </c>
      <c r="E160" t="e">
        <f>AND('Planilla_General_29-11-2012_10_'!J2395,"AAAAAH/r+wQ=")</f>
        <v>#VALUE!</v>
      </c>
      <c r="F160" t="e">
        <f>AND('Planilla_General_29-11-2012_10_'!K2395,"AAAAAH/r+wU=")</f>
        <v>#VALUE!</v>
      </c>
      <c r="G160" t="e">
        <f>AND('Planilla_General_29-11-2012_10_'!L2395,"AAAAAH/r+wY=")</f>
        <v>#VALUE!</v>
      </c>
      <c r="H160" t="e">
        <f>AND('Planilla_General_29-11-2012_10_'!M2395,"AAAAAH/r+wc=")</f>
        <v>#VALUE!</v>
      </c>
      <c r="I160" t="e">
        <f>AND('Planilla_General_29-11-2012_10_'!N2395,"AAAAAH/r+wg=")</f>
        <v>#VALUE!</v>
      </c>
      <c r="J160" t="e">
        <f>AND('Planilla_General_29-11-2012_10_'!O2395,"AAAAAH/r+wk=")</f>
        <v>#VALUE!</v>
      </c>
      <c r="K160" t="e">
        <f>AND('Planilla_General_29-11-2012_10_'!P2395,"AAAAAH/r+wo=")</f>
        <v>#VALUE!</v>
      </c>
      <c r="L160" t="str">
        <f>IF('Planilla_General_29-11-2012_10_'!2396:2396,"AAAAAH/r+ws=",0)</f>
        <v>AAAAAH/r+ws=</v>
      </c>
      <c r="M160" t="e">
        <f>AND('Planilla_General_29-11-2012_10_'!A2396,"AAAAAH/r+ww=")</f>
        <v>#VALUE!</v>
      </c>
      <c r="N160" t="e">
        <f>AND('Planilla_General_29-11-2012_10_'!B2396,"AAAAAH/r+w0=")</f>
        <v>#VALUE!</v>
      </c>
      <c r="O160" t="e">
        <f>AND('Planilla_General_29-11-2012_10_'!C2396,"AAAAAH/r+w4=")</f>
        <v>#VALUE!</v>
      </c>
      <c r="P160" t="e">
        <f>AND('Planilla_General_29-11-2012_10_'!D2396,"AAAAAH/r+w8=")</f>
        <v>#VALUE!</v>
      </c>
      <c r="Q160" t="e">
        <f>AND('Planilla_General_29-11-2012_10_'!E2396,"AAAAAH/r+xA=")</f>
        <v>#VALUE!</v>
      </c>
      <c r="R160" t="e">
        <f>AND('Planilla_General_29-11-2012_10_'!F2396,"AAAAAH/r+xE=")</f>
        <v>#VALUE!</v>
      </c>
      <c r="S160" t="e">
        <f>AND('Planilla_General_29-11-2012_10_'!G2396,"AAAAAH/r+xI=")</f>
        <v>#VALUE!</v>
      </c>
      <c r="T160" t="e">
        <f>AND('Planilla_General_29-11-2012_10_'!H2396,"AAAAAH/r+xM=")</f>
        <v>#VALUE!</v>
      </c>
      <c r="U160" t="e">
        <f>AND('Planilla_General_29-11-2012_10_'!I2396,"AAAAAH/r+xQ=")</f>
        <v>#VALUE!</v>
      </c>
      <c r="V160" t="e">
        <f>AND('Planilla_General_29-11-2012_10_'!J2396,"AAAAAH/r+xU=")</f>
        <v>#VALUE!</v>
      </c>
      <c r="W160" t="e">
        <f>AND('Planilla_General_29-11-2012_10_'!K2396,"AAAAAH/r+xY=")</f>
        <v>#VALUE!</v>
      </c>
      <c r="X160" t="e">
        <f>AND('Planilla_General_29-11-2012_10_'!L2396,"AAAAAH/r+xc=")</f>
        <v>#VALUE!</v>
      </c>
      <c r="Y160" t="e">
        <f>AND('Planilla_General_29-11-2012_10_'!M2396,"AAAAAH/r+xg=")</f>
        <v>#VALUE!</v>
      </c>
      <c r="Z160" t="e">
        <f>AND('Planilla_General_29-11-2012_10_'!N2396,"AAAAAH/r+xk=")</f>
        <v>#VALUE!</v>
      </c>
      <c r="AA160" t="e">
        <f>AND('Planilla_General_29-11-2012_10_'!O2396,"AAAAAH/r+xo=")</f>
        <v>#VALUE!</v>
      </c>
      <c r="AB160" t="e">
        <f>AND('Planilla_General_29-11-2012_10_'!P2396,"AAAAAH/r+xs=")</f>
        <v>#VALUE!</v>
      </c>
      <c r="AC160">
        <f>IF('Planilla_General_29-11-2012_10_'!2397:2397,"AAAAAH/r+xw=",0)</f>
        <v>0</v>
      </c>
      <c r="AD160" t="e">
        <f>AND('Planilla_General_29-11-2012_10_'!A2397,"AAAAAH/r+x0=")</f>
        <v>#VALUE!</v>
      </c>
      <c r="AE160" t="e">
        <f>AND('Planilla_General_29-11-2012_10_'!B2397,"AAAAAH/r+x4=")</f>
        <v>#VALUE!</v>
      </c>
      <c r="AF160" t="e">
        <f>AND('Planilla_General_29-11-2012_10_'!C2397,"AAAAAH/r+x8=")</f>
        <v>#VALUE!</v>
      </c>
      <c r="AG160" t="e">
        <f>AND('Planilla_General_29-11-2012_10_'!D2397,"AAAAAH/r+yA=")</f>
        <v>#VALUE!</v>
      </c>
      <c r="AH160" t="e">
        <f>AND('Planilla_General_29-11-2012_10_'!E2397,"AAAAAH/r+yE=")</f>
        <v>#VALUE!</v>
      </c>
      <c r="AI160" t="e">
        <f>AND('Planilla_General_29-11-2012_10_'!F2397,"AAAAAH/r+yI=")</f>
        <v>#VALUE!</v>
      </c>
      <c r="AJ160" t="e">
        <f>AND('Planilla_General_29-11-2012_10_'!G2397,"AAAAAH/r+yM=")</f>
        <v>#VALUE!</v>
      </c>
      <c r="AK160" t="e">
        <f>AND('Planilla_General_29-11-2012_10_'!H2397,"AAAAAH/r+yQ=")</f>
        <v>#VALUE!</v>
      </c>
      <c r="AL160" t="e">
        <f>AND('Planilla_General_29-11-2012_10_'!I2397,"AAAAAH/r+yU=")</f>
        <v>#VALUE!</v>
      </c>
      <c r="AM160" t="e">
        <f>AND('Planilla_General_29-11-2012_10_'!J2397,"AAAAAH/r+yY=")</f>
        <v>#VALUE!</v>
      </c>
      <c r="AN160" t="e">
        <f>AND('Planilla_General_29-11-2012_10_'!K2397,"AAAAAH/r+yc=")</f>
        <v>#VALUE!</v>
      </c>
      <c r="AO160" t="e">
        <f>AND('Planilla_General_29-11-2012_10_'!L2397,"AAAAAH/r+yg=")</f>
        <v>#VALUE!</v>
      </c>
      <c r="AP160" t="e">
        <f>AND('Planilla_General_29-11-2012_10_'!M2397,"AAAAAH/r+yk=")</f>
        <v>#VALUE!</v>
      </c>
      <c r="AQ160" t="e">
        <f>AND('Planilla_General_29-11-2012_10_'!N2397,"AAAAAH/r+yo=")</f>
        <v>#VALUE!</v>
      </c>
      <c r="AR160" t="e">
        <f>AND('Planilla_General_29-11-2012_10_'!O2397,"AAAAAH/r+ys=")</f>
        <v>#VALUE!</v>
      </c>
      <c r="AS160" t="e">
        <f>AND('Planilla_General_29-11-2012_10_'!P2397,"AAAAAH/r+yw=")</f>
        <v>#VALUE!</v>
      </c>
      <c r="AT160">
        <f>IF('Planilla_General_29-11-2012_10_'!2398:2398,"AAAAAH/r+y0=",0)</f>
        <v>0</v>
      </c>
      <c r="AU160" t="e">
        <f>AND('Planilla_General_29-11-2012_10_'!A2398,"AAAAAH/r+y4=")</f>
        <v>#VALUE!</v>
      </c>
      <c r="AV160" t="e">
        <f>AND('Planilla_General_29-11-2012_10_'!B2398,"AAAAAH/r+y8=")</f>
        <v>#VALUE!</v>
      </c>
      <c r="AW160" t="e">
        <f>AND('Planilla_General_29-11-2012_10_'!C2398,"AAAAAH/r+zA=")</f>
        <v>#VALUE!</v>
      </c>
      <c r="AX160" t="e">
        <f>AND('Planilla_General_29-11-2012_10_'!D2398,"AAAAAH/r+zE=")</f>
        <v>#VALUE!</v>
      </c>
      <c r="AY160" t="e">
        <f>AND('Planilla_General_29-11-2012_10_'!E2398,"AAAAAH/r+zI=")</f>
        <v>#VALUE!</v>
      </c>
      <c r="AZ160" t="e">
        <f>AND('Planilla_General_29-11-2012_10_'!F2398,"AAAAAH/r+zM=")</f>
        <v>#VALUE!</v>
      </c>
      <c r="BA160" t="e">
        <f>AND('Planilla_General_29-11-2012_10_'!G2398,"AAAAAH/r+zQ=")</f>
        <v>#VALUE!</v>
      </c>
      <c r="BB160" t="e">
        <f>AND('Planilla_General_29-11-2012_10_'!H2398,"AAAAAH/r+zU=")</f>
        <v>#VALUE!</v>
      </c>
      <c r="BC160" t="e">
        <f>AND('Planilla_General_29-11-2012_10_'!I2398,"AAAAAH/r+zY=")</f>
        <v>#VALUE!</v>
      </c>
      <c r="BD160" t="e">
        <f>AND('Planilla_General_29-11-2012_10_'!J2398,"AAAAAH/r+zc=")</f>
        <v>#VALUE!</v>
      </c>
      <c r="BE160" t="e">
        <f>AND('Planilla_General_29-11-2012_10_'!K2398,"AAAAAH/r+zg=")</f>
        <v>#VALUE!</v>
      </c>
      <c r="BF160" t="e">
        <f>AND('Planilla_General_29-11-2012_10_'!L2398,"AAAAAH/r+zk=")</f>
        <v>#VALUE!</v>
      </c>
      <c r="BG160" t="e">
        <f>AND('Planilla_General_29-11-2012_10_'!M2398,"AAAAAH/r+zo=")</f>
        <v>#VALUE!</v>
      </c>
      <c r="BH160" t="e">
        <f>AND('Planilla_General_29-11-2012_10_'!N2398,"AAAAAH/r+zs=")</f>
        <v>#VALUE!</v>
      </c>
      <c r="BI160" t="e">
        <f>AND('Planilla_General_29-11-2012_10_'!O2398,"AAAAAH/r+zw=")</f>
        <v>#VALUE!</v>
      </c>
      <c r="BJ160" t="e">
        <f>AND('Planilla_General_29-11-2012_10_'!P2398,"AAAAAH/r+z0=")</f>
        <v>#VALUE!</v>
      </c>
      <c r="BK160">
        <f>IF('Planilla_General_29-11-2012_10_'!2399:2399,"AAAAAH/r+z4=",0)</f>
        <v>0</v>
      </c>
      <c r="BL160" t="e">
        <f>AND('Planilla_General_29-11-2012_10_'!A2399,"AAAAAH/r+z8=")</f>
        <v>#VALUE!</v>
      </c>
      <c r="BM160" t="e">
        <f>AND('Planilla_General_29-11-2012_10_'!B2399,"AAAAAH/r+0A=")</f>
        <v>#VALUE!</v>
      </c>
      <c r="BN160" t="e">
        <f>AND('Planilla_General_29-11-2012_10_'!C2399,"AAAAAH/r+0E=")</f>
        <v>#VALUE!</v>
      </c>
      <c r="BO160" t="e">
        <f>AND('Planilla_General_29-11-2012_10_'!D2399,"AAAAAH/r+0I=")</f>
        <v>#VALUE!</v>
      </c>
      <c r="BP160" t="e">
        <f>AND('Planilla_General_29-11-2012_10_'!E2399,"AAAAAH/r+0M=")</f>
        <v>#VALUE!</v>
      </c>
      <c r="BQ160" t="e">
        <f>AND('Planilla_General_29-11-2012_10_'!F2399,"AAAAAH/r+0Q=")</f>
        <v>#VALUE!</v>
      </c>
      <c r="BR160" t="e">
        <f>AND('Planilla_General_29-11-2012_10_'!G2399,"AAAAAH/r+0U=")</f>
        <v>#VALUE!</v>
      </c>
      <c r="BS160" t="e">
        <f>AND('Planilla_General_29-11-2012_10_'!H2399,"AAAAAH/r+0Y=")</f>
        <v>#VALUE!</v>
      </c>
      <c r="BT160" t="e">
        <f>AND('Planilla_General_29-11-2012_10_'!I2399,"AAAAAH/r+0c=")</f>
        <v>#VALUE!</v>
      </c>
      <c r="BU160" t="e">
        <f>AND('Planilla_General_29-11-2012_10_'!J2399,"AAAAAH/r+0g=")</f>
        <v>#VALUE!</v>
      </c>
      <c r="BV160" t="e">
        <f>AND('Planilla_General_29-11-2012_10_'!K2399,"AAAAAH/r+0k=")</f>
        <v>#VALUE!</v>
      </c>
      <c r="BW160" t="e">
        <f>AND('Planilla_General_29-11-2012_10_'!L2399,"AAAAAH/r+0o=")</f>
        <v>#VALUE!</v>
      </c>
      <c r="BX160" t="e">
        <f>AND('Planilla_General_29-11-2012_10_'!M2399,"AAAAAH/r+0s=")</f>
        <v>#VALUE!</v>
      </c>
      <c r="BY160" t="e">
        <f>AND('Planilla_General_29-11-2012_10_'!N2399,"AAAAAH/r+0w=")</f>
        <v>#VALUE!</v>
      </c>
      <c r="BZ160" t="e">
        <f>AND('Planilla_General_29-11-2012_10_'!O2399,"AAAAAH/r+00=")</f>
        <v>#VALUE!</v>
      </c>
      <c r="CA160" t="e">
        <f>AND('Planilla_General_29-11-2012_10_'!P2399,"AAAAAH/r+04=")</f>
        <v>#VALUE!</v>
      </c>
      <c r="CB160">
        <f>IF('Planilla_General_29-11-2012_10_'!2400:2400,"AAAAAH/r+08=",0)</f>
        <v>0</v>
      </c>
      <c r="CC160" t="e">
        <f>AND('Planilla_General_29-11-2012_10_'!A2400,"AAAAAH/r+1A=")</f>
        <v>#VALUE!</v>
      </c>
      <c r="CD160" t="e">
        <f>AND('Planilla_General_29-11-2012_10_'!B2400,"AAAAAH/r+1E=")</f>
        <v>#VALUE!</v>
      </c>
      <c r="CE160" t="e">
        <f>AND('Planilla_General_29-11-2012_10_'!C2400,"AAAAAH/r+1I=")</f>
        <v>#VALUE!</v>
      </c>
      <c r="CF160" t="e">
        <f>AND('Planilla_General_29-11-2012_10_'!D2400,"AAAAAH/r+1M=")</f>
        <v>#VALUE!</v>
      </c>
      <c r="CG160" t="e">
        <f>AND('Planilla_General_29-11-2012_10_'!E2400,"AAAAAH/r+1Q=")</f>
        <v>#VALUE!</v>
      </c>
      <c r="CH160" t="e">
        <f>AND('Planilla_General_29-11-2012_10_'!F2400,"AAAAAH/r+1U=")</f>
        <v>#VALUE!</v>
      </c>
      <c r="CI160" t="e">
        <f>AND('Planilla_General_29-11-2012_10_'!G2400,"AAAAAH/r+1Y=")</f>
        <v>#VALUE!</v>
      </c>
      <c r="CJ160" t="e">
        <f>AND('Planilla_General_29-11-2012_10_'!H2400,"AAAAAH/r+1c=")</f>
        <v>#VALUE!</v>
      </c>
      <c r="CK160" t="e">
        <f>AND('Planilla_General_29-11-2012_10_'!I2400,"AAAAAH/r+1g=")</f>
        <v>#VALUE!</v>
      </c>
      <c r="CL160" t="e">
        <f>AND('Planilla_General_29-11-2012_10_'!J2400,"AAAAAH/r+1k=")</f>
        <v>#VALUE!</v>
      </c>
      <c r="CM160" t="e">
        <f>AND('Planilla_General_29-11-2012_10_'!K2400,"AAAAAH/r+1o=")</f>
        <v>#VALUE!</v>
      </c>
      <c r="CN160" t="e">
        <f>AND('Planilla_General_29-11-2012_10_'!L2400,"AAAAAH/r+1s=")</f>
        <v>#VALUE!</v>
      </c>
      <c r="CO160" t="e">
        <f>AND('Planilla_General_29-11-2012_10_'!M2400,"AAAAAH/r+1w=")</f>
        <v>#VALUE!</v>
      </c>
      <c r="CP160" t="e">
        <f>AND('Planilla_General_29-11-2012_10_'!N2400,"AAAAAH/r+10=")</f>
        <v>#VALUE!</v>
      </c>
      <c r="CQ160" t="e">
        <f>AND('Planilla_General_29-11-2012_10_'!O2400,"AAAAAH/r+14=")</f>
        <v>#VALUE!</v>
      </c>
      <c r="CR160" t="e">
        <f>AND('Planilla_General_29-11-2012_10_'!P2400,"AAAAAH/r+18=")</f>
        <v>#VALUE!</v>
      </c>
      <c r="CS160">
        <f>IF('Planilla_General_29-11-2012_10_'!2401:2401,"AAAAAH/r+2A=",0)</f>
        <v>0</v>
      </c>
      <c r="CT160" t="e">
        <f>AND('Planilla_General_29-11-2012_10_'!A2401,"AAAAAH/r+2E=")</f>
        <v>#VALUE!</v>
      </c>
      <c r="CU160" t="e">
        <f>AND('Planilla_General_29-11-2012_10_'!B2401,"AAAAAH/r+2I=")</f>
        <v>#VALUE!</v>
      </c>
      <c r="CV160" t="e">
        <f>AND('Planilla_General_29-11-2012_10_'!C2401,"AAAAAH/r+2M=")</f>
        <v>#VALUE!</v>
      </c>
      <c r="CW160" t="e">
        <f>AND('Planilla_General_29-11-2012_10_'!D2401,"AAAAAH/r+2Q=")</f>
        <v>#VALUE!</v>
      </c>
      <c r="CX160" t="e">
        <f>AND('Planilla_General_29-11-2012_10_'!E2401,"AAAAAH/r+2U=")</f>
        <v>#VALUE!</v>
      </c>
      <c r="CY160" t="e">
        <f>AND('Planilla_General_29-11-2012_10_'!F2401,"AAAAAH/r+2Y=")</f>
        <v>#VALUE!</v>
      </c>
      <c r="CZ160" t="e">
        <f>AND('Planilla_General_29-11-2012_10_'!G2401,"AAAAAH/r+2c=")</f>
        <v>#VALUE!</v>
      </c>
      <c r="DA160" t="e">
        <f>AND('Planilla_General_29-11-2012_10_'!H2401,"AAAAAH/r+2g=")</f>
        <v>#VALUE!</v>
      </c>
      <c r="DB160" t="e">
        <f>AND('Planilla_General_29-11-2012_10_'!I2401,"AAAAAH/r+2k=")</f>
        <v>#VALUE!</v>
      </c>
      <c r="DC160" t="e">
        <f>AND('Planilla_General_29-11-2012_10_'!J2401,"AAAAAH/r+2o=")</f>
        <v>#VALUE!</v>
      </c>
      <c r="DD160" t="e">
        <f>AND('Planilla_General_29-11-2012_10_'!K2401,"AAAAAH/r+2s=")</f>
        <v>#VALUE!</v>
      </c>
      <c r="DE160" t="e">
        <f>AND('Planilla_General_29-11-2012_10_'!L2401,"AAAAAH/r+2w=")</f>
        <v>#VALUE!</v>
      </c>
      <c r="DF160" t="e">
        <f>AND('Planilla_General_29-11-2012_10_'!M2401,"AAAAAH/r+20=")</f>
        <v>#VALUE!</v>
      </c>
      <c r="DG160" t="e">
        <f>AND('Planilla_General_29-11-2012_10_'!N2401,"AAAAAH/r+24=")</f>
        <v>#VALUE!</v>
      </c>
      <c r="DH160" t="e">
        <f>AND('Planilla_General_29-11-2012_10_'!O2401,"AAAAAH/r+28=")</f>
        <v>#VALUE!</v>
      </c>
      <c r="DI160" t="e">
        <f>AND('Planilla_General_29-11-2012_10_'!P2401,"AAAAAH/r+3A=")</f>
        <v>#VALUE!</v>
      </c>
      <c r="DJ160">
        <f>IF('Planilla_General_29-11-2012_10_'!2402:2402,"AAAAAH/r+3E=",0)</f>
        <v>0</v>
      </c>
      <c r="DK160" t="e">
        <f>AND('Planilla_General_29-11-2012_10_'!A2402,"AAAAAH/r+3I=")</f>
        <v>#VALUE!</v>
      </c>
      <c r="DL160" t="e">
        <f>AND('Planilla_General_29-11-2012_10_'!B2402,"AAAAAH/r+3M=")</f>
        <v>#VALUE!</v>
      </c>
      <c r="DM160" t="e">
        <f>AND('Planilla_General_29-11-2012_10_'!C2402,"AAAAAH/r+3Q=")</f>
        <v>#VALUE!</v>
      </c>
      <c r="DN160" t="e">
        <f>AND('Planilla_General_29-11-2012_10_'!D2402,"AAAAAH/r+3U=")</f>
        <v>#VALUE!</v>
      </c>
      <c r="DO160" t="e">
        <f>AND('Planilla_General_29-11-2012_10_'!E2402,"AAAAAH/r+3Y=")</f>
        <v>#VALUE!</v>
      </c>
      <c r="DP160" t="e">
        <f>AND('Planilla_General_29-11-2012_10_'!F2402,"AAAAAH/r+3c=")</f>
        <v>#VALUE!</v>
      </c>
      <c r="DQ160" t="e">
        <f>AND('Planilla_General_29-11-2012_10_'!G2402,"AAAAAH/r+3g=")</f>
        <v>#VALUE!</v>
      </c>
      <c r="DR160" t="e">
        <f>AND('Planilla_General_29-11-2012_10_'!H2402,"AAAAAH/r+3k=")</f>
        <v>#VALUE!</v>
      </c>
      <c r="DS160" t="e">
        <f>AND('Planilla_General_29-11-2012_10_'!I2402,"AAAAAH/r+3o=")</f>
        <v>#VALUE!</v>
      </c>
      <c r="DT160" t="e">
        <f>AND('Planilla_General_29-11-2012_10_'!J2402,"AAAAAH/r+3s=")</f>
        <v>#VALUE!</v>
      </c>
      <c r="DU160" t="e">
        <f>AND('Planilla_General_29-11-2012_10_'!K2402,"AAAAAH/r+3w=")</f>
        <v>#VALUE!</v>
      </c>
      <c r="DV160" t="e">
        <f>AND('Planilla_General_29-11-2012_10_'!L2402,"AAAAAH/r+30=")</f>
        <v>#VALUE!</v>
      </c>
      <c r="DW160" t="e">
        <f>AND('Planilla_General_29-11-2012_10_'!M2402,"AAAAAH/r+34=")</f>
        <v>#VALUE!</v>
      </c>
      <c r="DX160" t="e">
        <f>AND('Planilla_General_29-11-2012_10_'!N2402,"AAAAAH/r+38=")</f>
        <v>#VALUE!</v>
      </c>
      <c r="DY160" t="e">
        <f>AND('Planilla_General_29-11-2012_10_'!O2402,"AAAAAH/r+4A=")</f>
        <v>#VALUE!</v>
      </c>
      <c r="DZ160" t="e">
        <f>AND('Planilla_General_29-11-2012_10_'!P2402,"AAAAAH/r+4E=")</f>
        <v>#VALUE!</v>
      </c>
      <c r="EA160">
        <f>IF('Planilla_General_29-11-2012_10_'!2403:2403,"AAAAAH/r+4I=",0)</f>
        <v>0</v>
      </c>
      <c r="EB160" t="e">
        <f>AND('Planilla_General_29-11-2012_10_'!A2403,"AAAAAH/r+4M=")</f>
        <v>#VALUE!</v>
      </c>
      <c r="EC160" t="e">
        <f>AND('Planilla_General_29-11-2012_10_'!B2403,"AAAAAH/r+4Q=")</f>
        <v>#VALUE!</v>
      </c>
      <c r="ED160" t="e">
        <f>AND('Planilla_General_29-11-2012_10_'!C2403,"AAAAAH/r+4U=")</f>
        <v>#VALUE!</v>
      </c>
      <c r="EE160" t="e">
        <f>AND('Planilla_General_29-11-2012_10_'!D2403,"AAAAAH/r+4Y=")</f>
        <v>#VALUE!</v>
      </c>
      <c r="EF160" t="e">
        <f>AND('Planilla_General_29-11-2012_10_'!E2403,"AAAAAH/r+4c=")</f>
        <v>#VALUE!</v>
      </c>
      <c r="EG160" t="e">
        <f>AND('Planilla_General_29-11-2012_10_'!F2403,"AAAAAH/r+4g=")</f>
        <v>#VALUE!</v>
      </c>
      <c r="EH160" t="e">
        <f>AND('Planilla_General_29-11-2012_10_'!G2403,"AAAAAH/r+4k=")</f>
        <v>#VALUE!</v>
      </c>
      <c r="EI160" t="e">
        <f>AND('Planilla_General_29-11-2012_10_'!H2403,"AAAAAH/r+4o=")</f>
        <v>#VALUE!</v>
      </c>
      <c r="EJ160" t="e">
        <f>AND('Planilla_General_29-11-2012_10_'!I2403,"AAAAAH/r+4s=")</f>
        <v>#VALUE!</v>
      </c>
      <c r="EK160" t="e">
        <f>AND('Planilla_General_29-11-2012_10_'!J2403,"AAAAAH/r+4w=")</f>
        <v>#VALUE!</v>
      </c>
      <c r="EL160" t="e">
        <f>AND('Planilla_General_29-11-2012_10_'!K2403,"AAAAAH/r+40=")</f>
        <v>#VALUE!</v>
      </c>
      <c r="EM160" t="e">
        <f>AND('Planilla_General_29-11-2012_10_'!L2403,"AAAAAH/r+44=")</f>
        <v>#VALUE!</v>
      </c>
      <c r="EN160" t="e">
        <f>AND('Planilla_General_29-11-2012_10_'!M2403,"AAAAAH/r+48=")</f>
        <v>#VALUE!</v>
      </c>
      <c r="EO160" t="e">
        <f>AND('Planilla_General_29-11-2012_10_'!N2403,"AAAAAH/r+5A=")</f>
        <v>#VALUE!</v>
      </c>
      <c r="EP160" t="e">
        <f>AND('Planilla_General_29-11-2012_10_'!O2403,"AAAAAH/r+5E=")</f>
        <v>#VALUE!</v>
      </c>
      <c r="EQ160" t="e">
        <f>AND('Planilla_General_29-11-2012_10_'!P2403,"AAAAAH/r+5I=")</f>
        <v>#VALUE!</v>
      </c>
      <c r="ER160">
        <f>IF('Planilla_General_29-11-2012_10_'!2404:2404,"AAAAAH/r+5M=",0)</f>
        <v>0</v>
      </c>
      <c r="ES160" t="e">
        <f>AND('Planilla_General_29-11-2012_10_'!A2404,"AAAAAH/r+5Q=")</f>
        <v>#VALUE!</v>
      </c>
      <c r="ET160" t="e">
        <f>AND('Planilla_General_29-11-2012_10_'!B2404,"AAAAAH/r+5U=")</f>
        <v>#VALUE!</v>
      </c>
      <c r="EU160" t="e">
        <f>AND('Planilla_General_29-11-2012_10_'!C2404,"AAAAAH/r+5Y=")</f>
        <v>#VALUE!</v>
      </c>
      <c r="EV160" t="e">
        <f>AND('Planilla_General_29-11-2012_10_'!D2404,"AAAAAH/r+5c=")</f>
        <v>#VALUE!</v>
      </c>
      <c r="EW160" t="e">
        <f>AND('Planilla_General_29-11-2012_10_'!E2404,"AAAAAH/r+5g=")</f>
        <v>#VALUE!</v>
      </c>
      <c r="EX160" t="e">
        <f>AND('Planilla_General_29-11-2012_10_'!F2404,"AAAAAH/r+5k=")</f>
        <v>#VALUE!</v>
      </c>
      <c r="EY160" t="e">
        <f>AND('Planilla_General_29-11-2012_10_'!G2404,"AAAAAH/r+5o=")</f>
        <v>#VALUE!</v>
      </c>
      <c r="EZ160" t="e">
        <f>AND('Planilla_General_29-11-2012_10_'!H2404,"AAAAAH/r+5s=")</f>
        <v>#VALUE!</v>
      </c>
      <c r="FA160" t="e">
        <f>AND('Planilla_General_29-11-2012_10_'!I2404,"AAAAAH/r+5w=")</f>
        <v>#VALUE!</v>
      </c>
      <c r="FB160" t="e">
        <f>AND('Planilla_General_29-11-2012_10_'!J2404,"AAAAAH/r+50=")</f>
        <v>#VALUE!</v>
      </c>
      <c r="FC160" t="e">
        <f>AND('Planilla_General_29-11-2012_10_'!K2404,"AAAAAH/r+54=")</f>
        <v>#VALUE!</v>
      </c>
      <c r="FD160" t="e">
        <f>AND('Planilla_General_29-11-2012_10_'!L2404,"AAAAAH/r+58=")</f>
        <v>#VALUE!</v>
      </c>
      <c r="FE160" t="e">
        <f>AND('Planilla_General_29-11-2012_10_'!M2404,"AAAAAH/r+6A=")</f>
        <v>#VALUE!</v>
      </c>
      <c r="FF160" t="e">
        <f>AND('Planilla_General_29-11-2012_10_'!N2404,"AAAAAH/r+6E=")</f>
        <v>#VALUE!</v>
      </c>
      <c r="FG160" t="e">
        <f>AND('Planilla_General_29-11-2012_10_'!O2404,"AAAAAH/r+6I=")</f>
        <v>#VALUE!</v>
      </c>
      <c r="FH160" t="e">
        <f>AND('Planilla_General_29-11-2012_10_'!P2404,"AAAAAH/r+6M=")</f>
        <v>#VALUE!</v>
      </c>
      <c r="FI160">
        <f>IF('Planilla_General_29-11-2012_10_'!2405:2405,"AAAAAH/r+6Q=",0)</f>
        <v>0</v>
      </c>
      <c r="FJ160" t="e">
        <f>AND('Planilla_General_29-11-2012_10_'!A2405,"AAAAAH/r+6U=")</f>
        <v>#VALUE!</v>
      </c>
      <c r="FK160" t="e">
        <f>AND('Planilla_General_29-11-2012_10_'!B2405,"AAAAAH/r+6Y=")</f>
        <v>#VALUE!</v>
      </c>
      <c r="FL160" t="e">
        <f>AND('Planilla_General_29-11-2012_10_'!C2405,"AAAAAH/r+6c=")</f>
        <v>#VALUE!</v>
      </c>
      <c r="FM160" t="e">
        <f>AND('Planilla_General_29-11-2012_10_'!D2405,"AAAAAH/r+6g=")</f>
        <v>#VALUE!</v>
      </c>
      <c r="FN160" t="e">
        <f>AND('Planilla_General_29-11-2012_10_'!E2405,"AAAAAH/r+6k=")</f>
        <v>#VALUE!</v>
      </c>
      <c r="FO160" t="e">
        <f>AND('Planilla_General_29-11-2012_10_'!F2405,"AAAAAH/r+6o=")</f>
        <v>#VALUE!</v>
      </c>
      <c r="FP160" t="e">
        <f>AND('Planilla_General_29-11-2012_10_'!G2405,"AAAAAH/r+6s=")</f>
        <v>#VALUE!</v>
      </c>
      <c r="FQ160" t="e">
        <f>AND('Planilla_General_29-11-2012_10_'!H2405,"AAAAAH/r+6w=")</f>
        <v>#VALUE!</v>
      </c>
      <c r="FR160" t="e">
        <f>AND('Planilla_General_29-11-2012_10_'!I2405,"AAAAAH/r+60=")</f>
        <v>#VALUE!</v>
      </c>
      <c r="FS160" t="e">
        <f>AND('Planilla_General_29-11-2012_10_'!J2405,"AAAAAH/r+64=")</f>
        <v>#VALUE!</v>
      </c>
      <c r="FT160" t="e">
        <f>AND('Planilla_General_29-11-2012_10_'!K2405,"AAAAAH/r+68=")</f>
        <v>#VALUE!</v>
      </c>
      <c r="FU160" t="e">
        <f>AND('Planilla_General_29-11-2012_10_'!L2405,"AAAAAH/r+7A=")</f>
        <v>#VALUE!</v>
      </c>
      <c r="FV160" t="e">
        <f>AND('Planilla_General_29-11-2012_10_'!M2405,"AAAAAH/r+7E=")</f>
        <v>#VALUE!</v>
      </c>
      <c r="FW160" t="e">
        <f>AND('Planilla_General_29-11-2012_10_'!N2405,"AAAAAH/r+7I=")</f>
        <v>#VALUE!</v>
      </c>
      <c r="FX160" t="e">
        <f>AND('Planilla_General_29-11-2012_10_'!O2405,"AAAAAH/r+7M=")</f>
        <v>#VALUE!</v>
      </c>
      <c r="FY160" t="e">
        <f>AND('Planilla_General_29-11-2012_10_'!P2405,"AAAAAH/r+7Q=")</f>
        <v>#VALUE!</v>
      </c>
      <c r="FZ160">
        <f>IF('Planilla_General_29-11-2012_10_'!2406:2406,"AAAAAH/r+7U=",0)</f>
        <v>0</v>
      </c>
      <c r="GA160" t="e">
        <f>AND('Planilla_General_29-11-2012_10_'!A2406,"AAAAAH/r+7Y=")</f>
        <v>#VALUE!</v>
      </c>
      <c r="GB160" t="e">
        <f>AND('Planilla_General_29-11-2012_10_'!B2406,"AAAAAH/r+7c=")</f>
        <v>#VALUE!</v>
      </c>
      <c r="GC160" t="e">
        <f>AND('Planilla_General_29-11-2012_10_'!C2406,"AAAAAH/r+7g=")</f>
        <v>#VALUE!</v>
      </c>
      <c r="GD160" t="e">
        <f>AND('Planilla_General_29-11-2012_10_'!D2406,"AAAAAH/r+7k=")</f>
        <v>#VALUE!</v>
      </c>
      <c r="GE160" t="e">
        <f>AND('Planilla_General_29-11-2012_10_'!E2406,"AAAAAH/r+7o=")</f>
        <v>#VALUE!</v>
      </c>
      <c r="GF160" t="e">
        <f>AND('Planilla_General_29-11-2012_10_'!F2406,"AAAAAH/r+7s=")</f>
        <v>#VALUE!</v>
      </c>
      <c r="GG160" t="e">
        <f>AND('Planilla_General_29-11-2012_10_'!G2406,"AAAAAH/r+7w=")</f>
        <v>#VALUE!</v>
      </c>
      <c r="GH160" t="e">
        <f>AND('Planilla_General_29-11-2012_10_'!H2406,"AAAAAH/r+70=")</f>
        <v>#VALUE!</v>
      </c>
      <c r="GI160" t="e">
        <f>AND('Planilla_General_29-11-2012_10_'!I2406,"AAAAAH/r+74=")</f>
        <v>#VALUE!</v>
      </c>
      <c r="GJ160" t="e">
        <f>AND('Planilla_General_29-11-2012_10_'!J2406,"AAAAAH/r+78=")</f>
        <v>#VALUE!</v>
      </c>
      <c r="GK160" t="e">
        <f>AND('Planilla_General_29-11-2012_10_'!K2406,"AAAAAH/r+8A=")</f>
        <v>#VALUE!</v>
      </c>
      <c r="GL160" t="e">
        <f>AND('Planilla_General_29-11-2012_10_'!L2406,"AAAAAH/r+8E=")</f>
        <v>#VALUE!</v>
      </c>
      <c r="GM160" t="e">
        <f>AND('Planilla_General_29-11-2012_10_'!M2406,"AAAAAH/r+8I=")</f>
        <v>#VALUE!</v>
      </c>
      <c r="GN160" t="e">
        <f>AND('Planilla_General_29-11-2012_10_'!N2406,"AAAAAH/r+8M=")</f>
        <v>#VALUE!</v>
      </c>
      <c r="GO160" t="e">
        <f>AND('Planilla_General_29-11-2012_10_'!O2406,"AAAAAH/r+8Q=")</f>
        <v>#VALUE!</v>
      </c>
      <c r="GP160" t="e">
        <f>AND('Planilla_General_29-11-2012_10_'!P2406,"AAAAAH/r+8U=")</f>
        <v>#VALUE!</v>
      </c>
      <c r="GQ160">
        <f>IF('Planilla_General_29-11-2012_10_'!2407:2407,"AAAAAH/r+8Y=",0)</f>
        <v>0</v>
      </c>
      <c r="GR160" t="e">
        <f>AND('Planilla_General_29-11-2012_10_'!A2407,"AAAAAH/r+8c=")</f>
        <v>#VALUE!</v>
      </c>
      <c r="GS160" t="e">
        <f>AND('Planilla_General_29-11-2012_10_'!B2407,"AAAAAH/r+8g=")</f>
        <v>#VALUE!</v>
      </c>
      <c r="GT160" t="e">
        <f>AND('Planilla_General_29-11-2012_10_'!C2407,"AAAAAH/r+8k=")</f>
        <v>#VALUE!</v>
      </c>
      <c r="GU160" t="e">
        <f>AND('Planilla_General_29-11-2012_10_'!D2407,"AAAAAH/r+8o=")</f>
        <v>#VALUE!</v>
      </c>
      <c r="GV160" t="e">
        <f>AND('Planilla_General_29-11-2012_10_'!E2407,"AAAAAH/r+8s=")</f>
        <v>#VALUE!</v>
      </c>
      <c r="GW160" t="e">
        <f>AND('Planilla_General_29-11-2012_10_'!F2407,"AAAAAH/r+8w=")</f>
        <v>#VALUE!</v>
      </c>
      <c r="GX160" t="e">
        <f>AND('Planilla_General_29-11-2012_10_'!G2407,"AAAAAH/r+80=")</f>
        <v>#VALUE!</v>
      </c>
      <c r="GY160" t="e">
        <f>AND('Planilla_General_29-11-2012_10_'!H2407,"AAAAAH/r+84=")</f>
        <v>#VALUE!</v>
      </c>
      <c r="GZ160" t="e">
        <f>AND('Planilla_General_29-11-2012_10_'!I2407,"AAAAAH/r+88=")</f>
        <v>#VALUE!</v>
      </c>
      <c r="HA160" t="e">
        <f>AND('Planilla_General_29-11-2012_10_'!J2407,"AAAAAH/r+9A=")</f>
        <v>#VALUE!</v>
      </c>
      <c r="HB160" t="e">
        <f>AND('Planilla_General_29-11-2012_10_'!K2407,"AAAAAH/r+9E=")</f>
        <v>#VALUE!</v>
      </c>
      <c r="HC160" t="e">
        <f>AND('Planilla_General_29-11-2012_10_'!L2407,"AAAAAH/r+9I=")</f>
        <v>#VALUE!</v>
      </c>
      <c r="HD160" t="e">
        <f>AND('Planilla_General_29-11-2012_10_'!M2407,"AAAAAH/r+9M=")</f>
        <v>#VALUE!</v>
      </c>
      <c r="HE160" t="e">
        <f>AND('Planilla_General_29-11-2012_10_'!N2407,"AAAAAH/r+9Q=")</f>
        <v>#VALUE!</v>
      </c>
      <c r="HF160" t="e">
        <f>AND('Planilla_General_29-11-2012_10_'!O2407,"AAAAAH/r+9U=")</f>
        <v>#VALUE!</v>
      </c>
      <c r="HG160" t="e">
        <f>AND('Planilla_General_29-11-2012_10_'!P2407,"AAAAAH/r+9Y=")</f>
        <v>#VALUE!</v>
      </c>
      <c r="HH160">
        <f>IF('Planilla_General_29-11-2012_10_'!2408:2408,"AAAAAH/r+9c=",0)</f>
        <v>0</v>
      </c>
      <c r="HI160" t="e">
        <f>AND('Planilla_General_29-11-2012_10_'!A2408,"AAAAAH/r+9g=")</f>
        <v>#VALUE!</v>
      </c>
      <c r="HJ160" t="e">
        <f>AND('Planilla_General_29-11-2012_10_'!B2408,"AAAAAH/r+9k=")</f>
        <v>#VALUE!</v>
      </c>
      <c r="HK160" t="e">
        <f>AND('Planilla_General_29-11-2012_10_'!C2408,"AAAAAH/r+9o=")</f>
        <v>#VALUE!</v>
      </c>
      <c r="HL160" t="e">
        <f>AND('Planilla_General_29-11-2012_10_'!D2408,"AAAAAH/r+9s=")</f>
        <v>#VALUE!</v>
      </c>
      <c r="HM160" t="e">
        <f>AND('Planilla_General_29-11-2012_10_'!E2408,"AAAAAH/r+9w=")</f>
        <v>#VALUE!</v>
      </c>
      <c r="HN160" t="e">
        <f>AND('Planilla_General_29-11-2012_10_'!F2408,"AAAAAH/r+90=")</f>
        <v>#VALUE!</v>
      </c>
      <c r="HO160" t="e">
        <f>AND('Planilla_General_29-11-2012_10_'!G2408,"AAAAAH/r+94=")</f>
        <v>#VALUE!</v>
      </c>
      <c r="HP160" t="e">
        <f>AND('Planilla_General_29-11-2012_10_'!H2408,"AAAAAH/r+98=")</f>
        <v>#VALUE!</v>
      </c>
      <c r="HQ160" t="e">
        <f>AND('Planilla_General_29-11-2012_10_'!I2408,"AAAAAH/r++A=")</f>
        <v>#VALUE!</v>
      </c>
      <c r="HR160" t="e">
        <f>AND('Planilla_General_29-11-2012_10_'!J2408,"AAAAAH/r++E=")</f>
        <v>#VALUE!</v>
      </c>
      <c r="HS160" t="e">
        <f>AND('Planilla_General_29-11-2012_10_'!K2408,"AAAAAH/r++I=")</f>
        <v>#VALUE!</v>
      </c>
      <c r="HT160" t="e">
        <f>AND('Planilla_General_29-11-2012_10_'!L2408,"AAAAAH/r++M=")</f>
        <v>#VALUE!</v>
      </c>
      <c r="HU160" t="e">
        <f>AND('Planilla_General_29-11-2012_10_'!M2408,"AAAAAH/r++Q=")</f>
        <v>#VALUE!</v>
      </c>
      <c r="HV160" t="e">
        <f>AND('Planilla_General_29-11-2012_10_'!N2408,"AAAAAH/r++U=")</f>
        <v>#VALUE!</v>
      </c>
      <c r="HW160" t="e">
        <f>AND('Planilla_General_29-11-2012_10_'!O2408,"AAAAAH/r++Y=")</f>
        <v>#VALUE!</v>
      </c>
      <c r="HX160" t="e">
        <f>AND('Planilla_General_29-11-2012_10_'!P2408,"AAAAAH/r++c=")</f>
        <v>#VALUE!</v>
      </c>
      <c r="HY160">
        <f>IF('Planilla_General_29-11-2012_10_'!2409:2409,"AAAAAH/r++g=",0)</f>
        <v>0</v>
      </c>
      <c r="HZ160" t="e">
        <f>AND('Planilla_General_29-11-2012_10_'!A2409,"AAAAAH/r++k=")</f>
        <v>#VALUE!</v>
      </c>
      <c r="IA160" t="e">
        <f>AND('Planilla_General_29-11-2012_10_'!B2409,"AAAAAH/r++o=")</f>
        <v>#VALUE!</v>
      </c>
      <c r="IB160" t="e">
        <f>AND('Planilla_General_29-11-2012_10_'!C2409,"AAAAAH/r++s=")</f>
        <v>#VALUE!</v>
      </c>
      <c r="IC160" t="e">
        <f>AND('Planilla_General_29-11-2012_10_'!D2409,"AAAAAH/r++w=")</f>
        <v>#VALUE!</v>
      </c>
      <c r="ID160" t="e">
        <f>AND('Planilla_General_29-11-2012_10_'!E2409,"AAAAAH/r++0=")</f>
        <v>#VALUE!</v>
      </c>
      <c r="IE160" t="e">
        <f>AND('Planilla_General_29-11-2012_10_'!F2409,"AAAAAH/r++4=")</f>
        <v>#VALUE!</v>
      </c>
      <c r="IF160" t="e">
        <f>AND('Planilla_General_29-11-2012_10_'!G2409,"AAAAAH/r++8=")</f>
        <v>#VALUE!</v>
      </c>
      <c r="IG160" t="e">
        <f>AND('Planilla_General_29-11-2012_10_'!H2409,"AAAAAH/r+/A=")</f>
        <v>#VALUE!</v>
      </c>
      <c r="IH160" t="e">
        <f>AND('Planilla_General_29-11-2012_10_'!I2409,"AAAAAH/r+/E=")</f>
        <v>#VALUE!</v>
      </c>
      <c r="II160" t="e">
        <f>AND('Planilla_General_29-11-2012_10_'!J2409,"AAAAAH/r+/I=")</f>
        <v>#VALUE!</v>
      </c>
      <c r="IJ160" t="e">
        <f>AND('Planilla_General_29-11-2012_10_'!K2409,"AAAAAH/r+/M=")</f>
        <v>#VALUE!</v>
      </c>
      <c r="IK160" t="e">
        <f>AND('Planilla_General_29-11-2012_10_'!L2409,"AAAAAH/r+/Q=")</f>
        <v>#VALUE!</v>
      </c>
      <c r="IL160" t="e">
        <f>AND('Planilla_General_29-11-2012_10_'!M2409,"AAAAAH/r+/U=")</f>
        <v>#VALUE!</v>
      </c>
      <c r="IM160" t="e">
        <f>AND('Planilla_General_29-11-2012_10_'!N2409,"AAAAAH/r+/Y=")</f>
        <v>#VALUE!</v>
      </c>
      <c r="IN160" t="e">
        <f>AND('Planilla_General_29-11-2012_10_'!O2409,"AAAAAH/r+/c=")</f>
        <v>#VALUE!</v>
      </c>
      <c r="IO160" t="e">
        <f>AND('Planilla_General_29-11-2012_10_'!P2409,"AAAAAH/r+/g=")</f>
        <v>#VALUE!</v>
      </c>
      <c r="IP160">
        <f>IF('Planilla_General_29-11-2012_10_'!2410:2410,"AAAAAH/r+/k=",0)</f>
        <v>0</v>
      </c>
      <c r="IQ160" t="e">
        <f>AND('Planilla_General_29-11-2012_10_'!A2410,"AAAAAH/r+/o=")</f>
        <v>#VALUE!</v>
      </c>
      <c r="IR160" t="e">
        <f>AND('Planilla_General_29-11-2012_10_'!B2410,"AAAAAH/r+/s=")</f>
        <v>#VALUE!</v>
      </c>
      <c r="IS160" t="e">
        <f>AND('Planilla_General_29-11-2012_10_'!C2410,"AAAAAH/r+/w=")</f>
        <v>#VALUE!</v>
      </c>
      <c r="IT160" t="e">
        <f>AND('Planilla_General_29-11-2012_10_'!D2410,"AAAAAH/r+/0=")</f>
        <v>#VALUE!</v>
      </c>
      <c r="IU160" t="e">
        <f>AND('Planilla_General_29-11-2012_10_'!E2410,"AAAAAH/r+/4=")</f>
        <v>#VALUE!</v>
      </c>
      <c r="IV160" t="e">
        <f>AND('Planilla_General_29-11-2012_10_'!F2410,"AAAAAH/r+/8=")</f>
        <v>#VALUE!</v>
      </c>
    </row>
    <row r="161" spans="1:256" x14ac:dyDescent="0.25">
      <c r="A161" t="e">
        <f>AND('Planilla_General_29-11-2012_10_'!G2410,"AAAAAH76/wA=")</f>
        <v>#VALUE!</v>
      </c>
      <c r="B161" t="e">
        <f>AND('Planilla_General_29-11-2012_10_'!H2410,"AAAAAH76/wE=")</f>
        <v>#VALUE!</v>
      </c>
      <c r="C161" t="e">
        <f>AND('Planilla_General_29-11-2012_10_'!I2410,"AAAAAH76/wI=")</f>
        <v>#VALUE!</v>
      </c>
      <c r="D161" t="e">
        <f>AND('Planilla_General_29-11-2012_10_'!J2410,"AAAAAH76/wM=")</f>
        <v>#VALUE!</v>
      </c>
      <c r="E161" t="e">
        <f>AND('Planilla_General_29-11-2012_10_'!K2410,"AAAAAH76/wQ=")</f>
        <v>#VALUE!</v>
      </c>
      <c r="F161" t="e">
        <f>AND('Planilla_General_29-11-2012_10_'!L2410,"AAAAAH76/wU=")</f>
        <v>#VALUE!</v>
      </c>
      <c r="G161" t="e">
        <f>AND('Planilla_General_29-11-2012_10_'!M2410,"AAAAAH76/wY=")</f>
        <v>#VALUE!</v>
      </c>
      <c r="H161" t="e">
        <f>AND('Planilla_General_29-11-2012_10_'!N2410,"AAAAAH76/wc=")</f>
        <v>#VALUE!</v>
      </c>
      <c r="I161" t="e">
        <f>AND('Planilla_General_29-11-2012_10_'!O2410,"AAAAAH76/wg=")</f>
        <v>#VALUE!</v>
      </c>
      <c r="J161" t="e">
        <f>AND('Planilla_General_29-11-2012_10_'!P2410,"AAAAAH76/wk=")</f>
        <v>#VALUE!</v>
      </c>
      <c r="K161" t="str">
        <f>IF('Planilla_General_29-11-2012_10_'!2411:2411,"AAAAAH76/wo=",0)</f>
        <v>AAAAAH76/wo=</v>
      </c>
      <c r="L161" t="e">
        <f>AND('Planilla_General_29-11-2012_10_'!A2411,"AAAAAH76/ws=")</f>
        <v>#VALUE!</v>
      </c>
      <c r="M161" t="e">
        <f>AND('Planilla_General_29-11-2012_10_'!B2411,"AAAAAH76/ww=")</f>
        <v>#VALUE!</v>
      </c>
      <c r="N161" t="e">
        <f>AND('Planilla_General_29-11-2012_10_'!C2411,"AAAAAH76/w0=")</f>
        <v>#VALUE!</v>
      </c>
      <c r="O161" t="e">
        <f>AND('Planilla_General_29-11-2012_10_'!D2411,"AAAAAH76/w4=")</f>
        <v>#VALUE!</v>
      </c>
      <c r="P161" t="e">
        <f>AND('Planilla_General_29-11-2012_10_'!E2411,"AAAAAH76/w8=")</f>
        <v>#VALUE!</v>
      </c>
      <c r="Q161" t="e">
        <f>AND('Planilla_General_29-11-2012_10_'!F2411,"AAAAAH76/xA=")</f>
        <v>#VALUE!</v>
      </c>
      <c r="R161" t="e">
        <f>AND('Planilla_General_29-11-2012_10_'!G2411,"AAAAAH76/xE=")</f>
        <v>#VALUE!</v>
      </c>
      <c r="S161" t="e">
        <f>AND('Planilla_General_29-11-2012_10_'!H2411,"AAAAAH76/xI=")</f>
        <v>#VALUE!</v>
      </c>
      <c r="T161" t="e">
        <f>AND('Planilla_General_29-11-2012_10_'!I2411,"AAAAAH76/xM=")</f>
        <v>#VALUE!</v>
      </c>
      <c r="U161" t="e">
        <f>AND('Planilla_General_29-11-2012_10_'!J2411,"AAAAAH76/xQ=")</f>
        <v>#VALUE!</v>
      </c>
      <c r="V161" t="e">
        <f>AND('Planilla_General_29-11-2012_10_'!K2411,"AAAAAH76/xU=")</f>
        <v>#VALUE!</v>
      </c>
      <c r="W161" t="e">
        <f>AND('Planilla_General_29-11-2012_10_'!L2411,"AAAAAH76/xY=")</f>
        <v>#VALUE!</v>
      </c>
      <c r="X161" t="e">
        <f>AND('Planilla_General_29-11-2012_10_'!M2411,"AAAAAH76/xc=")</f>
        <v>#VALUE!</v>
      </c>
      <c r="Y161" t="e">
        <f>AND('Planilla_General_29-11-2012_10_'!N2411,"AAAAAH76/xg=")</f>
        <v>#VALUE!</v>
      </c>
      <c r="Z161" t="e">
        <f>AND('Planilla_General_29-11-2012_10_'!O2411,"AAAAAH76/xk=")</f>
        <v>#VALUE!</v>
      </c>
      <c r="AA161" t="e">
        <f>AND('Planilla_General_29-11-2012_10_'!P2411,"AAAAAH76/xo=")</f>
        <v>#VALUE!</v>
      </c>
      <c r="AB161">
        <f>IF('Planilla_General_29-11-2012_10_'!2412:2412,"AAAAAH76/xs=",0)</f>
        <v>0</v>
      </c>
      <c r="AC161" t="e">
        <f>AND('Planilla_General_29-11-2012_10_'!A2412,"AAAAAH76/xw=")</f>
        <v>#VALUE!</v>
      </c>
      <c r="AD161" t="e">
        <f>AND('Planilla_General_29-11-2012_10_'!B2412,"AAAAAH76/x0=")</f>
        <v>#VALUE!</v>
      </c>
      <c r="AE161" t="e">
        <f>AND('Planilla_General_29-11-2012_10_'!C2412,"AAAAAH76/x4=")</f>
        <v>#VALUE!</v>
      </c>
      <c r="AF161" t="e">
        <f>AND('Planilla_General_29-11-2012_10_'!D2412,"AAAAAH76/x8=")</f>
        <v>#VALUE!</v>
      </c>
      <c r="AG161" t="e">
        <f>AND('Planilla_General_29-11-2012_10_'!E2412,"AAAAAH76/yA=")</f>
        <v>#VALUE!</v>
      </c>
      <c r="AH161" t="e">
        <f>AND('Planilla_General_29-11-2012_10_'!F2412,"AAAAAH76/yE=")</f>
        <v>#VALUE!</v>
      </c>
      <c r="AI161" t="e">
        <f>AND('Planilla_General_29-11-2012_10_'!G2412,"AAAAAH76/yI=")</f>
        <v>#VALUE!</v>
      </c>
      <c r="AJ161" t="e">
        <f>AND('Planilla_General_29-11-2012_10_'!H2412,"AAAAAH76/yM=")</f>
        <v>#VALUE!</v>
      </c>
      <c r="AK161" t="e">
        <f>AND('Planilla_General_29-11-2012_10_'!I2412,"AAAAAH76/yQ=")</f>
        <v>#VALUE!</v>
      </c>
      <c r="AL161" t="e">
        <f>AND('Planilla_General_29-11-2012_10_'!J2412,"AAAAAH76/yU=")</f>
        <v>#VALUE!</v>
      </c>
      <c r="AM161" t="e">
        <f>AND('Planilla_General_29-11-2012_10_'!K2412,"AAAAAH76/yY=")</f>
        <v>#VALUE!</v>
      </c>
      <c r="AN161" t="e">
        <f>AND('Planilla_General_29-11-2012_10_'!L2412,"AAAAAH76/yc=")</f>
        <v>#VALUE!</v>
      </c>
      <c r="AO161" t="e">
        <f>AND('Planilla_General_29-11-2012_10_'!M2412,"AAAAAH76/yg=")</f>
        <v>#VALUE!</v>
      </c>
      <c r="AP161" t="e">
        <f>AND('Planilla_General_29-11-2012_10_'!N2412,"AAAAAH76/yk=")</f>
        <v>#VALUE!</v>
      </c>
      <c r="AQ161" t="e">
        <f>AND('Planilla_General_29-11-2012_10_'!O2412,"AAAAAH76/yo=")</f>
        <v>#VALUE!</v>
      </c>
      <c r="AR161" t="e">
        <f>AND('Planilla_General_29-11-2012_10_'!P2412,"AAAAAH76/ys=")</f>
        <v>#VALUE!</v>
      </c>
      <c r="AS161">
        <f>IF('Planilla_General_29-11-2012_10_'!2413:2413,"AAAAAH76/yw=",0)</f>
        <v>0</v>
      </c>
      <c r="AT161" t="e">
        <f>AND('Planilla_General_29-11-2012_10_'!A2413,"AAAAAH76/y0=")</f>
        <v>#VALUE!</v>
      </c>
      <c r="AU161" t="e">
        <f>AND('Planilla_General_29-11-2012_10_'!B2413,"AAAAAH76/y4=")</f>
        <v>#VALUE!</v>
      </c>
      <c r="AV161" t="e">
        <f>AND('Planilla_General_29-11-2012_10_'!C2413,"AAAAAH76/y8=")</f>
        <v>#VALUE!</v>
      </c>
      <c r="AW161" t="e">
        <f>AND('Planilla_General_29-11-2012_10_'!D2413,"AAAAAH76/zA=")</f>
        <v>#VALUE!</v>
      </c>
      <c r="AX161" t="e">
        <f>AND('Planilla_General_29-11-2012_10_'!E2413,"AAAAAH76/zE=")</f>
        <v>#VALUE!</v>
      </c>
      <c r="AY161" t="e">
        <f>AND('Planilla_General_29-11-2012_10_'!F2413,"AAAAAH76/zI=")</f>
        <v>#VALUE!</v>
      </c>
      <c r="AZ161" t="e">
        <f>AND('Planilla_General_29-11-2012_10_'!G2413,"AAAAAH76/zM=")</f>
        <v>#VALUE!</v>
      </c>
      <c r="BA161" t="e">
        <f>AND('Planilla_General_29-11-2012_10_'!H2413,"AAAAAH76/zQ=")</f>
        <v>#VALUE!</v>
      </c>
      <c r="BB161" t="e">
        <f>AND('Planilla_General_29-11-2012_10_'!I2413,"AAAAAH76/zU=")</f>
        <v>#VALUE!</v>
      </c>
      <c r="BC161" t="e">
        <f>AND('Planilla_General_29-11-2012_10_'!J2413,"AAAAAH76/zY=")</f>
        <v>#VALUE!</v>
      </c>
      <c r="BD161" t="e">
        <f>AND('Planilla_General_29-11-2012_10_'!K2413,"AAAAAH76/zc=")</f>
        <v>#VALUE!</v>
      </c>
      <c r="BE161" t="e">
        <f>AND('Planilla_General_29-11-2012_10_'!L2413,"AAAAAH76/zg=")</f>
        <v>#VALUE!</v>
      </c>
      <c r="BF161" t="e">
        <f>AND('Planilla_General_29-11-2012_10_'!M2413,"AAAAAH76/zk=")</f>
        <v>#VALUE!</v>
      </c>
      <c r="BG161" t="e">
        <f>AND('Planilla_General_29-11-2012_10_'!N2413,"AAAAAH76/zo=")</f>
        <v>#VALUE!</v>
      </c>
      <c r="BH161" t="e">
        <f>AND('Planilla_General_29-11-2012_10_'!O2413,"AAAAAH76/zs=")</f>
        <v>#VALUE!</v>
      </c>
      <c r="BI161" t="e">
        <f>AND('Planilla_General_29-11-2012_10_'!P2413,"AAAAAH76/zw=")</f>
        <v>#VALUE!</v>
      </c>
      <c r="BJ161">
        <f>IF('Planilla_General_29-11-2012_10_'!2414:2414,"AAAAAH76/z0=",0)</f>
        <v>0</v>
      </c>
      <c r="BK161" t="e">
        <f>AND('Planilla_General_29-11-2012_10_'!A2414,"AAAAAH76/z4=")</f>
        <v>#VALUE!</v>
      </c>
      <c r="BL161" t="e">
        <f>AND('Planilla_General_29-11-2012_10_'!B2414,"AAAAAH76/z8=")</f>
        <v>#VALUE!</v>
      </c>
      <c r="BM161" t="e">
        <f>AND('Planilla_General_29-11-2012_10_'!C2414,"AAAAAH76/0A=")</f>
        <v>#VALUE!</v>
      </c>
      <c r="BN161" t="e">
        <f>AND('Planilla_General_29-11-2012_10_'!D2414,"AAAAAH76/0E=")</f>
        <v>#VALUE!</v>
      </c>
      <c r="BO161" t="e">
        <f>AND('Planilla_General_29-11-2012_10_'!E2414,"AAAAAH76/0I=")</f>
        <v>#VALUE!</v>
      </c>
      <c r="BP161" t="e">
        <f>AND('Planilla_General_29-11-2012_10_'!F2414,"AAAAAH76/0M=")</f>
        <v>#VALUE!</v>
      </c>
      <c r="BQ161" t="e">
        <f>AND('Planilla_General_29-11-2012_10_'!G2414,"AAAAAH76/0Q=")</f>
        <v>#VALUE!</v>
      </c>
      <c r="BR161" t="e">
        <f>AND('Planilla_General_29-11-2012_10_'!H2414,"AAAAAH76/0U=")</f>
        <v>#VALUE!</v>
      </c>
      <c r="BS161" t="e">
        <f>AND('Planilla_General_29-11-2012_10_'!I2414,"AAAAAH76/0Y=")</f>
        <v>#VALUE!</v>
      </c>
      <c r="BT161" t="e">
        <f>AND('Planilla_General_29-11-2012_10_'!J2414,"AAAAAH76/0c=")</f>
        <v>#VALUE!</v>
      </c>
      <c r="BU161" t="e">
        <f>AND('Planilla_General_29-11-2012_10_'!K2414,"AAAAAH76/0g=")</f>
        <v>#VALUE!</v>
      </c>
      <c r="BV161" t="e">
        <f>AND('Planilla_General_29-11-2012_10_'!L2414,"AAAAAH76/0k=")</f>
        <v>#VALUE!</v>
      </c>
      <c r="BW161" t="e">
        <f>AND('Planilla_General_29-11-2012_10_'!M2414,"AAAAAH76/0o=")</f>
        <v>#VALUE!</v>
      </c>
      <c r="BX161" t="e">
        <f>AND('Planilla_General_29-11-2012_10_'!N2414,"AAAAAH76/0s=")</f>
        <v>#VALUE!</v>
      </c>
      <c r="BY161" t="e">
        <f>AND('Planilla_General_29-11-2012_10_'!O2414,"AAAAAH76/0w=")</f>
        <v>#VALUE!</v>
      </c>
      <c r="BZ161" t="e">
        <f>AND('Planilla_General_29-11-2012_10_'!P2414,"AAAAAH76/00=")</f>
        <v>#VALUE!</v>
      </c>
      <c r="CA161">
        <f>IF('Planilla_General_29-11-2012_10_'!2415:2415,"AAAAAH76/04=",0)</f>
        <v>0</v>
      </c>
      <c r="CB161" t="e">
        <f>AND('Planilla_General_29-11-2012_10_'!A2415,"AAAAAH76/08=")</f>
        <v>#VALUE!</v>
      </c>
      <c r="CC161" t="e">
        <f>AND('Planilla_General_29-11-2012_10_'!B2415,"AAAAAH76/1A=")</f>
        <v>#VALUE!</v>
      </c>
      <c r="CD161" t="e">
        <f>AND('Planilla_General_29-11-2012_10_'!C2415,"AAAAAH76/1E=")</f>
        <v>#VALUE!</v>
      </c>
      <c r="CE161" t="e">
        <f>AND('Planilla_General_29-11-2012_10_'!D2415,"AAAAAH76/1I=")</f>
        <v>#VALUE!</v>
      </c>
      <c r="CF161" t="e">
        <f>AND('Planilla_General_29-11-2012_10_'!E2415,"AAAAAH76/1M=")</f>
        <v>#VALUE!</v>
      </c>
      <c r="CG161" t="e">
        <f>AND('Planilla_General_29-11-2012_10_'!F2415,"AAAAAH76/1Q=")</f>
        <v>#VALUE!</v>
      </c>
      <c r="CH161" t="e">
        <f>AND('Planilla_General_29-11-2012_10_'!G2415,"AAAAAH76/1U=")</f>
        <v>#VALUE!</v>
      </c>
      <c r="CI161" t="e">
        <f>AND('Planilla_General_29-11-2012_10_'!H2415,"AAAAAH76/1Y=")</f>
        <v>#VALUE!</v>
      </c>
      <c r="CJ161" t="e">
        <f>AND('Planilla_General_29-11-2012_10_'!I2415,"AAAAAH76/1c=")</f>
        <v>#VALUE!</v>
      </c>
      <c r="CK161" t="e">
        <f>AND('Planilla_General_29-11-2012_10_'!J2415,"AAAAAH76/1g=")</f>
        <v>#VALUE!</v>
      </c>
      <c r="CL161" t="e">
        <f>AND('Planilla_General_29-11-2012_10_'!K2415,"AAAAAH76/1k=")</f>
        <v>#VALUE!</v>
      </c>
      <c r="CM161" t="e">
        <f>AND('Planilla_General_29-11-2012_10_'!L2415,"AAAAAH76/1o=")</f>
        <v>#VALUE!</v>
      </c>
      <c r="CN161" t="e">
        <f>AND('Planilla_General_29-11-2012_10_'!M2415,"AAAAAH76/1s=")</f>
        <v>#VALUE!</v>
      </c>
      <c r="CO161" t="e">
        <f>AND('Planilla_General_29-11-2012_10_'!N2415,"AAAAAH76/1w=")</f>
        <v>#VALUE!</v>
      </c>
      <c r="CP161" t="e">
        <f>AND('Planilla_General_29-11-2012_10_'!O2415,"AAAAAH76/10=")</f>
        <v>#VALUE!</v>
      </c>
      <c r="CQ161" t="e">
        <f>AND('Planilla_General_29-11-2012_10_'!P2415,"AAAAAH76/14=")</f>
        <v>#VALUE!</v>
      </c>
      <c r="CR161">
        <f>IF('Planilla_General_29-11-2012_10_'!2416:2416,"AAAAAH76/18=",0)</f>
        <v>0</v>
      </c>
      <c r="CS161" t="e">
        <f>AND('Planilla_General_29-11-2012_10_'!A2416,"AAAAAH76/2A=")</f>
        <v>#VALUE!</v>
      </c>
      <c r="CT161" t="e">
        <f>AND('Planilla_General_29-11-2012_10_'!B2416,"AAAAAH76/2E=")</f>
        <v>#VALUE!</v>
      </c>
      <c r="CU161" t="e">
        <f>AND('Planilla_General_29-11-2012_10_'!C2416,"AAAAAH76/2I=")</f>
        <v>#VALUE!</v>
      </c>
      <c r="CV161" t="e">
        <f>AND('Planilla_General_29-11-2012_10_'!D2416,"AAAAAH76/2M=")</f>
        <v>#VALUE!</v>
      </c>
      <c r="CW161" t="e">
        <f>AND('Planilla_General_29-11-2012_10_'!E2416,"AAAAAH76/2Q=")</f>
        <v>#VALUE!</v>
      </c>
      <c r="CX161" t="e">
        <f>AND('Planilla_General_29-11-2012_10_'!F2416,"AAAAAH76/2U=")</f>
        <v>#VALUE!</v>
      </c>
      <c r="CY161" t="e">
        <f>AND('Planilla_General_29-11-2012_10_'!G2416,"AAAAAH76/2Y=")</f>
        <v>#VALUE!</v>
      </c>
      <c r="CZ161" t="e">
        <f>AND('Planilla_General_29-11-2012_10_'!H2416,"AAAAAH76/2c=")</f>
        <v>#VALUE!</v>
      </c>
      <c r="DA161" t="e">
        <f>AND('Planilla_General_29-11-2012_10_'!I2416,"AAAAAH76/2g=")</f>
        <v>#VALUE!</v>
      </c>
      <c r="DB161" t="e">
        <f>AND('Planilla_General_29-11-2012_10_'!J2416,"AAAAAH76/2k=")</f>
        <v>#VALUE!</v>
      </c>
      <c r="DC161" t="e">
        <f>AND('Planilla_General_29-11-2012_10_'!K2416,"AAAAAH76/2o=")</f>
        <v>#VALUE!</v>
      </c>
      <c r="DD161" t="e">
        <f>AND('Planilla_General_29-11-2012_10_'!L2416,"AAAAAH76/2s=")</f>
        <v>#VALUE!</v>
      </c>
      <c r="DE161" t="e">
        <f>AND('Planilla_General_29-11-2012_10_'!M2416,"AAAAAH76/2w=")</f>
        <v>#VALUE!</v>
      </c>
      <c r="DF161" t="e">
        <f>AND('Planilla_General_29-11-2012_10_'!N2416,"AAAAAH76/20=")</f>
        <v>#VALUE!</v>
      </c>
      <c r="DG161" t="e">
        <f>AND('Planilla_General_29-11-2012_10_'!O2416,"AAAAAH76/24=")</f>
        <v>#VALUE!</v>
      </c>
      <c r="DH161" t="e">
        <f>AND('Planilla_General_29-11-2012_10_'!P2416,"AAAAAH76/28=")</f>
        <v>#VALUE!</v>
      </c>
      <c r="DI161">
        <f>IF('Planilla_General_29-11-2012_10_'!2417:2417,"AAAAAH76/3A=",0)</f>
        <v>0</v>
      </c>
      <c r="DJ161" t="e">
        <f>AND('Planilla_General_29-11-2012_10_'!A2417,"AAAAAH76/3E=")</f>
        <v>#VALUE!</v>
      </c>
      <c r="DK161" t="e">
        <f>AND('Planilla_General_29-11-2012_10_'!B2417,"AAAAAH76/3I=")</f>
        <v>#VALUE!</v>
      </c>
      <c r="DL161" t="e">
        <f>AND('Planilla_General_29-11-2012_10_'!C2417,"AAAAAH76/3M=")</f>
        <v>#VALUE!</v>
      </c>
      <c r="DM161" t="e">
        <f>AND('Planilla_General_29-11-2012_10_'!D2417,"AAAAAH76/3Q=")</f>
        <v>#VALUE!</v>
      </c>
      <c r="DN161" t="e">
        <f>AND('Planilla_General_29-11-2012_10_'!E2417,"AAAAAH76/3U=")</f>
        <v>#VALUE!</v>
      </c>
      <c r="DO161" t="e">
        <f>AND('Planilla_General_29-11-2012_10_'!F2417,"AAAAAH76/3Y=")</f>
        <v>#VALUE!</v>
      </c>
      <c r="DP161" t="e">
        <f>AND('Planilla_General_29-11-2012_10_'!G2417,"AAAAAH76/3c=")</f>
        <v>#VALUE!</v>
      </c>
      <c r="DQ161" t="e">
        <f>AND('Planilla_General_29-11-2012_10_'!H2417,"AAAAAH76/3g=")</f>
        <v>#VALUE!</v>
      </c>
      <c r="DR161" t="e">
        <f>AND('Planilla_General_29-11-2012_10_'!I2417,"AAAAAH76/3k=")</f>
        <v>#VALUE!</v>
      </c>
      <c r="DS161" t="e">
        <f>AND('Planilla_General_29-11-2012_10_'!J2417,"AAAAAH76/3o=")</f>
        <v>#VALUE!</v>
      </c>
      <c r="DT161" t="e">
        <f>AND('Planilla_General_29-11-2012_10_'!K2417,"AAAAAH76/3s=")</f>
        <v>#VALUE!</v>
      </c>
      <c r="DU161" t="e">
        <f>AND('Planilla_General_29-11-2012_10_'!L2417,"AAAAAH76/3w=")</f>
        <v>#VALUE!</v>
      </c>
      <c r="DV161" t="e">
        <f>AND('Planilla_General_29-11-2012_10_'!M2417,"AAAAAH76/30=")</f>
        <v>#VALUE!</v>
      </c>
      <c r="DW161" t="e">
        <f>AND('Planilla_General_29-11-2012_10_'!N2417,"AAAAAH76/34=")</f>
        <v>#VALUE!</v>
      </c>
      <c r="DX161" t="e">
        <f>AND('Planilla_General_29-11-2012_10_'!O2417,"AAAAAH76/38=")</f>
        <v>#VALUE!</v>
      </c>
      <c r="DY161" t="e">
        <f>AND('Planilla_General_29-11-2012_10_'!P2417,"AAAAAH76/4A=")</f>
        <v>#VALUE!</v>
      </c>
      <c r="DZ161">
        <f>IF('Planilla_General_29-11-2012_10_'!2418:2418,"AAAAAH76/4E=",0)</f>
        <v>0</v>
      </c>
      <c r="EA161" t="e">
        <f>AND('Planilla_General_29-11-2012_10_'!A2418,"AAAAAH76/4I=")</f>
        <v>#VALUE!</v>
      </c>
      <c r="EB161" t="e">
        <f>AND('Planilla_General_29-11-2012_10_'!B2418,"AAAAAH76/4M=")</f>
        <v>#VALUE!</v>
      </c>
      <c r="EC161" t="e">
        <f>AND('Planilla_General_29-11-2012_10_'!C2418,"AAAAAH76/4Q=")</f>
        <v>#VALUE!</v>
      </c>
      <c r="ED161" t="e">
        <f>AND('Planilla_General_29-11-2012_10_'!D2418,"AAAAAH76/4U=")</f>
        <v>#VALUE!</v>
      </c>
      <c r="EE161" t="e">
        <f>AND('Planilla_General_29-11-2012_10_'!E2418,"AAAAAH76/4Y=")</f>
        <v>#VALUE!</v>
      </c>
      <c r="EF161" t="e">
        <f>AND('Planilla_General_29-11-2012_10_'!F2418,"AAAAAH76/4c=")</f>
        <v>#VALUE!</v>
      </c>
      <c r="EG161" t="e">
        <f>AND('Planilla_General_29-11-2012_10_'!G2418,"AAAAAH76/4g=")</f>
        <v>#VALUE!</v>
      </c>
      <c r="EH161" t="e">
        <f>AND('Planilla_General_29-11-2012_10_'!H2418,"AAAAAH76/4k=")</f>
        <v>#VALUE!</v>
      </c>
      <c r="EI161" t="e">
        <f>AND('Planilla_General_29-11-2012_10_'!I2418,"AAAAAH76/4o=")</f>
        <v>#VALUE!</v>
      </c>
      <c r="EJ161" t="e">
        <f>AND('Planilla_General_29-11-2012_10_'!J2418,"AAAAAH76/4s=")</f>
        <v>#VALUE!</v>
      </c>
      <c r="EK161" t="e">
        <f>AND('Planilla_General_29-11-2012_10_'!K2418,"AAAAAH76/4w=")</f>
        <v>#VALUE!</v>
      </c>
      <c r="EL161" t="e">
        <f>AND('Planilla_General_29-11-2012_10_'!L2418,"AAAAAH76/40=")</f>
        <v>#VALUE!</v>
      </c>
      <c r="EM161" t="e">
        <f>AND('Planilla_General_29-11-2012_10_'!M2418,"AAAAAH76/44=")</f>
        <v>#VALUE!</v>
      </c>
      <c r="EN161" t="e">
        <f>AND('Planilla_General_29-11-2012_10_'!N2418,"AAAAAH76/48=")</f>
        <v>#VALUE!</v>
      </c>
      <c r="EO161" t="e">
        <f>AND('Planilla_General_29-11-2012_10_'!O2418,"AAAAAH76/5A=")</f>
        <v>#VALUE!</v>
      </c>
      <c r="EP161" t="e">
        <f>AND('Planilla_General_29-11-2012_10_'!P2418,"AAAAAH76/5E=")</f>
        <v>#VALUE!</v>
      </c>
      <c r="EQ161">
        <f>IF('Planilla_General_29-11-2012_10_'!2419:2419,"AAAAAH76/5I=",0)</f>
        <v>0</v>
      </c>
      <c r="ER161" t="e">
        <f>AND('Planilla_General_29-11-2012_10_'!A2419,"AAAAAH76/5M=")</f>
        <v>#VALUE!</v>
      </c>
      <c r="ES161" t="e">
        <f>AND('Planilla_General_29-11-2012_10_'!B2419,"AAAAAH76/5Q=")</f>
        <v>#VALUE!</v>
      </c>
      <c r="ET161" t="e">
        <f>AND('Planilla_General_29-11-2012_10_'!C2419,"AAAAAH76/5U=")</f>
        <v>#VALUE!</v>
      </c>
      <c r="EU161" t="e">
        <f>AND('Planilla_General_29-11-2012_10_'!D2419,"AAAAAH76/5Y=")</f>
        <v>#VALUE!</v>
      </c>
      <c r="EV161" t="e">
        <f>AND('Planilla_General_29-11-2012_10_'!E2419,"AAAAAH76/5c=")</f>
        <v>#VALUE!</v>
      </c>
      <c r="EW161" t="e">
        <f>AND('Planilla_General_29-11-2012_10_'!F2419,"AAAAAH76/5g=")</f>
        <v>#VALUE!</v>
      </c>
      <c r="EX161" t="e">
        <f>AND('Planilla_General_29-11-2012_10_'!G2419,"AAAAAH76/5k=")</f>
        <v>#VALUE!</v>
      </c>
      <c r="EY161" t="e">
        <f>AND('Planilla_General_29-11-2012_10_'!H2419,"AAAAAH76/5o=")</f>
        <v>#VALUE!</v>
      </c>
      <c r="EZ161" t="e">
        <f>AND('Planilla_General_29-11-2012_10_'!I2419,"AAAAAH76/5s=")</f>
        <v>#VALUE!</v>
      </c>
      <c r="FA161" t="e">
        <f>AND('Planilla_General_29-11-2012_10_'!J2419,"AAAAAH76/5w=")</f>
        <v>#VALUE!</v>
      </c>
      <c r="FB161" t="e">
        <f>AND('Planilla_General_29-11-2012_10_'!K2419,"AAAAAH76/50=")</f>
        <v>#VALUE!</v>
      </c>
      <c r="FC161" t="e">
        <f>AND('Planilla_General_29-11-2012_10_'!L2419,"AAAAAH76/54=")</f>
        <v>#VALUE!</v>
      </c>
      <c r="FD161" t="e">
        <f>AND('Planilla_General_29-11-2012_10_'!M2419,"AAAAAH76/58=")</f>
        <v>#VALUE!</v>
      </c>
      <c r="FE161" t="e">
        <f>AND('Planilla_General_29-11-2012_10_'!N2419,"AAAAAH76/6A=")</f>
        <v>#VALUE!</v>
      </c>
      <c r="FF161" t="e">
        <f>AND('Planilla_General_29-11-2012_10_'!O2419,"AAAAAH76/6E=")</f>
        <v>#VALUE!</v>
      </c>
      <c r="FG161" t="e">
        <f>AND('Planilla_General_29-11-2012_10_'!P2419,"AAAAAH76/6I=")</f>
        <v>#VALUE!</v>
      </c>
      <c r="FH161">
        <f>IF('Planilla_General_29-11-2012_10_'!2420:2420,"AAAAAH76/6M=",0)</f>
        <v>0</v>
      </c>
      <c r="FI161" t="e">
        <f>AND('Planilla_General_29-11-2012_10_'!A2420,"AAAAAH76/6Q=")</f>
        <v>#VALUE!</v>
      </c>
      <c r="FJ161" t="e">
        <f>AND('Planilla_General_29-11-2012_10_'!B2420,"AAAAAH76/6U=")</f>
        <v>#VALUE!</v>
      </c>
      <c r="FK161" t="e">
        <f>AND('Planilla_General_29-11-2012_10_'!C2420,"AAAAAH76/6Y=")</f>
        <v>#VALUE!</v>
      </c>
      <c r="FL161" t="e">
        <f>AND('Planilla_General_29-11-2012_10_'!D2420,"AAAAAH76/6c=")</f>
        <v>#VALUE!</v>
      </c>
      <c r="FM161" t="e">
        <f>AND('Planilla_General_29-11-2012_10_'!E2420,"AAAAAH76/6g=")</f>
        <v>#VALUE!</v>
      </c>
      <c r="FN161" t="e">
        <f>AND('Planilla_General_29-11-2012_10_'!F2420,"AAAAAH76/6k=")</f>
        <v>#VALUE!</v>
      </c>
      <c r="FO161" t="e">
        <f>AND('Planilla_General_29-11-2012_10_'!G2420,"AAAAAH76/6o=")</f>
        <v>#VALUE!</v>
      </c>
      <c r="FP161" t="e">
        <f>AND('Planilla_General_29-11-2012_10_'!H2420,"AAAAAH76/6s=")</f>
        <v>#VALUE!</v>
      </c>
      <c r="FQ161" t="e">
        <f>AND('Planilla_General_29-11-2012_10_'!I2420,"AAAAAH76/6w=")</f>
        <v>#VALUE!</v>
      </c>
      <c r="FR161" t="e">
        <f>AND('Planilla_General_29-11-2012_10_'!J2420,"AAAAAH76/60=")</f>
        <v>#VALUE!</v>
      </c>
      <c r="FS161" t="e">
        <f>AND('Planilla_General_29-11-2012_10_'!K2420,"AAAAAH76/64=")</f>
        <v>#VALUE!</v>
      </c>
      <c r="FT161" t="e">
        <f>AND('Planilla_General_29-11-2012_10_'!L2420,"AAAAAH76/68=")</f>
        <v>#VALUE!</v>
      </c>
      <c r="FU161" t="e">
        <f>AND('Planilla_General_29-11-2012_10_'!M2420,"AAAAAH76/7A=")</f>
        <v>#VALUE!</v>
      </c>
      <c r="FV161" t="e">
        <f>AND('Planilla_General_29-11-2012_10_'!N2420,"AAAAAH76/7E=")</f>
        <v>#VALUE!</v>
      </c>
      <c r="FW161" t="e">
        <f>AND('Planilla_General_29-11-2012_10_'!O2420,"AAAAAH76/7I=")</f>
        <v>#VALUE!</v>
      </c>
      <c r="FX161" t="e">
        <f>AND('Planilla_General_29-11-2012_10_'!P2420,"AAAAAH76/7M=")</f>
        <v>#VALUE!</v>
      </c>
      <c r="FY161">
        <f>IF('Planilla_General_29-11-2012_10_'!2421:2421,"AAAAAH76/7Q=",0)</f>
        <v>0</v>
      </c>
      <c r="FZ161" t="e">
        <f>AND('Planilla_General_29-11-2012_10_'!A2421,"AAAAAH76/7U=")</f>
        <v>#VALUE!</v>
      </c>
      <c r="GA161" t="e">
        <f>AND('Planilla_General_29-11-2012_10_'!B2421,"AAAAAH76/7Y=")</f>
        <v>#VALUE!</v>
      </c>
      <c r="GB161" t="e">
        <f>AND('Planilla_General_29-11-2012_10_'!C2421,"AAAAAH76/7c=")</f>
        <v>#VALUE!</v>
      </c>
      <c r="GC161" t="e">
        <f>AND('Planilla_General_29-11-2012_10_'!D2421,"AAAAAH76/7g=")</f>
        <v>#VALUE!</v>
      </c>
      <c r="GD161" t="e">
        <f>AND('Planilla_General_29-11-2012_10_'!E2421,"AAAAAH76/7k=")</f>
        <v>#VALUE!</v>
      </c>
      <c r="GE161" t="e">
        <f>AND('Planilla_General_29-11-2012_10_'!F2421,"AAAAAH76/7o=")</f>
        <v>#VALUE!</v>
      </c>
      <c r="GF161" t="e">
        <f>AND('Planilla_General_29-11-2012_10_'!G2421,"AAAAAH76/7s=")</f>
        <v>#VALUE!</v>
      </c>
      <c r="GG161" t="e">
        <f>AND('Planilla_General_29-11-2012_10_'!H2421,"AAAAAH76/7w=")</f>
        <v>#VALUE!</v>
      </c>
      <c r="GH161" t="e">
        <f>AND('Planilla_General_29-11-2012_10_'!I2421,"AAAAAH76/70=")</f>
        <v>#VALUE!</v>
      </c>
      <c r="GI161" t="e">
        <f>AND('Planilla_General_29-11-2012_10_'!J2421,"AAAAAH76/74=")</f>
        <v>#VALUE!</v>
      </c>
      <c r="GJ161" t="e">
        <f>AND('Planilla_General_29-11-2012_10_'!K2421,"AAAAAH76/78=")</f>
        <v>#VALUE!</v>
      </c>
      <c r="GK161" t="e">
        <f>AND('Planilla_General_29-11-2012_10_'!L2421,"AAAAAH76/8A=")</f>
        <v>#VALUE!</v>
      </c>
      <c r="GL161" t="e">
        <f>AND('Planilla_General_29-11-2012_10_'!M2421,"AAAAAH76/8E=")</f>
        <v>#VALUE!</v>
      </c>
      <c r="GM161" t="e">
        <f>AND('Planilla_General_29-11-2012_10_'!N2421,"AAAAAH76/8I=")</f>
        <v>#VALUE!</v>
      </c>
      <c r="GN161" t="e">
        <f>AND('Planilla_General_29-11-2012_10_'!O2421,"AAAAAH76/8M=")</f>
        <v>#VALUE!</v>
      </c>
      <c r="GO161" t="e">
        <f>AND('Planilla_General_29-11-2012_10_'!P2421,"AAAAAH76/8Q=")</f>
        <v>#VALUE!</v>
      </c>
      <c r="GP161">
        <f>IF('Planilla_General_29-11-2012_10_'!2422:2422,"AAAAAH76/8U=",0)</f>
        <v>0</v>
      </c>
      <c r="GQ161" t="e">
        <f>AND('Planilla_General_29-11-2012_10_'!A2422,"AAAAAH76/8Y=")</f>
        <v>#VALUE!</v>
      </c>
      <c r="GR161" t="e">
        <f>AND('Planilla_General_29-11-2012_10_'!B2422,"AAAAAH76/8c=")</f>
        <v>#VALUE!</v>
      </c>
      <c r="GS161" t="e">
        <f>AND('Planilla_General_29-11-2012_10_'!C2422,"AAAAAH76/8g=")</f>
        <v>#VALUE!</v>
      </c>
      <c r="GT161" t="e">
        <f>AND('Planilla_General_29-11-2012_10_'!D2422,"AAAAAH76/8k=")</f>
        <v>#VALUE!</v>
      </c>
      <c r="GU161" t="e">
        <f>AND('Planilla_General_29-11-2012_10_'!E2422,"AAAAAH76/8o=")</f>
        <v>#VALUE!</v>
      </c>
      <c r="GV161" t="e">
        <f>AND('Planilla_General_29-11-2012_10_'!F2422,"AAAAAH76/8s=")</f>
        <v>#VALUE!</v>
      </c>
      <c r="GW161" t="e">
        <f>AND('Planilla_General_29-11-2012_10_'!G2422,"AAAAAH76/8w=")</f>
        <v>#VALUE!</v>
      </c>
      <c r="GX161" t="e">
        <f>AND('Planilla_General_29-11-2012_10_'!H2422,"AAAAAH76/80=")</f>
        <v>#VALUE!</v>
      </c>
      <c r="GY161" t="e">
        <f>AND('Planilla_General_29-11-2012_10_'!I2422,"AAAAAH76/84=")</f>
        <v>#VALUE!</v>
      </c>
      <c r="GZ161" t="e">
        <f>AND('Planilla_General_29-11-2012_10_'!J2422,"AAAAAH76/88=")</f>
        <v>#VALUE!</v>
      </c>
      <c r="HA161" t="e">
        <f>AND('Planilla_General_29-11-2012_10_'!K2422,"AAAAAH76/9A=")</f>
        <v>#VALUE!</v>
      </c>
      <c r="HB161" t="e">
        <f>AND('Planilla_General_29-11-2012_10_'!L2422,"AAAAAH76/9E=")</f>
        <v>#VALUE!</v>
      </c>
      <c r="HC161" t="e">
        <f>AND('Planilla_General_29-11-2012_10_'!M2422,"AAAAAH76/9I=")</f>
        <v>#VALUE!</v>
      </c>
      <c r="HD161" t="e">
        <f>AND('Planilla_General_29-11-2012_10_'!N2422,"AAAAAH76/9M=")</f>
        <v>#VALUE!</v>
      </c>
      <c r="HE161" t="e">
        <f>AND('Planilla_General_29-11-2012_10_'!O2422,"AAAAAH76/9Q=")</f>
        <v>#VALUE!</v>
      </c>
      <c r="HF161" t="e">
        <f>AND('Planilla_General_29-11-2012_10_'!P2422,"AAAAAH76/9U=")</f>
        <v>#VALUE!</v>
      </c>
      <c r="HG161">
        <f>IF('Planilla_General_29-11-2012_10_'!2423:2423,"AAAAAH76/9Y=",0)</f>
        <v>0</v>
      </c>
      <c r="HH161" t="e">
        <f>AND('Planilla_General_29-11-2012_10_'!A2423,"AAAAAH76/9c=")</f>
        <v>#VALUE!</v>
      </c>
      <c r="HI161" t="e">
        <f>AND('Planilla_General_29-11-2012_10_'!B2423,"AAAAAH76/9g=")</f>
        <v>#VALUE!</v>
      </c>
      <c r="HJ161" t="e">
        <f>AND('Planilla_General_29-11-2012_10_'!C2423,"AAAAAH76/9k=")</f>
        <v>#VALUE!</v>
      </c>
      <c r="HK161" t="e">
        <f>AND('Planilla_General_29-11-2012_10_'!D2423,"AAAAAH76/9o=")</f>
        <v>#VALUE!</v>
      </c>
      <c r="HL161" t="e">
        <f>AND('Planilla_General_29-11-2012_10_'!E2423,"AAAAAH76/9s=")</f>
        <v>#VALUE!</v>
      </c>
      <c r="HM161" t="e">
        <f>AND('Planilla_General_29-11-2012_10_'!F2423,"AAAAAH76/9w=")</f>
        <v>#VALUE!</v>
      </c>
      <c r="HN161" t="e">
        <f>AND('Planilla_General_29-11-2012_10_'!G2423,"AAAAAH76/90=")</f>
        <v>#VALUE!</v>
      </c>
      <c r="HO161" t="e">
        <f>AND('Planilla_General_29-11-2012_10_'!H2423,"AAAAAH76/94=")</f>
        <v>#VALUE!</v>
      </c>
      <c r="HP161" t="e">
        <f>AND('Planilla_General_29-11-2012_10_'!I2423,"AAAAAH76/98=")</f>
        <v>#VALUE!</v>
      </c>
      <c r="HQ161" t="e">
        <f>AND('Planilla_General_29-11-2012_10_'!J2423,"AAAAAH76/+A=")</f>
        <v>#VALUE!</v>
      </c>
      <c r="HR161" t="e">
        <f>AND('Planilla_General_29-11-2012_10_'!K2423,"AAAAAH76/+E=")</f>
        <v>#VALUE!</v>
      </c>
      <c r="HS161" t="e">
        <f>AND('Planilla_General_29-11-2012_10_'!L2423,"AAAAAH76/+I=")</f>
        <v>#VALUE!</v>
      </c>
      <c r="HT161" t="e">
        <f>AND('Planilla_General_29-11-2012_10_'!M2423,"AAAAAH76/+M=")</f>
        <v>#VALUE!</v>
      </c>
      <c r="HU161" t="e">
        <f>AND('Planilla_General_29-11-2012_10_'!N2423,"AAAAAH76/+Q=")</f>
        <v>#VALUE!</v>
      </c>
      <c r="HV161" t="e">
        <f>AND('Planilla_General_29-11-2012_10_'!O2423,"AAAAAH76/+U=")</f>
        <v>#VALUE!</v>
      </c>
      <c r="HW161" t="e">
        <f>AND('Planilla_General_29-11-2012_10_'!P2423,"AAAAAH76/+Y=")</f>
        <v>#VALUE!</v>
      </c>
      <c r="HX161">
        <f>IF('Planilla_General_29-11-2012_10_'!2424:2424,"AAAAAH76/+c=",0)</f>
        <v>0</v>
      </c>
      <c r="HY161" t="e">
        <f>AND('Planilla_General_29-11-2012_10_'!A2424,"AAAAAH76/+g=")</f>
        <v>#VALUE!</v>
      </c>
      <c r="HZ161" t="e">
        <f>AND('Planilla_General_29-11-2012_10_'!B2424,"AAAAAH76/+k=")</f>
        <v>#VALUE!</v>
      </c>
      <c r="IA161" t="e">
        <f>AND('Planilla_General_29-11-2012_10_'!C2424,"AAAAAH76/+o=")</f>
        <v>#VALUE!</v>
      </c>
      <c r="IB161" t="e">
        <f>AND('Planilla_General_29-11-2012_10_'!D2424,"AAAAAH76/+s=")</f>
        <v>#VALUE!</v>
      </c>
      <c r="IC161" t="e">
        <f>AND('Planilla_General_29-11-2012_10_'!E2424,"AAAAAH76/+w=")</f>
        <v>#VALUE!</v>
      </c>
      <c r="ID161" t="e">
        <f>AND('Planilla_General_29-11-2012_10_'!F2424,"AAAAAH76/+0=")</f>
        <v>#VALUE!</v>
      </c>
      <c r="IE161" t="e">
        <f>AND('Planilla_General_29-11-2012_10_'!G2424,"AAAAAH76/+4=")</f>
        <v>#VALUE!</v>
      </c>
      <c r="IF161" t="e">
        <f>AND('Planilla_General_29-11-2012_10_'!H2424,"AAAAAH76/+8=")</f>
        <v>#VALUE!</v>
      </c>
      <c r="IG161" t="e">
        <f>AND('Planilla_General_29-11-2012_10_'!I2424,"AAAAAH76//A=")</f>
        <v>#VALUE!</v>
      </c>
      <c r="IH161" t="e">
        <f>AND('Planilla_General_29-11-2012_10_'!J2424,"AAAAAH76//E=")</f>
        <v>#VALUE!</v>
      </c>
      <c r="II161" t="e">
        <f>AND('Planilla_General_29-11-2012_10_'!K2424,"AAAAAH76//I=")</f>
        <v>#VALUE!</v>
      </c>
      <c r="IJ161" t="e">
        <f>AND('Planilla_General_29-11-2012_10_'!L2424,"AAAAAH76//M=")</f>
        <v>#VALUE!</v>
      </c>
      <c r="IK161" t="e">
        <f>AND('Planilla_General_29-11-2012_10_'!M2424,"AAAAAH76//Q=")</f>
        <v>#VALUE!</v>
      </c>
      <c r="IL161" t="e">
        <f>AND('Planilla_General_29-11-2012_10_'!N2424,"AAAAAH76//U=")</f>
        <v>#VALUE!</v>
      </c>
      <c r="IM161" t="e">
        <f>AND('Planilla_General_29-11-2012_10_'!O2424,"AAAAAH76//Y=")</f>
        <v>#VALUE!</v>
      </c>
      <c r="IN161" t="e">
        <f>AND('Planilla_General_29-11-2012_10_'!P2424,"AAAAAH76//c=")</f>
        <v>#VALUE!</v>
      </c>
      <c r="IO161">
        <f>IF('Planilla_General_29-11-2012_10_'!2425:2425,"AAAAAH76//g=",0)</f>
        <v>0</v>
      </c>
      <c r="IP161" t="e">
        <f>AND('Planilla_General_29-11-2012_10_'!A2425,"AAAAAH76//k=")</f>
        <v>#VALUE!</v>
      </c>
      <c r="IQ161" t="e">
        <f>AND('Planilla_General_29-11-2012_10_'!B2425,"AAAAAH76//o=")</f>
        <v>#VALUE!</v>
      </c>
      <c r="IR161" t="e">
        <f>AND('Planilla_General_29-11-2012_10_'!C2425,"AAAAAH76//s=")</f>
        <v>#VALUE!</v>
      </c>
      <c r="IS161" t="e">
        <f>AND('Planilla_General_29-11-2012_10_'!D2425,"AAAAAH76//w=")</f>
        <v>#VALUE!</v>
      </c>
      <c r="IT161" t="e">
        <f>AND('Planilla_General_29-11-2012_10_'!E2425,"AAAAAH76//0=")</f>
        <v>#VALUE!</v>
      </c>
      <c r="IU161" t="e">
        <f>AND('Planilla_General_29-11-2012_10_'!F2425,"AAAAAH76//4=")</f>
        <v>#VALUE!</v>
      </c>
      <c r="IV161" t="e">
        <f>AND('Planilla_General_29-11-2012_10_'!G2425,"AAAAAH76//8=")</f>
        <v>#VALUE!</v>
      </c>
    </row>
    <row r="162" spans="1:256" x14ac:dyDescent="0.25">
      <c r="A162" t="e">
        <f>AND('Planilla_General_29-11-2012_10_'!H2425,"AAAAAFxp3wA=")</f>
        <v>#VALUE!</v>
      </c>
      <c r="B162" t="e">
        <f>AND('Planilla_General_29-11-2012_10_'!I2425,"AAAAAFxp3wE=")</f>
        <v>#VALUE!</v>
      </c>
      <c r="C162" t="e">
        <f>AND('Planilla_General_29-11-2012_10_'!J2425,"AAAAAFxp3wI=")</f>
        <v>#VALUE!</v>
      </c>
      <c r="D162" t="e">
        <f>AND('Planilla_General_29-11-2012_10_'!K2425,"AAAAAFxp3wM=")</f>
        <v>#VALUE!</v>
      </c>
      <c r="E162" t="e">
        <f>AND('Planilla_General_29-11-2012_10_'!L2425,"AAAAAFxp3wQ=")</f>
        <v>#VALUE!</v>
      </c>
      <c r="F162" t="e">
        <f>AND('Planilla_General_29-11-2012_10_'!M2425,"AAAAAFxp3wU=")</f>
        <v>#VALUE!</v>
      </c>
      <c r="G162" t="e">
        <f>AND('Planilla_General_29-11-2012_10_'!N2425,"AAAAAFxp3wY=")</f>
        <v>#VALUE!</v>
      </c>
      <c r="H162" t="e">
        <f>AND('Planilla_General_29-11-2012_10_'!O2425,"AAAAAFxp3wc=")</f>
        <v>#VALUE!</v>
      </c>
      <c r="I162" t="e">
        <f>AND('Planilla_General_29-11-2012_10_'!P2425,"AAAAAFxp3wg=")</f>
        <v>#VALUE!</v>
      </c>
      <c r="J162" t="e">
        <f>IF('Planilla_General_29-11-2012_10_'!2426:2426,"AAAAAFxp3wk=",0)</f>
        <v>#VALUE!</v>
      </c>
      <c r="K162" t="e">
        <f>AND('Planilla_General_29-11-2012_10_'!A2426,"AAAAAFxp3wo=")</f>
        <v>#VALUE!</v>
      </c>
      <c r="L162" t="e">
        <f>AND('Planilla_General_29-11-2012_10_'!B2426,"AAAAAFxp3ws=")</f>
        <v>#VALUE!</v>
      </c>
      <c r="M162" t="e">
        <f>AND('Planilla_General_29-11-2012_10_'!C2426,"AAAAAFxp3ww=")</f>
        <v>#VALUE!</v>
      </c>
      <c r="N162" t="e">
        <f>AND('Planilla_General_29-11-2012_10_'!D2426,"AAAAAFxp3w0=")</f>
        <v>#VALUE!</v>
      </c>
      <c r="O162" t="e">
        <f>AND('Planilla_General_29-11-2012_10_'!E2426,"AAAAAFxp3w4=")</f>
        <v>#VALUE!</v>
      </c>
      <c r="P162" t="e">
        <f>AND('Planilla_General_29-11-2012_10_'!F2426,"AAAAAFxp3w8=")</f>
        <v>#VALUE!</v>
      </c>
      <c r="Q162" t="e">
        <f>AND('Planilla_General_29-11-2012_10_'!G2426,"AAAAAFxp3xA=")</f>
        <v>#VALUE!</v>
      </c>
      <c r="R162" t="e">
        <f>AND('Planilla_General_29-11-2012_10_'!H2426,"AAAAAFxp3xE=")</f>
        <v>#VALUE!</v>
      </c>
      <c r="S162" t="e">
        <f>AND('Planilla_General_29-11-2012_10_'!I2426,"AAAAAFxp3xI=")</f>
        <v>#VALUE!</v>
      </c>
      <c r="T162" t="e">
        <f>AND('Planilla_General_29-11-2012_10_'!J2426,"AAAAAFxp3xM=")</f>
        <v>#VALUE!</v>
      </c>
      <c r="U162" t="e">
        <f>AND('Planilla_General_29-11-2012_10_'!K2426,"AAAAAFxp3xQ=")</f>
        <v>#VALUE!</v>
      </c>
      <c r="V162" t="e">
        <f>AND('Planilla_General_29-11-2012_10_'!L2426,"AAAAAFxp3xU=")</f>
        <v>#VALUE!</v>
      </c>
      <c r="W162" t="e">
        <f>AND('Planilla_General_29-11-2012_10_'!M2426,"AAAAAFxp3xY=")</f>
        <v>#VALUE!</v>
      </c>
      <c r="X162" t="e">
        <f>AND('Planilla_General_29-11-2012_10_'!N2426,"AAAAAFxp3xc=")</f>
        <v>#VALUE!</v>
      </c>
      <c r="Y162" t="e">
        <f>AND('Planilla_General_29-11-2012_10_'!O2426,"AAAAAFxp3xg=")</f>
        <v>#VALUE!</v>
      </c>
      <c r="Z162" t="e">
        <f>AND('Planilla_General_29-11-2012_10_'!P2426,"AAAAAFxp3xk=")</f>
        <v>#VALUE!</v>
      </c>
      <c r="AA162">
        <f>IF('Planilla_General_29-11-2012_10_'!2427:2427,"AAAAAFxp3xo=",0)</f>
        <v>0</v>
      </c>
      <c r="AB162" t="e">
        <f>AND('Planilla_General_29-11-2012_10_'!A2427,"AAAAAFxp3xs=")</f>
        <v>#VALUE!</v>
      </c>
      <c r="AC162" t="e">
        <f>AND('Planilla_General_29-11-2012_10_'!B2427,"AAAAAFxp3xw=")</f>
        <v>#VALUE!</v>
      </c>
      <c r="AD162" t="e">
        <f>AND('Planilla_General_29-11-2012_10_'!C2427,"AAAAAFxp3x0=")</f>
        <v>#VALUE!</v>
      </c>
      <c r="AE162" t="e">
        <f>AND('Planilla_General_29-11-2012_10_'!D2427,"AAAAAFxp3x4=")</f>
        <v>#VALUE!</v>
      </c>
      <c r="AF162" t="e">
        <f>AND('Planilla_General_29-11-2012_10_'!E2427,"AAAAAFxp3x8=")</f>
        <v>#VALUE!</v>
      </c>
      <c r="AG162" t="e">
        <f>AND('Planilla_General_29-11-2012_10_'!F2427,"AAAAAFxp3yA=")</f>
        <v>#VALUE!</v>
      </c>
      <c r="AH162" t="e">
        <f>AND('Planilla_General_29-11-2012_10_'!G2427,"AAAAAFxp3yE=")</f>
        <v>#VALUE!</v>
      </c>
      <c r="AI162" t="e">
        <f>AND('Planilla_General_29-11-2012_10_'!H2427,"AAAAAFxp3yI=")</f>
        <v>#VALUE!</v>
      </c>
      <c r="AJ162" t="e">
        <f>AND('Planilla_General_29-11-2012_10_'!I2427,"AAAAAFxp3yM=")</f>
        <v>#VALUE!</v>
      </c>
      <c r="AK162" t="e">
        <f>AND('Planilla_General_29-11-2012_10_'!J2427,"AAAAAFxp3yQ=")</f>
        <v>#VALUE!</v>
      </c>
      <c r="AL162" t="e">
        <f>AND('Planilla_General_29-11-2012_10_'!K2427,"AAAAAFxp3yU=")</f>
        <v>#VALUE!</v>
      </c>
      <c r="AM162" t="e">
        <f>AND('Planilla_General_29-11-2012_10_'!L2427,"AAAAAFxp3yY=")</f>
        <v>#VALUE!</v>
      </c>
      <c r="AN162" t="e">
        <f>AND('Planilla_General_29-11-2012_10_'!M2427,"AAAAAFxp3yc=")</f>
        <v>#VALUE!</v>
      </c>
      <c r="AO162" t="e">
        <f>AND('Planilla_General_29-11-2012_10_'!N2427,"AAAAAFxp3yg=")</f>
        <v>#VALUE!</v>
      </c>
      <c r="AP162" t="e">
        <f>AND('Planilla_General_29-11-2012_10_'!O2427,"AAAAAFxp3yk=")</f>
        <v>#VALUE!</v>
      </c>
      <c r="AQ162" t="e">
        <f>AND('Planilla_General_29-11-2012_10_'!P2427,"AAAAAFxp3yo=")</f>
        <v>#VALUE!</v>
      </c>
      <c r="AR162">
        <f>IF('Planilla_General_29-11-2012_10_'!2428:2428,"AAAAAFxp3ys=",0)</f>
        <v>0</v>
      </c>
      <c r="AS162" t="e">
        <f>AND('Planilla_General_29-11-2012_10_'!A2428,"AAAAAFxp3yw=")</f>
        <v>#VALUE!</v>
      </c>
      <c r="AT162" t="e">
        <f>AND('Planilla_General_29-11-2012_10_'!B2428,"AAAAAFxp3y0=")</f>
        <v>#VALUE!</v>
      </c>
      <c r="AU162" t="e">
        <f>AND('Planilla_General_29-11-2012_10_'!C2428,"AAAAAFxp3y4=")</f>
        <v>#VALUE!</v>
      </c>
      <c r="AV162" t="e">
        <f>AND('Planilla_General_29-11-2012_10_'!D2428,"AAAAAFxp3y8=")</f>
        <v>#VALUE!</v>
      </c>
      <c r="AW162" t="e">
        <f>AND('Planilla_General_29-11-2012_10_'!E2428,"AAAAAFxp3zA=")</f>
        <v>#VALUE!</v>
      </c>
      <c r="AX162" t="e">
        <f>AND('Planilla_General_29-11-2012_10_'!F2428,"AAAAAFxp3zE=")</f>
        <v>#VALUE!</v>
      </c>
      <c r="AY162" t="e">
        <f>AND('Planilla_General_29-11-2012_10_'!G2428,"AAAAAFxp3zI=")</f>
        <v>#VALUE!</v>
      </c>
      <c r="AZ162" t="e">
        <f>AND('Planilla_General_29-11-2012_10_'!H2428,"AAAAAFxp3zM=")</f>
        <v>#VALUE!</v>
      </c>
      <c r="BA162" t="e">
        <f>AND('Planilla_General_29-11-2012_10_'!I2428,"AAAAAFxp3zQ=")</f>
        <v>#VALUE!</v>
      </c>
      <c r="BB162" t="e">
        <f>AND('Planilla_General_29-11-2012_10_'!J2428,"AAAAAFxp3zU=")</f>
        <v>#VALUE!</v>
      </c>
      <c r="BC162" t="e">
        <f>AND('Planilla_General_29-11-2012_10_'!K2428,"AAAAAFxp3zY=")</f>
        <v>#VALUE!</v>
      </c>
      <c r="BD162" t="e">
        <f>AND('Planilla_General_29-11-2012_10_'!L2428,"AAAAAFxp3zc=")</f>
        <v>#VALUE!</v>
      </c>
      <c r="BE162" t="e">
        <f>AND('Planilla_General_29-11-2012_10_'!M2428,"AAAAAFxp3zg=")</f>
        <v>#VALUE!</v>
      </c>
      <c r="BF162" t="e">
        <f>AND('Planilla_General_29-11-2012_10_'!N2428,"AAAAAFxp3zk=")</f>
        <v>#VALUE!</v>
      </c>
      <c r="BG162" t="e">
        <f>AND('Planilla_General_29-11-2012_10_'!O2428,"AAAAAFxp3zo=")</f>
        <v>#VALUE!</v>
      </c>
      <c r="BH162" t="e">
        <f>AND('Planilla_General_29-11-2012_10_'!P2428,"AAAAAFxp3zs=")</f>
        <v>#VALUE!</v>
      </c>
      <c r="BI162">
        <f>IF('Planilla_General_29-11-2012_10_'!2429:2429,"AAAAAFxp3zw=",0)</f>
        <v>0</v>
      </c>
      <c r="BJ162" t="e">
        <f>AND('Planilla_General_29-11-2012_10_'!A2429,"AAAAAFxp3z0=")</f>
        <v>#VALUE!</v>
      </c>
      <c r="BK162" t="e">
        <f>AND('Planilla_General_29-11-2012_10_'!B2429,"AAAAAFxp3z4=")</f>
        <v>#VALUE!</v>
      </c>
      <c r="BL162" t="e">
        <f>AND('Planilla_General_29-11-2012_10_'!C2429,"AAAAAFxp3z8=")</f>
        <v>#VALUE!</v>
      </c>
      <c r="BM162" t="e">
        <f>AND('Planilla_General_29-11-2012_10_'!D2429,"AAAAAFxp30A=")</f>
        <v>#VALUE!</v>
      </c>
      <c r="BN162" t="e">
        <f>AND('Planilla_General_29-11-2012_10_'!E2429,"AAAAAFxp30E=")</f>
        <v>#VALUE!</v>
      </c>
      <c r="BO162" t="e">
        <f>AND('Planilla_General_29-11-2012_10_'!F2429,"AAAAAFxp30I=")</f>
        <v>#VALUE!</v>
      </c>
      <c r="BP162" t="e">
        <f>AND('Planilla_General_29-11-2012_10_'!G2429,"AAAAAFxp30M=")</f>
        <v>#VALUE!</v>
      </c>
      <c r="BQ162" t="e">
        <f>AND('Planilla_General_29-11-2012_10_'!H2429,"AAAAAFxp30Q=")</f>
        <v>#VALUE!</v>
      </c>
      <c r="BR162" t="e">
        <f>AND('Planilla_General_29-11-2012_10_'!I2429,"AAAAAFxp30U=")</f>
        <v>#VALUE!</v>
      </c>
      <c r="BS162" t="e">
        <f>AND('Planilla_General_29-11-2012_10_'!J2429,"AAAAAFxp30Y=")</f>
        <v>#VALUE!</v>
      </c>
      <c r="BT162" t="e">
        <f>AND('Planilla_General_29-11-2012_10_'!K2429,"AAAAAFxp30c=")</f>
        <v>#VALUE!</v>
      </c>
      <c r="BU162" t="e">
        <f>AND('Planilla_General_29-11-2012_10_'!L2429,"AAAAAFxp30g=")</f>
        <v>#VALUE!</v>
      </c>
      <c r="BV162" t="e">
        <f>AND('Planilla_General_29-11-2012_10_'!M2429,"AAAAAFxp30k=")</f>
        <v>#VALUE!</v>
      </c>
      <c r="BW162" t="e">
        <f>AND('Planilla_General_29-11-2012_10_'!N2429,"AAAAAFxp30o=")</f>
        <v>#VALUE!</v>
      </c>
      <c r="BX162" t="e">
        <f>AND('Planilla_General_29-11-2012_10_'!O2429,"AAAAAFxp30s=")</f>
        <v>#VALUE!</v>
      </c>
      <c r="BY162" t="e">
        <f>AND('Planilla_General_29-11-2012_10_'!P2429,"AAAAAFxp30w=")</f>
        <v>#VALUE!</v>
      </c>
      <c r="BZ162">
        <f>IF('Planilla_General_29-11-2012_10_'!2430:2430,"AAAAAFxp300=",0)</f>
        <v>0</v>
      </c>
      <c r="CA162" t="e">
        <f>AND('Planilla_General_29-11-2012_10_'!A2430,"AAAAAFxp304=")</f>
        <v>#VALUE!</v>
      </c>
      <c r="CB162" t="e">
        <f>AND('Planilla_General_29-11-2012_10_'!B2430,"AAAAAFxp308=")</f>
        <v>#VALUE!</v>
      </c>
      <c r="CC162" t="e">
        <f>AND('Planilla_General_29-11-2012_10_'!C2430,"AAAAAFxp31A=")</f>
        <v>#VALUE!</v>
      </c>
      <c r="CD162" t="e">
        <f>AND('Planilla_General_29-11-2012_10_'!D2430,"AAAAAFxp31E=")</f>
        <v>#VALUE!</v>
      </c>
      <c r="CE162" t="e">
        <f>AND('Planilla_General_29-11-2012_10_'!E2430,"AAAAAFxp31I=")</f>
        <v>#VALUE!</v>
      </c>
      <c r="CF162" t="e">
        <f>AND('Planilla_General_29-11-2012_10_'!F2430,"AAAAAFxp31M=")</f>
        <v>#VALUE!</v>
      </c>
      <c r="CG162" t="e">
        <f>AND('Planilla_General_29-11-2012_10_'!G2430,"AAAAAFxp31Q=")</f>
        <v>#VALUE!</v>
      </c>
      <c r="CH162" t="e">
        <f>AND('Planilla_General_29-11-2012_10_'!H2430,"AAAAAFxp31U=")</f>
        <v>#VALUE!</v>
      </c>
      <c r="CI162" t="e">
        <f>AND('Planilla_General_29-11-2012_10_'!I2430,"AAAAAFxp31Y=")</f>
        <v>#VALUE!</v>
      </c>
      <c r="CJ162" t="e">
        <f>AND('Planilla_General_29-11-2012_10_'!J2430,"AAAAAFxp31c=")</f>
        <v>#VALUE!</v>
      </c>
      <c r="CK162" t="e">
        <f>AND('Planilla_General_29-11-2012_10_'!K2430,"AAAAAFxp31g=")</f>
        <v>#VALUE!</v>
      </c>
      <c r="CL162" t="e">
        <f>AND('Planilla_General_29-11-2012_10_'!L2430,"AAAAAFxp31k=")</f>
        <v>#VALUE!</v>
      </c>
      <c r="CM162" t="e">
        <f>AND('Planilla_General_29-11-2012_10_'!M2430,"AAAAAFxp31o=")</f>
        <v>#VALUE!</v>
      </c>
      <c r="CN162" t="e">
        <f>AND('Planilla_General_29-11-2012_10_'!N2430,"AAAAAFxp31s=")</f>
        <v>#VALUE!</v>
      </c>
      <c r="CO162" t="e">
        <f>AND('Planilla_General_29-11-2012_10_'!O2430,"AAAAAFxp31w=")</f>
        <v>#VALUE!</v>
      </c>
      <c r="CP162" t="e">
        <f>AND('Planilla_General_29-11-2012_10_'!P2430,"AAAAAFxp310=")</f>
        <v>#VALUE!</v>
      </c>
      <c r="CQ162">
        <f>IF('Planilla_General_29-11-2012_10_'!2431:2431,"AAAAAFxp314=",0)</f>
        <v>0</v>
      </c>
      <c r="CR162" t="e">
        <f>AND('Planilla_General_29-11-2012_10_'!A2431,"AAAAAFxp318=")</f>
        <v>#VALUE!</v>
      </c>
      <c r="CS162" t="e">
        <f>AND('Planilla_General_29-11-2012_10_'!B2431,"AAAAAFxp32A=")</f>
        <v>#VALUE!</v>
      </c>
      <c r="CT162" t="e">
        <f>AND('Planilla_General_29-11-2012_10_'!C2431,"AAAAAFxp32E=")</f>
        <v>#VALUE!</v>
      </c>
      <c r="CU162" t="e">
        <f>AND('Planilla_General_29-11-2012_10_'!D2431,"AAAAAFxp32I=")</f>
        <v>#VALUE!</v>
      </c>
      <c r="CV162" t="e">
        <f>AND('Planilla_General_29-11-2012_10_'!E2431,"AAAAAFxp32M=")</f>
        <v>#VALUE!</v>
      </c>
      <c r="CW162" t="e">
        <f>AND('Planilla_General_29-11-2012_10_'!F2431,"AAAAAFxp32Q=")</f>
        <v>#VALUE!</v>
      </c>
      <c r="CX162" t="e">
        <f>AND('Planilla_General_29-11-2012_10_'!G2431,"AAAAAFxp32U=")</f>
        <v>#VALUE!</v>
      </c>
      <c r="CY162" t="e">
        <f>AND('Planilla_General_29-11-2012_10_'!H2431,"AAAAAFxp32Y=")</f>
        <v>#VALUE!</v>
      </c>
      <c r="CZ162" t="e">
        <f>AND('Planilla_General_29-11-2012_10_'!I2431,"AAAAAFxp32c=")</f>
        <v>#VALUE!</v>
      </c>
      <c r="DA162" t="e">
        <f>AND('Planilla_General_29-11-2012_10_'!J2431,"AAAAAFxp32g=")</f>
        <v>#VALUE!</v>
      </c>
      <c r="DB162" t="e">
        <f>AND('Planilla_General_29-11-2012_10_'!K2431,"AAAAAFxp32k=")</f>
        <v>#VALUE!</v>
      </c>
      <c r="DC162" t="e">
        <f>AND('Planilla_General_29-11-2012_10_'!L2431,"AAAAAFxp32o=")</f>
        <v>#VALUE!</v>
      </c>
      <c r="DD162" t="e">
        <f>AND('Planilla_General_29-11-2012_10_'!M2431,"AAAAAFxp32s=")</f>
        <v>#VALUE!</v>
      </c>
      <c r="DE162" t="e">
        <f>AND('Planilla_General_29-11-2012_10_'!N2431,"AAAAAFxp32w=")</f>
        <v>#VALUE!</v>
      </c>
      <c r="DF162" t="e">
        <f>AND('Planilla_General_29-11-2012_10_'!O2431,"AAAAAFxp320=")</f>
        <v>#VALUE!</v>
      </c>
      <c r="DG162" t="e">
        <f>AND('Planilla_General_29-11-2012_10_'!P2431,"AAAAAFxp324=")</f>
        <v>#VALUE!</v>
      </c>
      <c r="DH162">
        <f>IF('Planilla_General_29-11-2012_10_'!2432:2432,"AAAAAFxp328=",0)</f>
        <v>0</v>
      </c>
      <c r="DI162" t="e">
        <f>AND('Planilla_General_29-11-2012_10_'!A2432,"AAAAAFxp33A=")</f>
        <v>#VALUE!</v>
      </c>
      <c r="DJ162" t="e">
        <f>AND('Planilla_General_29-11-2012_10_'!B2432,"AAAAAFxp33E=")</f>
        <v>#VALUE!</v>
      </c>
      <c r="DK162" t="e">
        <f>AND('Planilla_General_29-11-2012_10_'!C2432,"AAAAAFxp33I=")</f>
        <v>#VALUE!</v>
      </c>
      <c r="DL162" t="e">
        <f>AND('Planilla_General_29-11-2012_10_'!D2432,"AAAAAFxp33M=")</f>
        <v>#VALUE!</v>
      </c>
      <c r="DM162" t="e">
        <f>AND('Planilla_General_29-11-2012_10_'!E2432,"AAAAAFxp33Q=")</f>
        <v>#VALUE!</v>
      </c>
      <c r="DN162" t="e">
        <f>AND('Planilla_General_29-11-2012_10_'!F2432,"AAAAAFxp33U=")</f>
        <v>#VALUE!</v>
      </c>
      <c r="DO162" t="e">
        <f>AND('Planilla_General_29-11-2012_10_'!G2432,"AAAAAFxp33Y=")</f>
        <v>#VALUE!</v>
      </c>
      <c r="DP162" t="e">
        <f>AND('Planilla_General_29-11-2012_10_'!H2432,"AAAAAFxp33c=")</f>
        <v>#VALUE!</v>
      </c>
      <c r="DQ162" t="e">
        <f>AND('Planilla_General_29-11-2012_10_'!I2432,"AAAAAFxp33g=")</f>
        <v>#VALUE!</v>
      </c>
      <c r="DR162" t="e">
        <f>AND('Planilla_General_29-11-2012_10_'!J2432,"AAAAAFxp33k=")</f>
        <v>#VALUE!</v>
      </c>
      <c r="DS162" t="e">
        <f>AND('Planilla_General_29-11-2012_10_'!K2432,"AAAAAFxp33o=")</f>
        <v>#VALUE!</v>
      </c>
      <c r="DT162" t="e">
        <f>AND('Planilla_General_29-11-2012_10_'!L2432,"AAAAAFxp33s=")</f>
        <v>#VALUE!</v>
      </c>
      <c r="DU162" t="e">
        <f>AND('Planilla_General_29-11-2012_10_'!M2432,"AAAAAFxp33w=")</f>
        <v>#VALUE!</v>
      </c>
      <c r="DV162" t="e">
        <f>AND('Planilla_General_29-11-2012_10_'!N2432,"AAAAAFxp330=")</f>
        <v>#VALUE!</v>
      </c>
      <c r="DW162" t="e">
        <f>AND('Planilla_General_29-11-2012_10_'!O2432,"AAAAAFxp334=")</f>
        <v>#VALUE!</v>
      </c>
      <c r="DX162" t="e">
        <f>AND('Planilla_General_29-11-2012_10_'!P2432,"AAAAAFxp338=")</f>
        <v>#VALUE!</v>
      </c>
      <c r="DY162">
        <f>IF('Planilla_General_29-11-2012_10_'!2433:2433,"AAAAAFxp34A=",0)</f>
        <v>0</v>
      </c>
      <c r="DZ162" t="e">
        <f>AND('Planilla_General_29-11-2012_10_'!A2433,"AAAAAFxp34E=")</f>
        <v>#VALUE!</v>
      </c>
      <c r="EA162" t="e">
        <f>AND('Planilla_General_29-11-2012_10_'!B2433,"AAAAAFxp34I=")</f>
        <v>#VALUE!</v>
      </c>
      <c r="EB162" t="e">
        <f>AND('Planilla_General_29-11-2012_10_'!C2433,"AAAAAFxp34M=")</f>
        <v>#VALUE!</v>
      </c>
      <c r="EC162" t="e">
        <f>AND('Planilla_General_29-11-2012_10_'!D2433,"AAAAAFxp34Q=")</f>
        <v>#VALUE!</v>
      </c>
      <c r="ED162" t="e">
        <f>AND('Planilla_General_29-11-2012_10_'!E2433,"AAAAAFxp34U=")</f>
        <v>#VALUE!</v>
      </c>
      <c r="EE162" t="e">
        <f>AND('Planilla_General_29-11-2012_10_'!F2433,"AAAAAFxp34Y=")</f>
        <v>#VALUE!</v>
      </c>
      <c r="EF162" t="e">
        <f>AND('Planilla_General_29-11-2012_10_'!G2433,"AAAAAFxp34c=")</f>
        <v>#VALUE!</v>
      </c>
      <c r="EG162" t="e">
        <f>AND('Planilla_General_29-11-2012_10_'!H2433,"AAAAAFxp34g=")</f>
        <v>#VALUE!</v>
      </c>
      <c r="EH162" t="e">
        <f>AND('Planilla_General_29-11-2012_10_'!I2433,"AAAAAFxp34k=")</f>
        <v>#VALUE!</v>
      </c>
      <c r="EI162" t="e">
        <f>AND('Planilla_General_29-11-2012_10_'!J2433,"AAAAAFxp34o=")</f>
        <v>#VALUE!</v>
      </c>
      <c r="EJ162" t="e">
        <f>AND('Planilla_General_29-11-2012_10_'!K2433,"AAAAAFxp34s=")</f>
        <v>#VALUE!</v>
      </c>
      <c r="EK162" t="e">
        <f>AND('Planilla_General_29-11-2012_10_'!L2433,"AAAAAFxp34w=")</f>
        <v>#VALUE!</v>
      </c>
      <c r="EL162" t="e">
        <f>AND('Planilla_General_29-11-2012_10_'!M2433,"AAAAAFxp340=")</f>
        <v>#VALUE!</v>
      </c>
      <c r="EM162" t="e">
        <f>AND('Planilla_General_29-11-2012_10_'!N2433,"AAAAAFxp344=")</f>
        <v>#VALUE!</v>
      </c>
      <c r="EN162" t="e">
        <f>AND('Planilla_General_29-11-2012_10_'!O2433,"AAAAAFxp348=")</f>
        <v>#VALUE!</v>
      </c>
      <c r="EO162" t="e">
        <f>AND('Planilla_General_29-11-2012_10_'!P2433,"AAAAAFxp35A=")</f>
        <v>#VALUE!</v>
      </c>
      <c r="EP162">
        <f>IF('Planilla_General_29-11-2012_10_'!2434:2434,"AAAAAFxp35E=",0)</f>
        <v>0</v>
      </c>
      <c r="EQ162" t="e">
        <f>AND('Planilla_General_29-11-2012_10_'!A2434,"AAAAAFxp35I=")</f>
        <v>#VALUE!</v>
      </c>
      <c r="ER162" t="e">
        <f>AND('Planilla_General_29-11-2012_10_'!B2434,"AAAAAFxp35M=")</f>
        <v>#VALUE!</v>
      </c>
      <c r="ES162" t="e">
        <f>AND('Planilla_General_29-11-2012_10_'!C2434,"AAAAAFxp35Q=")</f>
        <v>#VALUE!</v>
      </c>
      <c r="ET162" t="e">
        <f>AND('Planilla_General_29-11-2012_10_'!D2434,"AAAAAFxp35U=")</f>
        <v>#VALUE!</v>
      </c>
      <c r="EU162" t="e">
        <f>AND('Planilla_General_29-11-2012_10_'!E2434,"AAAAAFxp35Y=")</f>
        <v>#VALUE!</v>
      </c>
      <c r="EV162" t="e">
        <f>AND('Planilla_General_29-11-2012_10_'!F2434,"AAAAAFxp35c=")</f>
        <v>#VALUE!</v>
      </c>
      <c r="EW162" t="e">
        <f>AND('Planilla_General_29-11-2012_10_'!G2434,"AAAAAFxp35g=")</f>
        <v>#VALUE!</v>
      </c>
      <c r="EX162" t="e">
        <f>AND('Planilla_General_29-11-2012_10_'!H2434,"AAAAAFxp35k=")</f>
        <v>#VALUE!</v>
      </c>
      <c r="EY162" t="e">
        <f>AND('Planilla_General_29-11-2012_10_'!I2434,"AAAAAFxp35o=")</f>
        <v>#VALUE!</v>
      </c>
      <c r="EZ162" t="e">
        <f>AND('Planilla_General_29-11-2012_10_'!J2434,"AAAAAFxp35s=")</f>
        <v>#VALUE!</v>
      </c>
      <c r="FA162" t="e">
        <f>AND('Planilla_General_29-11-2012_10_'!K2434,"AAAAAFxp35w=")</f>
        <v>#VALUE!</v>
      </c>
      <c r="FB162" t="e">
        <f>AND('Planilla_General_29-11-2012_10_'!L2434,"AAAAAFxp350=")</f>
        <v>#VALUE!</v>
      </c>
      <c r="FC162" t="e">
        <f>AND('Planilla_General_29-11-2012_10_'!M2434,"AAAAAFxp354=")</f>
        <v>#VALUE!</v>
      </c>
      <c r="FD162" t="e">
        <f>AND('Planilla_General_29-11-2012_10_'!N2434,"AAAAAFxp358=")</f>
        <v>#VALUE!</v>
      </c>
      <c r="FE162" t="e">
        <f>AND('Planilla_General_29-11-2012_10_'!O2434,"AAAAAFxp36A=")</f>
        <v>#VALUE!</v>
      </c>
      <c r="FF162" t="e">
        <f>AND('Planilla_General_29-11-2012_10_'!P2434,"AAAAAFxp36E=")</f>
        <v>#VALUE!</v>
      </c>
      <c r="FG162">
        <f>IF('Planilla_General_29-11-2012_10_'!2435:2435,"AAAAAFxp36I=",0)</f>
        <v>0</v>
      </c>
      <c r="FH162" t="e">
        <f>AND('Planilla_General_29-11-2012_10_'!A2435,"AAAAAFxp36M=")</f>
        <v>#VALUE!</v>
      </c>
      <c r="FI162" t="e">
        <f>AND('Planilla_General_29-11-2012_10_'!B2435,"AAAAAFxp36Q=")</f>
        <v>#VALUE!</v>
      </c>
      <c r="FJ162" t="e">
        <f>AND('Planilla_General_29-11-2012_10_'!C2435,"AAAAAFxp36U=")</f>
        <v>#VALUE!</v>
      </c>
      <c r="FK162" t="e">
        <f>AND('Planilla_General_29-11-2012_10_'!D2435,"AAAAAFxp36Y=")</f>
        <v>#VALUE!</v>
      </c>
      <c r="FL162" t="e">
        <f>AND('Planilla_General_29-11-2012_10_'!E2435,"AAAAAFxp36c=")</f>
        <v>#VALUE!</v>
      </c>
      <c r="FM162" t="e">
        <f>AND('Planilla_General_29-11-2012_10_'!F2435,"AAAAAFxp36g=")</f>
        <v>#VALUE!</v>
      </c>
      <c r="FN162" t="e">
        <f>AND('Planilla_General_29-11-2012_10_'!G2435,"AAAAAFxp36k=")</f>
        <v>#VALUE!</v>
      </c>
      <c r="FO162" t="e">
        <f>AND('Planilla_General_29-11-2012_10_'!H2435,"AAAAAFxp36o=")</f>
        <v>#VALUE!</v>
      </c>
      <c r="FP162" t="e">
        <f>AND('Planilla_General_29-11-2012_10_'!I2435,"AAAAAFxp36s=")</f>
        <v>#VALUE!</v>
      </c>
      <c r="FQ162" t="e">
        <f>AND('Planilla_General_29-11-2012_10_'!J2435,"AAAAAFxp36w=")</f>
        <v>#VALUE!</v>
      </c>
      <c r="FR162" t="e">
        <f>AND('Planilla_General_29-11-2012_10_'!K2435,"AAAAAFxp360=")</f>
        <v>#VALUE!</v>
      </c>
      <c r="FS162" t="e">
        <f>AND('Planilla_General_29-11-2012_10_'!L2435,"AAAAAFxp364=")</f>
        <v>#VALUE!</v>
      </c>
      <c r="FT162" t="e">
        <f>AND('Planilla_General_29-11-2012_10_'!M2435,"AAAAAFxp368=")</f>
        <v>#VALUE!</v>
      </c>
      <c r="FU162" t="e">
        <f>AND('Planilla_General_29-11-2012_10_'!N2435,"AAAAAFxp37A=")</f>
        <v>#VALUE!</v>
      </c>
      <c r="FV162" t="e">
        <f>AND('Planilla_General_29-11-2012_10_'!O2435,"AAAAAFxp37E=")</f>
        <v>#VALUE!</v>
      </c>
      <c r="FW162" t="e">
        <f>AND('Planilla_General_29-11-2012_10_'!P2435,"AAAAAFxp37I=")</f>
        <v>#VALUE!</v>
      </c>
      <c r="FX162">
        <f>IF('Planilla_General_29-11-2012_10_'!2436:2436,"AAAAAFxp37M=",0)</f>
        <v>0</v>
      </c>
      <c r="FY162" t="e">
        <f>AND('Planilla_General_29-11-2012_10_'!A2436,"AAAAAFxp37Q=")</f>
        <v>#VALUE!</v>
      </c>
      <c r="FZ162" t="e">
        <f>AND('Planilla_General_29-11-2012_10_'!B2436,"AAAAAFxp37U=")</f>
        <v>#VALUE!</v>
      </c>
      <c r="GA162" t="e">
        <f>AND('Planilla_General_29-11-2012_10_'!C2436,"AAAAAFxp37Y=")</f>
        <v>#VALUE!</v>
      </c>
      <c r="GB162" t="e">
        <f>AND('Planilla_General_29-11-2012_10_'!D2436,"AAAAAFxp37c=")</f>
        <v>#VALUE!</v>
      </c>
      <c r="GC162" t="e">
        <f>AND('Planilla_General_29-11-2012_10_'!E2436,"AAAAAFxp37g=")</f>
        <v>#VALUE!</v>
      </c>
      <c r="GD162" t="e">
        <f>AND('Planilla_General_29-11-2012_10_'!F2436,"AAAAAFxp37k=")</f>
        <v>#VALUE!</v>
      </c>
      <c r="GE162" t="e">
        <f>AND('Planilla_General_29-11-2012_10_'!G2436,"AAAAAFxp37o=")</f>
        <v>#VALUE!</v>
      </c>
      <c r="GF162" t="e">
        <f>AND('Planilla_General_29-11-2012_10_'!H2436,"AAAAAFxp37s=")</f>
        <v>#VALUE!</v>
      </c>
      <c r="GG162" t="e">
        <f>AND('Planilla_General_29-11-2012_10_'!I2436,"AAAAAFxp37w=")</f>
        <v>#VALUE!</v>
      </c>
      <c r="GH162" t="e">
        <f>AND('Planilla_General_29-11-2012_10_'!J2436,"AAAAAFxp370=")</f>
        <v>#VALUE!</v>
      </c>
      <c r="GI162" t="e">
        <f>AND('Planilla_General_29-11-2012_10_'!K2436,"AAAAAFxp374=")</f>
        <v>#VALUE!</v>
      </c>
      <c r="GJ162" t="e">
        <f>AND('Planilla_General_29-11-2012_10_'!L2436,"AAAAAFxp378=")</f>
        <v>#VALUE!</v>
      </c>
      <c r="GK162" t="e">
        <f>AND('Planilla_General_29-11-2012_10_'!M2436,"AAAAAFxp38A=")</f>
        <v>#VALUE!</v>
      </c>
      <c r="GL162" t="e">
        <f>AND('Planilla_General_29-11-2012_10_'!N2436,"AAAAAFxp38E=")</f>
        <v>#VALUE!</v>
      </c>
      <c r="GM162" t="e">
        <f>AND('Planilla_General_29-11-2012_10_'!O2436,"AAAAAFxp38I=")</f>
        <v>#VALUE!</v>
      </c>
      <c r="GN162" t="e">
        <f>AND('Planilla_General_29-11-2012_10_'!P2436,"AAAAAFxp38M=")</f>
        <v>#VALUE!</v>
      </c>
      <c r="GO162">
        <f>IF('Planilla_General_29-11-2012_10_'!2437:2437,"AAAAAFxp38Q=",0)</f>
        <v>0</v>
      </c>
      <c r="GP162" t="e">
        <f>AND('Planilla_General_29-11-2012_10_'!A2437,"AAAAAFxp38U=")</f>
        <v>#VALUE!</v>
      </c>
      <c r="GQ162" t="e">
        <f>AND('Planilla_General_29-11-2012_10_'!B2437,"AAAAAFxp38Y=")</f>
        <v>#VALUE!</v>
      </c>
      <c r="GR162" t="e">
        <f>AND('Planilla_General_29-11-2012_10_'!C2437,"AAAAAFxp38c=")</f>
        <v>#VALUE!</v>
      </c>
      <c r="GS162" t="e">
        <f>AND('Planilla_General_29-11-2012_10_'!D2437,"AAAAAFxp38g=")</f>
        <v>#VALUE!</v>
      </c>
      <c r="GT162" t="e">
        <f>AND('Planilla_General_29-11-2012_10_'!E2437,"AAAAAFxp38k=")</f>
        <v>#VALUE!</v>
      </c>
      <c r="GU162" t="e">
        <f>AND('Planilla_General_29-11-2012_10_'!F2437,"AAAAAFxp38o=")</f>
        <v>#VALUE!</v>
      </c>
      <c r="GV162" t="e">
        <f>AND('Planilla_General_29-11-2012_10_'!G2437,"AAAAAFxp38s=")</f>
        <v>#VALUE!</v>
      </c>
      <c r="GW162" t="e">
        <f>AND('Planilla_General_29-11-2012_10_'!H2437,"AAAAAFxp38w=")</f>
        <v>#VALUE!</v>
      </c>
      <c r="GX162" t="e">
        <f>AND('Planilla_General_29-11-2012_10_'!I2437,"AAAAAFxp380=")</f>
        <v>#VALUE!</v>
      </c>
      <c r="GY162" t="e">
        <f>AND('Planilla_General_29-11-2012_10_'!J2437,"AAAAAFxp384=")</f>
        <v>#VALUE!</v>
      </c>
      <c r="GZ162" t="e">
        <f>AND('Planilla_General_29-11-2012_10_'!K2437,"AAAAAFxp388=")</f>
        <v>#VALUE!</v>
      </c>
      <c r="HA162" t="e">
        <f>AND('Planilla_General_29-11-2012_10_'!L2437,"AAAAAFxp39A=")</f>
        <v>#VALUE!</v>
      </c>
      <c r="HB162" t="e">
        <f>AND('Planilla_General_29-11-2012_10_'!M2437,"AAAAAFxp39E=")</f>
        <v>#VALUE!</v>
      </c>
      <c r="HC162" t="e">
        <f>AND('Planilla_General_29-11-2012_10_'!N2437,"AAAAAFxp39I=")</f>
        <v>#VALUE!</v>
      </c>
      <c r="HD162" t="e">
        <f>AND('Planilla_General_29-11-2012_10_'!O2437,"AAAAAFxp39M=")</f>
        <v>#VALUE!</v>
      </c>
      <c r="HE162" t="e">
        <f>AND('Planilla_General_29-11-2012_10_'!P2437,"AAAAAFxp39Q=")</f>
        <v>#VALUE!</v>
      </c>
      <c r="HF162">
        <f>IF('Planilla_General_29-11-2012_10_'!2438:2438,"AAAAAFxp39U=",0)</f>
        <v>0</v>
      </c>
      <c r="HG162" t="e">
        <f>AND('Planilla_General_29-11-2012_10_'!A2438,"AAAAAFxp39Y=")</f>
        <v>#VALUE!</v>
      </c>
      <c r="HH162" t="e">
        <f>AND('Planilla_General_29-11-2012_10_'!B2438,"AAAAAFxp39c=")</f>
        <v>#VALUE!</v>
      </c>
      <c r="HI162" t="e">
        <f>AND('Planilla_General_29-11-2012_10_'!C2438,"AAAAAFxp39g=")</f>
        <v>#VALUE!</v>
      </c>
      <c r="HJ162" t="e">
        <f>AND('Planilla_General_29-11-2012_10_'!D2438,"AAAAAFxp39k=")</f>
        <v>#VALUE!</v>
      </c>
      <c r="HK162" t="e">
        <f>AND('Planilla_General_29-11-2012_10_'!E2438,"AAAAAFxp39o=")</f>
        <v>#VALUE!</v>
      </c>
      <c r="HL162" t="e">
        <f>AND('Planilla_General_29-11-2012_10_'!F2438,"AAAAAFxp39s=")</f>
        <v>#VALUE!</v>
      </c>
      <c r="HM162" t="e">
        <f>AND('Planilla_General_29-11-2012_10_'!G2438,"AAAAAFxp39w=")</f>
        <v>#VALUE!</v>
      </c>
      <c r="HN162" t="e">
        <f>AND('Planilla_General_29-11-2012_10_'!H2438,"AAAAAFxp390=")</f>
        <v>#VALUE!</v>
      </c>
      <c r="HO162" t="e">
        <f>AND('Planilla_General_29-11-2012_10_'!I2438,"AAAAAFxp394=")</f>
        <v>#VALUE!</v>
      </c>
      <c r="HP162" t="e">
        <f>AND('Planilla_General_29-11-2012_10_'!J2438,"AAAAAFxp398=")</f>
        <v>#VALUE!</v>
      </c>
      <c r="HQ162" t="e">
        <f>AND('Planilla_General_29-11-2012_10_'!K2438,"AAAAAFxp3+A=")</f>
        <v>#VALUE!</v>
      </c>
      <c r="HR162" t="e">
        <f>AND('Planilla_General_29-11-2012_10_'!L2438,"AAAAAFxp3+E=")</f>
        <v>#VALUE!</v>
      </c>
      <c r="HS162" t="e">
        <f>AND('Planilla_General_29-11-2012_10_'!M2438,"AAAAAFxp3+I=")</f>
        <v>#VALUE!</v>
      </c>
      <c r="HT162" t="e">
        <f>AND('Planilla_General_29-11-2012_10_'!N2438,"AAAAAFxp3+M=")</f>
        <v>#VALUE!</v>
      </c>
      <c r="HU162" t="e">
        <f>AND('Planilla_General_29-11-2012_10_'!O2438,"AAAAAFxp3+Q=")</f>
        <v>#VALUE!</v>
      </c>
      <c r="HV162" t="e">
        <f>AND('Planilla_General_29-11-2012_10_'!P2438,"AAAAAFxp3+U=")</f>
        <v>#VALUE!</v>
      </c>
      <c r="HW162">
        <f>IF('Planilla_General_29-11-2012_10_'!2439:2439,"AAAAAFxp3+Y=",0)</f>
        <v>0</v>
      </c>
      <c r="HX162" t="e">
        <f>AND('Planilla_General_29-11-2012_10_'!A2439,"AAAAAFxp3+c=")</f>
        <v>#VALUE!</v>
      </c>
      <c r="HY162" t="e">
        <f>AND('Planilla_General_29-11-2012_10_'!B2439,"AAAAAFxp3+g=")</f>
        <v>#VALUE!</v>
      </c>
      <c r="HZ162" t="e">
        <f>AND('Planilla_General_29-11-2012_10_'!C2439,"AAAAAFxp3+k=")</f>
        <v>#VALUE!</v>
      </c>
      <c r="IA162" t="e">
        <f>AND('Planilla_General_29-11-2012_10_'!D2439,"AAAAAFxp3+o=")</f>
        <v>#VALUE!</v>
      </c>
      <c r="IB162" t="e">
        <f>AND('Planilla_General_29-11-2012_10_'!E2439,"AAAAAFxp3+s=")</f>
        <v>#VALUE!</v>
      </c>
      <c r="IC162" t="e">
        <f>AND('Planilla_General_29-11-2012_10_'!F2439,"AAAAAFxp3+w=")</f>
        <v>#VALUE!</v>
      </c>
      <c r="ID162" t="e">
        <f>AND('Planilla_General_29-11-2012_10_'!G2439,"AAAAAFxp3+0=")</f>
        <v>#VALUE!</v>
      </c>
      <c r="IE162" t="e">
        <f>AND('Planilla_General_29-11-2012_10_'!H2439,"AAAAAFxp3+4=")</f>
        <v>#VALUE!</v>
      </c>
      <c r="IF162" t="e">
        <f>AND('Planilla_General_29-11-2012_10_'!I2439,"AAAAAFxp3+8=")</f>
        <v>#VALUE!</v>
      </c>
      <c r="IG162" t="e">
        <f>AND('Planilla_General_29-11-2012_10_'!J2439,"AAAAAFxp3/A=")</f>
        <v>#VALUE!</v>
      </c>
      <c r="IH162" t="e">
        <f>AND('Planilla_General_29-11-2012_10_'!K2439,"AAAAAFxp3/E=")</f>
        <v>#VALUE!</v>
      </c>
      <c r="II162" t="e">
        <f>AND('Planilla_General_29-11-2012_10_'!L2439,"AAAAAFxp3/I=")</f>
        <v>#VALUE!</v>
      </c>
      <c r="IJ162" t="e">
        <f>AND('Planilla_General_29-11-2012_10_'!M2439,"AAAAAFxp3/M=")</f>
        <v>#VALUE!</v>
      </c>
      <c r="IK162" t="e">
        <f>AND('Planilla_General_29-11-2012_10_'!N2439,"AAAAAFxp3/Q=")</f>
        <v>#VALUE!</v>
      </c>
      <c r="IL162" t="e">
        <f>AND('Planilla_General_29-11-2012_10_'!O2439,"AAAAAFxp3/U=")</f>
        <v>#VALUE!</v>
      </c>
      <c r="IM162" t="e">
        <f>AND('Planilla_General_29-11-2012_10_'!P2439,"AAAAAFxp3/Y=")</f>
        <v>#VALUE!</v>
      </c>
      <c r="IN162">
        <f>IF('Planilla_General_29-11-2012_10_'!2440:2440,"AAAAAFxp3/c=",0)</f>
        <v>0</v>
      </c>
      <c r="IO162" t="e">
        <f>AND('Planilla_General_29-11-2012_10_'!A2440,"AAAAAFxp3/g=")</f>
        <v>#VALUE!</v>
      </c>
      <c r="IP162" t="e">
        <f>AND('Planilla_General_29-11-2012_10_'!B2440,"AAAAAFxp3/k=")</f>
        <v>#VALUE!</v>
      </c>
      <c r="IQ162" t="e">
        <f>AND('Planilla_General_29-11-2012_10_'!C2440,"AAAAAFxp3/o=")</f>
        <v>#VALUE!</v>
      </c>
      <c r="IR162" t="e">
        <f>AND('Planilla_General_29-11-2012_10_'!D2440,"AAAAAFxp3/s=")</f>
        <v>#VALUE!</v>
      </c>
      <c r="IS162" t="e">
        <f>AND('Planilla_General_29-11-2012_10_'!E2440,"AAAAAFxp3/w=")</f>
        <v>#VALUE!</v>
      </c>
      <c r="IT162" t="e">
        <f>AND('Planilla_General_29-11-2012_10_'!F2440,"AAAAAFxp3/0=")</f>
        <v>#VALUE!</v>
      </c>
      <c r="IU162" t="e">
        <f>AND('Planilla_General_29-11-2012_10_'!G2440,"AAAAAFxp3/4=")</f>
        <v>#VALUE!</v>
      </c>
      <c r="IV162" t="e">
        <f>AND('Planilla_General_29-11-2012_10_'!H2440,"AAAAAFxp3/8=")</f>
        <v>#VALUE!</v>
      </c>
    </row>
    <row r="163" spans="1:256" x14ac:dyDescent="0.25">
      <c r="A163" t="e">
        <f>AND('Planilla_General_29-11-2012_10_'!I2440,"AAAAAF8//gA=")</f>
        <v>#VALUE!</v>
      </c>
      <c r="B163" t="e">
        <f>AND('Planilla_General_29-11-2012_10_'!J2440,"AAAAAF8//gE=")</f>
        <v>#VALUE!</v>
      </c>
      <c r="C163" t="e">
        <f>AND('Planilla_General_29-11-2012_10_'!K2440,"AAAAAF8//gI=")</f>
        <v>#VALUE!</v>
      </c>
      <c r="D163" t="e">
        <f>AND('Planilla_General_29-11-2012_10_'!L2440,"AAAAAF8//gM=")</f>
        <v>#VALUE!</v>
      </c>
      <c r="E163" t="e">
        <f>AND('Planilla_General_29-11-2012_10_'!M2440,"AAAAAF8//gQ=")</f>
        <v>#VALUE!</v>
      </c>
      <c r="F163" t="e">
        <f>AND('Planilla_General_29-11-2012_10_'!N2440,"AAAAAF8//gU=")</f>
        <v>#VALUE!</v>
      </c>
      <c r="G163" t="e">
        <f>AND('Planilla_General_29-11-2012_10_'!O2440,"AAAAAF8//gY=")</f>
        <v>#VALUE!</v>
      </c>
      <c r="H163" t="e">
        <f>AND('Planilla_General_29-11-2012_10_'!P2440,"AAAAAF8//gc=")</f>
        <v>#VALUE!</v>
      </c>
      <c r="I163" t="e">
        <f>IF('Planilla_General_29-11-2012_10_'!2441:2441,"AAAAAF8//gg=",0)</f>
        <v>#VALUE!</v>
      </c>
      <c r="J163" t="e">
        <f>AND('Planilla_General_29-11-2012_10_'!A2441,"AAAAAF8//gk=")</f>
        <v>#VALUE!</v>
      </c>
      <c r="K163" t="e">
        <f>AND('Planilla_General_29-11-2012_10_'!B2441,"AAAAAF8//go=")</f>
        <v>#VALUE!</v>
      </c>
      <c r="L163" t="e">
        <f>AND('Planilla_General_29-11-2012_10_'!C2441,"AAAAAF8//gs=")</f>
        <v>#VALUE!</v>
      </c>
      <c r="M163" t="e">
        <f>AND('Planilla_General_29-11-2012_10_'!D2441,"AAAAAF8//gw=")</f>
        <v>#VALUE!</v>
      </c>
      <c r="N163" t="e">
        <f>AND('Planilla_General_29-11-2012_10_'!E2441,"AAAAAF8//g0=")</f>
        <v>#VALUE!</v>
      </c>
      <c r="O163" t="e">
        <f>AND('Planilla_General_29-11-2012_10_'!F2441,"AAAAAF8//g4=")</f>
        <v>#VALUE!</v>
      </c>
      <c r="P163" t="e">
        <f>AND('Planilla_General_29-11-2012_10_'!G2441,"AAAAAF8//g8=")</f>
        <v>#VALUE!</v>
      </c>
      <c r="Q163" t="e">
        <f>AND('Planilla_General_29-11-2012_10_'!H2441,"AAAAAF8//hA=")</f>
        <v>#VALUE!</v>
      </c>
      <c r="R163" t="e">
        <f>AND('Planilla_General_29-11-2012_10_'!I2441,"AAAAAF8//hE=")</f>
        <v>#VALUE!</v>
      </c>
      <c r="S163" t="e">
        <f>AND('Planilla_General_29-11-2012_10_'!J2441,"AAAAAF8//hI=")</f>
        <v>#VALUE!</v>
      </c>
      <c r="T163" t="e">
        <f>AND('Planilla_General_29-11-2012_10_'!K2441,"AAAAAF8//hM=")</f>
        <v>#VALUE!</v>
      </c>
      <c r="U163" t="e">
        <f>AND('Planilla_General_29-11-2012_10_'!L2441,"AAAAAF8//hQ=")</f>
        <v>#VALUE!</v>
      </c>
      <c r="V163" t="e">
        <f>AND('Planilla_General_29-11-2012_10_'!M2441,"AAAAAF8//hU=")</f>
        <v>#VALUE!</v>
      </c>
      <c r="W163" t="e">
        <f>AND('Planilla_General_29-11-2012_10_'!N2441,"AAAAAF8//hY=")</f>
        <v>#VALUE!</v>
      </c>
      <c r="X163" t="e">
        <f>AND('Planilla_General_29-11-2012_10_'!O2441,"AAAAAF8//hc=")</f>
        <v>#VALUE!</v>
      </c>
      <c r="Y163" t="e">
        <f>AND('Planilla_General_29-11-2012_10_'!P2441,"AAAAAF8//hg=")</f>
        <v>#VALUE!</v>
      </c>
      <c r="Z163">
        <f>IF('Planilla_General_29-11-2012_10_'!2442:2442,"AAAAAF8//hk=",0)</f>
        <v>0</v>
      </c>
      <c r="AA163" t="e">
        <f>AND('Planilla_General_29-11-2012_10_'!A2442,"AAAAAF8//ho=")</f>
        <v>#VALUE!</v>
      </c>
      <c r="AB163" t="e">
        <f>AND('Planilla_General_29-11-2012_10_'!B2442,"AAAAAF8//hs=")</f>
        <v>#VALUE!</v>
      </c>
      <c r="AC163" t="e">
        <f>AND('Planilla_General_29-11-2012_10_'!C2442,"AAAAAF8//hw=")</f>
        <v>#VALUE!</v>
      </c>
      <c r="AD163" t="e">
        <f>AND('Planilla_General_29-11-2012_10_'!D2442,"AAAAAF8//h0=")</f>
        <v>#VALUE!</v>
      </c>
      <c r="AE163" t="e">
        <f>AND('Planilla_General_29-11-2012_10_'!E2442,"AAAAAF8//h4=")</f>
        <v>#VALUE!</v>
      </c>
      <c r="AF163" t="e">
        <f>AND('Planilla_General_29-11-2012_10_'!F2442,"AAAAAF8//h8=")</f>
        <v>#VALUE!</v>
      </c>
      <c r="AG163" t="e">
        <f>AND('Planilla_General_29-11-2012_10_'!G2442,"AAAAAF8//iA=")</f>
        <v>#VALUE!</v>
      </c>
      <c r="AH163" t="e">
        <f>AND('Planilla_General_29-11-2012_10_'!H2442,"AAAAAF8//iE=")</f>
        <v>#VALUE!</v>
      </c>
      <c r="AI163" t="e">
        <f>AND('Planilla_General_29-11-2012_10_'!I2442,"AAAAAF8//iI=")</f>
        <v>#VALUE!</v>
      </c>
      <c r="AJ163" t="e">
        <f>AND('Planilla_General_29-11-2012_10_'!J2442,"AAAAAF8//iM=")</f>
        <v>#VALUE!</v>
      </c>
      <c r="AK163" t="e">
        <f>AND('Planilla_General_29-11-2012_10_'!K2442,"AAAAAF8//iQ=")</f>
        <v>#VALUE!</v>
      </c>
      <c r="AL163" t="e">
        <f>AND('Planilla_General_29-11-2012_10_'!L2442,"AAAAAF8//iU=")</f>
        <v>#VALUE!</v>
      </c>
      <c r="AM163" t="e">
        <f>AND('Planilla_General_29-11-2012_10_'!M2442,"AAAAAF8//iY=")</f>
        <v>#VALUE!</v>
      </c>
      <c r="AN163" t="e">
        <f>AND('Planilla_General_29-11-2012_10_'!N2442,"AAAAAF8//ic=")</f>
        <v>#VALUE!</v>
      </c>
      <c r="AO163" t="e">
        <f>AND('Planilla_General_29-11-2012_10_'!O2442,"AAAAAF8//ig=")</f>
        <v>#VALUE!</v>
      </c>
      <c r="AP163" t="e">
        <f>AND('Planilla_General_29-11-2012_10_'!P2442,"AAAAAF8//ik=")</f>
        <v>#VALUE!</v>
      </c>
      <c r="AQ163">
        <f>IF('Planilla_General_29-11-2012_10_'!2443:2443,"AAAAAF8//io=",0)</f>
        <v>0</v>
      </c>
      <c r="AR163" t="e">
        <f>AND('Planilla_General_29-11-2012_10_'!A2443,"AAAAAF8//is=")</f>
        <v>#VALUE!</v>
      </c>
      <c r="AS163" t="e">
        <f>AND('Planilla_General_29-11-2012_10_'!B2443,"AAAAAF8//iw=")</f>
        <v>#VALUE!</v>
      </c>
      <c r="AT163" t="e">
        <f>AND('Planilla_General_29-11-2012_10_'!C2443,"AAAAAF8//i0=")</f>
        <v>#VALUE!</v>
      </c>
      <c r="AU163" t="e">
        <f>AND('Planilla_General_29-11-2012_10_'!D2443,"AAAAAF8//i4=")</f>
        <v>#VALUE!</v>
      </c>
      <c r="AV163" t="e">
        <f>AND('Planilla_General_29-11-2012_10_'!E2443,"AAAAAF8//i8=")</f>
        <v>#VALUE!</v>
      </c>
      <c r="AW163" t="e">
        <f>AND('Planilla_General_29-11-2012_10_'!F2443,"AAAAAF8//jA=")</f>
        <v>#VALUE!</v>
      </c>
      <c r="AX163" t="e">
        <f>AND('Planilla_General_29-11-2012_10_'!G2443,"AAAAAF8//jE=")</f>
        <v>#VALUE!</v>
      </c>
      <c r="AY163" t="e">
        <f>AND('Planilla_General_29-11-2012_10_'!H2443,"AAAAAF8//jI=")</f>
        <v>#VALUE!</v>
      </c>
      <c r="AZ163" t="e">
        <f>AND('Planilla_General_29-11-2012_10_'!I2443,"AAAAAF8//jM=")</f>
        <v>#VALUE!</v>
      </c>
      <c r="BA163" t="e">
        <f>AND('Planilla_General_29-11-2012_10_'!J2443,"AAAAAF8//jQ=")</f>
        <v>#VALUE!</v>
      </c>
      <c r="BB163" t="e">
        <f>AND('Planilla_General_29-11-2012_10_'!K2443,"AAAAAF8//jU=")</f>
        <v>#VALUE!</v>
      </c>
      <c r="BC163" t="e">
        <f>AND('Planilla_General_29-11-2012_10_'!L2443,"AAAAAF8//jY=")</f>
        <v>#VALUE!</v>
      </c>
      <c r="BD163" t="e">
        <f>AND('Planilla_General_29-11-2012_10_'!M2443,"AAAAAF8//jc=")</f>
        <v>#VALUE!</v>
      </c>
      <c r="BE163" t="e">
        <f>AND('Planilla_General_29-11-2012_10_'!N2443,"AAAAAF8//jg=")</f>
        <v>#VALUE!</v>
      </c>
      <c r="BF163" t="e">
        <f>AND('Planilla_General_29-11-2012_10_'!O2443,"AAAAAF8//jk=")</f>
        <v>#VALUE!</v>
      </c>
      <c r="BG163" t="e">
        <f>AND('Planilla_General_29-11-2012_10_'!P2443,"AAAAAF8//jo=")</f>
        <v>#VALUE!</v>
      </c>
      <c r="BH163">
        <f>IF('Planilla_General_29-11-2012_10_'!2444:2444,"AAAAAF8//js=",0)</f>
        <v>0</v>
      </c>
      <c r="BI163" t="e">
        <f>AND('Planilla_General_29-11-2012_10_'!A2444,"AAAAAF8//jw=")</f>
        <v>#VALUE!</v>
      </c>
      <c r="BJ163" t="e">
        <f>AND('Planilla_General_29-11-2012_10_'!B2444,"AAAAAF8//j0=")</f>
        <v>#VALUE!</v>
      </c>
      <c r="BK163" t="e">
        <f>AND('Planilla_General_29-11-2012_10_'!C2444,"AAAAAF8//j4=")</f>
        <v>#VALUE!</v>
      </c>
      <c r="BL163" t="e">
        <f>AND('Planilla_General_29-11-2012_10_'!D2444,"AAAAAF8//j8=")</f>
        <v>#VALUE!</v>
      </c>
      <c r="BM163" t="e">
        <f>AND('Planilla_General_29-11-2012_10_'!E2444,"AAAAAF8//kA=")</f>
        <v>#VALUE!</v>
      </c>
      <c r="BN163" t="e">
        <f>AND('Planilla_General_29-11-2012_10_'!F2444,"AAAAAF8//kE=")</f>
        <v>#VALUE!</v>
      </c>
      <c r="BO163" t="e">
        <f>AND('Planilla_General_29-11-2012_10_'!G2444,"AAAAAF8//kI=")</f>
        <v>#VALUE!</v>
      </c>
      <c r="BP163" t="e">
        <f>AND('Planilla_General_29-11-2012_10_'!H2444,"AAAAAF8//kM=")</f>
        <v>#VALUE!</v>
      </c>
      <c r="BQ163" t="e">
        <f>AND('Planilla_General_29-11-2012_10_'!I2444,"AAAAAF8//kQ=")</f>
        <v>#VALUE!</v>
      </c>
      <c r="BR163" t="e">
        <f>AND('Planilla_General_29-11-2012_10_'!J2444,"AAAAAF8//kU=")</f>
        <v>#VALUE!</v>
      </c>
      <c r="BS163" t="e">
        <f>AND('Planilla_General_29-11-2012_10_'!K2444,"AAAAAF8//kY=")</f>
        <v>#VALUE!</v>
      </c>
      <c r="BT163" t="e">
        <f>AND('Planilla_General_29-11-2012_10_'!L2444,"AAAAAF8//kc=")</f>
        <v>#VALUE!</v>
      </c>
      <c r="BU163" t="e">
        <f>AND('Planilla_General_29-11-2012_10_'!M2444,"AAAAAF8//kg=")</f>
        <v>#VALUE!</v>
      </c>
      <c r="BV163" t="e">
        <f>AND('Planilla_General_29-11-2012_10_'!N2444,"AAAAAF8//kk=")</f>
        <v>#VALUE!</v>
      </c>
      <c r="BW163" t="e">
        <f>AND('Planilla_General_29-11-2012_10_'!O2444,"AAAAAF8//ko=")</f>
        <v>#VALUE!</v>
      </c>
      <c r="BX163" t="e">
        <f>AND('Planilla_General_29-11-2012_10_'!P2444,"AAAAAF8//ks=")</f>
        <v>#VALUE!</v>
      </c>
      <c r="BY163">
        <f>IF('Planilla_General_29-11-2012_10_'!2445:2445,"AAAAAF8//kw=",0)</f>
        <v>0</v>
      </c>
      <c r="BZ163" t="e">
        <f>AND('Planilla_General_29-11-2012_10_'!A2445,"AAAAAF8//k0=")</f>
        <v>#VALUE!</v>
      </c>
      <c r="CA163" t="e">
        <f>AND('Planilla_General_29-11-2012_10_'!B2445,"AAAAAF8//k4=")</f>
        <v>#VALUE!</v>
      </c>
      <c r="CB163" t="e">
        <f>AND('Planilla_General_29-11-2012_10_'!C2445,"AAAAAF8//k8=")</f>
        <v>#VALUE!</v>
      </c>
      <c r="CC163" t="e">
        <f>AND('Planilla_General_29-11-2012_10_'!D2445,"AAAAAF8//lA=")</f>
        <v>#VALUE!</v>
      </c>
      <c r="CD163" t="e">
        <f>AND('Planilla_General_29-11-2012_10_'!E2445,"AAAAAF8//lE=")</f>
        <v>#VALUE!</v>
      </c>
      <c r="CE163" t="e">
        <f>AND('Planilla_General_29-11-2012_10_'!F2445,"AAAAAF8//lI=")</f>
        <v>#VALUE!</v>
      </c>
      <c r="CF163" t="e">
        <f>AND('Planilla_General_29-11-2012_10_'!G2445,"AAAAAF8//lM=")</f>
        <v>#VALUE!</v>
      </c>
      <c r="CG163" t="e">
        <f>AND('Planilla_General_29-11-2012_10_'!H2445,"AAAAAF8//lQ=")</f>
        <v>#VALUE!</v>
      </c>
      <c r="CH163" t="e">
        <f>AND('Planilla_General_29-11-2012_10_'!I2445,"AAAAAF8//lU=")</f>
        <v>#VALUE!</v>
      </c>
      <c r="CI163" t="e">
        <f>AND('Planilla_General_29-11-2012_10_'!J2445,"AAAAAF8//lY=")</f>
        <v>#VALUE!</v>
      </c>
      <c r="CJ163" t="e">
        <f>AND('Planilla_General_29-11-2012_10_'!K2445,"AAAAAF8//lc=")</f>
        <v>#VALUE!</v>
      </c>
      <c r="CK163" t="e">
        <f>AND('Planilla_General_29-11-2012_10_'!L2445,"AAAAAF8//lg=")</f>
        <v>#VALUE!</v>
      </c>
      <c r="CL163" t="e">
        <f>AND('Planilla_General_29-11-2012_10_'!M2445,"AAAAAF8//lk=")</f>
        <v>#VALUE!</v>
      </c>
      <c r="CM163" t="e">
        <f>AND('Planilla_General_29-11-2012_10_'!N2445,"AAAAAF8//lo=")</f>
        <v>#VALUE!</v>
      </c>
      <c r="CN163" t="e">
        <f>AND('Planilla_General_29-11-2012_10_'!O2445,"AAAAAF8//ls=")</f>
        <v>#VALUE!</v>
      </c>
      <c r="CO163" t="e">
        <f>AND('Planilla_General_29-11-2012_10_'!P2445,"AAAAAF8//lw=")</f>
        <v>#VALUE!</v>
      </c>
      <c r="CP163">
        <f>IF('Planilla_General_29-11-2012_10_'!2446:2446,"AAAAAF8//l0=",0)</f>
        <v>0</v>
      </c>
      <c r="CQ163" t="e">
        <f>AND('Planilla_General_29-11-2012_10_'!A2446,"AAAAAF8//l4=")</f>
        <v>#VALUE!</v>
      </c>
      <c r="CR163" t="e">
        <f>AND('Planilla_General_29-11-2012_10_'!B2446,"AAAAAF8//l8=")</f>
        <v>#VALUE!</v>
      </c>
      <c r="CS163" t="e">
        <f>AND('Planilla_General_29-11-2012_10_'!C2446,"AAAAAF8//mA=")</f>
        <v>#VALUE!</v>
      </c>
      <c r="CT163" t="e">
        <f>AND('Planilla_General_29-11-2012_10_'!D2446,"AAAAAF8//mE=")</f>
        <v>#VALUE!</v>
      </c>
      <c r="CU163" t="e">
        <f>AND('Planilla_General_29-11-2012_10_'!E2446,"AAAAAF8//mI=")</f>
        <v>#VALUE!</v>
      </c>
      <c r="CV163" t="e">
        <f>AND('Planilla_General_29-11-2012_10_'!F2446,"AAAAAF8//mM=")</f>
        <v>#VALUE!</v>
      </c>
      <c r="CW163" t="e">
        <f>AND('Planilla_General_29-11-2012_10_'!G2446,"AAAAAF8//mQ=")</f>
        <v>#VALUE!</v>
      </c>
      <c r="CX163" t="e">
        <f>AND('Planilla_General_29-11-2012_10_'!H2446,"AAAAAF8//mU=")</f>
        <v>#VALUE!</v>
      </c>
      <c r="CY163" t="e">
        <f>AND('Planilla_General_29-11-2012_10_'!I2446,"AAAAAF8//mY=")</f>
        <v>#VALUE!</v>
      </c>
      <c r="CZ163" t="e">
        <f>AND('Planilla_General_29-11-2012_10_'!J2446,"AAAAAF8//mc=")</f>
        <v>#VALUE!</v>
      </c>
      <c r="DA163" t="e">
        <f>AND('Planilla_General_29-11-2012_10_'!K2446,"AAAAAF8//mg=")</f>
        <v>#VALUE!</v>
      </c>
      <c r="DB163" t="e">
        <f>AND('Planilla_General_29-11-2012_10_'!L2446,"AAAAAF8//mk=")</f>
        <v>#VALUE!</v>
      </c>
      <c r="DC163" t="e">
        <f>AND('Planilla_General_29-11-2012_10_'!M2446,"AAAAAF8//mo=")</f>
        <v>#VALUE!</v>
      </c>
      <c r="DD163" t="e">
        <f>AND('Planilla_General_29-11-2012_10_'!N2446,"AAAAAF8//ms=")</f>
        <v>#VALUE!</v>
      </c>
      <c r="DE163" t="e">
        <f>AND('Planilla_General_29-11-2012_10_'!O2446,"AAAAAF8//mw=")</f>
        <v>#VALUE!</v>
      </c>
      <c r="DF163" t="e">
        <f>AND('Planilla_General_29-11-2012_10_'!P2446,"AAAAAF8//m0=")</f>
        <v>#VALUE!</v>
      </c>
      <c r="DG163">
        <f>IF('Planilla_General_29-11-2012_10_'!2447:2447,"AAAAAF8//m4=",0)</f>
        <v>0</v>
      </c>
      <c r="DH163" t="e">
        <f>AND('Planilla_General_29-11-2012_10_'!A2447,"AAAAAF8//m8=")</f>
        <v>#VALUE!</v>
      </c>
      <c r="DI163" t="e">
        <f>AND('Planilla_General_29-11-2012_10_'!B2447,"AAAAAF8//nA=")</f>
        <v>#VALUE!</v>
      </c>
      <c r="DJ163" t="e">
        <f>AND('Planilla_General_29-11-2012_10_'!C2447,"AAAAAF8//nE=")</f>
        <v>#VALUE!</v>
      </c>
      <c r="DK163" t="e">
        <f>AND('Planilla_General_29-11-2012_10_'!D2447,"AAAAAF8//nI=")</f>
        <v>#VALUE!</v>
      </c>
      <c r="DL163" t="e">
        <f>AND('Planilla_General_29-11-2012_10_'!E2447,"AAAAAF8//nM=")</f>
        <v>#VALUE!</v>
      </c>
      <c r="DM163" t="e">
        <f>AND('Planilla_General_29-11-2012_10_'!F2447,"AAAAAF8//nQ=")</f>
        <v>#VALUE!</v>
      </c>
      <c r="DN163" t="e">
        <f>AND('Planilla_General_29-11-2012_10_'!G2447,"AAAAAF8//nU=")</f>
        <v>#VALUE!</v>
      </c>
      <c r="DO163" t="e">
        <f>AND('Planilla_General_29-11-2012_10_'!H2447,"AAAAAF8//nY=")</f>
        <v>#VALUE!</v>
      </c>
      <c r="DP163" t="e">
        <f>AND('Planilla_General_29-11-2012_10_'!I2447,"AAAAAF8//nc=")</f>
        <v>#VALUE!</v>
      </c>
      <c r="DQ163" t="e">
        <f>AND('Planilla_General_29-11-2012_10_'!J2447,"AAAAAF8//ng=")</f>
        <v>#VALUE!</v>
      </c>
      <c r="DR163" t="e">
        <f>AND('Planilla_General_29-11-2012_10_'!K2447,"AAAAAF8//nk=")</f>
        <v>#VALUE!</v>
      </c>
      <c r="DS163" t="e">
        <f>AND('Planilla_General_29-11-2012_10_'!L2447,"AAAAAF8//no=")</f>
        <v>#VALUE!</v>
      </c>
      <c r="DT163" t="e">
        <f>AND('Planilla_General_29-11-2012_10_'!M2447,"AAAAAF8//ns=")</f>
        <v>#VALUE!</v>
      </c>
      <c r="DU163" t="e">
        <f>AND('Planilla_General_29-11-2012_10_'!N2447,"AAAAAF8//nw=")</f>
        <v>#VALUE!</v>
      </c>
      <c r="DV163" t="e">
        <f>AND('Planilla_General_29-11-2012_10_'!O2447,"AAAAAF8//n0=")</f>
        <v>#VALUE!</v>
      </c>
      <c r="DW163" t="e">
        <f>AND('Planilla_General_29-11-2012_10_'!P2447,"AAAAAF8//n4=")</f>
        <v>#VALUE!</v>
      </c>
      <c r="DX163">
        <f>IF('Planilla_General_29-11-2012_10_'!2448:2448,"AAAAAF8//n8=",0)</f>
        <v>0</v>
      </c>
      <c r="DY163" t="e">
        <f>AND('Planilla_General_29-11-2012_10_'!A2448,"AAAAAF8//oA=")</f>
        <v>#VALUE!</v>
      </c>
      <c r="DZ163" t="e">
        <f>AND('Planilla_General_29-11-2012_10_'!B2448,"AAAAAF8//oE=")</f>
        <v>#VALUE!</v>
      </c>
      <c r="EA163" t="e">
        <f>AND('Planilla_General_29-11-2012_10_'!C2448,"AAAAAF8//oI=")</f>
        <v>#VALUE!</v>
      </c>
      <c r="EB163" t="e">
        <f>AND('Planilla_General_29-11-2012_10_'!D2448,"AAAAAF8//oM=")</f>
        <v>#VALUE!</v>
      </c>
      <c r="EC163" t="e">
        <f>AND('Planilla_General_29-11-2012_10_'!E2448,"AAAAAF8//oQ=")</f>
        <v>#VALUE!</v>
      </c>
      <c r="ED163" t="e">
        <f>AND('Planilla_General_29-11-2012_10_'!F2448,"AAAAAF8//oU=")</f>
        <v>#VALUE!</v>
      </c>
      <c r="EE163" t="e">
        <f>AND('Planilla_General_29-11-2012_10_'!G2448,"AAAAAF8//oY=")</f>
        <v>#VALUE!</v>
      </c>
      <c r="EF163" t="e">
        <f>AND('Planilla_General_29-11-2012_10_'!H2448,"AAAAAF8//oc=")</f>
        <v>#VALUE!</v>
      </c>
      <c r="EG163" t="e">
        <f>AND('Planilla_General_29-11-2012_10_'!I2448,"AAAAAF8//og=")</f>
        <v>#VALUE!</v>
      </c>
      <c r="EH163" t="e">
        <f>AND('Planilla_General_29-11-2012_10_'!J2448,"AAAAAF8//ok=")</f>
        <v>#VALUE!</v>
      </c>
      <c r="EI163" t="e">
        <f>AND('Planilla_General_29-11-2012_10_'!K2448,"AAAAAF8//oo=")</f>
        <v>#VALUE!</v>
      </c>
      <c r="EJ163" t="e">
        <f>AND('Planilla_General_29-11-2012_10_'!L2448,"AAAAAF8//os=")</f>
        <v>#VALUE!</v>
      </c>
      <c r="EK163" t="e">
        <f>AND('Planilla_General_29-11-2012_10_'!M2448,"AAAAAF8//ow=")</f>
        <v>#VALUE!</v>
      </c>
      <c r="EL163" t="e">
        <f>AND('Planilla_General_29-11-2012_10_'!N2448,"AAAAAF8//o0=")</f>
        <v>#VALUE!</v>
      </c>
      <c r="EM163" t="e">
        <f>AND('Planilla_General_29-11-2012_10_'!O2448,"AAAAAF8//o4=")</f>
        <v>#VALUE!</v>
      </c>
      <c r="EN163" t="e">
        <f>AND('Planilla_General_29-11-2012_10_'!P2448,"AAAAAF8//o8=")</f>
        <v>#VALUE!</v>
      </c>
      <c r="EO163">
        <f>IF('Planilla_General_29-11-2012_10_'!2449:2449,"AAAAAF8//pA=",0)</f>
        <v>0</v>
      </c>
      <c r="EP163" t="e">
        <f>AND('Planilla_General_29-11-2012_10_'!A2449,"AAAAAF8//pE=")</f>
        <v>#VALUE!</v>
      </c>
      <c r="EQ163" t="e">
        <f>AND('Planilla_General_29-11-2012_10_'!B2449,"AAAAAF8//pI=")</f>
        <v>#VALUE!</v>
      </c>
      <c r="ER163" t="e">
        <f>AND('Planilla_General_29-11-2012_10_'!C2449,"AAAAAF8//pM=")</f>
        <v>#VALUE!</v>
      </c>
      <c r="ES163" t="e">
        <f>AND('Planilla_General_29-11-2012_10_'!D2449,"AAAAAF8//pQ=")</f>
        <v>#VALUE!</v>
      </c>
      <c r="ET163" t="e">
        <f>AND('Planilla_General_29-11-2012_10_'!E2449,"AAAAAF8//pU=")</f>
        <v>#VALUE!</v>
      </c>
      <c r="EU163" t="e">
        <f>AND('Planilla_General_29-11-2012_10_'!F2449,"AAAAAF8//pY=")</f>
        <v>#VALUE!</v>
      </c>
      <c r="EV163" t="e">
        <f>AND('Planilla_General_29-11-2012_10_'!G2449,"AAAAAF8//pc=")</f>
        <v>#VALUE!</v>
      </c>
      <c r="EW163" t="e">
        <f>AND('Planilla_General_29-11-2012_10_'!H2449,"AAAAAF8//pg=")</f>
        <v>#VALUE!</v>
      </c>
      <c r="EX163" t="e">
        <f>AND('Planilla_General_29-11-2012_10_'!I2449,"AAAAAF8//pk=")</f>
        <v>#VALUE!</v>
      </c>
      <c r="EY163" t="e">
        <f>AND('Planilla_General_29-11-2012_10_'!J2449,"AAAAAF8//po=")</f>
        <v>#VALUE!</v>
      </c>
      <c r="EZ163" t="e">
        <f>AND('Planilla_General_29-11-2012_10_'!K2449,"AAAAAF8//ps=")</f>
        <v>#VALUE!</v>
      </c>
      <c r="FA163" t="e">
        <f>AND('Planilla_General_29-11-2012_10_'!L2449,"AAAAAF8//pw=")</f>
        <v>#VALUE!</v>
      </c>
      <c r="FB163" t="e">
        <f>AND('Planilla_General_29-11-2012_10_'!M2449,"AAAAAF8//p0=")</f>
        <v>#VALUE!</v>
      </c>
      <c r="FC163" t="e">
        <f>AND('Planilla_General_29-11-2012_10_'!N2449,"AAAAAF8//p4=")</f>
        <v>#VALUE!</v>
      </c>
      <c r="FD163" t="e">
        <f>AND('Planilla_General_29-11-2012_10_'!O2449,"AAAAAF8//p8=")</f>
        <v>#VALUE!</v>
      </c>
      <c r="FE163" t="e">
        <f>AND('Planilla_General_29-11-2012_10_'!P2449,"AAAAAF8//qA=")</f>
        <v>#VALUE!</v>
      </c>
      <c r="FF163">
        <f>IF('Planilla_General_29-11-2012_10_'!2450:2450,"AAAAAF8//qE=",0)</f>
        <v>0</v>
      </c>
      <c r="FG163" t="e">
        <f>AND('Planilla_General_29-11-2012_10_'!A2450,"AAAAAF8//qI=")</f>
        <v>#VALUE!</v>
      </c>
      <c r="FH163" t="e">
        <f>AND('Planilla_General_29-11-2012_10_'!B2450,"AAAAAF8//qM=")</f>
        <v>#VALUE!</v>
      </c>
      <c r="FI163" t="e">
        <f>AND('Planilla_General_29-11-2012_10_'!C2450,"AAAAAF8//qQ=")</f>
        <v>#VALUE!</v>
      </c>
      <c r="FJ163" t="e">
        <f>AND('Planilla_General_29-11-2012_10_'!D2450,"AAAAAF8//qU=")</f>
        <v>#VALUE!</v>
      </c>
      <c r="FK163" t="e">
        <f>AND('Planilla_General_29-11-2012_10_'!E2450,"AAAAAF8//qY=")</f>
        <v>#VALUE!</v>
      </c>
      <c r="FL163" t="e">
        <f>AND('Planilla_General_29-11-2012_10_'!F2450,"AAAAAF8//qc=")</f>
        <v>#VALUE!</v>
      </c>
      <c r="FM163" t="e">
        <f>AND('Planilla_General_29-11-2012_10_'!G2450,"AAAAAF8//qg=")</f>
        <v>#VALUE!</v>
      </c>
      <c r="FN163" t="e">
        <f>AND('Planilla_General_29-11-2012_10_'!H2450,"AAAAAF8//qk=")</f>
        <v>#VALUE!</v>
      </c>
      <c r="FO163" t="e">
        <f>AND('Planilla_General_29-11-2012_10_'!I2450,"AAAAAF8//qo=")</f>
        <v>#VALUE!</v>
      </c>
      <c r="FP163" t="e">
        <f>AND('Planilla_General_29-11-2012_10_'!J2450,"AAAAAF8//qs=")</f>
        <v>#VALUE!</v>
      </c>
      <c r="FQ163" t="e">
        <f>AND('Planilla_General_29-11-2012_10_'!K2450,"AAAAAF8//qw=")</f>
        <v>#VALUE!</v>
      </c>
      <c r="FR163" t="e">
        <f>AND('Planilla_General_29-11-2012_10_'!L2450,"AAAAAF8//q0=")</f>
        <v>#VALUE!</v>
      </c>
      <c r="FS163" t="e">
        <f>AND('Planilla_General_29-11-2012_10_'!M2450,"AAAAAF8//q4=")</f>
        <v>#VALUE!</v>
      </c>
      <c r="FT163" t="e">
        <f>AND('Planilla_General_29-11-2012_10_'!N2450,"AAAAAF8//q8=")</f>
        <v>#VALUE!</v>
      </c>
      <c r="FU163" t="e">
        <f>AND('Planilla_General_29-11-2012_10_'!O2450,"AAAAAF8//rA=")</f>
        <v>#VALUE!</v>
      </c>
      <c r="FV163" t="e">
        <f>AND('Planilla_General_29-11-2012_10_'!P2450,"AAAAAF8//rE=")</f>
        <v>#VALUE!</v>
      </c>
      <c r="FW163">
        <f>IF('Planilla_General_29-11-2012_10_'!2451:2451,"AAAAAF8//rI=",0)</f>
        <v>0</v>
      </c>
      <c r="FX163" t="e">
        <f>AND('Planilla_General_29-11-2012_10_'!A2451,"AAAAAF8//rM=")</f>
        <v>#VALUE!</v>
      </c>
      <c r="FY163" t="e">
        <f>AND('Planilla_General_29-11-2012_10_'!B2451,"AAAAAF8//rQ=")</f>
        <v>#VALUE!</v>
      </c>
      <c r="FZ163" t="e">
        <f>AND('Planilla_General_29-11-2012_10_'!C2451,"AAAAAF8//rU=")</f>
        <v>#VALUE!</v>
      </c>
      <c r="GA163" t="e">
        <f>AND('Planilla_General_29-11-2012_10_'!D2451,"AAAAAF8//rY=")</f>
        <v>#VALUE!</v>
      </c>
      <c r="GB163" t="e">
        <f>AND('Planilla_General_29-11-2012_10_'!E2451,"AAAAAF8//rc=")</f>
        <v>#VALUE!</v>
      </c>
      <c r="GC163" t="e">
        <f>AND('Planilla_General_29-11-2012_10_'!F2451,"AAAAAF8//rg=")</f>
        <v>#VALUE!</v>
      </c>
      <c r="GD163" t="e">
        <f>AND('Planilla_General_29-11-2012_10_'!G2451,"AAAAAF8//rk=")</f>
        <v>#VALUE!</v>
      </c>
      <c r="GE163" t="e">
        <f>AND('Planilla_General_29-11-2012_10_'!H2451,"AAAAAF8//ro=")</f>
        <v>#VALUE!</v>
      </c>
      <c r="GF163" t="e">
        <f>AND('Planilla_General_29-11-2012_10_'!I2451,"AAAAAF8//rs=")</f>
        <v>#VALUE!</v>
      </c>
      <c r="GG163" t="e">
        <f>AND('Planilla_General_29-11-2012_10_'!J2451,"AAAAAF8//rw=")</f>
        <v>#VALUE!</v>
      </c>
      <c r="GH163" t="e">
        <f>AND('Planilla_General_29-11-2012_10_'!K2451,"AAAAAF8//r0=")</f>
        <v>#VALUE!</v>
      </c>
      <c r="GI163" t="e">
        <f>AND('Planilla_General_29-11-2012_10_'!L2451,"AAAAAF8//r4=")</f>
        <v>#VALUE!</v>
      </c>
      <c r="GJ163" t="e">
        <f>AND('Planilla_General_29-11-2012_10_'!M2451,"AAAAAF8//r8=")</f>
        <v>#VALUE!</v>
      </c>
      <c r="GK163" t="e">
        <f>AND('Planilla_General_29-11-2012_10_'!N2451,"AAAAAF8//sA=")</f>
        <v>#VALUE!</v>
      </c>
      <c r="GL163" t="e">
        <f>AND('Planilla_General_29-11-2012_10_'!O2451,"AAAAAF8//sE=")</f>
        <v>#VALUE!</v>
      </c>
      <c r="GM163" t="e">
        <f>AND('Planilla_General_29-11-2012_10_'!P2451,"AAAAAF8//sI=")</f>
        <v>#VALUE!</v>
      </c>
      <c r="GN163">
        <f>IF('Planilla_General_29-11-2012_10_'!2452:2452,"AAAAAF8//sM=",0)</f>
        <v>0</v>
      </c>
      <c r="GO163" t="e">
        <f>AND('Planilla_General_29-11-2012_10_'!A2452,"AAAAAF8//sQ=")</f>
        <v>#VALUE!</v>
      </c>
      <c r="GP163" t="e">
        <f>AND('Planilla_General_29-11-2012_10_'!B2452,"AAAAAF8//sU=")</f>
        <v>#VALUE!</v>
      </c>
      <c r="GQ163" t="e">
        <f>AND('Planilla_General_29-11-2012_10_'!C2452,"AAAAAF8//sY=")</f>
        <v>#VALUE!</v>
      </c>
      <c r="GR163" t="e">
        <f>AND('Planilla_General_29-11-2012_10_'!D2452,"AAAAAF8//sc=")</f>
        <v>#VALUE!</v>
      </c>
      <c r="GS163" t="e">
        <f>AND('Planilla_General_29-11-2012_10_'!E2452,"AAAAAF8//sg=")</f>
        <v>#VALUE!</v>
      </c>
      <c r="GT163" t="e">
        <f>AND('Planilla_General_29-11-2012_10_'!F2452,"AAAAAF8//sk=")</f>
        <v>#VALUE!</v>
      </c>
      <c r="GU163" t="e">
        <f>AND('Planilla_General_29-11-2012_10_'!G2452,"AAAAAF8//so=")</f>
        <v>#VALUE!</v>
      </c>
      <c r="GV163" t="e">
        <f>AND('Planilla_General_29-11-2012_10_'!H2452,"AAAAAF8//ss=")</f>
        <v>#VALUE!</v>
      </c>
      <c r="GW163" t="e">
        <f>AND('Planilla_General_29-11-2012_10_'!I2452,"AAAAAF8//sw=")</f>
        <v>#VALUE!</v>
      </c>
      <c r="GX163" t="e">
        <f>AND('Planilla_General_29-11-2012_10_'!J2452,"AAAAAF8//s0=")</f>
        <v>#VALUE!</v>
      </c>
      <c r="GY163" t="e">
        <f>AND('Planilla_General_29-11-2012_10_'!K2452,"AAAAAF8//s4=")</f>
        <v>#VALUE!</v>
      </c>
      <c r="GZ163" t="e">
        <f>AND('Planilla_General_29-11-2012_10_'!L2452,"AAAAAF8//s8=")</f>
        <v>#VALUE!</v>
      </c>
      <c r="HA163" t="e">
        <f>AND('Planilla_General_29-11-2012_10_'!M2452,"AAAAAF8//tA=")</f>
        <v>#VALUE!</v>
      </c>
      <c r="HB163" t="e">
        <f>AND('Planilla_General_29-11-2012_10_'!N2452,"AAAAAF8//tE=")</f>
        <v>#VALUE!</v>
      </c>
      <c r="HC163" t="e">
        <f>AND('Planilla_General_29-11-2012_10_'!O2452,"AAAAAF8//tI=")</f>
        <v>#VALUE!</v>
      </c>
      <c r="HD163" t="e">
        <f>AND('Planilla_General_29-11-2012_10_'!P2452,"AAAAAF8//tM=")</f>
        <v>#VALUE!</v>
      </c>
      <c r="HE163">
        <f>IF('Planilla_General_29-11-2012_10_'!2453:2453,"AAAAAF8//tQ=",0)</f>
        <v>0</v>
      </c>
      <c r="HF163" t="e">
        <f>AND('Planilla_General_29-11-2012_10_'!A2453,"AAAAAF8//tU=")</f>
        <v>#VALUE!</v>
      </c>
      <c r="HG163" t="e">
        <f>AND('Planilla_General_29-11-2012_10_'!B2453,"AAAAAF8//tY=")</f>
        <v>#VALUE!</v>
      </c>
      <c r="HH163" t="e">
        <f>AND('Planilla_General_29-11-2012_10_'!C2453,"AAAAAF8//tc=")</f>
        <v>#VALUE!</v>
      </c>
      <c r="HI163" t="e">
        <f>AND('Planilla_General_29-11-2012_10_'!D2453,"AAAAAF8//tg=")</f>
        <v>#VALUE!</v>
      </c>
      <c r="HJ163" t="e">
        <f>AND('Planilla_General_29-11-2012_10_'!E2453,"AAAAAF8//tk=")</f>
        <v>#VALUE!</v>
      </c>
      <c r="HK163" t="e">
        <f>AND('Planilla_General_29-11-2012_10_'!F2453,"AAAAAF8//to=")</f>
        <v>#VALUE!</v>
      </c>
      <c r="HL163" t="e">
        <f>AND('Planilla_General_29-11-2012_10_'!G2453,"AAAAAF8//ts=")</f>
        <v>#VALUE!</v>
      </c>
      <c r="HM163" t="e">
        <f>AND('Planilla_General_29-11-2012_10_'!H2453,"AAAAAF8//tw=")</f>
        <v>#VALUE!</v>
      </c>
      <c r="HN163" t="e">
        <f>AND('Planilla_General_29-11-2012_10_'!I2453,"AAAAAF8//t0=")</f>
        <v>#VALUE!</v>
      </c>
      <c r="HO163" t="e">
        <f>AND('Planilla_General_29-11-2012_10_'!J2453,"AAAAAF8//t4=")</f>
        <v>#VALUE!</v>
      </c>
      <c r="HP163" t="e">
        <f>AND('Planilla_General_29-11-2012_10_'!K2453,"AAAAAF8//t8=")</f>
        <v>#VALUE!</v>
      </c>
      <c r="HQ163" t="e">
        <f>AND('Planilla_General_29-11-2012_10_'!L2453,"AAAAAF8//uA=")</f>
        <v>#VALUE!</v>
      </c>
      <c r="HR163" t="e">
        <f>AND('Planilla_General_29-11-2012_10_'!M2453,"AAAAAF8//uE=")</f>
        <v>#VALUE!</v>
      </c>
      <c r="HS163" t="e">
        <f>AND('Planilla_General_29-11-2012_10_'!N2453,"AAAAAF8//uI=")</f>
        <v>#VALUE!</v>
      </c>
      <c r="HT163" t="e">
        <f>AND('Planilla_General_29-11-2012_10_'!O2453,"AAAAAF8//uM=")</f>
        <v>#VALUE!</v>
      </c>
      <c r="HU163" t="e">
        <f>AND('Planilla_General_29-11-2012_10_'!P2453,"AAAAAF8//uQ=")</f>
        <v>#VALUE!</v>
      </c>
      <c r="HV163">
        <f>IF('Planilla_General_29-11-2012_10_'!2454:2454,"AAAAAF8//uU=",0)</f>
        <v>0</v>
      </c>
      <c r="HW163" t="e">
        <f>AND('Planilla_General_29-11-2012_10_'!A2454,"AAAAAF8//uY=")</f>
        <v>#VALUE!</v>
      </c>
      <c r="HX163" t="e">
        <f>AND('Planilla_General_29-11-2012_10_'!B2454,"AAAAAF8//uc=")</f>
        <v>#VALUE!</v>
      </c>
      <c r="HY163" t="e">
        <f>AND('Planilla_General_29-11-2012_10_'!C2454,"AAAAAF8//ug=")</f>
        <v>#VALUE!</v>
      </c>
      <c r="HZ163" t="e">
        <f>AND('Planilla_General_29-11-2012_10_'!D2454,"AAAAAF8//uk=")</f>
        <v>#VALUE!</v>
      </c>
      <c r="IA163" t="e">
        <f>AND('Planilla_General_29-11-2012_10_'!E2454,"AAAAAF8//uo=")</f>
        <v>#VALUE!</v>
      </c>
      <c r="IB163" t="e">
        <f>AND('Planilla_General_29-11-2012_10_'!F2454,"AAAAAF8//us=")</f>
        <v>#VALUE!</v>
      </c>
      <c r="IC163" t="e">
        <f>AND('Planilla_General_29-11-2012_10_'!G2454,"AAAAAF8//uw=")</f>
        <v>#VALUE!</v>
      </c>
      <c r="ID163" t="e">
        <f>AND('Planilla_General_29-11-2012_10_'!H2454,"AAAAAF8//u0=")</f>
        <v>#VALUE!</v>
      </c>
      <c r="IE163" t="e">
        <f>AND('Planilla_General_29-11-2012_10_'!I2454,"AAAAAF8//u4=")</f>
        <v>#VALUE!</v>
      </c>
      <c r="IF163" t="e">
        <f>AND('Planilla_General_29-11-2012_10_'!J2454,"AAAAAF8//u8=")</f>
        <v>#VALUE!</v>
      </c>
      <c r="IG163" t="e">
        <f>AND('Planilla_General_29-11-2012_10_'!K2454,"AAAAAF8//vA=")</f>
        <v>#VALUE!</v>
      </c>
      <c r="IH163" t="e">
        <f>AND('Planilla_General_29-11-2012_10_'!L2454,"AAAAAF8//vE=")</f>
        <v>#VALUE!</v>
      </c>
      <c r="II163" t="e">
        <f>AND('Planilla_General_29-11-2012_10_'!M2454,"AAAAAF8//vI=")</f>
        <v>#VALUE!</v>
      </c>
      <c r="IJ163" t="e">
        <f>AND('Planilla_General_29-11-2012_10_'!N2454,"AAAAAF8//vM=")</f>
        <v>#VALUE!</v>
      </c>
      <c r="IK163" t="e">
        <f>AND('Planilla_General_29-11-2012_10_'!O2454,"AAAAAF8//vQ=")</f>
        <v>#VALUE!</v>
      </c>
      <c r="IL163" t="e">
        <f>AND('Planilla_General_29-11-2012_10_'!P2454,"AAAAAF8//vU=")</f>
        <v>#VALUE!</v>
      </c>
      <c r="IM163">
        <f>IF('Planilla_General_29-11-2012_10_'!2455:2455,"AAAAAF8//vY=",0)</f>
        <v>0</v>
      </c>
      <c r="IN163" t="e">
        <f>AND('Planilla_General_29-11-2012_10_'!A2455,"AAAAAF8//vc=")</f>
        <v>#VALUE!</v>
      </c>
      <c r="IO163" t="e">
        <f>AND('Planilla_General_29-11-2012_10_'!B2455,"AAAAAF8//vg=")</f>
        <v>#VALUE!</v>
      </c>
      <c r="IP163" t="e">
        <f>AND('Planilla_General_29-11-2012_10_'!C2455,"AAAAAF8//vk=")</f>
        <v>#VALUE!</v>
      </c>
      <c r="IQ163" t="e">
        <f>AND('Planilla_General_29-11-2012_10_'!D2455,"AAAAAF8//vo=")</f>
        <v>#VALUE!</v>
      </c>
      <c r="IR163" t="e">
        <f>AND('Planilla_General_29-11-2012_10_'!E2455,"AAAAAF8//vs=")</f>
        <v>#VALUE!</v>
      </c>
      <c r="IS163" t="e">
        <f>AND('Planilla_General_29-11-2012_10_'!F2455,"AAAAAF8//vw=")</f>
        <v>#VALUE!</v>
      </c>
      <c r="IT163" t="e">
        <f>AND('Planilla_General_29-11-2012_10_'!G2455,"AAAAAF8//v0=")</f>
        <v>#VALUE!</v>
      </c>
      <c r="IU163" t="e">
        <f>AND('Planilla_General_29-11-2012_10_'!H2455,"AAAAAF8//v4=")</f>
        <v>#VALUE!</v>
      </c>
      <c r="IV163" t="e">
        <f>AND('Planilla_General_29-11-2012_10_'!I2455,"AAAAAF8//v8=")</f>
        <v>#VALUE!</v>
      </c>
    </row>
    <row r="164" spans="1:256" x14ac:dyDescent="0.25">
      <c r="A164" t="e">
        <f>AND('Planilla_General_29-11-2012_10_'!J2455,"AAAAAHv/jwA=")</f>
        <v>#VALUE!</v>
      </c>
      <c r="B164" t="e">
        <f>AND('Planilla_General_29-11-2012_10_'!K2455,"AAAAAHv/jwE=")</f>
        <v>#VALUE!</v>
      </c>
      <c r="C164" t="e">
        <f>AND('Planilla_General_29-11-2012_10_'!L2455,"AAAAAHv/jwI=")</f>
        <v>#VALUE!</v>
      </c>
      <c r="D164" t="e">
        <f>AND('Planilla_General_29-11-2012_10_'!M2455,"AAAAAHv/jwM=")</f>
        <v>#VALUE!</v>
      </c>
      <c r="E164" t="e">
        <f>AND('Planilla_General_29-11-2012_10_'!N2455,"AAAAAHv/jwQ=")</f>
        <v>#VALUE!</v>
      </c>
      <c r="F164" t="e">
        <f>AND('Planilla_General_29-11-2012_10_'!O2455,"AAAAAHv/jwU=")</f>
        <v>#VALUE!</v>
      </c>
      <c r="G164" t="e">
        <f>AND('Planilla_General_29-11-2012_10_'!P2455,"AAAAAHv/jwY=")</f>
        <v>#VALUE!</v>
      </c>
      <c r="H164" t="e">
        <f>IF('Planilla_General_29-11-2012_10_'!2456:2456,"AAAAAHv/jwc=",0)</f>
        <v>#VALUE!</v>
      </c>
      <c r="I164" t="e">
        <f>AND('Planilla_General_29-11-2012_10_'!A2456,"AAAAAHv/jwg=")</f>
        <v>#VALUE!</v>
      </c>
      <c r="J164" t="e">
        <f>AND('Planilla_General_29-11-2012_10_'!B2456,"AAAAAHv/jwk=")</f>
        <v>#VALUE!</v>
      </c>
      <c r="K164" t="e">
        <f>AND('Planilla_General_29-11-2012_10_'!C2456,"AAAAAHv/jwo=")</f>
        <v>#VALUE!</v>
      </c>
      <c r="L164" t="e">
        <f>AND('Planilla_General_29-11-2012_10_'!D2456,"AAAAAHv/jws=")</f>
        <v>#VALUE!</v>
      </c>
      <c r="M164" t="e">
        <f>AND('Planilla_General_29-11-2012_10_'!E2456,"AAAAAHv/jww=")</f>
        <v>#VALUE!</v>
      </c>
      <c r="N164" t="e">
        <f>AND('Planilla_General_29-11-2012_10_'!F2456,"AAAAAHv/jw0=")</f>
        <v>#VALUE!</v>
      </c>
      <c r="O164" t="e">
        <f>AND('Planilla_General_29-11-2012_10_'!G2456,"AAAAAHv/jw4=")</f>
        <v>#VALUE!</v>
      </c>
      <c r="P164" t="e">
        <f>AND('Planilla_General_29-11-2012_10_'!H2456,"AAAAAHv/jw8=")</f>
        <v>#VALUE!</v>
      </c>
      <c r="Q164" t="e">
        <f>AND('Planilla_General_29-11-2012_10_'!I2456,"AAAAAHv/jxA=")</f>
        <v>#VALUE!</v>
      </c>
      <c r="R164" t="e">
        <f>AND('Planilla_General_29-11-2012_10_'!J2456,"AAAAAHv/jxE=")</f>
        <v>#VALUE!</v>
      </c>
      <c r="S164" t="e">
        <f>AND('Planilla_General_29-11-2012_10_'!K2456,"AAAAAHv/jxI=")</f>
        <v>#VALUE!</v>
      </c>
      <c r="T164" t="e">
        <f>AND('Planilla_General_29-11-2012_10_'!L2456,"AAAAAHv/jxM=")</f>
        <v>#VALUE!</v>
      </c>
      <c r="U164" t="e">
        <f>AND('Planilla_General_29-11-2012_10_'!M2456,"AAAAAHv/jxQ=")</f>
        <v>#VALUE!</v>
      </c>
      <c r="V164" t="e">
        <f>AND('Planilla_General_29-11-2012_10_'!N2456,"AAAAAHv/jxU=")</f>
        <v>#VALUE!</v>
      </c>
      <c r="W164" t="e">
        <f>AND('Planilla_General_29-11-2012_10_'!O2456,"AAAAAHv/jxY=")</f>
        <v>#VALUE!</v>
      </c>
      <c r="X164" t="e">
        <f>AND('Planilla_General_29-11-2012_10_'!P2456,"AAAAAHv/jxc=")</f>
        <v>#VALUE!</v>
      </c>
      <c r="Y164">
        <f>IF('Planilla_General_29-11-2012_10_'!2457:2457,"AAAAAHv/jxg=",0)</f>
        <v>0</v>
      </c>
      <c r="Z164" t="e">
        <f>AND('Planilla_General_29-11-2012_10_'!A2457,"AAAAAHv/jxk=")</f>
        <v>#VALUE!</v>
      </c>
      <c r="AA164" t="e">
        <f>AND('Planilla_General_29-11-2012_10_'!B2457,"AAAAAHv/jxo=")</f>
        <v>#VALUE!</v>
      </c>
      <c r="AB164" t="e">
        <f>AND('Planilla_General_29-11-2012_10_'!C2457,"AAAAAHv/jxs=")</f>
        <v>#VALUE!</v>
      </c>
      <c r="AC164" t="e">
        <f>AND('Planilla_General_29-11-2012_10_'!D2457,"AAAAAHv/jxw=")</f>
        <v>#VALUE!</v>
      </c>
      <c r="AD164" t="e">
        <f>AND('Planilla_General_29-11-2012_10_'!E2457,"AAAAAHv/jx0=")</f>
        <v>#VALUE!</v>
      </c>
      <c r="AE164" t="e">
        <f>AND('Planilla_General_29-11-2012_10_'!F2457,"AAAAAHv/jx4=")</f>
        <v>#VALUE!</v>
      </c>
      <c r="AF164" t="e">
        <f>AND('Planilla_General_29-11-2012_10_'!G2457,"AAAAAHv/jx8=")</f>
        <v>#VALUE!</v>
      </c>
      <c r="AG164" t="e">
        <f>AND('Planilla_General_29-11-2012_10_'!H2457,"AAAAAHv/jyA=")</f>
        <v>#VALUE!</v>
      </c>
      <c r="AH164" t="e">
        <f>AND('Planilla_General_29-11-2012_10_'!I2457,"AAAAAHv/jyE=")</f>
        <v>#VALUE!</v>
      </c>
      <c r="AI164" t="e">
        <f>AND('Planilla_General_29-11-2012_10_'!J2457,"AAAAAHv/jyI=")</f>
        <v>#VALUE!</v>
      </c>
      <c r="AJ164" t="e">
        <f>AND('Planilla_General_29-11-2012_10_'!K2457,"AAAAAHv/jyM=")</f>
        <v>#VALUE!</v>
      </c>
      <c r="AK164" t="e">
        <f>AND('Planilla_General_29-11-2012_10_'!L2457,"AAAAAHv/jyQ=")</f>
        <v>#VALUE!</v>
      </c>
      <c r="AL164" t="e">
        <f>AND('Planilla_General_29-11-2012_10_'!M2457,"AAAAAHv/jyU=")</f>
        <v>#VALUE!</v>
      </c>
      <c r="AM164" t="e">
        <f>AND('Planilla_General_29-11-2012_10_'!N2457,"AAAAAHv/jyY=")</f>
        <v>#VALUE!</v>
      </c>
      <c r="AN164" t="e">
        <f>AND('Planilla_General_29-11-2012_10_'!O2457,"AAAAAHv/jyc=")</f>
        <v>#VALUE!</v>
      </c>
      <c r="AO164" t="e">
        <f>AND('Planilla_General_29-11-2012_10_'!P2457,"AAAAAHv/jyg=")</f>
        <v>#VALUE!</v>
      </c>
      <c r="AP164">
        <f>IF('Planilla_General_29-11-2012_10_'!2458:2458,"AAAAAHv/jyk=",0)</f>
        <v>0</v>
      </c>
      <c r="AQ164" t="e">
        <f>AND('Planilla_General_29-11-2012_10_'!A2458,"AAAAAHv/jyo=")</f>
        <v>#VALUE!</v>
      </c>
      <c r="AR164" t="e">
        <f>AND('Planilla_General_29-11-2012_10_'!B2458,"AAAAAHv/jys=")</f>
        <v>#VALUE!</v>
      </c>
      <c r="AS164" t="e">
        <f>AND('Planilla_General_29-11-2012_10_'!C2458,"AAAAAHv/jyw=")</f>
        <v>#VALUE!</v>
      </c>
      <c r="AT164" t="e">
        <f>AND('Planilla_General_29-11-2012_10_'!D2458,"AAAAAHv/jy0=")</f>
        <v>#VALUE!</v>
      </c>
      <c r="AU164" t="e">
        <f>AND('Planilla_General_29-11-2012_10_'!E2458,"AAAAAHv/jy4=")</f>
        <v>#VALUE!</v>
      </c>
      <c r="AV164" t="e">
        <f>AND('Planilla_General_29-11-2012_10_'!F2458,"AAAAAHv/jy8=")</f>
        <v>#VALUE!</v>
      </c>
      <c r="AW164" t="e">
        <f>AND('Planilla_General_29-11-2012_10_'!G2458,"AAAAAHv/jzA=")</f>
        <v>#VALUE!</v>
      </c>
      <c r="AX164" t="e">
        <f>AND('Planilla_General_29-11-2012_10_'!H2458,"AAAAAHv/jzE=")</f>
        <v>#VALUE!</v>
      </c>
      <c r="AY164" t="e">
        <f>AND('Planilla_General_29-11-2012_10_'!I2458,"AAAAAHv/jzI=")</f>
        <v>#VALUE!</v>
      </c>
      <c r="AZ164" t="e">
        <f>AND('Planilla_General_29-11-2012_10_'!J2458,"AAAAAHv/jzM=")</f>
        <v>#VALUE!</v>
      </c>
      <c r="BA164" t="e">
        <f>AND('Planilla_General_29-11-2012_10_'!K2458,"AAAAAHv/jzQ=")</f>
        <v>#VALUE!</v>
      </c>
      <c r="BB164" t="e">
        <f>AND('Planilla_General_29-11-2012_10_'!L2458,"AAAAAHv/jzU=")</f>
        <v>#VALUE!</v>
      </c>
      <c r="BC164" t="e">
        <f>AND('Planilla_General_29-11-2012_10_'!M2458,"AAAAAHv/jzY=")</f>
        <v>#VALUE!</v>
      </c>
      <c r="BD164" t="e">
        <f>AND('Planilla_General_29-11-2012_10_'!N2458,"AAAAAHv/jzc=")</f>
        <v>#VALUE!</v>
      </c>
      <c r="BE164" t="e">
        <f>AND('Planilla_General_29-11-2012_10_'!O2458,"AAAAAHv/jzg=")</f>
        <v>#VALUE!</v>
      </c>
      <c r="BF164" t="e">
        <f>AND('Planilla_General_29-11-2012_10_'!P2458,"AAAAAHv/jzk=")</f>
        <v>#VALUE!</v>
      </c>
      <c r="BG164">
        <f>IF('Planilla_General_29-11-2012_10_'!2459:2459,"AAAAAHv/jzo=",0)</f>
        <v>0</v>
      </c>
      <c r="BH164" t="e">
        <f>AND('Planilla_General_29-11-2012_10_'!A2459,"AAAAAHv/jzs=")</f>
        <v>#VALUE!</v>
      </c>
      <c r="BI164" t="e">
        <f>AND('Planilla_General_29-11-2012_10_'!B2459,"AAAAAHv/jzw=")</f>
        <v>#VALUE!</v>
      </c>
      <c r="BJ164" t="e">
        <f>AND('Planilla_General_29-11-2012_10_'!C2459,"AAAAAHv/jz0=")</f>
        <v>#VALUE!</v>
      </c>
      <c r="BK164" t="e">
        <f>AND('Planilla_General_29-11-2012_10_'!D2459,"AAAAAHv/jz4=")</f>
        <v>#VALUE!</v>
      </c>
      <c r="BL164" t="e">
        <f>AND('Planilla_General_29-11-2012_10_'!E2459,"AAAAAHv/jz8=")</f>
        <v>#VALUE!</v>
      </c>
      <c r="BM164" t="e">
        <f>AND('Planilla_General_29-11-2012_10_'!F2459,"AAAAAHv/j0A=")</f>
        <v>#VALUE!</v>
      </c>
      <c r="BN164" t="e">
        <f>AND('Planilla_General_29-11-2012_10_'!G2459,"AAAAAHv/j0E=")</f>
        <v>#VALUE!</v>
      </c>
      <c r="BO164" t="e">
        <f>AND('Planilla_General_29-11-2012_10_'!H2459,"AAAAAHv/j0I=")</f>
        <v>#VALUE!</v>
      </c>
      <c r="BP164" t="e">
        <f>AND('Planilla_General_29-11-2012_10_'!I2459,"AAAAAHv/j0M=")</f>
        <v>#VALUE!</v>
      </c>
      <c r="BQ164" t="e">
        <f>AND('Planilla_General_29-11-2012_10_'!J2459,"AAAAAHv/j0Q=")</f>
        <v>#VALUE!</v>
      </c>
      <c r="BR164" t="e">
        <f>AND('Planilla_General_29-11-2012_10_'!K2459,"AAAAAHv/j0U=")</f>
        <v>#VALUE!</v>
      </c>
      <c r="BS164" t="e">
        <f>AND('Planilla_General_29-11-2012_10_'!L2459,"AAAAAHv/j0Y=")</f>
        <v>#VALUE!</v>
      </c>
      <c r="BT164" t="e">
        <f>AND('Planilla_General_29-11-2012_10_'!M2459,"AAAAAHv/j0c=")</f>
        <v>#VALUE!</v>
      </c>
      <c r="BU164" t="e">
        <f>AND('Planilla_General_29-11-2012_10_'!N2459,"AAAAAHv/j0g=")</f>
        <v>#VALUE!</v>
      </c>
      <c r="BV164" t="e">
        <f>AND('Planilla_General_29-11-2012_10_'!O2459,"AAAAAHv/j0k=")</f>
        <v>#VALUE!</v>
      </c>
      <c r="BW164" t="e">
        <f>AND('Planilla_General_29-11-2012_10_'!P2459,"AAAAAHv/j0o=")</f>
        <v>#VALUE!</v>
      </c>
      <c r="BX164">
        <f>IF('Planilla_General_29-11-2012_10_'!2460:2460,"AAAAAHv/j0s=",0)</f>
        <v>0</v>
      </c>
      <c r="BY164" t="e">
        <f>AND('Planilla_General_29-11-2012_10_'!A2460,"AAAAAHv/j0w=")</f>
        <v>#VALUE!</v>
      </c>
      <c r="BZ164" t="e">
        <f>AND('Planilla_General_29-11-2012_10_'!B2460,"AAAAAHv/j00=")</f>
        <v>#VALUE!</v>
      </c>
      <c r="CA164" t="e">
        <f>AND('Planilla_General_29-11-2012_10_'!C2460,"AAAAAHv/j04=")</f>
        <v>#VALUE!</v>
      </c>
      <c r="CB164" t="e">
        <f>AND('Planilla_General_29-11-2012_10_'!D2460,"AAAAAHv/j08=")</f>
        <v>#VALUE!</v>
      </c>
      <c r="CC164" t="e">
        <f>AND('Planilla_General_29-11-2012_10_'!E2460,"AAAAAHv/j1A=")</f>
        <v>#VALUE!</v>
      </c>
      <c r="CD164" t="e">
        <f>AND('Planilla_General_29-11-2012_10_'!F2460,"AAAAAHv/j1E=")</f>
        <v>#VALUE!</v>
      </c>
      <c r="CE164" t="e">
        <f>AND('Planilla_General_29-11-2012_10_'!G2460,"AAAAAHv/j1I=")</f>
        <v>#VALUE!</v>
      </c>
      <c r="CF164" t="e">
        <f>AND('Planilla_General_29-11-2012_10_'!H2460,"AAAAAHv/j1M=")</f>
        <v>#VALUE!</v>
      </c>
      <c r="CG164" t="e">
        <f>AND('Planilla_General_29-11-2012_10_'!I2460,"AAAAAHv/j1Q=")</f>
        <v>#VALUE!</v>
      </c>
      <c r="CH164" t="e">
        <f>AND('Planilla_General_29-11-2012_10_'!J2460,"AAAAAHv/j1U=")</f>
        <v>#VALUE!</v>
      </c>
      <c r="CI164" t="e">
        <f>AND('Planilla_General_29-11-2012_10_'!K2460,"AAAAAHv/j1Y=")</f>
        <v>#VALUE!</v>
      </c>
      <c r="CJ164" t="e">
        <f>AND('Planilla_General_29-11-2012_10_'!L2460,"AAAAAHv/j1c=")</f>
        <v>#VALUE!</v>
      </c>
      <c r="CK164" t="e">
        <f>AND('Planilla_General_29-11-2012_10_'!M2460,"AAAAAHv/j1g=")</f>
        <v>#VALUE!</v>
      </c>
      <c r="CL164" t="e">
        <f>AND('Planilla_General_29-11-2012_10_'!N2460,"AAAAAHv/j1k=")</f>
        <v>#VALUE!</v>
      </c>
      <c r="CM164" t="e">
        <f>AND('Planilla_General_29-11-2012_10_'!O2460,"AAAAAHv/j1o=")</f>
        <v>#VALUE!</v>
      </c>
      <c r="CN164" t="e">
        <f>AND('Planilla_General_29-11-2012_10_'!P2460,"AAAAAHv/j1s=")</f>
        <v>#VALUE!</v>
      </c>
      <c r="CO164">
        <f>IF('Planilla_General_29-11-2012_10_'!2461:2461,"AAAAAHv/j1w=",0)</f>
        <v>0</v>
      </c>
      <c r="CP164" t="e">
        <f>AND('Planilla_General_29-11-2012_10_'!A2461,"AAAAAHv/j10=")</f>
        <v>#VALUE!</v>
      </c>
      <c r="CQ164" t="e">
        <f>AND('Planilla_General_29-11-2012_10_'!B2461,"AAAAAHv/j14=")</f>
        <v>#VALUE!</v>
      </c>
      <c r="CR164" t="e">
        <f>AND('Planilla_General_29-11-2012_10_'!C2461,"AAAAAHv/j18=")</f>
        <v>#VALUE!</v>
      </c>
      <c r="CS164" t="e">
        <f>AND('Planilla_General_29-11-2012_10_'!D2461,"AAAAAHv/j2A=")</f>
        <v>#VALUE!</v>
      </c>
      <c r="CT164" t="e">
        <f>AND('Planilla_General_29-11-2012_10_'!E2461,"AAAAAHv/j2E=")</f>
        <v>#VALUE!</v>
      </c>
      <c r="CU164" t="e">
        <f>AND('Planilla_General_29-11-2012_10_'!F2461,"AAAAAHv/j2I=")</f>
        <v>#VALUE!</v>
      </c>
      <c r="CV164" t="e">
        <f>AND('Planilla_General_29-11-2012_10_'!G2461,"AAAAAHv/j2M=")</f>
        <v>#VALUE!</v>
      </c>
      <c r="CW164" t="e">
        <f>AND('Planilla_General_29-11-2012_10_'!H2461,"AAAAAHv/j2Q=")</f>
        <v>#VALUE!</v>
      </c>
      <c r="CX164" t="e">
        <f>AND('Planilla_General_29-11-2012_10_'!I2461,"AAAAAHv/j2U=")</f>
        <v>#VALUE!</v>
      </c>
      <c r="CY164" t="e">
        <f>AND('Planilla_General_29-11-2012_10_'!J2461,"AAAAAHv/j2Y=")</f>
        <v>#VALUE!</v>
      </c>
      <c r="CZ164" t="e">
        <f>AND('Planilla_General_29-11-2012_10_'!K2461,"AAAAAHv/j2c=")</f>
        <v>#VALUE!</v>
      </c>
      <c r="DA164" t="e">
        <f>AND('Planilla_General_29-11-2012_10_'!L2461,"AAAAAHv/j2g=")</f>
        <v>#VALUE!</v>
      </c>
      <c r="DB164" t="e">
        <f>AND('Planilla_General_29-11-2012_10_'!M2461,"AAAAAHv/j2k=")</f>
        <v>#VALUE!</v>
      </c>
      <c r="DC164" t="e">
        <f>AND('Planilla_General_29-11-2012_10_'!N2461,"AAAAAHv/j2o=")</f>
        <v>#VALUE!</v>
      </c>
      <c r="DD164" t="e">
        <f>AND('Planilla_General_29-11-2012_10_'!O2461,"AAAAAHv/j2s=")</f>
        <v>#VALUE!</v>
      </c>
      <c r="DE164" t="e">
        <f>AND('Planilla_General_29-11-2012_10_'!P2461,"AAAAAHv/j2w=")</f>
        <v>#VALUE!</v>
      </c>
      <c r="DF164">
        <f>IF('Planilla_General_29-11-2012_10_'!2462:2462,"AAAAAHv/j20=",0)</f>
        <v>0</v>
      </c>
      <c r="DG164" t="e">
        <f>AND('Planilla_General_29-11-2012_10_'!A2462,"AAAAAHv/j24=")</f>
        <v>#VALUE!</v>
      </c>
      <c r="DH164" t="e">
        <f>AND('Planilla_General_29-11-2012_10_'!B2462,"AAAAAHv/j28=")</f>
        <v>#VALUE!</v>
      </c>
      <c r="DI164" t="e">
        <f>AND('Planilla_General_29-11-2012_10_'!C2462,"AAAAAHv/j3A=")</f>
        <v>#VALUE!</v>
      </c>
      <c r="DJ164" t="e">
        <f>AND('Planilla_General_29-11-2012_10_'!D2462,"AAAAAHv/j3E=")</f>
        <v>#VALUE!</v>
      </c>
      <c r="DK164" t="e">
        <f>AND('Planilla_General_29-11-2012_10_'!E2462,"AAAAAHv/j3I=")</f>
        <v>#VALUE!</v>
      </c>
      <c r="DL164" t="e">
        <f>AND('Planilla_General_29-11-2012_10_'!F2462,"AAAAAHv/j3M=")</f>
        <v>#VALUE!</v>
      </c>
      <c r="DM164" t="e">
        <f>AND('Planilla_General_29-11-2012_10_'!G2462,"AAAAAHv/j3Q=")</f>
        <v>#VALUE!</v>
      </c>
      <c r="DN164" t="e">
        <f>AND('Planilla_General_29-11-2012_10_'!H2462,"AAAAAHv/j3U=")</f>
        <v>#VALUE!</v>
      </c>
      <c r="DO164" t="e">
        <f>AND('Planilla_General_29-11-2012_10_'!I2462,"AAAAAHv/j3Y=")</f>
        <v>#VALUE!</v>
      </c>
      <c r="DP164" t="e">
        <f>AND('Planilla_General_29-11-2012_10_'!J2462,"AAAAAHv/j3c=")</f>
        <v>#VALUE!</v>
      </c>
      <c r="DQ164" t="e">
        <f>AND('Planilla_General_29-11-2012_10_'!K2462,"AAAAAHv/j3g=")</f>
        <v>#VALUE!</v>
      </c>
      <c r="DR164" t="e">
        <f>AND('Planilla_General_29-11-2012_10_'!L2462,"AAAAAHv/j3k=")</f>
        <v>#VALUE!</v>
      </c>
      <c r="DS164" t="e">
        <f>AND('Planilla_General_29-11-2012_10_'!M2462,"AAAAAHv/j3o=")</f>
        <v>#VALUE!</v>
      </c>
      <c r="DT164" t="e">
        <f>AND('Planilla_General_29-11-2012_10_'!N2462,"AAAAAHv/j3s=")</f>
        <v>#VALUE!</v>
      </c>
      <c r="DU164" t="e">
        <f>AND('Planilla_General_29-11-2012_10_'!O2462,"AAAAAHv/j3w=")</f>
        <v>#VALUE!</v>
      </c>
      <c r="DV164" t="e">
        <f>AND('Planilla_General_29-11-2012_10_'!P2462,"AAAAAHv/j30=")</f>
        <v>#VALUE!</v>
      </c>
      <c r="DW164">
        <f>IF('Planilla_General_29-11-2012_10_'!2463:2463,"AAAAAHv/j34=",0)</f>
        <v>0</v>
      </c>
      <c r="DX164" t="e">
        <f>AND('Planilla_General_29-11-2012_10_'!A2463,"AAAAAHv/j38=")</f>
        <v>#VALUE!</v>
      </c>
      <c r="DY164" t="e">
        <f>AND('Planilla_General_29-11-2012_10_'!B2463,"AAAAAHv/j4A=")</f>
        <v>#VALUE!</v>
      </c>
      <c r="DZ164" t="e">
        <f>AND('Planilla_General_29-11-2012_10_'!C2463,"AAAAAHv/j4E=")</f>
        <v>#VALUE!</v>
      </c>
      <c r="EA164" t="e">
        <f>AND('Planilla_General_29-11-2012_10_'!D2463,"AAAAAHv/j4I=")</f>
        <v>#VALUE!</v>
      </c>
      <c r="EB164" t="e">
        <f>AND('Planilla_General_29-11-2012_10_'!E2463,"AAAAAHv/j4M=")</f>
        <v>#VALUE!</v>
      </c>
      <c r="EC164" t="e">
        <f>AND('Planilla_General_29-11-2012_10_'!F2463,"AAAAAHv/j4Q=")</f>
        <v>#VALUE!</v>
      </c>
      <c r="ED164" t="e">
        <f>AND('Planilla_General_29-11-2012_10_'!G2463,"AAAAAHv/j4U=")</f>
        <v>#VALUE!</v>
      </c>
      <c r="EE164" t="e">
        <f>AND('Planilla_General_29-11-2012_10_'!H2463,"AAAAAHv/j4Y=")</f>
        <v>#VALUE!</v>
      </c>
      <c r="EF164" t="e">
        <f>AND('Planilla_General_29-11-2012_10_'!I2463,"AAAAAHv/j4c=")</f>
        <v>#VALUE!</v>
      </c>
      <c r="EG164" t="e">
        <f>AND('Planilla_General_29-11-2012_10_'!J2463,"AAAAAHv/j4g=")</f>
        <v>#VALUE!</v>
      </c>
      <c r="EH164" t="e">
        <f>AND('Planilla_General_29-11-2012_10_'!K2463,"AAAAAHv/j4k=")</f>
        <v>#VALUE!</v>
      </c>
      <c r="EI164" t="e">
        <f>AND('Planilla_General_29-11-2012_10_'!L2463,"AAAAAHv/j4o=")</f>
        <v>#VALUE!</v>
      </c>
      <c r="EJ164" t="e">
        <f>AND('Planilla_General_29-11-2012_10_'!M2463,"AAAAAHv/j4s=")</f>
        <v>#VALUE!</v>
      </c>
      <c r="EK164" t="e">
        <f>AND('Planilla_General_29-11-2012_10_'!N2463,"AAAAAHv/j4w=")</f>
        <v>#VALUE!</v>
      </c>
      <c r="EL164" t="e">
        <f>AND('Planilla_General_29-11-2012_10_'!O2463,"AAAAAHv/j40=")</f>
        <v>#VALUE!</v>
      </c>
      <c r="EM164" t="e">
        <f>AND('Planilla_General_29-11-2012_10_'!P2463,"AAAAAHv/j44=")</f>
        <v>#VALUE!</v>
      </c>
      <c r="EN164">
        <f>IF('Planilla_General_29-11-2012_10_'!2464:2464,"AAAAAHv/j48=",0)</f>
        <v>0</v>
      </c>
      <c r="EO164" t="e">
        <f>AND('Planilla_General_29-11-2012_10_'!A2464,"AAAAAHv/j5A=")</f>
        <v>#VALUE!</v>
      </c>
      <c r="EP164" t="e">
        <f>AND('Planilla_General_29-11-2012_10_'!B2464,"AAAAAHv/j5E=")</f>
        <v>#VALUE!</v>
      </c>
      <c r="EQ164" t="e">
        <f>AND('Planilla_General_29-11-2012_10_'!C2464,"AAAAAHv/j5I=")</f>
        <v>#VALUE!</v>
      </c>
      <c r="ER164" t="e">
        <f>AND('Planilla_General_29-11-2012_10_'!D2464,"AAAAAHv/j5M=")</f>
        <v>#VALUE!</v>
      </c>
      <c r="ES164" t="e">
        <f>AND('Planilla_General_29-11-2012_10_'!E2464,"AAAAAHv/j5Q=")</f>
        <v>#VALUE!</v>
      </c>
      <c r="ET164" t="e">
        <f>AND('Planilla_General_29-11-2012_10_'!F2464,"AAAAAHv/j5U=")</f>
        <v>#VALUE!</v>
      </c>
      <c r="EU164" t="e">
        <f>AND('Planilla_General_29-11-2012_10_'!G2464,"AAAAAHv/j5Y=")</f>
        <v>#VALUE!</v>
      </c>
      <c r="EV164" t="e">
        <f>AND('Planilla_General_29-11-2012_10_'!H2464,"AAAAAHv/j5c=")</f>
        <v>#VALUE!</v>
      </c>
      <c r="EW164" t="e">
        <f>AND('Planilla_General_29-11-2012_10_'!I2464,"AAAAAHv/j5g=")</f>
        <v>#VALUE!</v>
      </c>
      <c r="EX164" t="e">
        <f>AND('Planilla_General_29-11-2012_10_'!J2464,"AAAAAHv/j5k=")</f>
        <v>#VALUE!</v>
      </c>
      <c r="EY164" t="e">
        <f>AND('Planilla_General_29-11-2012_10_'!K2464,"AAAAAHv/j5o=")</f>
        <v>#VALUE!</v>
      </c>
      <c r="EZ164" t="e">
        <f>AND('Planilla_General_29-11-2012_10_'!L2464,"AAAAAHv/j5s=")</f>
        <v>#VALUE!</v>
      </c>
      <c r="FA164" t="e">
        <f>AND('Planilla_General_29-11-2012_10_'!M2464,"AAAAAHv/j5w=")</f>
        <v>#VALUE!</v>
      </c>
      <c r="FB164" t="e">
        <f>AND('Planilla_General_29-11-2012_10_'!N2464,"AAAAAHv/j50=")</f>
        <v>#VALUE!</v>
      </c>
      <c r="FC164" t="e">
        <f>AND('Planilla_General_29-11-2012_10_'!O2464,"AAAAAHv/j54=")</f>
        <v>#VALUE!</v>
      </c>
      <c r="FD164" t="e">
        <f>AND('Planilla_General_29-11-2012_10_'!P2464,"AAAAAHv/j58=")</f>
        <v>#VALUE!</v>
      </c>
      <c r="FE164">
        <f>IF('Planilla_General_29-11-2012_10_'!2465:2465,"AAAAAHv/j6A=",0)</f>
        <v>0</v>
      </c>
      <c r="FF164" t="e">
        <f>AND('Planilla_General_29-11-2012_10_'!A2465,"AAAAAHv/j6E=")</f>
        <v>#VALUE!</v>
      </c>
      <c r="FG164" t="e">
        <f>AND('Planilla_General_29-11-2012_10_'!B2465,"AAAAAHv/j6I=")</f>
        <v>#VALUE!</v>
      </c>
      <c r="FH164" t="e">
        <f>AND('Planilla_General_29-11-2012_10_'!C2465,"AAAAAHv/j6M=")</f>
        <v>#VALUE!</v>
      </c>
      <c r="FI164" t="e">
        <f>AND('Planilla_General_29-11-2012_10_'!D2465,"AAAAAHv/j6Q=")</f>
        <v>#VALUE!</v>
      </c>
      <c r="FJ164" t="e">
        <f>AND('Planilla_General_29-11-2012_10_'!E2465,"AAAAAHv/j6U=")</f>
        <v>#VALUE!</v>
      </c>
      <c r="FK164" t="e">
        <f>AND('Planilla_General_29-11-2012_10_'!F2465,"AAAAAHv/j6Y=")</f>
        <v>#VALUE!</v>
      </c>
      <c r="FL164" t="e">
        <f>AND('Planilla_General_29-11-2012_10_'!G2465,"AAAAAHv/j6c=")</f>
        <v>#VALUE!</v>
      </c>
      <c r="FM164" t="e">
        <f>AND('Planilla_General_29-11-2012_10_'!H2465,"AAAAAHv/j6g=")</f>
        <v>#VALUE!</v>
      </c>
      <c r="FN164" t="e">
        <f>AND('Planilla_General_29-11-2012_10_'!I2465,"AAAAAHv/j6k=")</f>
        <v>#VALUE!</v>
      </c>
      <c r="FO164" t="e">
        <f>AND('Planilla_General_29-11-2012_10_'!J2465,"AAAAAHv/j6o=")</f>
        <v>#VALUE!</v>
      </c>
      <c r="FP164" t="e">
        <f>AND('Planilla_General_29-11-2012_10_'!K2465,"AAAAAHv/j6s=")</f>
        <v>#VALUE!</v>
      </c>
      <c r="FQ164" t="e">
        <f>AND('Planilla_General_29-11-2012_10_'!L2465,"AAAAAHv/j6w=")</f>
        <v>#VALUE!</v>
      </c>
      <c r="FR164" t="e">
        <f>AND('Planilla_General_29-11-2012_10_'!M2465,"AAAAAHv/j60=")</f>
        <v>#VALUE!</v>
      </c>
      <c r="FS164" t="e">
        <f>AND('Planilla_General_29-11-2012_10_'!N2465,"AAAAAHv/j64=")</f>
        <v>#VALUE!</v>
      </c>
      <c r="FT164" t="e">
        <f>AND('Planilla_General_29-11-2012_10_'!O2465,"AAAAAHv/j68=")</f>
        <v>#VALUE!</v>
      </c>
      <c r="FU164" t="e">
        <f>AND('Planilla_General_29-11-2012_10_'!P2465,"AAAAAHv/j7A=")</f>
        <v>#VALUE!</v>
      </c>
      <c r="FV164">
        <f>IF('Planilla_General_29-11-2012_10_'!2466:2466,"AAAAAHv/j7E=",0)</f>
        <v>0</v>
      </c>
      <c r="FW164" t="e">
        <f>AND('Planilla_General_29-11-2012_10_'!A2466,"AAAAAHv/j7I=")</f>
        <v>#VALUE!</v>
      </c>
      <c r="FX164" t="e">
        <f>AND('Planilla_General_29-11-2012_10_'!B2466,"AAAAAHv/j7M=")</f>
        <v>#VALUE!</v>
      </c>
      <c r="FY164" t="e">
        <f>AND('Planilla_General_29-11-2012_10_'!C2466,"AAAAAHv/j7Q=")</f>
        <v>#VALUE!</v>
      </c>
      <c r="FZ164" t="e">
        <f>AND('Planilla_General_29-11-2012_10_'!D2466,"AAAAAHv/j7U=")</f>
        <v>#VALUE!</v>
      </c>
      <c r="GA164" t="e">
        <f>AND('Planilla_General_29-11-2012_10_'!E2466,"AAAAAHv/j7Y=")</f>
        <v>#VALUE!</v>
      </c>
      <c r="GB164" t="e">
        <f>AND('Planilla_General_29-11-2012_10_'!F2466,"AAAAAHv/j7c=")</f>
        <v>#VALUE!</v>
      </c>
      <c r="GC164" t="e">
        <f>AND('Planilla_General_29-11-2012_10_'!G2466,"AAAAAHv/j7g=")</f>
        <v>#VALUE!</v>
      </c>
      <c r="GD164" t="e">
        <f>AND('Planilla_General_29-11-2012_10_'!H2466,"AAAAAHv/j7k=")</f>
        <v>#VALUE!</v>
      </c>
      <c r="GE164" t="e">
        <f>AND('Planilla_General_29-11-2012_10_'!I2466,"AAAAAHv/j7o=")</f>
        <v>#VALUE!</v>
      </c>
      <c r="GF164" t="e">
        <f>AND('Planilla_General_29-11-2012_10_'!J2466,"AAAAAHv/j7s=")</f>
        <v>#VALUE!</v>
      </c>
      <c r="GG164" t="e">
        <f>AND('Planilla_General_29-11-2012_10_'!K2466,"AAAAAHv/j7w=")</f>
        <v>#VALUE!</v>
      </c>
      <c r="GH164" t="e">
        <f>AND('Planilla_General_29-11-2012_10_'!L2466,"AAAAAHv/j70=")</f>
        <v>#VALUE!</v>
      </c>
      <c r="GI164" t="e">
        <f>AND('Planilla_General_29-11-2012_10_'!M2466,"AAAAAHv/j74=")</f>
        <v>#VALUE!</v>
      </c>
      <c r="GJ164" t="e">
        <f>AND('Planilla_General_29-11-2012_10_'!N2466,"AAAAAHv/j78=")</f>
        <v>#VALUE!</v>
      </c>
      <c r="GK164" t="e">
        <f>AND('Planilla_General_29-11-2012_10_'!O2466,"AAAAAHv/j8A=")</f>
        <v>#VALUE!</v>
      </c>
      <c r="GL164" t="e">
        <f>AND('Planilla_General_29-11-2012_10_'!P2466,"AAAAAHv/j8E=")</f>
        <v>#VALUE!</v>
      </c>
      <c r="GM164">
        <f>IF('Planilla_General_29-11-2012_10_'!2467:2467,"AAAAAHv/j8I=",0)</f>
        <v>0</v>
      </c>
      <c r="GN164" t="e">
        <f>AND('Planilla_General_29-11-2012_10_'!A2467,"AAAAAHv/j8M=")</f>
        <v>#VALUE!</v>
      </c>
      <c r="GO164" t="e">
        <f>AND('Planilla_General_29-11-2012_10_'!B2467,"AAAAAHv/j8Q=")</f>
        <v>#VALUE!</v>
      </c>
      <c r="GP164" t="e">
        <f>AND('Planilla_General_29-11-2012_10_'!C2467,"AAAAAHv/j8U=")</f>
        <v>#VALUE!</v>
      </c>
      <c r="GQ164" t="e">
        <f>AND('Planilla_General_29-11-2012_10_'!D2467,"AAAAAHv/j8Y=")</f>
        <v>#VALUE!</v>
      </c>
      <c r="GR164" t="e">
        <f>AND('Planilla_General_29-11-2012_10_'!E2467,"AAAAAHv/j8c=")</f>
        <v>#VALUE!</v>
      </c>
      <c r="GS164" t="e">
        <f>AND('Planilla_General_29-11-2012_10_'!F2467,"AAAAAHv/j8g=")</f>
        <v>#VALUE!</v>
      </c>
      <c r="GT164" t="e">
        <f>AND('Planilla_General_29-11-2012_10_'!G2467,"AAAAAHv/j8k=")</f>
        <v>#VALUE!</v>
      </c>
      <c r="GU164" t="e">
        <f>AND('Planilla_General_29-11-2012_10_'!H2467,"AAAAAHv/j8o=")</f>
        <v>#VALUE!</v>
      </c>
      <c r="GV164" t="e">
        <f>AND('Planilla_General_29-11-2012_10_'!I2467,"AAAAAHv/j8s=")</f>
        <v>#VALUE!</v>
      </c>
      <c r="GW164" t="e">
        <f>AND('Planilla_General_29-11-2012_10_'!J2467,"AAAAAHv/j8w=")</f>
        <v>#VALUE!</v>
      </c>
      <c r="GX164" t="e">
        <f>AND('Planilla_General_29-11-2012_10_'!K2467,"AAAAAHv/j80=")</f>
        <v>#VALUE!</v>
      </c>
      <c r="GY164" t="e">
        <f>AND('Planilla_General_29-11-2012_10_'!L2467,"AAAAAHv/j84=")</f>
        <v>#VALUE!</v>
      </c>
      <c r="GZ164" t="e">
        <f>AND('Planilla_General_29-11-2012_10_'!M2467,"AAAAAHv/j88=")</f>
        <v>#VALUE!</v>
      </c>
      <c r="HA164" t="e">
        <f>AND('Planilla_General_29-11-2012_10_'!N2467,"AAAAAHv/j9A=")</f>
        <v>#VALUE!</v>
      </c>
      <c r="HB164" t="e">
        <f>AND('Planilla_General_29-11-2012_10_'!O2467,"AAAAAHv/j9E=")</f>
        <v>#VALUE!</v>
      </c>
      <c r="HC164" t="e">
        <f>AND('Planilla_General_29-11-2012_10_'!P2467,"AAAAAHv/j9I=")</f>
        <v>#VALUE!</v>
      </c>
      <c r="HD164">
        <f>IF('Planilla_General_29-11-2012_10_'!2468:2468,"AAAAAHv/j9M=",0)</f>
        <v>0</v>
      </c>
      <c r="HE164" t="e">
        <f>AND('Planilla_General_29-11-2012_10_'!A2468,"AAAAAHv/j9Q=")</f>
        <v>#VALUE!</v>
      </c>
      <c r="HF164" t="e">
        <f>AND('Planilla_General_29-11-2012_10_'!B2468,"AAAAAHv/j9U=")</f>
        <v>#VALUE!</v>
      </c>
      <c r="HG164" t="e">
        <f>AND('Planilla_General_29-11-2012_10_'!C2468,"AAAAAHv/j9Y=")</f>
        <v>#VALUE!</v>
      </c>
      <c r="HH164" t="e">
        <f>AND('Planilla_General_29-11-2012_10_'!D2468,"AAAAAHv/j9c=")</f>
        <v>#VALUE!</v>
      </c>
      <c r="HI164" t="e">
        <f>AND('Planilla_General_29-11-2012_10_'!E2468,"AAAAAHv/j9g=")</f>
        <v>#VALUE!</v>
      </c>
      <c r="HJ164" t="e">
        <f>AND('Planilla_General_29-11-2012_10_'!F2468,"AAAAAHv/j9k=")</f>
        <v>#VALUE!</v>
      </c>
      <c r="HK164" t="e">
        <f>AND('Planilla_General_29-11-2012_10_'!G2468,"AAAAAHv/j9o=")</f>
        <v>#VALUE!</v>
      </c>
      <c r="HL164" t="e">
        <f>AND('Planilla_General_29-11-2012_10_'!H2468,"AAAAAHv/j9s=")</f>
        <v>#VALUE!</v>
      </c>
      <c r="HM164" t="e">
        <f>AND('Planilla_General_29-11-2012_10_'!I2468,"AAAAAHv/j9w=")</f>
        <v>#VALUE!</v>
      </c>
      <c r="HN164" t="e">
        <f>AND('Planilla_General_29-11-2012_10_'!J2468,"AAAAAHv/j90=")</f>
        <v>#VALUE!</v>
      </c>
      <c r="HO164" t="e">
        <f>AND('Planilla_General_29-11-2012_10_'!K2468,"AAAAAHv/j94=")</f>
        <v>#VALUE!</v>
      </c>
      <c r="HP164" t="e">
        <f>AND('Planilla_General_29-11-2012_10_'!L2468,"AAAAAHv/j98=")</f>
        <v>#VALUE!</v>
      </c>
      <c r="HQ164" t="e">
        <f>AND('Planilla_General_29-11-2012_10_'!M2468,"AAAAAHv/j+A=")</f>
        <v>#VALUE!</v>
      </c>
      <c r="HR164" t="e">
        <f>AND('Planilla_General_29-11-2012_10_'!N2468,"AAAAAHv/j+E=")</f>
        <v>#VALUE!</v>
      </c>
      <c r="HS164" t="e">
        <f>AND('Planilla_General_29-11-2012_10_'!O2468,"AAAAAHv/j+I=")</f>
        <v>#VALUE!</v>
      </c>
      <c r="HT164" t="e">
        <f>AND('Planilla_General_29-11-2012_10_'!P2468,"AAAAAHv/j+M=")</f>
        <v>#VALUE!</v>
      </c>
      <c r="HU164">
        <f>IF('Planilla_General_29-11-2012_10_'!2469:2469,"AAAAAHv/j+Q=",0)</f>
        <v>0</v>
      </c>
      <c r="HV164" t="e">
        <f>AND('Planilla_General_29-11-2012_10_'!A2469,"AAAAAHv/j+U=")</f>
        <v>#VALUE!</v>
      </c>
      <c r="HW164" t="e">
        <f>AND('Planilla_General_29-11-2012_10_'!B2469,"AAAAAHv/j+Y=")</f>
        <v>#VALUE!</v>
      </c>
      <c r="HX164" t="e">
        <f>AND('Planilla_General_29-11-2012_10_'!C2469,"AAAAAHv/j+c=")</f>
        <v>#VALUE!</v>
      </c>
      <c r="HY164" t="e">
        <f>AND('Planilla_General_29-11-2012_10_'!D2469,"AAAAAHv/j+g=")</f>
        <v>#VALUE!</v>
      </c>
      <c r="HZ164" t="e">
        <f>AND('Planilla_General_29-11-2012_10_'!E2469,"AAAAAHv/j+k=")</f>
        <v>#VALUE!</v>
      </c>
      <c r="IA164" t="e">
        <f>AND('Planilla_General_29-11-2012_10_'!F2469,"AAAAAHv/j+o=")</f>
        <v>#VALUE!</v>
      </c>
      <c r="IB164" t="e">
        <f>AND('Planilla_General_29-11-2012_10_'!G2469,"AAAAAHv/j+s=")</f>
        <v>#VALUE!</v>
      </c>
      <c r="IC164" t="e">
        <f>AND('Planilla_General_29-11-2012_10_'!H2469,"AAAAAHv/j+w=")</f>
        <v>#VALUE!</v>
      </c>
      <c r="ID164" t="e">
        <f>AND('Planilla_General_29-11-2012_10_'!I2469,"AAAAAHv/j+0=")</f>
        <v>#VALUE!</v>
      </c>
      <c r="IE164" t="e">
        <f>AND('Planilla_General_29-11-2012_10_'!J2469,"AAAAAHv/j+4=")</f>
        <v>#VALUE!</v>
      </c>
      <c r="IF164" t="e">
        <f>AND('Planilla_General_29-11-2012_10_'!K2469,"AAAAAHv/j+8=")</f>
        <v>#VALUE!</v>
      </c>
      <c r="IG164" t="e">
        <f>AND('Planilla_General_29-11-2012_10_'!L2469,"AAAAAHv/j/A=")</f>
        <v>#VALUE!</v>
      </c>
      <c r="IH164" t="e">
        <f>AND('Planilla_General_29-11-2012_10_'!M2469,"AAAAAHv/j/E=")</f>
        <v>#VALUE!</v>
      </c>
      <c r="II164" t="e">
        <f>AND('Planilla_General_29-11-2012_10_'!N2469,"AAAAAHv/j/I=")</f>
        <v>#VALUE!</v>
      </c>
      <c r="IJ164" t="e">
        <f>AND('Planilla_General_29-11-2012_10_'!O2469,"AAAAAHv/j/M=")</f>
        <v>#VALUE!</v>
      </c>
      <c r="IK164" t="e">
        <f>AND('Planilla_General_29-11-2012_10_'!P2469,"AAAAAHv/j/Q=")</f>
        <v>#VALUE!</v>
      </c>
      <c r="IL164">
        <f>IF('Planilla_General_29-11-2012_10_'!2470:2470,"AAAAAHv/j/U=",0)</f>
        <v>0</v>
      </c>
      <c r="IM164" t="e">
        <f>AND('Planilla_General_29-11-2012_10_'!A2470,"AAAAAHv/j/Y=")</f>
        <v>#VALUE!</v>
      </c>
      <c r="IN164" t="e">
        <f>AND('Planilla_General_29-11-2012_10_'!B2470,"AAAAAHv/j/c=")</f>
        <v>#VALUE!</v>
      </c>
      <c r="IO164" t="e">
        <f>AND('Planilla_General_29-11-2012_10_'!C2470,"AAAAAHv/j/g=")</f>
        <v>#VALUE!</v>
      </c>
      <c r="IP164" t="e">
        <f>AND('Planilla_General_29-11-2012_10_'!D2470,"AAAAAHv/j/k=")</f>
        <v>#VALUE!</v>
      </c>
      <c r="IQ164" t="e">
        <f>AND('Planilla_General_29-11-2012_10_'!E2470,"AAAAAHv/j/o=")</f>
        <v>#VALUE!</v>
      </c>
      <c r="IR164" t="e">
        <f>AND('Planilla_General_29-11-2012_10_'!F2470,"AAAAAHv/j/s=")</f>
        <v>#VALUE!</v>
      </c>
      <c r="IS164" t="e">
        <f>AND('Planilla_General_29-11-2012_10_'!G2470,"AAAAAHv/j/w=")</f>
        <v>#VALUE!</v>
      </c>
      <c r="IT164" t="e">
        <f>AND('Planilla_General_29-11-2012_10_'!H2470,"AAAAAHv/j/0=")</f>
        <v>#VALUE!</v>
      </c>
      <c r="IU164" t="e">
        <f>AND('Planilla_General_29-11-2012_10_'!I2470,"AAAAAHv/j/4=")</f>
        <v>#VALUE!</v>
      </c>
      <c r="IV164" t="e">
        <f>AND('Planilla_General_29-11-2012_10_'!J2470,"AAAAAHv/j/8=")</f>
        <v>#VALUE!</v>
      </c>
    </row>
    <row r="165" spans="1:256" x14ac:dyDescent="0.25">
      <c r="A165" t="e">
        <f>AND('Planilla_General_29-11-2012_10_'!K2470,"AAAAAG9/7wA=")</f>
        <v>#VALUE!</v>
      </c>
      <c r="B165" t="e">
        <f>AND('Planilla_General_29-11-2012_10_'!L2470,"AAAAAG9/7wE=")</f>
        <v>#VALUE!</v>
      </c>
      <c r="C165" t="e">
        <f>AND('Planilla_General_29-11-2012_10_'!M2470,"AAAAAG9/7wI=")</f>
        <v>#VALUE!</v>
      </c>
      <c r="D165" t="e">
        <f>AND('Planilla_General_29-11-2012_10_'!N2470,"AAAAAG9/7wM=")</f>
        <v>#VALUE!</v>
      </c>
      <c r="E165" t="e">
        <f>AND('Planilla_General_29-11-2012_10_'!O2470,"AAAAAG9/7wQ=")</f>
        <v>#VALUE!</v>
      </c>
      <c r="F165" t="e">
        <f>AND('Planilla_General_29-11-2012_10_'!P2470,"AAAAAG9/7wU=")</f>
        <v>#VALUE!</v>
      </c>
      <c r="G165" t="e">
        <f>IF('Planilla_General_29-11-2012_10_'!2471:2471,"AAAAAG9/7wY=",0)</f>
        <v>#VALUE!</v>
      </c>
      <c r="H165" t="e">
        <f>AND('Planilla_General_29-11-2012_10_'!A2471,"AAAAAG9/7wc=")</f>
        <v>#VALUE!</v>
      </c>
      <c r="I165" t="e">
        <f>AND('Planilla_General_29-11-2012_10_'!B2471,"AAAAAG9/7wg=")</f>
        <v>#VALUE!</v>
      </c>
      <c r="J165" t="e">
        <f>AND('Planilla_General_29-11-2012_10_'!C2471,"AAAAAG9/7wk=")</f>
        <v>#VALUE!</v>
      </c>
      <c r="K165" t="e">
        <f>AND('Planilla_General_29-11-2012_10_'!D2471,"AAAAAG9/7wo=")</f>
        <v>#VALUE!</v>
      </c>
      <c r="L165" t="e">
        <f>AND('Planilla_General_29-11-2012_10_'!E2471,"AAAAAG9/7ws=")</f>
        <v>#VALUE!</v>
      </c>
      <c r="M165" t="e">
        <f>AND('Planilla_General_29-11-2012_10_'!F2471,"AAAAAG9/7ww=")</f>
        <v>#VALUE!</v>
      </c>
      <c r="N165" t="e">
        <f>AND('Planilla_General_29-11-2012_10_'!G2471,"AAAAAG9/7w0=")</f>
        <v>#VALUE!</v>
      </c>
      <c r="O165" t="e">
        <f>AND('Planilla_General_29-11-2012_10_'!H2471,"AAAAAG9/7w4=")</f>
        <v>#VALUE!</v>
      </c>
      <c r="P165" t="e">
        <f>AND('Planilla_General_29-11-2012_10_'!I2471,"AAAAAG9/7w8=")</f>
        <v>#VALUE!</v>
      </c>
      <c r="Q165" t="e">
        <f>AND('Planilla_General_29-11-2012_10_'!J2471,"AAAAAG9/7xA=")</f>
        <v>#VALUE!</v>
      </c>
      <c r="R165" t="e">
        <f>AND('Planilla_General_29-11-2012_10_'!K2471,"AAAAAG9/7xE=")</f>
        <v>#VALUE!</v>
      </c>
      <c r="S165" t="e">
        <f>AND('Planilla_General_29-11-2012_10_'!L2471,"AAAAAG9/7xI=")</f>
        <v>#VALUE!</v>
      </c>
      <c r="T165" t="e">
        <f>AND('Planilla_General_29-11-2012_10_'!M2471,"AAAAAG9/7xM=")</f>
        <v>#VALUE!</v>
      </c>
      <c r="U165" t="e">
        <f>AND('Planilla_General_29-11-2012_10_'!N2471,"AAAAAG9/7xQ=")</f>
        <v>#VALUE!</v>
      </c>
      <c r="V165" t="e">
        <f>AND('Planilla_General_29-11-2012_10_'!O2471,"AAAAAG9/7xU=")</f>
        <v>#VALUE!</v>
      </c>
      <c r="W165" t="e">
        <f>AND('Planilla_General_29-11-2012_10_'!P2471,"AAAAAG9/7xY=")</f>
        <v>#VALUE!</v>
      </c>
      <c r="X165">
        <f>IF('Planilla_General_29-11-2012_10_'!2472:2472,"AAAAAG9/7xc=",0)</f>
        <v>0</v>
      </c>
      <c r="Y165" t="e">
        <f>AND('Planilla_General_29-11-2012_10_'!A2472,"AAAAAG9/7xg=")</f>
        <v>#VALUE!</v>
      </c>
      <c r="Z165" t="e">
        <f>AND('Planilla_General_29-11-2012_10_'!B2472,"AAAAAG9/7xk=")</f>
        <v>#VALUE!</v>
      </c>
      <c r="AA165" t="e">
        <f>AND('Planilla_General_29-11-2012_10_'!C2472,"AAAAAG9/7xo=")</f>
        <v>#VALUE!</v>
      </c>
      <c r="AB165" t="e">
        <f>AND('Planilla_General_29-11-2012_10_'!D2472,"AAAAAG9/7xs=")</f>
        <v>#VALUE!</v>
      </c>
      <c r="AC165" t="e">
        <f>AND('Planilla_General_29-11-2012_10_'!E2472,"AAAAAG9/7xw=")</f>
        <v>#VALUE!</v>
      </c>
      <c r="AD165" t="e">
        <f>AND('Planilla_General_29-11-2012_10_'!F2472,"AAAAAG9/7x0=")</f>
        <v>#VALUE!</v>
      </c>
      <c r="AE165" t="e">
        <f>AND('Planilla_General_29-11-2012_10_'!G2472,"AAAAAG9/7x4=")</f>
        <v>#VALUE!</v>
      </c>
      <c r="AF165" t="e">
        <f>AND('Planilla_General_29-11-2012_10_'!H2472,"AAAAAG9/7x8=")</f>
        <v>#VALUE!</v>
      </c>
      <c r="AG165" t="e">
        <f>AND('Planilla_General_29-11-2012_10_'!I2472,"AAAAAG9/7yA=")</f>
        <v>#VALUE!</v>
      </c>
      <c r="AH165" t="e">
        <f>AND('Planilla_General_29-11-2012_10_'!J2472,"AAAAAG9/7yE=")</f>
        <v>#VALUE!</v>
      </c>
      <c r="AI165" t="e">
        <f>AND('Planilla_General_29-11-2012_10_'!K2472,"AAAAAG9/7yI=")</f>
        <v>#VALUE!</v>
      </c>
      <c r="AJ165" t="e">
        <f>AND('Planilla_General_29-11-2012_10_'!L2472,"AAAAAG9/7yM=")</f>
        <v>#VALUE!</v>
      </c>
      <c r="AK165" t="e">
        <f>AND('Planilla_General_29-11-2012_10_'!M2472,"AAAAAG9/7yQ=")</f>
        <v>#VALUE!</v>
      </c>
      <c r="AL165" t="e">
        <f>AND('Planilla_General_29-11-2012_10_'!N2472,"AAAAAG9/7yU=")</f>
        <v>#VALUE!</v>
      </c>
      <c r="AM165" t="e">
        <f>AND('Planilla_General_29-11-2012_10_'!O2472,"AAAAAG9/7yY=")</f>
        <v>#VALUE!</v>
      </c>
      <c r="AN165" t="e">
        <f>AND('Planilla_General_29-11-2012_10_'!P2472,"AAAAAG9/7yc=")</f>
        <v>#VALUE!</v>
      </c>
      <c r="AO165">
        <f>IF('Planilla_General_29-11-2012_10_'!2473:2473,"AAAAAG9/7yg=",0)</f>
        <v>0</v>
      </c>
      <c r="AP165" t="e">
        <f>AND('Planilla_General_29-11-2012_10_'!A2473,"AAAAAG9/7yk=")</f>
        <v>#VALUE!</v>
      </c>
      <c r="AQ165" t="e">
        <f>AND('Planilla_General_29-11-2012_10_'!B2473,"AAAAAG9/7yo=")</f>
        <v>#VALUE!</v>
      </c>
      <c r="AR165" t="e">
        <f>AND('Planilla_General_29-11-2012_10_'!C2473,"AAAAAG9/7ys=")</f>
        <v>#VALUE!</v>
      </c>
      <c r="AS165" t="e">
        <f>AND('Planilla_General_29-11-2012_10_'!D2473,"AAAAAG9/7yw=")</f>
        <v>#VALUE!</v>
      </c>
      <c r="AT165" t="e">
        <f>AND('Planilla_General_29-11-2012_10_'!E2473,"AAAAAG9/7y0=")</f>
        <v>#VALUE!</v>
      </c>
      <c r="AU165" t="e">
        <f>AND('Planilla_General_29-11-2012_10_'!F2473,"AAAAAG9/7y4=")</f>
        <v>#VALUE!</v>
      </c>
      <c r="AV165" t="e">
        <f>AND('Planilla_General_29-11-2012_10_'!G2473,"AAAAAG9/7y8=")</f>
        <v>#VALUE!</v>
      </c>
      <c r="AW165" t="e">
        <f>AND('Planilla_General_29-11-2012_10_'!H2473,"AAAAAG9/7zA=")</f>
        <v>#VALUE!</v>
      </c>
      <c r="AX165" t="e">
        <f>AND('Planilla_General_29-11-2012_10_'!I2473,"AAAAAG9/7zE=")</f>
        <v>#VALUE!</v>
      </c>
      <c r="AY165" t="e">
        <f>AND('Planilla_General_29-11-2012_10_'!J2473,"AAAAAG9/7zI=")</f>
        <v>#VALUE!</v>
      </c>
      <c r="AZ165" t="e">
        <f>AND('Planilla_General_29-11-2012_10_'!K2473,"AAAAAG9/7zM=")</f>
        <v>#VALUE!</v>
      </c>
      <c r="BA165" t="e">
        <f>AND('Planilla_General_29-11-2012_10_'!L2473,"AAAAAG9/7zQ=")</f>
        <v>#VALUE!</v>
      </c>
      <c r="BB165" t="e">
        <f>AND('Planilla_General_29-11-2012_10_'!M2473,"AAAAAG9/7zU=")</f>
        <v>#VALUE!</v>
      </c>
      <c r="BC165" t="e">
        <f>AND('Planilla_General_29-11-2012_10_'!N2473,"AAAAAG9/7zY=")</f>
        <v>#VALUE!</v>
      </c>
      <c r="BD165" t="e">
        <f>AND('Planilla_General_29-11-2012_10_'!O2473,"AAAAAG9/7zc=")</f>
        <v>#VALUE!</v>
      </c>
      <c r="BE165" t="e">
        <f>AND('Planilla_General_29-11-2012_10_'!P2473,"AAAAAG9/7zg=")</f>
        <v>#VALUE!</v>
      </c>
      <c r="BF165">
        <f>IF('Planilla_General_29-11-2012_10_'!2474:2474,"AAAAAG9/7zk=",0)</f>
        <v>0</v>
      </c>
      <c r="BG165" t="e">
        <f>AND('Planilla_General_29-11-2012_10_'!A2474,"AAAAAG9/7zo=")</f>
        <v>#VALUE!</v>
      </c>
      <c r="BH165" t="e">
        <f>AND('Planilla_General_29-11-2012_10_'!B2474,"AAAAAG9/7zs=")</f>
        <v>#VALUE!</v>
      </c>
      <c r="BI165" t="e">
        <f>AND('Planilla_General_29-11-2012_10_'!C2474,"AAAAAG9/7zw=")</f>
        <v>#VALUE!</v>
      </c>
      <c r="BJ165" t="e">
        <f>AND('Planilla_General_29-11-2012_10_'!D2474,"AAAAAG9/7z0=")</f>
        <v>#VALUE!</v>
      </c>
      <c r="BK165" t="e">
        <f>AND('Planilla_General_29-11-2012_10_'!E2474,"AAAAAG9/7z4=")</f>
        <v>#VALUE!</v>
      </c>
      <c r="BL165" t="e">
        <f>AND('Planilla_General_29-11-2012_10_'!F2474,"AAAAAG9/7z8=")</f>
        <v>#VALUE!</v>
      </c>
      <c r="BM165" t="e">
        <f>AND('Planilla_General_29-11-2012_10_'!G2474,"AAAAAG9/70A=")</f>
        <v>#VALUE!</v>
      </c>
      <c r="BN165" t="e">
        <f>AND('Planilla_General_29-11-2012_10_'!H2474,"AAAAAG9/70E=")</f>
        <v>#VALUE!</v>
      </c>
      <c r="BO165" t="e">
        <f>AND('Planilla_General_29-11-2012_10_'!I2474,"AAAAAG9/70I=")</f>
        <v>#VALUE!</v>
      </c>
      <c r="BP165" t="e">
        <f>AND('Planilla_General_29-11-2012_10_'!J2474,"AAAAAG9/70M=")</f>
        <v>#VALUE!</v>
      </c>
      <c r="BQ165" t="e">
        <f>AND('Planilla_General_29-11-2012_10_'!K2474,"AAAAAG9/70Q=")</f>
        <v>#VALUE!</v>
      </c>
      <c r="BR165" t="e">
        <f>AND('Planilla_General_29-11-2012_10_'!L2474,"AAAAAG9/70U=")</f>
        <v>#VALUE!</v>
      </c>
      <c r="BS165" t="e">
        <f>AND('Planilla_General_29-11-2012_10_'!M2474,"AAAAAG9/70Y=")</f>
        <v>#VALUE!</v>
      </c>
      <c r="BT165" t="e">
        <f>AND('Planilla_General_29-11-2012_10_'!N2474,"AAAAAG9/70c=")</f>
        <v>#VALUE!</v>
      </c>
      <c r="BU165" t="e">
        <f>AND('Planilla_General_29-11-2012_10_'!O2474,"AAAAAG9/70g=")</f>
        <v>#VALUE!</v>
      </c>
      <c r="BV165" t="e">
        <f>AND('Planilla_General_29-11-2012_10_'!P2474,"AAAAAG9/70k=")</f>
        <v>#VALUE!</v>
      </c>
      <c r="BW165">
        <f>IF('Planilla_General_29-11-2012_10_'!2475:2475,"AAAAAG9/70o=",0)</f>
        <v>0</v>
      </c>
      <c r="BX165" t="e">
        <f>AND('Planilla_General_29-11-2012_10_'!A2475,"AAAAAG9/70s=")</f>
        <v>#VALUE!</v>
      </c>
      <c r="BY165" t="e">
        <f>AND('Planilla_General_29-11-2012_10_'!B2475,"AAAAAG9/70w=")</f>
        <v>#VALUE!</v>
      </c>
      <c r="BZ165" t="e">
        <f>AND('Planilla_General_29-11-2012_10_'!C2475,"AAAAAG9/700=")</f>
        <v>#VALUE!</v>
      </c>
      <c r="CA165" t="e">
        <f>AND('Planilla_General_29-11-2012_10_'!D2475,"AAAAAG9/704=")</f>
        <v>#VALUE!</v>
      </c>
      <c r="CB165" t="e">
        <f>AND('Planilla_General_29-11-2012_10_'!E2475,"AAAAAG9/708=")</f>
        <v>#VALUE!</v>
      </c>
      <c r="CC165" t="e">
        <f>AND('Planilla_General_29-11-2012_10_'!F2475,"AAAAAG9/71A=")</f>
        <v>#VALUE!</v>
      </c>
      <c r="CD165" t="e">
        <f>AND('Planilla_General_29-11-2012_10_'!G2475,"AAAAAG9/71E=")</f>
        <v>#VALUE!</v>
      </c>
      <c r="CE165" t="e">
        <f>AND('Planilla_General_29-11-2012_10_'!H2475,"AAAAAG9/71I=")</f>
        <v>#VALUE!</v>
      </c>
      <c r="CF165" t="e">
        <f>AND('Planilla_General_29-11-2012_10_'!I2475,"AAAAAG9/71M=")</f>
        <v>#VALUE!</v>
      </c>
      <c r="CG165" t="e">
        <f>AND('Planilla_General_29-11-2012_10_'!J2475,"AAAAAG9/71Q=")</f>
        <v>#VALUE!</v>
      </c>
      <c r="CH165" t="e">
        <f>AND('Planilla_General_29-11-2012_10_'!K2475,"AAAAAG9/71U=")</f>
        <v>#VALUE!</v>
      </c>
      <c r="CI165" t="e">
        <f>AND('Planilla_General_29-11-2012_10_'!L2475,"AAAAAG9/71Y=")</f>
        <v>#VALUE!</v>
      </c>
      <c r="CJ165" t="e">
        <f>AND('Planilla_General_29-11-2012_10_'!M2475,"AAAAAG9/71c=")</f>
        <v>#VALUE!</v>
      </c>
      <c r="CK165" t="e">
        <f>AND('Planilla_General_29-11-2012_10_'!N2475,"AAAAAG9/71g=")</f>
        <v>#VALUE!</v>
      </c>
      <c r="CL165" t="e">
        <f>AND('Planilla_General_29-11-2012_10_'!O2475,"AAAAAG9/71k=")</f>
        <v>#VALUE!</v>
      </c>
      <c r="CM165" t="e">
        <f>AND('Planilla_General_29-11-2012_10_'!P2475,"AAAAAG9/71o=")</f>
        <v>#VALUE!</v>
      </c>
      <c r="CN165">
        <f>IF('Planilla_General_29-11-2012_10_'!2476:2476,"AAAAAG9/71s=",0)</f>
        <v>0</v>
      </c>
      <c r="CO165" t="e">
        <f>AND('Planilla_General_29-11-2012_10_'!A2476,"AAAAAG9/71w=")</f>
        <v>#VALUE!</v>
      </c>
      <c r="CP165" t="e">
        <f>AND('Planilla_General_29-11-2012_10_'!B2476,"AAAAAG9/710=")</f>
        <v>#VALUE!</v>
      </c>
      <c r="CQ165" t="e">
        <f>AND('Planilla_General_29-11-2012_10_'!C2476,"AAAAAG9/714=")</f>
        <v>#VALUE!</v>
      </c>
      <c r="CR165" t="e">
        <f>AND('Planilla_General_29-11-2012_10_'!D2476,"AAAAAG9/718=")</f>
        <v>#VALUE!</v>
      </c>
      <c r="CS165" t="e">
        <f>AND('Planilla_General_29-11-2012_10_'!E2476,"AAAAAG9/72A=")</f>
        <v>#VALUE!</v>
      </c>
      <c r="CT165" t="e">
        <f>AND('Planilla_General_29-11-2012_10_'!F2476,"AAAAAG9/72E=")</f>
        <v>#VALUE!</v>
      </c>
      <c r="CU165" t="e">
        <f>AND('Planilla_General_29-11-2012_10_'!G2476,"AAAAAG9/72I=")</f>
        <v>#VALUE!</v>
      </c>
      <c r="CV165" t="e">
        <f>AND('Planilla_General_29-11-2012_10_'!H2476,"AAAAAG9/72M=")</f>
        <v>#VALUE!</v>
      </c>
      <c r="CW165" t="e">
        <f>AND('Planilla_General_29-11-2012_10_'!I2476,"AAAAAG9/72Q=")</f>
        <v>#VALUE!</v>
      </c>
      <c r="CX165" t="e">
        <f>AND('Planilla_General_29-11-2012_10_'!J2476,"AAAAAG9/72U=")</f>
        <v>#VALUE!</v>
      </c>
      <c r="CY165" t="e">
        <f>AND('Planilla_General_29-11-2012_10_'!K2476,"AAAAAG9/72Y=")</f>
        <v>#VALUE!</v>
      </c>
      <c r="CZ165" t="e">
        <f>AND('Planilla_General_29-11-2012_10_'!L2476,"AAAAAG9/72c=")</f>
        <v>#VALUE!</v>
      </c>
      <c r="DA165" t="e">
        <f>AND('Planilla_General_29-11-2012_10_'!M2476,"AAAAAG9/72g=")</f>
        <v>#VALUE!</v>
      </c>
      <c r="DB165" t="e">
        <f>AND('Planilla_General_29-11-2012_10_'!N2476,"AAAAAG9/72k=")</f>
        <v>#VALUE!</v>
      </c>
      <c r="DC165" t="e">
        <f>AND('Planilla_General_29-11-2012_10_'!O2476,"AAAAAG9/72o=")</f>
        <v>#VALUE!</v>
      </c>
      <c r="DD165" t="e">
        <f>AND('Planilla_General_29-11-2012_10_'!P2476,"AAAAAG9/72s=")</f>
        <v>#VALUE!</v>
      </c>
      <c r="DE165">
        <f>IF('Planilla_General_29-11-2012_10_'!2477:2477,"AAAAAG9/72w=",0)</f>
        <v>0</v>
      </c>
      <c r="DF165" t="e">
        <f>AND('Planilla_General_29-11-2012_10_'!A2477,"AAAAAG9/720=")</f>
        <v>#VALUE!</v>
      </c>
      <c r="DG165" t="e">
        <f>AND('Planilla_General_29-11-2012_10_'!B2477,"AAAAAG9/724=")</f>
        <v>#VALUE!</v>
      </c>
      <c r="DH165" t="e">
        <f>AND('Planilla_General_29-11-2012_10_'!C2477,"AAAAAG9/728=")</f>
        <v>#VALUE!</v>
      </c>
      <c r="DI165" t="e">
        <f>AND('Planilla_General_29-11-2012_10_'!D2477,"AAAAAG9/73A=")</f>
        <v>#VALUE!</v>
      </c>
      <c r="DJ165" t="e">
        <f>AND('Planilla_General_29-11-2012_10_'!E2477,"AAAAAG9/73E=")</f>
        <v>#VALUE!</v>
      </c>
      <c r="DK165" t="e">
        <f>AND('Planilla_General_29-11-2012_10_'!F2477,"AAAAAG9/73I=")</f>
        <v>#VALUE!</v>
      </c>
      <c r="DL165" t="e">
        <f>AND('Planilla_General_29-11-2012_10_'!G2477,"AAAAAG9/73M=")</f>
        <v>#VALUE!</v>
      </c>
      <c r="DM165" t="e">
        <f>AND('Planilla_General_29-11-2012_10_'!H2477,"AAAAAG9/73Q=")</f>
        <v>#VALUE!</v>
      </c>
      <c r="DN165" t="e">
        <f>AND('Planilla_General_29-11-2012_10_'!I2477,"AAAAAG9/73U=")</f>
        <v>#VALUE!</v>
      </c>
      <c r="DO165" t="e">
        <f>AND('Planilla_General_29-11-2012_10_'!J2477,"AAAAAG9/73Y=")</f>
        <v>#VALUE!</v>
      </c>
      <c r="DP165" t="e">
        <f>AND('Planilla_General_29-11-2012_10_'!K2477,"AAAAAG9/73c=")</f>
        <v>#VALUE!</v>
      </c>
      <c r="DQ165" t="e">
        <f>AND('Planilla_General_29-11-2012_10_'!L2477,"AAAAAG9/73g=")</f>
        <v>#VALUE!</v>
      </c>
      <c r="DR165" t="e">
        <f>AND('Planilla_General_29-11-2012_10_'!M2477,"AAAAAG9/73k=")</f>
        <v>#VALUE!</v>
      </c>
      <c r="DS165" t="e">
        <f>AND('Planilla_General_29-11-2012_10_'!N2477,"AAAAAG9/73o=")</f>
        <v>#VALUE!</v>
      </c>
      <c r="DT165" t="e">
        <f>AND('Planilla_General_29-11-2012_10_'!O2477,"AAAAAG9/73s=")</f>
        <v>#VALUE!</v>
      </c>
      <c r="DU165" t="e">
        <f>AND('Planilla_General_29-11-2012_10_'!P2477,"AAAAAG9/73w=")</f>
        <v>#VALUE!</v>
      </c>
      <c r="DV165">
        <f>IF('Planilla_General_29-11-2012_10_'!2478:2478,"AAAAAG9/730=",0)</f>
        <v>0</v>
      </c>
      <c r="DW165" t="e">
        <f>AND('Planilla_General_29-11-2012_10_'!A2478,"AAAAAG9/734=")</f>
        <v>#VALUE!</v>
      </c>
      <c r="DX165" t="e">
        <f>AND('Planilla_General_29-11-2012_10_'!B2478,"AAAAAG9/738=")</f>
        <v>#VALUE!</v>
      </c>
      <c r="DY165" t="e">
        <f>AND('Planilla_General_29-11-2012_10_'!C2478,"AAAAAG9/74A=")</f>
        <v>#VALUE!</v>
      </c>
      <c r="DZ165" t="e">
        <f>AND('Planilla_General_29-11-2012_10_'!D2478,"AAAAAG9/74E=")</f>
        <v>#VALUE!</v>
      </c>
      <c r="EA165" t="e">
        <f>AND('Planilla_General_29-11-2012_10_'!E2478,"AAAAAG9/74I=")</f>
        <v>#VALUE!</v>
      </c>
      <c r="EB165" t="e">
        <f>AND('Planilla_General_29-11-2012_10_'!F2478,"AAAAAG9/74M=")</f>
        <v>#VALUE!</v>
      </c>
      <c r="EC165" t="e">
        <f>AND('Planilla_General_29-11-2012_10_'!G2478,"AAAAAG9/74Q=")</f>
        <v>#VALUE!</v>
      </c>
      <c r="ED165" t="e">
        <f>AND('Planilla_General_29-11-2012_10_'!H2478,"AAAAAG9/74U=")</f>
        <v>#VALUE!</v>
      </c>
      <c r="EE165" t="e">
        <f>AND('Planilla_General_29-11-2012_10_'!I2478,"AAAAAG9/74Y=")</f>
        <v>#VALUE!</v>
      </c>
      <c r="EF165" t="e">
        <f>AND('Planilla_General_29-11-2012_10_'!J2478,"AAAAAG9/74c=")</f>
        <v>#VALUE!</v>
      </c>
      <c r="EG165" t="e">
        <f>AND('Planilla_General_29-11-2012_10_'!K2478,"AAAAAG9/74g=")</f>
        <v>#VALUE!</v>
      </c>
      <c r="EH165" t="e">
        <f>AND('Planilla_General_29-11-2012_10_'!L2478,"AAAAAG9/74k=")</f>
        <v>#VALUE!</v>
      </c>
      <c r="EI165" t="e">
        <f>AND('Planilla_General_29-11-2012_10_'!M2478,"AAAAAG9/74o=")</f>
        <v>#VALUE!</v>
      </c>
      <c r="EJ165" t="e">
        <f>AND('Planilla_General_29-11-2012_10_'!N2478,"AAAAAG9/74s=")</f>
        <v>#VALUE!</v>
      </c>
      <c r="EK165" t="e">
        <f>AND('Planilla_General_29-11-2012_10_'!O2478,"AAAAAG9/74w=")</f>
        <v>#VALUE!</v>
      </c>
      <c r="EL165" t="e">
        <f>AND('Planilla_General_29-11-2012_10_'!P2478,"AAAAAG9/740=")</f>
        <v>#VALUE!</v>
      </c>
      <c r="EM165">
        <f>IF('Planilla_General_29-11-2012_10_'!2479:2479,"AAAAAG9/744=",0)</f>
        <v>0</v>
      </c>
      <c r="EN165" t="e">
        <f>AND('Planilla_General_29-11-2012_10_'!A2479,"AAAAAG9/748=")</f>
        <v>#VALUE!</v>
      </c>
      <c r="EO165" t="e">
        <f>AND('Planilla_General_29-11-2012_10_'!B2479,"AAAAAG9/75A=")</f>
        <v>#VALUE!</v>
      </c>
      <c r="EP165" t="e">
        <f>AND('Planilla_General_29-11-2012_10_'!C2479,"AAAAAG9/75E=")</f>
        <v>#VALUE!</v>
      </c>
      <c r="EQ165" t="e">
        <f>AND('Planilla_General_29-11-2012_10_'!D2479,"AAAAAG9/75I=")</f>
        <v>#VALUE!</v>
      </c>
      <c r="ER165" t="e">
        <f>AND('Planilla_General_29-11-2012_10_'!E2479,"AAAAAG9/75M=")</f>
        <v>#VALUE!</v>
      </c>
      <c r="ES165" t="e">
        <f>AND('Planilla_General_29-11-2012_10_'!F2479,"AAAAAG9/75Q=")</f>
        <v>#VALUE!</v>
      </c>
      <c r="ET165" t="e">
        <f>AND('Planilla_General_29-11-2012_10_'!G2479,"AAAAAG9/75U=")</f>
        <v>#VALUE!</v>
      </c>
      <c r="EU165" t="e">
        <f>AND('Planilla_General_29-11-2012_10_'!H2479,"AAAAAG9/75Y=")</f>
        <v>#VALUE!</v>
      </c>
      <c r="EV165" t="e">
        <f>AND('Planilla_General_29-11-2012_10_'!I2479,"AAAAAG9/75c=")</f>
        <v>#VALUE!</v>
      </c>
      <c r="EW165" t="e">
        <f>AND('Planilla_General_29-11-2012_10_'!J2479,"AAAAAG9/75g=")</f>
        <v>#VALUE!</v>
      </c>
      <c r="EX165" t="e">
        <f>AND('Planilla_General_29-11-2012_10_'!K2479,"AAAAAG9/75k=")</f>
        <v>#VALUE!</v>
      </c>
      <c r="EY165" t="e">
        <f>AND('Planilla_General_29-11-2012_10_'!L2479,"AAAAAG9/75o=")</f>
        <v>#VALUE!</v>
      </c>
      <c r="EZ165" t="e">
        <f>AND('Planilla_General_29-11-2012_10_'!M2479,"AAAAAG9/75s=")</f>
        <v>#VALUE!</v>
      </c>
      <c r="FA165" t="e">
        <f>AND('Planilla_General_29-11-2012_10_'!N2479,"AAAAAG9/75w=")</f>
        <v>#VALUE!</v>
      </c>
      <c r="FB165" t="e">
        <f>AND('Planilla_General_29-11-2012_10_'!O2479,"AAAAAG9/750=")</f>
        <v>#VALUE!</v>
      </c>
      <c r="FC165" t="e">
        <f>AND('Planilla_General_29-11-2012_10_'!P2479,"AAAAAG9/754=")</f>
        <v>#VALUE!</v>
      </c>
      <c r="FD165">
        <f>IF('Planilla_General_29-11-2012_10_'!2480:2480,"AAAAAG9/758=",0)</f>
        <v>0</v>
      </c>
      <c r="FE165" t="e">
        <f>AND('Planilla_General_29-11-2012_10_'!A2480,"AAAAAG9/76A=")</f>
        <v>#VALUE!</v>
      </c>
      <c r="FF165" t="e">
        <f>AND('Planilla_General_29-11-2012_10_'!B2480,"AAAAAG9/76E=")</f>
        <v>#VALUE!</v>
      </c>
      <c r="FG165" t="e">
        <f>AND('Planilla_General_29-11-2012_10_'!C2480,"AAAAAG9/76I=")</f>
        <v>#VALUE!</v>
      </c>
      <c r="FH165" t="e">
        <f>AND('Planilla_General_29-11-2012_10_'!D2480,"AAAAAG9/76M=")</f>
        <v>#VALUE!</v>
      </c>
      <c r="FI165" t="e">
        <f>AND('Planilla_General_29-11-2012_10_'!E2480,"AAAAAG9/76Q=")</f>
        <v>#VALUE!</v>
      </c>
      <c r="FJ165" t="e">
        <f>AND('Planilla_General_29-11-2012_10_'!F2480,"AAAAAG9/76U=")</f>
        <v>#VALUE!</v>
      </c>
      <c r="FK165" t="e">
        <f>AND('Planilla_General_29-11-2012_10_'!G2480,"AAAAAG9/76Y=")</f>
        <v>#VALUE!</v>
      </c>
      <c r="FL165" t="e">
        <f>AND('Planilla_General_29-11-2012_10_'!H2480,"AAAAAG9/76c=")</f>
        <v>#VALUE!</v>
      </c>
      <c r="FM165" t="e">
        <f>AND('Planilla_General_29-11-2012_10_'!I2480,"AAAAAG9/76g=")</f>
        <v>#VALUE!</v>
      </c>
      <c r="FN165" t="e">
        <f>AND('Planilla_General_29-11-2012_10_'!J2480,"AAAAAG9/76k=")</f>
        <v>#VALUE!</v>
      </c>
      <c r="FO165" t="e">
        <f>AND('Planilla_General_29-11-2012_10_'!K2480,"AAAAAG9/76o=")</f>
        <v>#VALUE!</v>
      </c>
      <c r="FP165" t="e">
        <f>AND('Planilla_General_29-11-2012_10_'!L2480,"AAAAAG9/76s=")</f>
        <v>#VALUE!</v>
      </c>
      <c r="FQ165" t="e">
        <f>AND('Planilla_General_29-11-2012_10_'!M2480,"AAAAAG9/76w=")</f>
        <v>#VALUE!</v>
      </c>
      <c r="FR165" t="e">
        <f>AND('Planilla_General_29-11-2012_10_'!N2480,"AAAAAG9/760=")</f>
        <v>#VALUE!</v>
      </c>
      <c r="FS165" t="e">
        <f>AND('Planilla_General_29-11-2012_10_'!O2480,"AAAAAG9/764=")</f>
        <v>#VALUE!</v>
      </c>
      <c r="FT165" t="e">
        <f>AND('Planilla_General_29-11-2012_10_'!P2480,"AAAAAG9/768=")</f>
        <v>#VALUE!</v>
      </c>
      <c r="FU165">
        <f>IF('Planilla_General_29-11-2012_10_'!2481:2481,"AAAAAG9/77A=",0)</f>
        <v>0</v>
      </c>
      <c r="FV165" t="e">
        <f>AND('Planilla_General_29-11-2012_10_'!A2481,"AAAAAG9/77E=")</f>
        <v>#VALUE!</v>
      </c>
      <c r="FW165" t="e">
        <f>AND('Planilla_General_29-11-2012_10_'!B2481,"AAAAAG9/77I=")</f>
        <v>#VALUE!</v>
      </c>
      <c r="FX165" t="e">
        <f>AND('Planilla_General_29-11-2012_10_'!C2481,"AAAAAG9/77M=")</f>
        <v>#VALUE!</v>
      </c>
      <c r="FY165" t="e">
        <f>AND('Planilla_General_29-11-2012_10_'!D2481,"AAAAAG9/77Q=")</f>
        <v>#VALUE!</v>
      </c>
      <c r="FZ165" t="e">
        <f>AND('Planilla_General_29-11-2012_10_'!E2481,"AAAAAG9/77U=")</f>
        <v>#VALUE!</v>
      </c>
      <c r="GA165" t="e">
        <f>AND('Planilla_General_29-11-2012_10_'!F2481,"AAAAAG9/77Y=")</f>
        <v>#VALUE!</v>
      </c>
      <c r="GB165" t="e">
        <f>AND('Planilla_General_29-11-2012_10_'!G2481,"AAAAAG9/77c=")</f>
        <v>#VALUE!</v>
      </c>
      <c r="GC165" t="e">
        <f>AND('Planilla_General_29-11-2012_10_'!H2481,"AAAAAG9/77g=")</f>
        <v>#VALUE!</v>
      </c>
      <c r="GD165" t="e">
        <f>AND('Planilla_General_29-11-2012_10_'!I2481,"AAAAAG9/77k=")</f>
        <v>#VALUE!</v>
      </c>
      <c r="GE165" t="e">
        <f>AND('Planilla_General_29-11-2012_10_'!J2481,"AAAAAG9/77o=")</f>
        <v>#VALUE!</v>
      </c>
      <c r="GF165" t="e">
        <f>AND('Planilla_General_29-11-2012_10_'!K2481,"AAAAAG9/77s=")</f>
        <v>#VALUE!</v>
      </c>
      <c r="GG165" t="e">
        <f>AND('Planilla_General_29-11-2012_10_'!L2481,"AAAAAG9/77w=")</f>
        <v>#VALUE!</v>
      </c>
      <c r="GH165" t="e">
        <f>AND('Planilla_General_29-11-2012_10_'!M2481,"AAAAAG9/770=")</f>
        <v>#VALUE!</v>
      </c>
      <c r="GI165" t="e">
        <f>AND('Planilla_General_29-11-2012_10_'!N2481,"AAAAAG9/774=")</f>
        <v>#VALUE!</v>
      </c>
      <c r="GJ165" t="e">
        <f>AND('Planilla_General_29-11-2012_10_'!O2481,"AAAAAG9/778=")</f>
        <v>#VALUE!</v>
      </c>
      <c r="GK165" t="e">
        <f>AND('Planilla_General_29-11-2012_10_'!P2481,"AAAAAG9/78A=")</f>
        <v>#VALUE!</v>
      </c>
      <c r="GL165">
        <f>IF('Planilla_General_29-11-2012_10_'!2482:2482,"AAAAAG9/78E=",0)</f>
        <v>0</v>
      </c>
      <c r="GM165" t="e">
        <f>AND('Planilla_General_29-11-2012_10_'!A2482,"AAAAAG9/78I=")</f>
        <v>#VALUE!</v>
      </c>
      <c r="GN165" t="e">
        <f>AND('Planilla_General_29-11-2012_10_'!B2482,"AAAAAG9/78M=")</f>
        <v>#VALUE!</v>
      </c>
      <c r="GO165" t="e">
        <f>AND('Planilla_General_29-11-2012_10_'!C2482,"AAAAAG9/78Q=")</f>
        <v>#VALUE!</v>
      </c>
      <c r="GP165" t="e">
        <f>AND('Planilla_General_29-11-2012_10_'!D2482,"AAAAAG9/78U=")</f>
        <v>#VALUE!</v>
      </c>
      <c r="GQ165" t="e">
        <f>AND('Planilla_General_29-11-2012_10_'!E2482,"AAAAAG9/78Y=")</f>
        <v>#VALUE!</v>
      </c>
      <c r="GR165" t="e">
        <f>AND('Planilla_General_29-11-2012_10_'!F2482,"AAAAAG9/78c=")</f>
        <v>#VALUE!</v>
      </c>
      <c r="GS165" t="e">
        <f>AND('Planilla_General_29-11-2012_10_'!G2482,"AAAAAG9/78g=")</f>
        <v>#VALUE!</v>
      </c>
      <c r="GT165" t="e">
        <f>AND('Planilla_General_29-11-2012_10_'!H2482,"AAAAAG9/78k=")</f>
        <v>#VALUE!</v>
      </c>
      <c r="GU165" t="e">
        <f>AND('Planilla_General_29-11-2012_10_'!I2482,"AAAAAG9/78o=")</f>
        <v>#VALUE!</v>
      </c>
      <c r="GV165" t="e">
        <f>AND('Planilla_General_29-11-2012_10_'!J2482,"AAAAAG9/78s=")</f>
        <v>#VALUE!</v>
      </c>
      <c r="GW165" t="e">
        <f>AND('Planilla_General_29-11-2012_10_'!K2482,"AAAAAG9/78w=")</f>
        <v>#VALUE!</v>
      </c>
      <c r="GX165" t="e">
        <f>AND('Planilla_General_29-11-2012_10_'!L2482,"AAAAAG9/780=")</f>
        <v>#VALUE!</v>
      </c>
      <c r="GY165" t="e">
        <f>AND('Planilla_General_29-11-2012_10_'!M2482,"AAAAAG9/784=")</f>
        <v>#VALUE!</v>
      </c>
      <c r="GZ165" t="e">
        <f>AND('Planilla_General_29-11-2012_10_'!N2482,"AAAAAG9/788=")</f>
        <v>#VALUE!</v>
      </c>
      <c r="HA165" t="e">
        <f>AND('Planilla_General_29-11-2012_10_'!O2482,"AAAAAG9/79A=")</f>
        <v>#VALUE!</v>
      </c>
      <c r="HB165" t="e">
        <f>AND('Planilla_General_29-11-2012_10_'!P2482,"AAAAAG9/79E=")</f>
        <v>#VALUE!</v>
      </c>
      <c r="HC165">
        <f>IF('Planilla_General_29-11-2012_10_'!2483:2483,"AAAAAG9/79I=",0)</f>
        <v>0</v>
      </c>
      <c r="HD165" t="e">
        <f>AND('Planilla_General_29-11-2012_10_'!A2483,"AAAAAG9/79M=")</f>
        <v>#VALUE!</v>
      </c>
      <c r="HE165" t="e">
        <f>AND('Planilla_General_29-11-2012_10_'!B2483,"AAAAAG9/79Q=")</f>
        <v>#VALUE!</v>
      </c>
      <c r="HF165" t="e">
        <f>AND('Planilla_General_29-11-2012_10_'!C2483,"AAAAAG9/79U=")</f>
        <v>#VALUE!</v>
      </c>
      <c r="HG165" t="e">
        <f>AND('Planilla_General_29-11-2012_10_'!D2483,"AAAAAG9/79Y=")</f>
        <v>#VALUE!</v>
      </c>
      <c r="HH165" t="e">
        <f>AND('Planilla_General_29-11-2012_10_'!E2483,"AAAAAG9/79c=")</f>
        <v>#VALUE!</v>
      </c>
      <c r="HI165" t="e">
        <f>AND('Planilla_General_29-11-2012_10_'!F2483,"AAAAAG9/79g=")</f>
        <v>#VALUE!</v>
      </c>
      <c r="HJ165" t="e">
        <f>AND('Planilla_General_29-11-2012_10_'!G2483,"AAAAAG9/79k=")</f>
        <v>#VALUE!</v>
      </c>
      <c r="HK165" t="e">
        <f>AND('Planilla_General_29-11-2012_10_'!H2483,"AAAAAG9/79o=")</f>
        <v>#VALUE!</v>
      </c>
      <c r="HL165" t="e">
        <f>AND('Planilla_General_29-11-2012_10_'!I2483,"AAAAAG9/79s=")</f>
        <v>#VALUE!</v>
      </c>
      <c r="HM165" t="e">
        <f>AND('Planilla_General_29-11-2012_10_'!J2483,"AAAAAG9/79w=")</f>
        <v>#VALUE!</v>
      </c>
      <c r="HN165" t="e">
        <f>AND('Planilla_General_29-11-2012_10_'!K2483,"AAAAAG9/790=")</f>
        <v>#VALUE!</v>
      </c>
      <c r="HO165" t="e">
        <f>AND('Planilla_General_29-11-2012_10_'!L2483,"AAAAAG9/794=")</f>
        <v>#VALUE!</v>
      </c>
      <c r="HP165" t="e">
        <f>AND('Planilla_General_29-11-2012_10_'!M2483,"AAAAAG9/798=")</f>
        <v>#VALUE!</v>
      </c>
      <c r="HQ165" t="e">
        <f>AND('Planilla_General_29-11-2012_10_'!N2483,"AAAAAG9/7+A=")</f>
        <v>#VALUE!</v>
      </c>
      <c r="HR165" t="e">
        <f>AND('Planilla_General_29-11-2012_10_'!O2483,"AAAAAG9/7+E=")</f>
        <v>#VALUE!</v>
      </c>
      <c r="HS165" t="e">
        <f>AND('Planilla_General_29-11-2012_10_'!P2483,"AAAAAG9/7+I=")</f>
        <v>#VALUE!</v>
      </c>
      <c r="HT165">
        <f>IF('Planilla_General_29-11-2012_10_'!2484:2484,"AAAAAG9/7+M=",0)</f>
        <v>0</v>
      </c>
      <c r="HU165" t="e">
        <f>AND('Planilla_General_29-11-2012_10_'!A2484,"AAAAAG9/7+Q=")</f>
        <v>#VALUE!</v>
      </c>
      <c r="HV165" t="e">
        <f>AND('Planilla_General_29-11-2012_10_'!B2484,"AAAAAG9/7+U=")</f>
        <v>#VALUE!</v>
      </c>
      <c r="HW165" t="e">
        <f>AND('Planilla_General_29-11-2012_10_'!C2484,"AAAAAG9/7+Y=")</f>
        <v>#VALUE!</v>
      </c>
      <c r="HX165" t="e">
        <f>AND('Planilla_General_29-11-2012_10_'!D2484,"AAAAAG9/7+c=")</f>
        <v>#VALUE!</v>
      </c>
      <c r="HY165" t="e">
        <f>AND('Planilla_General_29-11-2012_10_'!E2484,"AAAAAG9/7+g=")</f>
        <v>#VALUE!</v>
      </c>
      <c r="HZ165" t="e">
        <f>AND('Planilla_General_29-11-2012_10_'!F2484,"AAAAAG9/7+k=")</f>
        <v>#VALUE!</v>
      </c>
      <c r="IA165" t="e">
        <f>AND('Planilla_General_29-11-2012_10_'!G2484,"AAAAAG9/7+o=")</f>
        <v>#VALUE!</v>
      </c>
      <c r="IB165" t="e">
        <f>AND('Planilla_General_29-11-2012_10_'!H2484,"AAAAAG9/7+s=")</f>
        <v>#VALUE!</v>
      </c>
      <c r="IC165" t="e">
        <f>AND('Planilla_General_29-11-2012_10_'!I2484,"AAAAAG9/7+w=")</f>
        <v>#VALUE!</v>
      </c>
      <c r="ID165" t="e">
        <f>AND('Planilla_General_29-11-2012_10_'!J2484,"AAAAAG9/7+0=")</f>
        <v>#VALUE!</v>
      </c>
      <c r="IE165" t="e">
        <f>AND('Planilla_General_29-11-2012_10_'!K2484,"AAAAAG9/7+4=")</f>
        <v>#VALUE!</v>
      </c>
      <c r="IF165" t="e">
        <f>AND('Planilla_General_29-11-2012_10_'!L2484,"AAAAAG9/7+8=")</f>
        <v>#VALUE!</v>
      </c>
      <c r="IG165" t="e">
        <f>AND('Planilla_General_29-11-2012_10_'!M2484,"AAAAAG9/7/A=")</f>
        <v>#VALUE!</v>
      </c>
      <c r="IH165" t="e">
        <f>AND('Planilla_General_29-11-2012_10_'!N2484,"AAAAAG9/7/E=")</f>
        <v>#VALUE!</v>
      </c>
      <c r="II165" t="e">
        <f>AND('Planilla_General_29-11-2012_10_'!O2484,"AAAAAG9/7/I=")</f>
        <v>#VALUE!</v>
      </c>
      <c r="IJ165" t="e">
        <f>AND('Planilla_General_29-11-2012_10_'!P2484,"AAAAAG9/7/M=")</f>
        <v>#VALUE!</v>
      </c>
      <c r="IK165">
        <f>IF('Planilla_General_29-11-2012_10_'!2485:2485,"AAAAAG9/7/Q=",0)</f>
        <v>0</v>
      </c>
      <c r="IL165" t="e">
        <f>AND('Planilla_General_29-11-2012_10_'!A2485,"AAAAAG9/7/U=")</f>
        <v>#VALUE!</v>
      </c>
      <c r="IM165" t="e">
        <f>AND('Planilla_General_29-11-2012_10_'!B2485,"AAAAAG9/7/Y=")</f>
        <v>#VALUE!</v>
      </c>
      <c r="IN165" t="e">
        <f>AND('Planilla_General_29-11-2012_10_'!C2485,"AAAAAG9/7/c=")</f>
        <v>#VALUE!</v>
      </c>
      <c r="IO165" t="e">
        <f>AND('Planilla_General_29-11-2012_10_'!D2485,"AAAAAG9/7/g=")</f>
        <v>#VALUE!</v>
      </c>
      <c r="IP165" t="e">
        <f>AND('Planilla_General_29-11-2012_10_'!E2485,"AAAAAG9/7/k=")</f>
        <v>#VALUE!</v>
      </c>
      <c r="IQ165" t="e">
        <f>AND('Planilla_General_29-11-2012_10_'!F2485,"AAAAAG9/7/o=")</f>
        <v>#VALUE!</v>
      </c>
      <c r="IR165" t="e">
        <f>AND('Planilla_General_29-11-2012_10_'!G2485,"AAAAAG9/7/s=")</f>
        <v>#VALUE!</v>
      </c>
      <c r="IS165" t="e">
        <f>AND('Planilla_General_29-11-2012_10_'!H2485,"AAAAAG9/7/w=")</f>
        <v>#VALUE!</v>
      </c>
      <c r="IT165" t="e">
        <f>AND('Planilla_General_29-11-2012_10_'!I2485,"AAAAAG9/7/0=")</f>
        <v>#VALUE!</v>
      </c>
      <c r="IU165" t="e">
        <f>AND('Planilla_General_29-11-2012_10_'!J2485,"AAAAAG9/7/4=")</f>
        <v>#VALUE!</v>
      </c>
      <c r="IV165" t="e">
        <f>AND('Planilla_General_29-11-2012_10_'!K2485,"AAAAAG9/7/8=")</f>
        <v>#VALUE!</v>
      </c>
    </row>
    <row r="166" spans="1:256" x14ac:dyDescent="0.25">
      <c r="A166" t="e">
        <f>AND('Planilla_General_29-11-2012_10_'!L2485,"AAAAADv/NwA=")</f>
        <v>#VALUE!</v>
      </c>
      <c r="B166" t="e">
        <f>AND('Planilla_General_29-11-2012_10_'!M2485,"AAAAADv/NwE=")</f>
        <v>#VALUE!</v>
      </c>
      <c r="C166" t="e">
        <f>AND('Planilla_General_29-11-2012_10_'!N2485,"AAAAADv/NwI=")</f>
        <v>#VALUE!</v>
      </c>
      <c r="D166" t="e">
        <f>AND('Planilla_General_29-11-2012_10_'!O2485,"AAAAADv/NwM=")</f>
        <v>#VALUE!</v>
      </c>
      <c r="E166" t="e">
        <f>AND('Planilla_General_29-11-2012_10_'!P2485,"AAAAADv/NwQ=")</f>
        <v>#VALUE!</v>
      </c>
      <c r="F166" t="e">
        <f>IF('Planilla_General_29-11-2012_10_'!2486:2486,"AAAAADv/NwU=",0)</f>
        <v>#VALUE!</v>
      </c>
      <c r="G166" t="e">
        <f>AND('Planilla_General_29-11-2012_10_'!A2486,"AAAAADv/NwY=")</f>
        <v>#VALUE!</v>
      </c>
      <c r="H166" t="e">
        <f>AND('Planilla_General_29-11-2012_10_'!B2486,"AAAAADv/Nwc=")</f>
        <v>#VALUE!</v>
      </c>
      <c r="I166" t="e">
        <f>AND('Planilla_General_29-11-2012_10_'!C2486,"AAAAADv/Nwg=")</f>
        <v>#VALUE!</v>
      </c>
      <c r="J166" t="e">
        <f>AND('Planilla_General_29-11-2012_10_'!D2486,"AAAAADv/Nwk=")</f>
        <v>#VALUE!</v>
      </c>
      <c r="K166" t="e">
        <f>AND('Planilla_General_29-11-2012_10_'!E2486,"AAAAADv/Nwo=")</f>
        <v>#VALUE!</v>
      </c>
      <c r="L166" t="e">
        <f>AND('Planilla_General_29-11-2012_10_'!F2486,"AAAAADv/Nws=")</f>
        <v>#VALUE!</v>
      </c>
      <c r="M166" t="e">
        <f>AND('Planilla_General_29-11-2012_10_'!G2486,"AAAAADv/Nww=")</f>
        <v>#VALUE!</v>
      </c>
      <c r="N166" t="e">
        <f>AND('Planilla_General_29-11-2012_10_'!H2486,"AAAAADv/Nw0=")</f>
        <v>#VALUE!</v>
      </c>
      <c r="O166" t="e">
        <f>AND('Planilla_General_29-11-2012_10_'!I2486,"AAAAADv/Nw4=")</f>
        <v>#VALUE!</v>
      </c>
      <c r="P166" t="e">
        <f>AND('Planilla_General_29-11-2012_10_'!J2486,"AAAAADv/Nw8=")</f>
        <v>#VALUE!</v>
      </c>
      <c r="Q166" t="e">
        <f>AND('Planilla_General_29-11-2012_10_'!K2486,"AAAAADv/NxA=")</f>
        <v>#VALUE!</v>
      </c>
      <c r="R166" t="e">
        <f>AND('Planilla_General_29-11-2012_10_'!L2486,"AAAAADv/NxE=")</f>
        <v>#VALUE!</v>
      </c>
      <c r="S166" t="e">
        <f>AND('Planilla_General_29-11-2012_10_'!M2486,"AAAAADv/NxI=")</f>
        <v>#VALUE!</v>
      </c>
      <c r="T166" t="e">
        <f>AND('Planilla_General_29-11-2012_10_'!N2486,"AAAAADv/NxM=")</f>
        <v>#VALUE!</v>
      </c>
      <c r="U166" t="e">
        <f>AND('Planilla_General_29-11-2012_10_'!O2486,"AAAAADv/NxQ=")</f>
        <v>#VALUE!</v>
      </c>
      <c r="V166" t="e">
        <f>AND('Planilla_General_29-11-2012_10_'!P2486,"AAAAADv/NxU=")</f>
        <v>#VALUE!</v>
      </c>
      <c r="W166">
        <f>IF('Planilla_General_29-11-2012_10_'!2487:2487,"AAAAADv/NxY=",0)</f>
        <v>0</v>
      </c>
      <c r="X166" t="e">
        <f>AND('Planilla_General_29-11-2012_10_'!A2487,"AAAAADv/Nxc=")</f>
        <v>#VALUE!</v>
      </c>
      <c r="Y166" t="e">
        <f>AND('Planilla_General_29-11-2012_10_'!B2487,"AAAAADv/Nxg=")</f>
        <v>#VALUE!</v>
      </c>
      <c r="Z166" t="e">
        <f>AND('Planilla_General_29-11-2012_10_'!C2487,"AAAAADv/Nxk=")</f>
        <v>#VALUE!</v>
      </c>
      <c r="AA166" t="e">
        <f>AND('Planilla_General_29-11-2012_10_'!D2487,"AAAAADv/Nxo=")</f>
        <v>#VALUE!</v>
      </c>
      <c r="AB166" t="e">
        <f>AND('Planilla_General_29-11-2012_10_'!E2487,"AAAAADv/Nxs=")</f>
        <v>#VALUE!</v>
      </c>
      <c r="AC166" t="e">
        <f>AND('Planilla_General_29-11-2012_10_'!F2487,"AAAAADv/Nxw=")</f>
        <v>#VALUE!</v>
      </c>
      <c r="AD166" t="e">
        <f>AND('Planilla_General_29-11-2012_10_'!G2487,"AAAAADv/Nx0=")</f>
        <v>#VALUE!</v>
      </c>
      <c r="AE166" t="e">
        <f>AND('Planilla_General_29-11-2012_10_'!H2487,"AAAAADv/Nx4=")</f>
        <v>#VALUE!</v>
      </c>
      <c r="AF166" t="e">
        <f>AND('Planilla_General_29-11-2012_10_'!I2487,"AAAAADv/Nx8=")</f>
        <v>#VALUE!</v>
      </c>
      <c r="AG166" t="e">
        <f>AND('Planilla_General_29-11-2012_10_'!J2487,"AAAAADv/NyA=")</f>
        <v>#VALUE!</v>
      </c>
      <c r="AH166" t="e">
        <f>AND('Planilla_General_29-11-2012_10_'!K2487,"AAAAADv/NyE=")</f>
        <v>#VALUE!</v>
      </c>
      <c r="AI166" t="e">
        <f>AND('Planilla_General_29-11-2012_10_'!L2487,"AAAAADv/NyI=")</f>
        <v>#VALUE!</v>
      </c>
      <c r="AJ166" t="e">
        <f>AND('Planilla_General_29-11-2012_10_'!M2487,"AAAAADv/NyM=")</f>
        <v>#VALUE!</v>
      </c>
      <c r="AK166" t="e">
        <f>AND('Planilla_General_29-11-2012_10_'!N2487,"AAAAADv/NyQ=")</f>
        <v>#VALUE!</v>
      </c>
      <c r="AL166" t="e">
        <f>AND('Planilla_General_29-11-2012_10_'!O2487,"AAAAADv/NyU=")</f>
        <v>#VALUE!</v>
      </c>
      <c r="AM166" t="e">
        <f>AND('Planilla_General_29-11-2012_10_'!P2487,"AAAAADv/NyY=")</f>
        <v>#VALUE!</v>
      </c>
      <c r="AN166">
        <f>IF('Planilla_General_29-11-2012_10_'!2488:2488,"AAAAADv/Nyc=",0)</f>
        <v>0</v>
      </c>
      <c r="AO166" t="e">
        <f>AND('Planilla_General_29-11-2012_10_'!A2488,"AAAAADv/Nyg=")</f>
        <v>#VALUE!</v>
      </c>
      <c r="AP166" t="e">
        <f>AND('Planilla_General_29-11-2012_10_'!B2488,"AAAAADv/Nyk=")</f>
        <v>#VALUE!</v>
      </c>
      <c r="AQ166" t="e">
        <f>AND('Planilla_General_29-11-2012_10_'!C2488,"AAAAADv/Nyo=")</f>
        <v>#VALUE!</v>
      </c>
      <c r="AR166" t="e">
        <f>AND('Planilla_General_29-11-2012_10_'!D2488,"AAAAADv/Nys=")</f>
        <v>#VALUE!</v>
      </c>
      <c r="AS166" t="e">
        <f>AND('Planilla_General_29-11-2012_10_'!E2488,"AAAAADv/Nyw=")</f>
        <v>#VALUE!</v>
      </c>
      <c r="AT166" t="e">
        <f>AND('Planilla_General_29-11-2012_10_'!F2488,"AAAAADv/Ny0=")</f>
        <v>#VALUE!</v>
      </c>
      <c r="AU166" t="e">
        <f>AND('Planilla_General_29-11-2012_10_'!G2488,"AAAAADv/Ny4=")</f>
        <v>#VALUE!</v>
      </c>
      <c r="AV166" t="e">
        <f>AND('Planilla_General_29-11-2012_10_'!H2488,"AAAAADv/Ny8=")</f>
        <v>#VALUE!</v>
      </c>
      <c r="AW166" t="e">
        <f>AND('Planilla_General_29-11-2012_10_'!I2488,"AAAAADv/NzA=")</f>
        <v>#VALUE!</v>
      </c>
      <c r="AX166" t="e">
        <f>AND('Planilla_General_29-11-2012_10_'!J2488,"AAAAADv/NzE=")</f>
        <v>#VALUE!</v>
      </c>
      <c r="AY166" t="e">
        <f>AND('Planilla_General_29-11-2012_10_'!K2488,"AAAAADv/NzI=")</f>
        <v>#VALUE!</v>
      </c>
      <c r="AZ166" t="e">
        <f>AND('Planilla_General_29-11-2012_10_'!L2488,"AAAAADv/NzM=")</f>
        <v>#VALUE!</v>
      </c>
      <c r="BA166" t="e">
        <f>AND('Planilla_General_29-11-2012_10_'!M2488,"AAAAADv/NzQ=")</f>
        <v>#VALUE!</v>
      </c>
      <c r="BB166" t="e">
        <f>AND('Planilla_General_29-11-2012_10_'!N2488,"AAAAADv/NzU=")</f>
        <v>#VALUE!</v>
      </c>
      <c r="BC166" t="e">
        <f>AND('Planilla_General_29-11-2012_10_'!O2488,"AAAAADv/NzY=")</f>
        <v>#VALUE!</v>
      </c>
      <c r="BD166" t="e">
        <f>AND('Planilla_General_29-11-2012_10_'!P2488,"AAAAADv/Nzc=")</f>
        <v>#VALUE!</v>
      </c>
      <c r="BE166">
        <f>IF('Planilla_General_29-11-2012_10_'!2489:2489,"AAAAADv/Nzg=",0)</f>
        <v>0</v>
      </c>
      <c r="BF166" t="e">
        <f>AND('Planilla_General_29-11-2012_10_'!A2489,"AAAAADv/Nzk=")</f>
        <v>#VALUE!</v>
      </c>
      <c r="BG166" t="e">
        <f>AND('Planilla_General_29-11-2012_10_'!B2489,"AAAAADv/Nzo=")</f>
        <v>#VALUE!</v>
      </c>
      <c r="BH166" t="e">
        <f>AND('Planilla_General_29-11-2012_10_'!C2489,"AAAAADv/Nzs=")</f>
        <v>#VALUE!</v>
      </c>
      <c r="BI166" t="e">
        <f>AND('Planilla_General_29-11-2012_10_'!D2489,"AAAAADv/Nzw=")</f>
        <v>#VALUE!</v>
      </c>
      <c r="BJ166" t="e">
        <f>AND('Planilla_General_29-11-2012_10_'!E2489,"AAAAADv/Nz0=")</f>
        <v>#VALUE!</v>
      </c>
      <c r="BK166" t="e">
        <f>AND('Planilla_General_29-11-2012_10_'!F2489,"AAAAADv/Nz4=")</f>
        <v>#VALUE!</v>
      </c>
      <c r="BL166" t="e">
        <f>AND('Planilla_General_29-11-2012_10_'!G2489,"AAAAADv/Nz8=")</f>
        <v>#VALUE!</v>
      </c>
      <c r="BM166" t="e">
        <f>AND('Planilla_General_29-11-2012_10_'!H2489,"AAAAADv/N0A=")</f>
        <v>#VALUE!</v>
      </c>
      <c r="BN166" t="e">
        <f>AND('Planilla_General_29-11-2012_10_'!I2489,"AAAAADv/N0E=")</f>
        <v>#VALUE!</v>
      </c>
      <c r="BO166" t="e">
        <f>AND('Planilla_General_29-11-2012_10_'!J2489,"AAAAADv/N0I=")</f>
        <v>#VALUE!</v>
      </c>
      <c r="BP166" t="e">
        <f>AND('Planilla_General_29-11-2012_10_'!K2489,"AAAAADv/N0M=")</f>
        <v>#VALUE!</v>
      </c>
      <c r="BQ166" t="e">
        <f>AND('Planilla_General_29-11-2012_10_'!L2489,"AAAAADv/N0Q=")</f>
        <v>#VALUE!</v>
      </c>
      <c r="BR166" t="e">
        <f>AND('Planilla_General_29-11-2012_10_'!M2489,"AAAAADv/N0U=")</f>
        <v>#VALUE!</v>
      </c>
      <c r="BS166" t="e">
        <f>AND('Planilla_General_29-11-2012_10_'!N2489,"AAAAADv/N0Y=")</f>
        <v>#VALUE!</v>
      </c>
      <c r="BT166" t="e">
        <f>AND('Planilla_General_29-11-2012_10_'!O2489,"AAAAADv/N0c=")</f>
        <v>#VALUE!</v>
      </c>
      <c r="BU166" t="e">
        <f>AND('Planilla_General_29-11-2012_10_'!P2489,"AAAAADv/N0g=")</f>
        <v>#VALUE!</v>
      </c>
      <c r="BV166">
        <f>IF('Planilla_General_29-11-2012_10_'!2490:2490,"AAAAADv/N0k=",0)</f>
        <v>0</v>
      </c>
      <c r="BW166" t="e">
        <f>AND('Planilla_General_29-11-2012_10_'!A2490,"AAAAADv/N0o=")</f>
        <v>#VALUE!</v>
      </c>
      <c r="BX166" t="e">
        <f>AND('Planilla_General_29-11-2012_10_'!B2490,"AAAAADv/N0s=")</f>
        <v>#VALUE!</v>
      </c>
      <c r="BY166" t="e">
        <f>AND('Planilla_General_29-11-2012_10_'!C2490,"AAAAADv/N0w=")</f>
        <v>#VALUE!</v>
      </c>
      <c r="BZ166" t="e">
        <f>AND('Planilla_General_29-11-2012_10_'!D2490,"AAAAADv/N00=")</f>
        <v>#VALUE!</v>
      </c>
      <c r="CA166" t="e">
        <f>AND('Planilla_General_29-11-2012_10_'!E2490,"AAAAADv/N04=")</f>
        <v>#VALUE!</v>
      </c>
      <c r="CB166" t="e">
        <f>AND('Planilla_General_29-11-2012_10_'!F2490,"AAAAADv/N08=")</f>
        <v>#VALUE!</v>
      </c>
      <c r="CC166" t="e">
        <f>AND('Planilla_General_29-11-2012_10_'!G2490,"AAAAADv/N1A=")</f>
        <v>#VALUE!</v>
      </c>
      <c r="CD166" t="e">
        <f>AND('Planilla_General_29-11-2012_10_'!H2490,"AAAAADv/N1E=")</f>
        <v>#VALUE!</v>
      </c>
      <c r="CE166" t="e">
        <f>AND('Planilla_General_29-11-2012_10_'!I2490,"AAAAADv/N1I=")</f>
        <v>#VALUE!</v>
      </c>
      <c r="CF166" t="e">
        <f>AND('Planilla_General_29-11-2012_10_'!J2490,"AAAAADv/N1M=")</f>
        <v>#VALUE!</v>
      </c>
      <c r="CG166" t="e">
        <f>AND('Planilla_General_29-11-2012_10_'!K2490,"AAAAADv/N1Q=")</f>
        <v>#VALUE!</v>
      </c>
      <c r="CH166" t="e">
        <f>AND('Planilla_General_29-11-2012_10_'!L2490,"AAAAADv/N1U=")</f>
        <v>#VALUE!</v>
      </c>
      <c r="CI166" t="e">
        <f>AND('Planilla_General_29-11-2012_10_'!M2490,"AAAAADv/N1Y=")</f>
        <v>#VALUE!</v>
      </c>
      <c r="CJ166" t="e">
        <f>AND('Planilla_General_29-11-2012_10_'!N2490,"AAAAADv/N1c=")</f>
        <v>#VALUE!</v>
      </c>
      <c r="CK166" t="e">
        <f>AND('Planilla_General_29-11-2012_10_'!O2490,"AAAAADv/N1g=")</f>
        <v>#VALUE!</v>
      </c>
      <c r="CL166" t="e">
        <f>AND('Planilla_General_29-11-2012_10_'!P2490,"AAAAADv/N1k=")</f>
        <v>#VALUE!</v>
      </c>
      <c r="CM166">
        <f>IF('Planilla_General_29-11-2012_10_'!2491:2491,"AAAAADv/N1o=",0)</f>
        <v>0</v>
      </c>
      <c r="CN166" t="e">
        <f>AND('Planilla_General_29-11-2012_10_'!A2491,"AAAAADv/N1s=")</f>
        <v>#VALUE!</v>
      </c>
      <c r="CO166" t="e">
        <f>AND('Planilla_General_29-11-2012_10_'!B2491,"AAAAADv/N1w=")</f>
        <v>#VALUE!</v>
      </c>
      <c r="CP166" t="e">
        <f>AND('Planilla_General_29-11-2012_10_'!C2491,"AAAAADv/N10=")</f>
        <v>#VALUE!</v>
      </c>
      <c r="CQ166" t="e">
        <f>AND('Planilla_General_29-11-2012_10_'!D2491,"AAAAADv/N14=")</f>
        <v>#VALUE!</v>
      </c>
      <c r="CR166" t="e">
        <f>AND('Planilla_General_29-11-2012_10_'!E2491,"AAAAADv/N18=")</f>
        <v>#VALUE!</v>
      </c>
      <c r="CS166" t="e">
        <f>AND('Planilla_General_29-11-2012_10_'!F2491,"AAAAADv/N2A=")</f>
        <v>#VALUE!</v>
      </c>
      <c r="CT166" t="e">
        <f>AND('Planilla_General_29-11-2012_10_'!G2491,"AAAAADv/N2E=")</f>
        <v>#VALUE!</v>
      </c>
      <c r="CU166" t="e">
        <f>AND('Planilla_General_29-11-2012_10_'!H2491,"AAAAADv/N2I=")</f>
        <v>#VALUE!</v>
      </c>
      <c r="CV166" t="e">
        <f>AND('Planilla_General_29-11-2012_10_'!I2491,"AAAAADv/N2M=")</f>
        <v>#VALUE!</v>
      </c>
      <c r="CW166" t="e">
        <f>AND('Planilla_General_29-11-2012_10_'!J2491,"AAAAADv/N2Q=")</f>
        <v>#VALUE!</v>
      </c>
      <c r="CX166" t="e">
        <f>AND('Planilla_General_29-11-2012_10_'!K2491,"AAAAADv/N2U=")</f>
        <v>#VALUE!</v>
      </c>
      <c r="CY166" t="e">
        <f>AND('Planilla_General_29-11-2012_10_'!L2491,"AAAAADv/N2Y=")</f>
        <v>#VALUE!</v>
      </c>
      <c r="CZ166" t="e">
        <f>AND('Planilla_General_29-11-2012_10_'!M2491,"AAAAADv/N2c=")</f>
        <v>#VALUE!</v>
      </c>
      <c r="DA166" t="e">
        <f>AND('Planilla_General_29-11-2012_10_'!N2491,"AAAAADv/N2g=")</f>
        <v>#VALUE!</v>
      </c>
      <c r="DB166" t="e">
        <f>AND('Planilla_General_29-11-2012_10_'!O2491,"AAAAADv/N2k=")</f>
        <v>#VALUE!</v>
      </c>
      <c r="DC166" t="e">
        <f>AND('Planilla_General_29-11-2012_10_'!P2491,"AAAAADv/N2o=")</f>
        <v>#VALUE!</v>
      </c>
      <c r="DD166">
        <f>IF('Planilla_General_29-11-2012_10_'!2492:2492,"AAAAADv/N2s=",0)</f>
        <v>0</v>
      </c>
      <c r="DE166" t="e">
        <f>AND('Planilla_General_29-11-2012_10_'!A2492,"AAAAADv/N2w=")</f>
        <v>#VALUE!</v>
      </c>
      <c r="DF166" t="e">
        <f>AND('Planilla_General_29-11-2012_10_'!B2492,"AAAAADv/N20=")</f>
        <v>#VALUE!</v>
      </c>
      <c r="DG166" t="e">
        <f>AND('Planilla_General_29-11-2012_10_'!C2492,"AAAAADv/N24=")</f>
        <v>#VALUE!</v>
      </c>
      <c r="DH166" t="e">
        <f>AND('Planilla_General_29-11-2012_10_'!D2492,"AAAAADv/N28=")</f>
        <v>#VALUE!</v>
      </c>
      <c r="DI166" t="e">
        <f>AND('Planilla_General_29-11-2012_10_'!E2492,"AAAAADv/N3A=")</f>
        <v>#VALUE!</v>
      </c>
      <c r="DJ166" t="e">
        <f>AND('Planilla_General_29-11-2012_10_'!F2492,"AAAAADv/N3E=")</f>
        <v>#VALUE!</v>
      </c>
      <c r="DK166" t="e">
        <f>AND('Planilla_General_29-11-2012_10_'!G2492,"AAAAADv/N3I=")</f>
        <v>#VALUE!</v>
      </c>
      <c r="DL166" t="e">
        <f>AND('Planilla_General_29-11-2012_10_'!H2492,"AAAAADv/N3M=")</f>
        <v>#VALUE!</v>
      </c>
      <c r="DM166" t="e">
        <f>AND('Planilla_General_29-11-2012_10_'!I2492,"AAAAADv/N3Q=")</f>
        <v>#VALUE!</v>
      </c>
      <c r="DN166" t="e">
        <f>AND('Planilla_General_29-11-2012_10_'!J2492,"AAAAADv/N3U=")</f>
        <v>#VALUE!</v>
      </c>
      <c r="DO166" t="e">
        <f>AND('Planilla_General_29-11-2012_10_'!K2492,"AAAAADv/N3Y=")</f>
        <v>#VALUE!</v>
      </c>
      <c r="DP166" t="e">
        <f>AND('Planilla_General_29-11-2012_10_'!L2492,"AAAAADv/N3c=")</f>
        <v>#VALUE!</v>
      </c>
      <c r="DQ166" t="e">
        <f>AND('Planilla_General_29-11-2012_10_'!M2492,"AAAAADv/N3g=")</f>
        <v>#VALUE!</v>
      </c>
      <c r="DR166" t="e">
        <f>AND('Planilla_General_29-11-2012_10_'!N2492,"AAAAADv/N3k=")</f>
        <v>#VALUE!</v>
      </c>
      <c r="DS166" t="e">
        <f>AND('Planilla_General_29-11-2012_10_'!O2492,"AAAAADv/N3o=")</f>
        <v>#VALUE!</v>
      </c>
      <c r="DT166" t="e">
        <f>AND('Planilla_General_29-11-2012_10_'!P2492,"AAAAADv/N3s=")</f>
        <v>#VALUE!</v>
      </c>
      <c r="DU166">
        <f>IF('Planilla_General_29-11-2012_10_'!2493:2493,"AAAAADv/N3w=",0)</f>
        <v>0</v>
      </c>
      <c r="DV166" t="e">
        <f>AND('Planilla_General_29-11-2012_10_'!A2493,"AAAAADv/N30=")</f>
        <v>#VALUE!</v>
      </c>
      <c r="DW166" t="e">
        <f>AND('Planilla_General_29-11-2012_10_'!B2493,"AAAAADv/N34=")</f>
        <v>#VALUE!</v>
      </c>
      <c r="DX166" t="e">
        <f>AND('Planilla_General_29-11-2012_10_'!C2493,"AAAAADv/N38=")</f>
        <v>#VALUE!</v>
      </c>
      <c r="DY166" t="e">
        <f>AND('Planilla_General_29-11-2012_10_'!D2493,"AAAAADv/N4A=")</f>
        <v>#VALUE!</v>
      </c>
      <c r="DZ166" t="e">
        <f>AND('Planilla_General_29-11-2012_10_'!E2493,"AAAAADv/N4E=")</f>
        <v>#VALUE!</v>
      </c>
      <c r="EA166" t="e">
        <f>AND('Planilla_General_29-11-2012_10_'!F2493,"AAAAADv/N4I=")</f>
        <v>#VALUE!</v>
      </c>
      <c r="EB166" t="e">
        <f>AND('Planilla_General_29-11-2012_10_'!G2493,"AAAAADv/N4M=")</f>
        <v>#VALUE!</v>
      </c>
      <c r="EC166" t="e">
        <f>AND('Planilla_General_29-11-2012_10_'!H2493,"AAAAADv/N4Q=")</f>
        <v>#VALUE!</v>
      </c>
      <c r="ED166" t="e">
        <f>AND('Planilla_General_29-11-2012_10_'!I2493,"AAAAADv/N4U=")</f>
        <v>#VALUE!</v>
      </c>
      <c r="EE166" t="e">
        <f>AND('Planilla_General_29-11-2012_10_'!J2493,"AAAAADv/N4Y=")</f>
        <v>#VALUE!</v>
      </c>
      <c r="EF166" t="e">
        <f>AND('Planilla_General_29-11-2012_10_'!K2493,"AAAAADv/N4c=")</f>
        <v>#VALUE!</v>
      </c>
      <c r="EG166" t="e">
        <f>AND('Planilla_General_29-11-2012_10_'!L2493,"AAAAADv/N4g=")</f>
        <v>#VALUE!</v>
      </c>
      <c r="EH166" t="e">
        <f>AND('Planilla_General_29-11-2012_10_'!M2493,"AAAAADv/N4k=")</f>
        <v>#VALUE!</v>
      </c>
      <c r="EI166" t="e">
        <f>AND('Planilla_General_29-11-2012_10_'!N2493,"AAAAADv/N4o=")</f>
        <v>#VALUE!</v>
      </c>
      <c r="EJ166" t="e">
        <f>AND('Planilla_General_29-11-2012_10_'!O2493,"AAAAADv/N4s=")</f>
        <v>#VALUE!</v>
      </c>
      <c r="EK166" t="e">
        <f>AND('Planilla_General_29-11-2012_10_'!P2493,"AAAAADv/N4w=")</f>
        <v>#VALUE!</v>
      </c>
      <c r="EL166">
        <f>IF('Planilla_General_29-11-2012_10_'!2494:2494,"AAAAADv/N40=",0)</f>
        <v>0</v>
      </c>
      <c r="EM166" t="e">
        <f>AND('Planilla_General_29-11-2012_10_'!A2494,"AAAAADv/N44=")</f>
        <v>#VALUE!</v>
      </c>
      <c r="EN166" t="e">
        <f>AND('Planilla_General_29-11-2012_10_'!B2494,"AAAAADv/N48=")</f>
        <v>#VALUE!</v>
      </c>
      <c r="EO166" t="e">
        <f>AND('Planilla_General_29-11-2012_10_'!C2494,"AAAAADv/N5A=")</f>
        <v>#VALUE!</v>
      </c>
      <c r="EP166" t="e">
        <f>AND('Planilla_General_29-11-2012_10_'!D2494,"AAAAADv/N5E=")</f>
        <v>#VALUE!</v>
      </c>
      <c r="EQ166" t="e">
        <f>AND('Planilla_General_29-11-2012_10_'!E2494,"AAAAADv/N5I=")</f>
        <v>#VALUE!</v>
      </c>
      <c r="ER166" t="e">
        <f>AND('Planilla_General_29-11-2012_10_'!F2494,"AAAAADv/N5M=")</f>
        <v>#VALUE!</v>
      </c>
      <c r="ES166" t="e">
        <f>AND('Planilla_General_29-11-2012_10_'!G2494,"AAAAADv/N5Q=")</f>
        <v>#VALUE!</v>
      </c>
      <c r="ET166" t="e">
        <f>AND('Planilla_General_29-11-2012_10_'!H2494,"AAAAADv/N5U=")</f>
        <v>#VALUE!</v>
      </c>
      <c r="EU166" t="e">
        <f>AND('Planilla_General_29-11-2012_10_'!I2494,"AAAAADv/N5Y=")</f>
        <v>#VALUE!</v>
      </c>
      <c r="EV166" t="e">
        <f>AND('Planilla_General_29-11-2012_10_'!J2494,"AAAAADv/N5c=")</f>
        <v>#VALUE!</v>
      </c>
      <c r="EW166" t="e">
        <f>AND('Planilla_General_29-11-2012_10_'!K2494,"AAAAADv/N5g=")</f>
        <v>#VALUE!</v>
      </c>
      <c r="EX166" t="e">
        <f>AND('Planilla_General_29-11-2012_10_'!L2494,"AAAAADv/N5k=")</f>
        <v>#VALUE!</v>
      </c>
      <c r="EY166" t="e">
        <f>AND('Planilla_General_29-11-2012_10_'!M2494,"AAAAADv/N5o=")</f>
        <v>#VALUE!</v>
      </c>
      <c r="EZ166" t="e">
        <f>AND('Planilla_General_29-11-2012_10_'!N2494,"AAAAADv/N5s=")</f>
        <v>#VALUE!</v>
      </c>
      <c r="FA166" t="e">
        <f>AND('Planilla_General_29-11-2012_10_'!O2494,"AAAAADv/N5w=")</f>
        <v>#VALUE!</v>
      </c>
      <c r="FB166" t="e">
        <f>AND('Planilla_General_29-11-2012_10_'!P2494,"AAAAADv/N50=")</f>
        <v>#VALUE!</v>
      </c>
      <c r="FC166">
        <f>IF('Planilla_General_29-11-2012_10_'!2495:2495,"AAAAADv/N54=",0)</f>
        <v>0</v>
      </c>
      <c r="FD166" t="e">
        <f>AND('Planilla_General_29-11-2012_10_'!A2495,"AAAAADv/N58=")</f>
        <v>#VALUE!</v>
      </c>
      <c r="FE166" t="e">
        <f>AND('Planilla_General_29-11-2012_10_'!B2495,"AAAAADv/N6A=")</f>
        <v>#VALUE!</v>
      </c>
      <c r="FF166" t="e">
        <f>AND('Planilla_General_29-11-2012_10_'!C2495,"AAAAADv/N6E=")</f>
        <v>#VALUE!</v>
      </c>
      <c r="FG166" t="e">
        <f>AND('Planilla_General_29-11-2012_10_'!D2495,"AAAAADv/N6I=")</f>
        <v>#VALUE!</v>
      </c>
      <c r="FH166" t="e">
        <f>AND('Planilla_General_29-11-2012_10_'!E2495,"AAAAADv/N6M=")</f>
        <v>#VALUE!</v>
      </c>
      <c r="FI166" t="e">
        <f>AND('Planilla_General_29-11-2012_10_'!F2495,"AAAAADv/N6Q=")</f>
        <v>#VALUE!</v>
      </c>
      <c r="FJ166" t="e">
        <f>AND('Planilla_General_29-11-2012_10_'!G2495,"AAAAADv/N6U=")</f>
        <v>#VALUE!</v>
      </c>
      <c r="FK166" t="e">
        <f>AND('Planilla_General_29-11-2012_10_'!H2495,"AAAAADv/N6Y=")</f>
        <v>#VALUE!</v>
      </c>
      <c r="FL166" t="e">
        <f>AND('Planilla_General_29-11-2012_10_'!I2495,"AAAAADv/N6c=")</f>
        <v>#VALUE!</v>
      </c>
      <c r="FM166" t="e">
        <f>AND('Planilla_General_29-11-2012_10_'!J2495,"AAAAADv/N6g=")</f>
        <v>#VALUE!</v>
      </c>
      <c r="FN166" t="e">
        <f>AND('Planilla_General_29-11-2012_10_'!K2495,"AAAAADv/N6k=")</f>
        <v>#VALUE!</v>
      </c>
      <c r="FO166" t="e">
        <f>AND('Planilla_General_29-11-2012_10_'!L2495,"AAAAADv/N6o=")</f>
        <v>#VALUE!</v>
      </c>
      <c r="FP166" t="e">
        <f>AND('Planilla_General_29-11-2012_10_'!M2495,"AAAAADv/N6s=")</f>
        <v>#VALUE!</v>
      </c>
      <c r="FQ166" t="e">
        <f>AND('Planilla_General_29-11-2012_10_'!N2495,"AAAAADv/N6w=")</f>
        <v>#VALUE!</v>
      </c>
      <c r="FR166" t="e">
        <f>AND('Planilla_General_29-11-2012_10_'!O2495,"AAAAADv/N60=")</f>
        <v>#VALUE!</v>
      </c>
      <c r="FS166" t="e">
        <f>AND('Planilla_General_29-11-2012_10_'!P2495,"AAAAADv/N64=")</f>
        <v>#VALUE!</v>
      </c>
      <c r="FT166">
        <f>IF('Planilla_General_29-11-2012_10_'!2496:2496,"AAAAADv/N68=",0)</f>
        <v>0</v>
      </c>
      <c r="FU166" t="e">
        <f>AND('Planilla_General_29-11-2012_10_'!A2496,"AAAAADv/N7A=")</f>
        <v>#VALUE!</v>
      </c>
      <c r="FV166" t="e">
        <f>AND('Planilla_General_29-11-2012_10_'!B2496,"AAAAADv/N7E=")</f>
        <v>#VALUE!</v>
      </c>
      <c r="FW166" t="e">
        <f>AND('Planilla_General_29-11-2012_10_'!C2496,"AAAAADv/N7I=")</f>
        <v>#VALUE!</v>
      </c>
      <c r="FX166" t="e">
        <f>AND('Planilla_General_29-11-2012_10_'!D2496,"AAAAADv/N7M=")</f>
        <v>#VALUE!</v>
      </c>
      <c r="FY166" t="e">
        <f>AND('Planilla_General_29-11-2012_10_'!E2496,"AAAAADv/N7Q=")</f>
        <v>#VALUE!</v>
      </c>
      <c r="FZ166" t="e">
        <f>AND('Planilla_General_29-11-2012_10_'!F2496,"AAAAADv/N7U=")</f>
        <v>#VALUE!</v>
      </c>
      <c r="GA166" t="e">
        <f>AND('Planilla_General_29-11-2012_10_'!G2496,"AAAAADv/N7Y=")</f>
        <v>#VALUE!</v>
      </c>
      <c r="GB166" t="e">
        <f>AND('Planilla_General_29-11-2012_10_'!H2496,"AAAAADv/N7c=")</f>
        <v>#VALUE!</v>
      </c>
      <c r="GC166" t="e">
        <f>AND('Planilla_General_29-11-2012_10_'!I2496,"AAAAADv/N7g=")</f>
        <v>#VALUE!</v>
      </c>
      <c r="GD166" t="e">
        <f>AND('Planilla_General_29-11-2012_10_'!J2496,"AAAAADv/N7k=")</f>
        <v>#VALUE!</v>
      </c>
      <c r="GE166" t="e">
        <f>AND('Planilla_General_29-11-2012_10_'!K2496,"AAAAADv/N7o=")</f>
        <v>#VALUE!</v>
      </c>
      <c r="GF166" t="e">
        <f>AND('Planilla_General_29-11-2012_10_'!L2496,"AAAAADv/N7s=")</f>
        <v>#VALUE!</v>
      </c>
      <c r="GG166" t="e">
        <f>AND('Planilla_General_29-11-2012_10_'!M2496,"AAAAADv/N7w=")</f>
        <v>#VALUE!</v>
      </c>
      <c r="GH166" t="e">
        <f>AND('Planilla_General_29-11-2012_10_'!N2496,"AAAAADv/N70=")</f>
        <v>#VALUE!</v>
      </c>
      <c r="GI166" t="e">
        <f>AND('Planilla_General_29-11-2012_10_'!O2496,"AAAAADv/N74=")</f>
        <v>#VALUE!</v>
      </c>
      <c r="GJ166" t="e">
        <f>AND('Planilla_General_29-11-2012_10_'!P2496,"AAAAADv/N78=")</f>
        <v>#VALUE!</v>
      </c>
      <c r="GK166">
        <f>IF('Planilla_General_29-11-2012_10_'!2497:2497,"AAAAADv/N8A=",0)</f>
        <v>0</v>
      </c>
      <c r="GL166" t="e">
        <f>AND('Planilla_General_29-11-2012_10_'!A2497,"AAAAADv/N8E=")</f>
        <v>#VALUE!</v>
      </c>
      <c r="GM166" t="e">
        <f>AND('Planilla_General_29-11-2012_10_'!B2497,"AAAAADv/N8I=")</f>
        <v>#VALUE!</v>
      </c>
      <c r="GN166" t="e">
        <f>AND('Planilla_General_29-11-2012_10_'!C2497,"AAAAADv/N8M=")</f>
        <v>#VALUE!</v>
      </c>
      <c r="GO166" t="e">
        <f>AND('Planilla_General_29-11-2012_10_'!D2497,"AAAAADv/N8Q=")</f>
        <v>#VALUE!</v>
      </c>
      <c r="GP166" t="e">
        <f>AND('Planilla_General_29-11-2012_10_'!E2497,"AAAAADv/N8U=")</f>
        <v>#VALUE!</v>
      </c>
      <c r="GQ166" t="e">
        <f>AND('Planilla_General_29-11-2012_10_'!F2497,"AAAAADv/N8Y=")</f>
        <v>#VALUE!</v>
      </c>
      <c r="GR166" t="e">
        <f>AND('Planilla_General_29-11-2012_10_'!G2497,"AAAAADv/N8c=")</f>
        <v>#VALUE!</v>
      </c>
      <c r="GS166" t="e">
        <f>AND('Planilla_General_29-11-2012_10_'!H2497,"AAAAADv/N8g=")</f>
        <v>#VALUE!</v>
      </c>
      <c r="GT166" t="e">
        <f>AND('Planilla_General_29-11-2012_10_'!I2497,"AAAAADv/N8k=")</f>
        <v>#VALUE!</v>
      </c>
      <c r="GU166" t="e">
        <f>AND('Planilla_General_29-11-2012_10_'!J2497,"AAAAADv/N8o=")</f>
        <v>#VALUE!</v>
      </c>
      <c r="GV166" t="e">
        <f>AND('Planilla_General_29-11-2012_10_'!K2497,"AAAAADv/N8s=")</f>
        <v>#VALUE!</v>
      </c>
      <c r="GW166" t="e">
        <f>AND('Planilla_General_29-11-2012_10_'!L2497,"AAAAADv/N8w=")</f>
        <v>#VALUE!</v>
      </c>
      <c r="GX166" t="e">
        <f>AND('Planilla_General_29-11-2012_10_'!M2497,"AAAAADv/N80=")</f>
        <v>#VALUE!</v>
      </c>
      <c r="GY166" t="e">
        <f>AND('Planilla_General_29-11-2012_10_'!N2497,"AAAAADv/N84=")</f>
        <v>#VALUE!</v>
      </c>
      <c r="GZ166" t="e">
        <f>AND('Planilla_General_29-11-2012_10_'!O2497,"AAAAADv/N88=")</f>
        <v>#VALUE!</v>
      </c>
      <c r="HA166" t="e">
        <f>AND('Planilla_General_29-11-2012_10_'!P2497,"AAAAADv/N9A=")</f>
        <v>#VALUE!</v>
      </c>
      <c r="HB166">
        <f>IF('Planilla_General_29-11-2012_10_'!2498:2498,"AAAAADv/N9E=",0)</f>
        <v>0</v>
      </c>
      <c r="HC166" t="e">
        <f>AND('Planilla_General_29-11-2012_10_'!A2498,"AAAAADv/N9I=")</f>
        <v>#VALUE!</v>
      </c>
      <c r="HD166" t="e">
        <f>AND('Planilla_General_29-11-2012_10_'!B2498,"AAAAADv/N9M=")</f>
        <v>#VALUE!</v>
      </c>
      <c r="HE166" t="e">
        <f>AND('Planilla_General_29-11-2012_10_'!C2498,"AAAAADv/N9Q=")</f>
        <v>#VALUE!</v>
      </c>
      <c r="HF166" t="e">
        <f>AND('Planilla_General_29-11-2012_10_'!D2498,"AAAAADv/N9U=")</f>
        <v>#VALUE!</v>
      </c>
      <c r="HG166" t="e">
        <f>AND('Planilla_General_29-11-2012_10_'!E2498,"AAAAADv/N9Y=")</f>
        <v>#VALUE!</v>
      </c>
      <c r="HH166" t="e">
        <f>AND('Planilla_General_29-11-2012_10_'!F2498,"AAAAADv/N9c=")</f>
        <v>#VALUE!</v>
      </c>
      <c r="HI166" t="e">
        <f>AND('Planilla_General_29-11-2012_10_'!G2498,"AAAAADv/N9g=")</f>
        <v>#VALUE!</v>
      </c>
      <c r="HJ166" t="e">
        <f>AND('Planilla_General_29-11-2012_10_'!H2498,"AAAAADv/N9k=")</f>
        <v>#VALUE!</v>
      </c>
      <c r="HK166" t="e">
        <f>AND('Planilla_General_29-11-2012_10_'!I2498,"AAAAADv/N9o=")</f>
        <v>#VALUE!</v>
      </c>
      <c r="HL166" t="e">
        <f>AND('Planilla_General_29-11-2012_10_'!J2498,"AAAAADv/N9s=")</f>
        <v>#VALUE!</v>
      </c>
      <c r="HM166" t="e">
        <f>AND('Planilla_General_29-11-2012_10_'!K2498,"AAAAADv/N9w=")</f>
        <v>#VALUE!</v>
      </c>
      <c r="HN166" t="e">
        <f>AND('Planilla_General_29-11-2012_10_'!L2498,"AAAAADv/N90=")</f>
        <v>#VALUE!</v>
      </c>
      <c r="HO166" t="e">
        <f>AND('Planilla_General_29-11-2012_10_'!M2498,"AAAAADv/N94=")</f>
        <v>#VALUE!</v>
      </c>
      <c r="HP166" t="e">
        <f>AND('Planilla_General_29-11-2012_10_'!N2498,"AAAAADv/N98=")</f>
        <v>#VALUE!</v>
      </c>
      <c r="HQ166" t="e">
        <f>AND('Planilla_General_29-11-2012_10_'!O2498,"AAAAADv/N+A=")</f>
        <v>#VALUE!</v>
      </c>
      <c r="HR166" t="e">
        <f>AND('Planilla_General_29-11-2012_10_'!P2498,"AAAAADv/N+E=")</f>
        <v>#VALUE!</v>
      </c>
      <c r="HS166">
        <f>IF('Planilla_General_29-11-2012_10_'!2499:2499,"AAAAADv/N+I=",0)</f>
        <v>0</v>
      </c>
      <c r="HT166" t="e">
        <f>AND('Planilla_General_29-11-2012_10_'!A2499,"AAAAADv/N+M=")</f>
        <v>#VALUE!</v>
      </c>
      <c r="HU166" t="e">
        <f>AND('Planilla_General_29-11-2012_10_'!B2499,"AAAAADv/N+Q=")</f>
        <v>#VALUE!</v>
      </c>
      <c r="HV166" t="e">
        <f>AND('Planilla_General_29-11-2012_10_'!C2499,"AAAAADv/N+U=")</f>
        <v>#VALUE!</v>
      </c>
      <c r="HW166" t="e">
        <f>AND('Planilla_General_29-11-2012_10_'!D2499,"AAAAADv/N+Y=")</f>
        <v>#VALUE!</v>
      </c>
      <c r="HX166" t="e">
        <f>AND('Planilla_General_29-11-2012_10_'!E2499,"AAAAADv/N+c=")</f>
        <v>#VALUE!</v>
      </c>
      <c r="HY166" t="e">
        <f>AND('Planilla_General_29-11-2012_10_'!F2499,"AAAAADv/N+g=")</f>
        <v>#VALUE!</v>
      </c>
      <c r="HZ166" t="e">
        <f>AND('Planilla_General_29-11-2012_10_'!G2499,"AAAAADv/N+k=")</f>
        <v>#VALUE!</v>
      </c>
      <c r="IA166" t="e">
        <f>AND('Planilla_General_29-11-2012_10_'!H2499,"AAAAADv/N+o=")</f>
        <v>#VALUE!</v>
      </c>
      <c r="IB166" t="e">
        <f>AND('Planilla_General_29-11-2012_10_'!I2499,"AAAAADv/N+s=")</f>
        <v>#VALUE!</v>
      </c>
      <c r="IC166" t="e">
        <f>AND('Planilla_General_29-11-2012_10_'!J2499,"AAAAADv/N+w=")</f>
        <v>#VALUE!</v>
      </c>
      <c r="ID166" t="e">
        <f>AND('Planilla_General_29-11-2012_10_'!K2499,"AAAAADv/N+0=")</f>
        <v>#VALUE!</v>
      </c>
      <c r="IE166" t="e">
        <f>AND('Planilla_General_29-11-2012_10_'!L2499,"AAAAADv/N+4=")</f>
        <v>#VALUE!</v>
      </c>
      <c r="IF166" t="e">
        <f>AND('Planilla_General_29-11-2012_10_'!M2499,"AAAAADv/N+8=")</f>
        <v>#VALUE!</v>
      </c>
      <c r="IG166" t="e">
        <f>AND('Planilla_General_29-11-2012_10_'!N2499,"AAAAADv/N/A=")</f>
        <v>#VALUE!</v>
      </c>
      <c r="IH166" t="e">
        <f>AND('Planilla_General_29-11-2012_10_'!O2499,"AAAAADv/N/E=")</f>
        <v>#VALUE!</v>
      </c>
      <c r="II166" t="e">
        <f>AND('Planilla_General_29-11-2012_10_'!P2499,"AAAAADv/N/I=")</f>
        <v>#VALUE!</v>
      </c>
      <c r="IJ166">
        <f>IF('Planilla_General_29-11-2012_10_'!2500:2500,"AAAAADv/N/M=",0)</f>
        <v>0</v>
      </c>
      <c r="IK166" t="e">
        <f>AND('Planilla_General_29-11-2012_10_'!A2500,"AAAAADv/N/Q=")</f>
        <v>#VALUE!</v>
      </c>
      <c r="IL166" t="e">
        <f>AND('Planilla_General_29-11-2012_10_'!B2500,"AAAAADv/N/U=")</f>
        <v>#VALUE!</v>
      </c>
      <c r="IM166" t="e">
        <f>AND('Planilla_General_29-11-2012_10_'!C2500,"AAAAADv/N/Y=")</f>
        <v>#VALUE!</v>
      </c>
      <c r="IN166" t="e">
        <f>AND('Planilla_General_29-11-2012_10_'!D2500,"AAAAADv/N/c=")</f>
        <v>#VALUE!</v>
      </c>
      <c r="IO166" t="e">
        <f>AND('Planilla_General_29-11-2012_10_'!E2500,"AAAAADv/N/g=")</f>
        <v>#VALUE!</v>
      </c>
      <c r="IP166" t="e">
        <f>AND('Planilla_General_29-11-2012_10_'!F2500,"AAAAADv/N/k=")</f>
        <v>#VALUE!</v>
      </c>
      <c r="IQ166" t="e">
        <f>AND('Planilla_General_29-11-2012_10_'!G2500,"AAAAADv/N/o=")</f>
        <v>#VALUE!</v>
      </c>
      <c r="IR166" t="e">
        <f>AND('Planilla_General_29-11-2012_10_'!H2500,"AAAAADv/N/s=")</f>
        <v>#VALUE!</v>
      </c>
      <c r="IS166" t="e">
        <f>AND('Planilla_General_29-11-2012_10_'!I2500,"AAAAADv/N/w=")</f>
        <v>#VALUE!</v>
      </c>
      <c r="IT166" t="e">
        <f>AND('Planilla_General_29-11-2012_10_'!J2500,"AAAAADv/N/0=")</f>
        <v>#VALUE!</v>
      </c>
      <c r="IU166" t="e">
        <f>AND('Planilla_General_29-11-2012_10_'!K2500,"AAAAADv/N/4=")</f>
        <v>#VALUE!</v>
      </c>
      <c r="IV166" t="e">
        <f>AND('Planilla_General_29-11-2012_10_'!L2500,"AAAAADv/N/8=")</f>
        <v>#VALUE!</v>
      </c>
    </row>
    <row r="167" spans="1:256" x14ac:dyDescent="0.25">
      <c r="A167" t="e">
        <f>AND('Planilla_General_29-11-2012_10_'!M2500,"AAAAAFl2/gA=")</f>
        <v>#VALUE!</v>
      </c>
      <c r="B167" t="e">
        <f>AND('Planilla_General_29-11-2012_10_'!N2500,"AAAAAFl2/gE=")</f>
        <v>#VALUE!</v>
      </c>
      <c r="C167" t="e">
        <f>AND('Planilla_General_29-11-2012_10_'!O2500,"AAAAAFl2/gI=")</f>
        <v>#VALUE!</v>
      </c>
      <c r="D167" t="e">
        <f>AND('Planilla_General_29-11-2012_10_'!P2500,"AAAAAFl2/gM=")</f>
        <v>#VALUE!</v>
      </c>
      <c r="E167" t="e">
        <f>IF('Planilla_General_29-11-2012_10_'!2501:2501,"AAAAAFl2/gQ=",0)</f>
        <v>#VALUE!</v>
      </c>
      <c r="F167" t="e">
        <f>AND('Planilla_General_29-11-2012_10_'!A2501,"AAAAAFl2/gU=")</f>
        <v>#VALUE!</v>
      </c>
      <c r="G167" t="e">
        <f>AND('Planilla_General_29-11-2012_10_'!B2501,"AAAAAFl2/gY=")</f>
        <v>#VALUE!</v>
      </c>
      <c r="H167" t="e">
        <f>AND('Planilla_General_29-11-2012_10_'!C2501,"AAAAAFl2/gc=")</f>
        <v>#VALUE!</v>
      </c>
      <c r="I167" t="e">
        <f>AND('Planilla_General_29-11-2012_10_'!D2501,"AAAAAFl2/gg=")</f>
        <v>#VALUE!</v>
      </c>
      <c r="J167" t="e">
        <f>AND('Planilla_General_29-11-2012_10_'!E2501,"AAAAAFl2/gk=")</f>
        <v>#VALUE!</v>
      </c>
      <c r="K167" t="e">
        <f>AND('Planilla_General_29-11-2012_10_'!F2501,"AAAAAFl2/go=")</f>
        <v>#VALUE!</v>
      </c>
      <c r="L167" t="e">
        <f>AND('Planilla_General_29-11-2012_10_'!G2501,"AAAAAFl2/gs=")</f>
        <v>#VALUE!</v>
      </c>
      <c r="M167" t="e">
        <f>AND('Planilla_General_29-11-2012_10_'!H2501,"AAAAAFl2/gw=")</f>
        <v>#VALUE!</v>
      </c>
      <c r="N167" t="e">
        <f>AND('Planilla_General_29-11-2012_10_'!I2501,"AAAAAFl2/g0=")</f>
        <v>#VALUE!</v>
      </c>
      <c r="O167" t="e">
        <f>AND('Planilla_General_29-11-2012_10_'!J2501,"AAAAAFl2/g4=")</f>
        <v>#VALUE!</v>
      </c>
      <c r="P167" t="e">
        <f>AND('Planilla_General_29-11-2012_10_'!K2501,"AAAAAFl2/g8=")</f>
        <v>#VALUE!</v>
      </c>
      <c r="Q167" t="e">
        <f>AND('Planilla_General_29-11-2012_10_'!L2501,"AAAAAFl2/hA=")</f>
        <v>#VALUE!</v>
      </c>
      <c r="R167" t="e">
        <f>AND('Planilla_General_29-11-2012_10_'!M2501,"AAAAAFl2/hE=")</f>
        <v>#VALUE!</v>
      </c>
      <c r="S167" t="e">
        <f>AND('Planilla_General_29-11-2012_10_'!N2501,"AAAAAFl2/hI=")</f>
        <v>#VALUE!</v>
      </c>
      <c r="T167" t="e">
        <f>AND('Planilla_General_29-11-2012_10_'!O2501,"AAAAAFl2/hM=")</f>
        <v>#VALUE!</v>
      </c>
      <c r="U167" t="e">
        <f>AND('Planilla_General_29-11-2012_10_'!P2501,"AAAAAFl2/hQ=")</f>
        <v>#VALUE!</v>
      </c>
      <c r="V167">
        <f>IF('Planilla_General_29-11-2012_10_'!2502:2502,"AAAAAFl2/hU=",0)</f>
        <v>0</v>
      </c>
      <c r="W167" t="e">
        <f>AND('Planilla_General_29-11-2012_10_'!A2502,"AAAAAFl2/hY=")</f>
        <v>#VALUE!</v>
      </c>
      <c r="X167" t="e">
        <f>AND('Planilla_General_29-11-2012_10_'!B2502,"AAAAAFl2/hc=")</f>
        <v>#VALUE!</v>
      </c>
      <c r="Y167" t="e">
        <f>AND('Planilla_General_29-11-2012_10_'!C2502,"AAAAAFl2/hg=")</f>
        <v>#VALUE!</v>
      </c>
      <c r="Z167" t="e">
        <f>AND('Planilla_General_29-11-2012_10_'!D2502,"AAAAAFl2/hk=")</f>
        <v>#VALUE!</v>
      </c>
      <c r="AA167" t="e">
        <f>AND('Planilla_General_29-11-2012_10_'!E2502,"AAAAAFl2/ho=")</f>
        <v>#VALUE!</v>
      </c>
      <c r="AB167" t="e">
        <f>AND('Planilla_General_29-11-2012_10_'!F2502,"AAAAAFl2/hs=")</f>
        <v>#VALUE!</v>
      </c>
      <c r="AC167" t="e">
        <f>AND('Planilla_General_29-11-2012_10_'!G2502,"AAAAAFl2/hw=")</f>
        <v>#VALUE!</v>
      </c>
      <c r="AD167" t="e">
        <f>AND('Planilla_General_29-11-2012_10_'!H2502,"AAAAAFl2/h0=")</f>
        <v>#VALUE!</v>
      </c>
      <c r="AE167" t="e">
        <f>AND('Planilla_General_29-11-2012_10_'!I2502,"AAAAAFl2/h4=")</f>
        <v>#VALUE!</v>
      </c>
      <c r="AF167" t="e">
        <f>AND('Planilla_General_29-11-2012_10_'!J2502,"AAAAAFl2/h8=")</f>
        <v>#VALUE!</v>
      </c>
      <c r="AG167" t="e">
        <f>AND('Planilla_General_29-11-2012_10_'!K2502,"AAAAAFl2/iA=")</f>
        <v>#VALUE!</v>
      </c>
      <c r="AH167" t="e">
        <f>AND('Planilla_General_29-11-2012_10_'!L2502,"AAAAAFl2/iE=")</f>
        <v>#VALUE!</v>
      </c>
      <c r="AI167" t="e">
        <f>AND('Planilla_General_29-11-2012_10_'!M2502,"AAAAAFl2/iI=")</f>
        <v>#VALUE!</v>
      </c>
      <c r="AJ167" t="e">
        <f>AND('Planilla_General_29-11-2012_10_'!N2502,"AAAAAFl2/iM=")</f>
        <v>#VALUE!</v>
      </c>
      <c r="AK167" t="e">
        <f>AND('Planilla_General_29-11-2012_10_'!O2502,"AAAAAFl2/iQ=")</f>
        <v>#VALUE!</v>
      </c>
      <c r="AL167" t="e">
        <f>AND('Planilla_General_29-11-2012_10_'!P2502,"AAAAAFl2/iU=")</f>
        <v>#VALUE!</v>
      </c>
      <c r="AM167">
        <f>IF('Planilla_General_29-11-2012_10_'!2503:2503,"AAAAAFl2/iY=",0)</f>
        <v>0</v>
      </c>
      <c r="AN167" t="e">
        <f>AND('Planilla_General_29-11-2012_10_'!A2503,"AAAAAFl2/ic=")</f>
        <v>#VALUE!</v>
      </c>
      <c r="AO167" t="e">
        <f>AND('Planilla_General_29-11-2012_10_'!B2503,"AAAAAFl2/ig=")</f>
        <v>#VALUE!</v>
      </c>
      <c r="AP167" t="e">
        <f>AND('Planilla_General_29-11-2012_10_'!C2503,"AAAAAFl2/ik=")</f>
        <v>#VALUE!</v>
      </c>
      <c r="AQ167" t="e">
        <f>AND('Planilla_General_29-11-2012_10_'!D2503,"AAAAAFl2/io=")</f>
        <v>#VALUE!</v>
      </c>
      <c r="AR167" t="e">
        <f>AND('Planilla_General_29-11-2012_10_'!E2503,"AAAAAFl2/is=")</f>
        <v>#VALUE!</v>
      </c>
      <c r="AS167" t="e">
        <f>AND('Planilla_General_29-11-2012_10_'!F2503,"AAAAAFl2/iw=")</f>
        <v>#VALUE!</v>
      </c>
      <c r="AT167" t="e">
        <f>AND('Planilla_General_29-11-2012_10_'!G2503,"AAAAAFl2/i0=")</f>
        <v>#VALUE!</v>
      </c>
      <c r="AU167" t="e">
        <f>AND('Planilla_General_29-11-2012_10_'!H2503,"AAAAAFl2/i4=")</f>
        <v>#VALUE!</v>
      </c>
      <c r="AV167" t="e">
        <f>AND('Planilla_General_29-11-2012_10_'!I2503,"AAAAAFl2/i8=")</f>
        <v>#VALUE!</v>
      </c>
      <c r="AW167" t="e">
        <f>AND('Planilla_General_29-11-2012_10_'!J2503,"AAAAAFl2/jA=")</f>
        <v>#VALUE!</v>
      </c>
      <c r="AX167" t="e">
        <f>AND('Planilla_General_29-11-2012_10_'!K2503,"AAAAAFl2/jE=")</f>
        <v>#VALUE!</v>
      </c>
      <c r="AY167" t="e">
        <f>AND('Planilla_General_29-11-2012_10_'!L2503,"AAAAAFl2/jI=")</f>
        <v>#VALUE!</v>
      </c>
      <c r="AZ167" t="e">
        <f>AND('Planilla_General_29-11-2012_10_'!M2503,"AAAAAFl2/jM=")</f>
        <v>#VALUE!</v>
      </c>
      <c r="BA167" t="e">
        <f>AND('Planilla_General_29-11-2012_10_'!N2503,"AAAAAFl2/jQ=")</f>
        <v>#VALUE!</v>
      </c>
      <c r="BB167" t="e">
        <f>AND('Planilla_General_29-11-2012_10_'!O2503,"AAAAAFl2/jU=")</f>
        <v>#VALUE!</v>
      </c>
      <c r="BC167" t="e">
        <f>AND('Planilla_General_29-11-2012_10_'!P2503,"AAAAAFl2/jY=")</f>
        <v>#VALUE!</v>
      </c>
      <c r="BD167">
        <f>IF('Planilla_General_29-11-2012_10_'!2504:2504,"AAAAAFl2/jc=",0)</f>
        <v>0</v>
      </c>
      <c r="BE167" t="e">
        <f>AND('Planilla_General_29-11-2012_10_'!A2504,"AAAAAFl2/jg=")</f>
        <v>#VALUE!</v>
      </c>
      <c r="BF167" t="e">
        <f>AND('Planilla_General_29-11-2012_10_'!B2504,"AAAAAFl2/jk=")</f>
        <v>#VALUE!</v>
      </c>
      <c r="BG167" t="e">
        <f>AND('Planilla_General_29-11-2012_10_'!C2504,"AAAAAFl2/jo=")</f>
        <v>#VALUE!</v>
      </c>
      <c r="BH167" t="e">
        <f>AND('Planilla_General_29-11-2012_10_'!D2504,"AAAAAFl2/js=")</f>
        <v>#VALUE!</v>
      </c>
      <c r="BI167" t="e">
        <f>AND('Planilla_General_29-11-2012_10_'!E2504,"AAAAAFl2/jw=")</f>
        <v>#VALUE!</v>
      </c>
      <c r="BJ167" t="e">
        <f>AND('Planilla_General_29-11-2012_10_'!F2504,"AAAAAFl2/j0=")</f>
        <v>#VALUE!</v>
      </c>
      <c r="BK167" t="e">
        <f>AND('Planilla_General_29-11-2012_10_'!G2504,"AAAAAFl2/j4=")</f>
        <v>#VALUE!</v>
      </c>
      <c r="BL167" t="e">
        <f>AND('Planilla_General_29-11-2012_10_'!H2504,"AAAAAFl2/j8=")</f>
        <v>#VALUE!</v>
      </c>
      <c r="BM167" t="e">
        <f>AND('Planilla_General_29-11-2012_10_'!I2504,"AAAAAFl2/kA=")</f>
        <v>#VALUE!</v>
      </c>
      <c r="BN167" t="e">
        <f>AND('Planilla_General_29-11-2012_10_'!J2504,"AAAAAFl2/kE=")</f>
        <v>#VALUE!</v>
      </c>
      <c r="BO167" t="e">
        <f>AND('Planilla_General_29-11-2012_10_'!K2504,"AAAAAFl2/kI=")</f>
        <v>#VALUE!</v>
      </c>
      <c r="BP167" t="e">
        <f>AND('Planilla_General_29-11-2012_10_'!L2504,"AAAAAFl2/kM=")</f>
        <v>#VALUE!</v>
      </c>
      <c r="BQ167" t="e">
        <f>AND('Planilla_General_29-11-2012_10_'!M2504,"AAAAAFl2/kQ=")</f>
        <v>#VALUE!</v>
      </c>
      <c r="BR167" t="e">
        <f>AND('Planilla_General_29-11-2012_10_'!N2504,"AAAAAFl2/kU=")</f>
        <v>#VALUE!</v>
      </c>
      <c r="BS167" t="e">
        <f>AND('Planilla_General_29-11-2012_10_'!O2504,"AAAAAFl2/kY=")</f>
        <v>#VALUE!</v>
      </c>
      <c r="BT167" t="e">
        <f>AND('Planilla_General_29-11-2012_10_'!P2504,"AAAAAFl2/kc=")</f>
        <v>#VALUE!</v>
      </c>
      <c r="BU167">
        <f>IF('Planilla_General_29-11-2012_10_'!2505:2505,"AAAAAFl2/kg=",0)</f>
        <v>0</v>
      </c>
      <c r="BV167" t="e">
        <f>AND('Planilla_General_29-11-2012_10_'!A2505,"AAAAAFl2/kk=")</f>
        <v>#VALUE!</v>
      </c>
      <c r="BW167" t="e">
        <f>AND('Planilla_General_29-11-2012_10_'!B2505,"AAAAAFl2/ko=")</f>
        <v>#VALUE!</v>
      </c>
      <c r="BX167" t="e">
        <f>AND('Planilla_General_29-11-2012_10_'!C2505,"AAAAAFl2/ks=")</f>
        <v>#VALUE!</v>
      </c>
      <c r="BY167" t="e">
        <f>AND('Planilla_General_29-11-2012_10_'!D2505,"AAAAAFl2/kw=")</f>
        <v>#VALUE!</v>
      </c>
      <c r="BZ167" t="e">
        <f>AND('Planilla_General_29-11-2012_10_'!E2505,"AAAAAFl2/k0=")</f>
        <v>#VALUE!</v>
      </c>
      <c r="CA167" t="e">
        <f>AND('Planilla_General_29-11-2012_10_'!F2505,"AAAAAFl2/k4=")</f>
        <v>#VALUE!</v>
      </c>
      <c r="CB167" t="e">
        <f>AND('Planilla_General_29-11-2012_10_'!G2505,"AAAAAFl2/k8=")</f>
        <v>#VALUE!</v>
      </c>
      <c r="CC167" t="e">
        <f>AND('Planilla_General_29-11-2012_10_'!H2505,"AAAAAFl2/lA=")</f>
        <v>#VALUE!</v>
      </c>
      <c r="CD167" t="e">
        <f>AND('Planilla_General_29-11-2012_10_'!I2505,"AAAAAFl2/lE=")</f>
        <v>#VALUE!</v>
      </c>
      <c r="CE167" t="e">
        <f>AND('Planilla_General_29-11-2012_10_'!J2505,"AAAAAFl2/lI=")</f>
        <v>#VALUE!</v>
      </c>
      <c r="CF167" t="e">
        <f>AND('Planilla_General_29-11-2012_10_'!K2505,"AAAAAFl2/lM=")</f>
        <v>#VALUE!</v>
      </c>
      <c r="CG167" t="e">
        <f>AND('Planilla_General_29-11-2012_10_'!L2505,"AAAAAFl2/lQ=")</f>
        <v>#VALUE!</v>
      </c>
      <c r="CH167" t="e">
        <f>AND('Planilla_General_29-11-2012_10_'!M2505,"AAAAAFl2/lU=")</f>
        <v>#VALUE!</v>
      </c>
      <c r="CI167" t="e">
        <f>AND('Planilla_General_29-11-2012_10_'!N2505,"AAAAAFl2/lY=")</f>
        <v>#VALUE!</v>
      </c>
      <c r="CJ167" t="e">
        <f>AND('Planilla_General_29-11-2012_10_'!O2505,"AAAAAFl2/lc=")</f>
        <v>#VALUE!</v>
      </c>
      <c r="CK167" t="e">
        <f>AND('Planilla_General_29-11-2012_10_'!P2505,"AAAAAFl2/lg=")</f>
        <v>#VALUE!</v>
      </c>
      <c r="CL167">
        <f>IF('Planilla_General_29-11-2012_10_'!2506:2506,"AAAAAFl2/lk=",0)</f>
        <v>0</v>
      </c>
      <c r="CM167" t="e">
        <f>AND('Planilla_General_29-11-2012_10_'!A2506,"AAAAAFl2/lo=")</f>
        <v>#VALUE!</v>
      </c>
      <c r="CN167" t="e">
        <f>AND('Planilla_General_29-11-2012_10_'!B2506,"AAAAAFl2/ls=")</f>
        <v>#VALUE!</v>
      </c>
      <c r="CO167" t="e">
        <f>AND('Planilla_General_29-11-2012_10_'!C2506,"AAAAAFl2/lw=")</f>
        <v>#VALUE!</v>
      </c>
      <c r="CP167" t="e">
        <f>AND('Planilla_General_29-11-2012_10_'!D2506,"AAAAAFl2/l0=")</f>
        <v>#VALUE!</v>
      </c>
      <c r="CQ167" t="e">
        <f>AND('Planilla_General_29-11-2012_10_'!E2506,"AAAAAFl2/l4=")</f>
        <v>#VALUE!</v>
      </c>
      <c r="CR167" t="e">
        <f>AND('Planilla_General_29-11-2012_10_'!F2506,"AAAAAFl2/l8=")</f>
        <v>#VALUE!</v>
      </c>
      <c r="CS167" t="e">
        <f>AND('Planilla_General_29-11-2012_10_'!G2506,"AAAAAFl2/mA=")</f>
        <v>#VALUE!</v>
      </c>
      <c r="CT167" t="e">
        <f>AND('Planilla_General_29-11-2012_10_'!H2506,"AAAAAFl2/mE=")</f>
        <v>#VALUE!</v>
      </c>
      <c r="CU167" t="e">
        <f>AND('Planilla_General_29-11-2012_10_'!I2506,"AAAAAFl2/mI=")</f>
        <v>#VALUE!</v>
      </c>
      <c r="CV167" t="e">
        <f>AND('Planilla_General_29-11-2012_10_'!J2506,"AAAAAFl2/mM=")</f>
        <v>#VALUE!</v>
      </c>
      <c r="CW167" t="e">
        <f>AND('Planilla_General_29-11-2012_10_'!K2506,"AAAAAFl2/mQ=")</f>
        <v>#VALUE!</v>
      </c>
      <c r="CX167" t="e">
        <f>AND('Planilla_General_29-11-2012_10_'!L2506,"AAAAAFl2/mU=")</f>
        <v>#VALUE!</v>
      </c>
      <c r="CY167" t="e">
        <f>AND('Planilla_General_29-11-2012_10_'!M2506,"AAAAAFl2/mY=")</f>
        <v>#VALUE!</v>
      </c>
      <c r="CZ167" t="e">
        <f>AND('Planilla_General_29-11-2012_10_'!N2506,"AAAAAFl2/mc=")</f>
        <v>#VALUE!</v>
      </c>
      <c r="DA167" t="e">
        <f>AND('Planilla_General_29-11-2012_10_'!O2506,"AAAAAFl2/mg=")</f>
        <v>#VALUE!</v>
      </c>
      <c r="DB167" t="e">
        <f>AND('Planilla_General_29-11-2012_10_'!P2506,"AAAAAFl2/mk=")</f>
        <v>#VALUE!</v>
      </c>
      <c r="DC167">
        <f>IF('Planilla_General_29-11-2012_10_'!2507:2507,"AAAAAFl2/mo=",0)</f>
        <v>0</v>
      </c>
      <c r="DD167" t="e">
        <f>AND('Planilla_General_29-11-2012_10_'!A2507,"AAAAAFl2/ms=")</f>
        <v>#VALUE!</v>
      </c>
      <c r="DE167" t="e">
        <f>AND('Planilla_General_29-11-2012_10_'!B2507,"AAAAAFl2/mw=")</f>
        <v>#VALUE!</v>
      </c>
      <c r="DF167" t="e">
        <f>AND('Planilla_General_29-11-2012_10_'!C2507,"AAAAAFl2/m0=")</f>
        <v>#VALUE!</v>
      </c>
      <c r="DG167" t="e">
        <f>AND('Planilla_General_29-11-2012_10_'!D2507,"AAAAAFl2/m4=")</f>
        <v>#VALUE!</v>
      </c>
      <c r="DH167" t="e">
        <f>AND('Planilla_General_29-11-2012_10_'!E2507,"AAAAAFl2/m8=")</f>
        <v>#VALUE!</v>
      </c>
      <c r="DI167" t="e">
        <f>AND('Planilla_General_29-11-2012_10_'!F2507,"AAAAAFl2/nA=")</f>
        <v>#VALUE!</v>
      </c>
      <c r="DJ167" t="e">
        <f>AND('Planilla_General_29-11-2012_10_'!G2507,"AAAAAFl2/nE=")</f>
        <v>#VALUE!</v>
      </c>
      <c r="DK167" t="e">
        <f>AND('Planilla_General_29-11-2012_10_'!H2507,"AAAAAFl2/nI=")</f>
        <v>#VALUE!</v>
      </c>
      <c r="DL167" t="e">
        <f>AND('Planilla_General_29-11-2012_10_'!I2507,"AAAAAFl2/nM=")</f>
        <v>#VALUE!</v>
      </c>
      <c r="DM167" t="e">
        <f>AND('Planilla_General_29-11-2012_10_'!J2507,"AAAAAFl2/nQ=")</f>
        <v>#VALUE!</v>
      </c>
      <c r="DN167" t="e">
        <f>AND('Planilla_General_29-11-2012_10_'!K2507,"AAAAAFl2/nU=")</f>
        <v>#VALUE!</v>
      </c>
      <c r="DO167" t="e">
        <f>AND('Planilla_General_29-11-2012_10_'!L2507,"AAAAAFl2/nY=")</f>
        <v>#VALUE!</v>
      </c>
      <c r="DP167" t="e">
        <f>AND('Planilla_General_29-11-2012_10_'!M2507,"AAAAAFl2/nc=")</f>
        <v>#VALUE!</v>
      </c>
      <c r="DQ167" t="e">
        <f>AND('Planilla_General_29-11-2012_10_'!N2507,"AAAAAFl2/ng=")</f>
        <v>#VALUE!</v>
      </c>
      <c r="DR167" t="e">
        <f>AND('Planilla_General_29-11-2012_10_'!O2507,"AAAAAFl2/nk=")</f>
        <v>#VALUE!</v>
      </c>
      <c r="DS167" t="e">
        <f>AND('Planilla_General_29-11-2012_10_'!P2507,"AAAAAFl2/no=")</f>
        <v>#VALUE!</v>
      </c>
      <c r="DT167">
        <f>IF('Planilla_General_29-11-2012_10_'!2508:2508,"AAAAAFl2/ns=",0)</f>
        <v>0</v>
      </c>
      <c r="DU167" t="e">
        <f>AND('Planilla_General_29-11-2012_10_'!A2508,"AAAAAFl2/nw=")</f>
        <v>#VALUE!</v>
      </c>
      <c r="DV167" t="e">
        <f>AND('Planilla_General_29-11-2012_10_'!B2508,"AAAAAFl2/n0=")</f>
        <v>#VALUE!</v>
      </c>
      <c r="DW167" t="e">
        <f>AND('Planilla_General_29-11-2012_10_'!C2508,"AAAAAFl2/n4=")</f>
        <v>#VALUE!</v>
      </c>
      <c r="DX167" t="e">
        <f>AND('Planilla_General_29-11-2012_10_'!D2508,"AAAAAFl2/n8=")</f>
        <v>#VALUE!</v>
      </c>
      <c r="DY167" t="e">
        <f>AND('Planilla_General_29-11-2012_10_'!E2508,"AAAAAFl2/oA=")</f>
        <v>#VALUE!</v>
      </c>
      <c r="DZ167" t="e">
        <f>AND('Planilla_General_29-11-2012_10_'!F2508,"AAAAAFl2/oE=")</f>
        <v>#VALUE!</v>
      </c>
      <c r="EA167" t="e">
        <f>AND('Planilla_General_29-11-2012_10_'!G2508,"AAAAAFl2/oI=")</f>
        <v>#VALUE!</v>
      </c>
      <c r="EB167" t="e">
        <f>AND('Planilla_General_29-11-2012_10_'!H2508,"AAAAAFl2/oM=")</f>
        <v>#VALUE!</v>
      </c>
      <c r="EC167" t="e">
        <f>AND('Planilla_General_29-11-2012_10_'!I2508,"AAAAAFl2/oQ=")</f>
        <v>#VALUE!</v>
      </c>
      <c r="ED167" t="e">
        <f>AND('Planilla_General_29-11-2012_10_'!J2508,"AAAAAFl2/oU=")</f>
        <v>#VALUE!</v>
      </c>
      <c r="EE167" t="e">
        <f>AND('Planilla_General_29-11-2012_10_'!K2508,"AAAAAFl2/oY=")</f>
        <v>#VALUE!</v>
      </c>
      <c r="EF167" t="e">
        <f>AND('Planilla_General_29-11-2012_10_'!L2508,"AAAAAFl2/oc=")</f>
        <v>#VALUE!</v>
      </c>
      <c r="EG167" t="e">
        <f>AND('Planilla_General_29-11-2012_10_'!M2508,"AAAAAFl2/og=")</f>
        <v>#VALUE!</v>
      </c>
      <c r="EH167" t="e">
        <f>AND('Planilla_General_29-11-2012_10_'!N2508,"AAAAAFl2/ok=")</f>
        <v>#VALUE!</v>
      </c>
      <c r="EI167" t="e">
        <f>AND('Planilla_General_29-11-2012_10_'!O2508,"AAAAAFl2/oo=")</f>
        <v>#VALUE!</v>
      </c>
      <c r="EJ167" t="e">
        <f>AND('Planilla_General_29-11-2012_10_'!P2508,"AAAAAFl2/os=")</f>
        <v>#VALUE!</v>
      </c>
      <c r="EK167">
        <f>IF('Planilla_General_29-11-2012_10_'!2509:2509,"AAAAAFl2/ow=",0)</f>
        <v>0</v>
      </c>
      <c r="EL167" t="e">
        <f>AND('Planilla_General_29-11-2012_10_'!A2509,"AAAAAFl2/o0=")</f>
        <v>#VALUE!</v>
      </c>
      <c r="EM167" t="e">
        <f>AND('Planilla_General_29-11-2012_10_'!B2509,"AAAAAFl2/o4=")</f>
        <v>#VALUE!</v>
      </c>
      <c r="EN167" t="e">
        <f>AND('Planilla_General_29-11-2012_10_'!C2509,"AAAAAFl2/o8=")</f>
        <v>#VALUE!</v>
      </c>
      <c r="EO167" t="e">
        <f>AND('Planilla_General_29-11-2012_10_'!D2509,"AAAAAFl2/pA=")</f>
        <v>#VALUE!</v>
      </c>
      <c r="EP167" t="e">
        <f>AND('Planilla_General_29-11-2012_10_'!E2509,"AAAAAFl2/pE=")</f>
        <v>#VALUE!</v>
      </c>
      <c r="EQ167" t="e">
        <f>AND('Planilla_General_29-11-2012_10_'!F2509,"AAAAAFl2/pI=")</f>
        <v>#VALUE!</v>
      </c>
      <c r="ER167" t="e">
        <f>AND('Planilla_General_29-11-2012_10_'!G2509,"AAAAAFl2/pM=")</f>
        <v>#VALUE!</v>
      </c>
      <c r="ES167" t="e">
        <f>AND('Planilla_General_29-11-2012_10_'!H2509,"AAAAAFl2/pQ=")</f>
        <v>#VALUE!</v>
      </c>
      <c r="ET167" t="e">
        <f>AND('Planilla_General_29-11-2012_10_'!I2509,"AAAAAFl2/pU=")</f>
        <v>#VALUE!</v>
      </c>
      <c r="EU167" t="e">
        <f>AND('Planilla_General_29-11-2012_10_'!J2509,"AAAAAFl2/pY=")</f>
        <v>#VALUE!</v>
      </c>
      <c r="EV167" t="e">
        <f>AND('Planilla_General_29-11-2012_10_'!K2509,"AAAAAFl2/pc=")</f>
        <v>#VALUE!</v>
      </c>
      <c r="EW167" t="e">
        <f>AND('Planilla_General_29-11-2012_10_'!L2509,"AAAAAFl2/pg=")</f>
        <v>#VALUE!</v>
      </c>
      <c r="EX167" t="e">
        <f>AND('Planilla_General_29-11-2012_10_'!M2509,"AAAAAFl2/pk=")</f>
        <v>#VALUE!</v>
      </c>
      <c r="EY167" t="e">
        <f>AND('Planilla_General_29-11-2012_10_'!N2509,"AAAAAFl2/po=")</f>
        <v>#VALUE!</v>
      </c>
      <c r="EZ167" t="e">
        <f>AND('Planilla_General_29-11-2012_10_'!O2509,"AAAAAFl2/ps=")</f>
        <v>#VALUE!</v>
      </c>
      <c r="FA167" t="e">
        <f>AND('Planilla_General_29-11-2012_10_'!P2509,"AAAAAFl2/pw=")</f>
        <v>#VALUE!</v>
      </c>
      <c r="FB167">
        <f>IF('Planilla_General_29-11-2012_10_'!2510:2510,"AAAAAFl2/p0=",0)</f>
        <v>0</v>
      </c>
      <c r="FC167" t="e">
        <f>AND('Planilla_General_29-11-2012_10_'!A2510,"AAAAAFl2/p4=")</f>
        <v>#VALUE!</v>
      </c>
      <c r="FD167" t="e">
        <f>AND('Planilla_General_29-11-2012_10_'!B2510,"AAAAAFl2/p8=")</f>
        <v>#VALUE!</v>
      </c>
      <c r="FE167" t="e">
        <f>AND('Planilla_General_29-11-2012_10_'!C2510,"AAAAAFl2/qA=")</f>
        <v>#VALUE!</v>
      </c>
      <c r="FF167" t="e">
        <f>AND('Planilla_General_29-11-2012_10_'!D2510,"AAAAAFl2/qE=")</f>
        <v>#VALUE!</v>
      </c>
      <c r="FG167" t="e">
        <f>AND('Planilla_General_29-11-2012_10_'!E2510,"AAAAAFl2/qI=")</f>
        <v>#VALUE!</v>
      </c>
      <c r="FH167" t="e">
        <f>AND('Planilla_General_29-11-2012_10_'!F2510,"AAAAAFl2/qM=")</f>
        <v>#VALUE!</v>
      </c>
      <c r="FI167" t="e">
        <f>AND('Planilla_General_29-11-2012_10_'!G2510,"AAAAAFl2/qQ=")</f>
        <v>#VALUE!</v>
      </c>
      <c r="FJ167" t="e">
        <f>AND('Planilla_General_29-11-2012_10_'!H2510,"AAAAAFl2/qU=")</f>
        <v>#VALUE!</v>
      </c>
      <c r="FK167" t="e">
        <f>AND('Planilla_General_29-11-2012_10_'!I2510,"AAAAAFl2/qY=")</f>
        <v>#VALUE!</v>
      </c>
      <c r="FL167" t="e">
        <f>AND('Planilla_General_29-11-2012_10_'!J2510,"AAAAAFl2/qc=")</f>
        <v>#VALUE!</v>
      </c>
      <c r="FM167" t="e">
        <f>AND('Planilla_General_29-11-2012_10_'!K2510,"AAAAAFl2/qg=")</f>
        <v>#VALUE!</v>
      </c>
      <c r="FN167" t="e">
        <f>AND('Planilla_General_29-11-2012_10_'!L2510,"AAAAAFl2/qk=")</f>
        <v>#VALUE!</v>
      </c>
      <c r="FO167" t="e">
        <f>AND('Planilla_General_29-11-2012_10_'!M2510,"AAAAAFl2/qo=")</f>
        <v>#VALUE!</v>
      </c>
      <c r="FP167" t="e">
        <f>AND('Planilla_General_29-11-2012_10_'!N2510,"AAAAAFl2/qs=")</f>
        <v>#VALUE!</v>
      </c>
      <c r="FQ167" t="e">
        <f>AND('Planilla_General_29-11-2012_10_'!O2510,"AAAAAFl2/qw=")</f>
        <v>#VALUE!</v>
      </c>
      <c r="FR167" t="e">
        <f>AND('Planilla_General_29-11-2012_10_'!P2510,"AAAAAFl2/q0=")</f>
        <v>#VALUE!</v>
      </c>
      <c r="FS167">
        <f>IF('Planilla_General_29-11-2012_10_'!2511:2511,"AAAAAFl2/q4=",0)</f>
        <v>0</v>
      </c>
      <c r="FT167" t="e">
        <f>AND('Planilla_General_29-11-2012_10_'!A2511,"AAAAAFl2/q8=")</f>
        <v>#VALUE!</v>
      </c>
      <c r="FU167" t="e">
        <f>AND('Planilla_General_29-11-2012_10_'!B2511,"AAAAAFl2/rA=")</f>
        <v>#VALUE!</v>
      </c>
      <c r="FV167" t="e">
        <f>AND('Planilla_General_29-11-2012_10_'!C2511,"AAAAAFl2/rE=")</f>
        <v>#VALUE!</v>
      </c>
      <c r="FW167" t="e">
        <f>AND('Planilla_General_29-11-2012_10_'!D2511,"AAAAAFl2/rI=")</f>
        <v>#VALUE!</v>
      </c>
      <c r="FX167" t="e">
        <f>AND('Planilla_General_29-11-2012_10_'!E2511,"AAAAAFl2/rM=")</f>
        <v>#VALUE!</v>
      </c>
      <c r="FY167" t="e">
        <f>AND('Planilla_General_29-11-2012_10_'!F2511,"AAAAAFl2/rQ=")</f>
        <v>#VALUE!</v>
      </c>
      <c r="FZ167" t="e">
        <f>AND('Planilla_General_29-11-2012_10_'!G2511,"AAAAAFl2/rU=")</f>
        <v>#VALUE!</v>
      </c>
      <c r="GA167" t="e">
        <f>AND('Planilla_General_29-11-2012_10_'!H2511,"AAAAAFl2/rY=")</f>
        <v>#VALUE!</v>
      </c>
      <c r="GB167" t="e">
        <f>AND('Planilla_General_29-11-2012_10_'!I2511,"AAAAAFl2/rc=")</f>
        <v>#VALUE!</v>
      </c>
      <c r="GC167" t="e">
        <f>AND('Planilla_General_29-11-2012_10_'!J2511,"AAAAAFl2/rg=")</f>
        <v>#VALUE!</v>
      </c>
      <c r="GD167" t="e">
        <f>AND('Planilla_General_29-11-2012_10_'!K2511,"AAAAAFl2/rk=")</f>
        <v>#VALUE!</v>
      </c>
      <c r="GE167" t="e">
        <f>AND('Planilla_General_29-11-2012_10_'!L2511,"AAAAAFl2/ro=")</f>
        <v>#VALUE!</v>
      </c>
      <c r="GF167" t="e">
        <f>AND('Planilla_General_29-11-2012_10_'!M2511,"AAAAAFl2/rs=")</f>
        <v>#VALUE!</v>
      </c>
      <c r="GG167" t="e">
        <f>AND('Planilla_General_29-11-2012_10_'!N2511,"AAAAAFl2/rw=")</f>
        <v>#VALUE!</v>
      </c>
      <c r="GH167" t="e">
        <f>AND('Planilla_General_29-11-2012_10_'!O2511,"AAAAAFl2/r0=")</f>
        <v>#VALUE!</v>
      </c>
      <c r="GI167" t="e">
        <f>AND('Planilla_General_29-11-2012_10_'!P2511,"AAAAAFl2/r4=")</f>
        <v>#VALUE!</v>
      </c>
      <c r="GJ167">
        <f>IF('Planilla_General_29-11-2012_10_'!2512:2512,"AAAAAFl2/r8=",0)</f>
        <v>0</v>
      </c>
      <c r="GK167" t="e">
        <f>AND('Planilla_General_29-11-2012_10_'!A2512,"AAAAAFl2/sA=")</f>
        <v>#VALUE!</v>
      </c>
      <c r="GL167" t="e">
        <f>AND('Planilla_General_29-11-2012_10_'!B2512,"AAAAAFl2/sE=")</f>
        <v>#VALUE!</v>
      </c>
      <c r="GM167" t="e">
        <f>AND('Planilla_General_29-11-2012_10_'!C2512,"AAAAAFl2/sI=")</f>
        <v>#VALUE!</v>
      </c>
      <c r="GN167" t="e">
        <f>AND('Planilla_General_29-11-2012_10_'!D2512,"AAAAAFl2/sM=")</f>
        <v>#VALUE!</v>
      </c>
      <c r="GO167" t="e">
        <f>AND('Planilla_General_29-11-2012_10_'!E2512,"AAAAAFl2/sQ=")</f>
        <v>#VALUE!</v>
      </c>
      <c r="GP167" t="e">
        <f>AND('Planilla_General_29-11-2012_10_'!F2512,"AAAAAFl2/sU=")</f>
        <v>#VALUE!</v>
      </c>
      <c r="GQ167" t="e">
        <f>AND('Planilla_General_29-11-2012_10_'!G2512,"AAAAAFl2/sY=")</f>
        <v>#VALUE!</v>
      </c>
      <c r="GR167" t="e">
        <f>AND('Planilla_General_29-11-2012_10_'!H2512,"AAAAAFl2/sc=")</f>
        <v>#VALUE!</v>
      </c>
      <c r="GS167" t="e">
        <f>AND('Planilla_General_29-11-2012_10_'!I2512,"AAAAAFl2/sg=")</f>
        <v>#VALUE!</v>
      </c>
      <c r="GT167" t="e">
        <f>AND('Planilla_General_29-11-2012_10_'!J2512,"AAAAAFl2/sk=")</f>
        <v>#VALUE!</v>
      </c>
      <c r="GU167" t="e">
        <f>AND('Planilla_General_29-11-2012_10_'!K2512,"AAAAAFl2/so=")</f>
        <v>#VALUE!</v>
      </c>
      <c r="GV167" t="e">
        <f>AND('Planilla_General_29-11-2012_10_'!L2512,"AAAAAFl2/ss=")</f>
        <v>#VALUE!</v>
      </c>
      <c r="GW167" t="e">
        <f>AND('Planilla_General_29-11-2012_10_'!M2512,"AAAAAFl2/sw=")</f>
        <v>#VALUE!</v>
      </c>
      <c r="GX167" t="e">
        <f>AND('Planilla_General_29-11-2012_10_'!N2512,"AAAAAFl2/s0=")</f>
        <v>#VALUE!</v>
      </c>
      <c r="GY167" t="e">
        <f>AND('Planilla_General_29-11-2012_10_'!O2512,"AAAAAFl2/s4=")</f>
        <v>#VALUE!</v>
      </c>
      <c r="GZ167" t="e">
        <f>AND('Planilla_General_29-11-2012_10_'!P2512,"AAAAAFl2/s8=")</f>
        <v>#VALUE!</v>
      </c>
      <c r="HA167">
        <f>IF('Planilla_General_29-11-2012_10_'!2513:2513,"AAAAAFl2/tA=",0)</f>
        <v>0</v>
      </c>
      <c r="HB167" t="e">
        <f>AND('Planilla_General_29-11-2012_10_'!A2513,"AAAAAFl2/tE=")</f>
        <v>#VALUE!</v>
      </c>
      <c r="HC167" t="e">
        <f>AND('Planilla_General_29-11-2012_10_'!B2513,"AAAAAFl2/tI=")</f>
        <v>#VALUE!</v>
      </c>
      <c r="HD167" t="e">
        <f>AND('Planilla_General_29-11-2012_10_'!C2513,"AAAAAFl2/tM=")</f>
        <v>#VALUE!</v>
      </c>
      <c r="HE167" t="e">
        <f>AND('Planilla_General_29-11-2012_10_'!D2513,"AAAAAFl2/tQ=")</f>
        <v>#VALUE!</v>
      </c>
      <c r="HF167" t="e">
        <f>AND('Planilla_General_29-11-2012_10_'!E2513,"AAAAAFl2/tU=")</f>
        <v>#VALUE!</v>
      </c>
      <c r="HG167" t="e">
        <f>AND('Planilla_General_29-11-2012_10_'!F2513,"AAAAAFl2/tY=")</f>
        <v>#VALUE!</v>
      </c>
      <c r="HH167" t="e">
        <f>AND('Planilla_General_29-11-2012_10_'!G2513,"AAAAAFl2/tc=")</f>
        <v>#VALUE!</v>
      </c>
      <c r="HI167" t="e">
        <f>AND('Planilla_General_29-11-2012_10_'!H2513,"AAAAAFl2/tg=")</f>
        <v>#VALUE!</v>
      </c>
      <c r="HJ167" t="e">
        <f>AND('Planilla_General_29-11-2012_10_'!I2513,"AAAAAFl2/tk=")</f>
        <v>#VALUE!</v>
      </c>
      <c r="HK167" t="e">
        <f>AND('Planilla_General_29-11-2012_10_'!J2513,"AAAAAFl2/to=")</f>
        <v>#VALUE!</v>
      </c>
      <c r="HL167" t="e">
        <f>AND('Planilla_General_29-11-2012_10_'!K2513,"AAAAAFl2/ts=")</f>
        <v>#VALUE!</v>
      </c>
      <c r="HM167" t="e">
        <f>AND('Planilla_General_29-11-2012_10_'!L2513,"AAAAAFl2/tw=")</f>
        <v>#VALUE!</v>
      </c>
      <c r="HN167" t="e">
        <f>AND('Planilla_General_29-11-2012_10_'!M2513,"AAAAAFl2/t0=")</f>
        <v>#VALUE!</v>
      </c>
      <c r="HO167" t="e">
        <f>AND('Planilla_General_29-11-2012_10_'!N2513,"AAAAAFl2/t4=")</f>
        <v>#VALUE!</v>
      </c>
      <c r="HP167" t="e">
        <f>AND('Planilla_General_29-11-2012_10_'!O2513,"AAAAAFl2/t8=")</f>
        <v>#VALUE!</v>
      </c>
      <c r="HQ167" t="e">
        <f>AND('Planilla_General_29-11-2012_10_'!P2513,"AAAAAFl2/uA=")</f>
        <v>#VALUE!</v>
      </c>
      <c r="HR167">
        <f>IF('Planilla_General_29-11-2012_10_'!2514:2514,"AAAAAFl2/uE=",0)</f>
        <v>0</v>
      </c>
      <c r="HS167" t="e">
        <f>AND('Planilla_General_29-11-2012_10_'!A2514,"AAAAAFl2/uI=")</f>
        <v>#VALUE!</v>
      </c>
      <c r="HT167" t="e">
        <f>AND('Planilla_General_29-11-2012_10_'!B2514,"AAAAAFl2/uM=")</f>
        <v>#VALUE!</v>
      </c>
      <c r="HU167" t="e">
        <f>AND('Planilla_General_29-11-2012_10_'!C2514,"AAAAAFl2/uQ=")</f>
        <v>#VALUE!</v>
      </c>
      <c r="HV167" t="e">
        <f>AND('Planilla_General_29-11-2012_10_'!D2514,"AAAAAFl2/uU=")</f>
        <v>#VALUE!</v>
      </c>
      <c r="HW167" t="e">
        <f>AND('Planilla_General_29-11-2012_10_'!E2514,"AAAAAFl2/uY=")</f>
        <v>#VALUE!</v>
      </c>
      <c r="HX167" t="e">
        <f>AND('Planilla_General_29-11-2012_10_'!F2514,"AAAAAFl2/uc=")</f>
        <v>#VALUE!</v>
      </c>
      <c r="HY167" t="e">
        <f>AND('Planilla_General_29-11-2012_10_'!G2514,"AAAAAFl2/ug=")</f>
        <v>#VALUE!</v>
      </c>
      <c r="HZ167" t="e">
        <f>AND('Planilla_General_29-11-2012_10_'!H2514,"AAAAAFl2/uk=")</f>
        <v>#VALUE!</v>
      </c>
      <c r="IA167" t="e">
        <f>AND('Planilla_General_29-11-2012_10_'!I2514,"AAAAAFl2/uo=")</f>
        <v>#VALUE!</v>
      </c>
      <c r="IB167" t="e">
        <f>AND('Planilla_General_29-11-2012_10_'!J2514,"AAAAAFl2/us=")</f>
        <v>#VALUE!</v>
      </c>
      <c r="IC167" t="e">
        <f>AND('Planilla_General_29-11-2012_10_'!K2514,"AAAAAFl2/uw=")</f>
        <v>#VALUE!</v>
      </c>
      <c r="ID167" t="e">
        <f>AND('Planilla_General_29-11-2012_10_'!L2514,"AAAAAFl2/u0=")</f>
        <v>#VALUE!</v>
      </c>
      <c r="IE167" t="e">
        <f>AND('Planilla_General_29-11-2012_10_'!M2514,"AAAAAFl2/u4=")</f>
        <v>#VALUE!</v>
      </c>
      <c r="IF167" t="e">
        <f>AND('Planilla_General_29-11-2012_10_'!N2514,"AAAAAFl2/u8=")</f>
        <v>#VALUE!</v>
      </c>
      <c r="IG167" t="e">
        <f>AND('Planilla_General_29-11-2012_10_'!O2514,"AAAAAFl2/vA=")</f>
        <v>#VALUE!</v>
      </c>
      <c r="IH167" t="e">
        <f>AND('Planilla_General_29-11-2012_10_'!P2514,"AAAAAFl2/vE=")</f>
        <v>#VALUE!</v>
      </c>
      <c r="II167">
        <f>IF('Planilla_General_29-11-2012_10_'!2515:2515,"AAAAAFl2/vI=",0)</f>
        <v>0</v>
      </c>
      <c r="IJ167" t="e">
        <f>AND('Planilla_General_29-11-2012_10_'!A2515,"AAAAAFl2/vM=")</f>
        <v>#VALUE!</v>
      </c>
      <c r="IK167" t="e">
        <f>AND('Planilla_General_29-11-2012_10_'!B2515,"AAAAAFl2/vQ=")</f>
        <v>#VALUE!</v>
      </c>
      <c r="IL167" t="e">
        <f>AND('Planilla_General_29-11-2012_10_'!C2515,"AAAAAFl2/vU=")</f>
        <v>#VALUE!</v>
      </c>
      <c r="IM167" t="e">
        <f>AND('Planilla_General_29-11-2012_10_'!D2515,"AAAAAFl2/vY=")</f>
        <v>#VALUE!</v>
      </c>
      <c r="IN167" t="e">
        <f>AND('Planilla_General_29-11-2012_10_'!E2515,"AAAAAFl2/vc=")</f>
        <v>#VALUE!</v>
      </c>
      <c r="IO167" t="e">
        <f>AND('Planilla_General_29-11-2012_10_'!F2515,"AAAAAFl2/vg=")</f>
        <v>#VALUE!</v>
      </c>
      <c r="IP167" t="e">
        <f>AND('Planilla_General_29-11-2012_10_'!G2515,"AAAAAFl2/vk=")</f>
        <v>#VALUE!</v>
      </c>
      <c r="IQ167" t="e">
        <f>AND('Planilla_General_29-11-2012_10_'!H2515,"AAAAAFl2/vo=")</f>
        <v>#VALUE!</v>
      </c>
      <c r="IR167" t="e">
        <f>AND('Planilla_General_29-11-2012_10_'!I2515,"AAAAAFl2/vs=")</f>
        <v>#VALUE!</v>
      </c>
      <c r="IS167" t="e">
        <f>AND('Planilla_General_29-11-2012_10_'!J2515,"AAAAAFl2/vw=")</f>
        <v>#VALUE!</v>
      </c>
      <c r="IT167" t="e">
        <f>AND('Planilla_General_29-11-2012_10_'!K2515,"AAAAAFl2/v0=")</f>
        <v>#VALUE!</v>
      </c>
      <c r="IU167" t="e">
        <f>AND('Planilla_General_29-11-2012_10_'!L2515,"AAAAAFl2/v4=")</f>
        <v>#VALUE!</v>
      </c>
      <c r="IV167" t="e">
        <f>AND('Planilla_General_29-11-2012_10_'!M2515,"AAAAAFl2/v8=")</f>
        <v>#VALUE!</v>
      </c>
    </row>
    <row r="168" spans="1:256" x14ac:dyDescent="0.25">
      <c r="A168" t="e">
        <f>AND('Planilla_General_29-11-2012_10_'!N2515,"AAAAAF/++wA=")</f>
        <v>#VALUE!</v>
      </c>
      <c r="B168" t="e">
        <f>AND('Planilla_General_29-11-2012_10_'!O2515,"AAAAAF/++wE=")</f>
        <v>#VALUE!</v>
      </c>
      <c r="C168" t="e">
        <f>AND('Planilla_General_29-11-2012_10_'!P2515,"AAAAAF/++wI=")</f>
        <v>#VALUE!</v>
      </c>
      <c r="D168" t="e">
        <f>IF('Planilla_General_29-11-2012_10_'!2516:2516,"AAAAAF/++wM=",0)</f>
        <v>#VALUE!</v>
      </c>
      <c r="E168" t="e">
        <f>AND('Planilla_General_29-11-2012_10_'!A2516,"AAAAAF/++wQ=")</f>
        <v>#VALUE!</v>
      </c>
      <c r="F168" t="e">
        <f>AND('Planilla_General_29-11-2012_10_'!B2516,"AAAAAF/++wU=")</f>
        <v>#VALUE!</v>
      </c>
      <c r="G168" t="e">
        <f>AND('Planilla_General_29-11-2012_10_'!C2516,"AAAAAF/++wY=")</f>
        <v>#VALUE!</v>
      </c>
      <c r="H168" t="e">
        <f>AND('Planilla_General_29-11-2012_10_'!D2516,"AAAAAF/++wc=")</f>
        <v>#VALUE!</v>
      </c>
      <c r="I168" t="e">
        <f>AND('Planilla_General_29-11-2012_10_'!E2516,"AAAAAF/++wg=")</f>
        <v>#VALUE!</v>
      </c>
      <c r="J168" t="e">
        <f>AND('Planilla_General_29-11-2012_10_'!F2516,"AAAAAF/++wk=")</f>
        <v>#VALUE!</v>
      </c>
      <c r="K168" t="e">
        <f>AND('Planilla_General_29-11-2012_10_'!G2516,"AAAAAF/++wo=")</f>
        <v>#VALUE!</v>
      </c>
      <c r="L168" t="e">
        <f>AND('Planilla_General_29-11-2012_10_'!H2516,"AAAAAF/++ws=")</f>
        <v>#VALUE!</v>
      </c>
      <c r="M168" t="e">
        <f>AND('Planilla_General_29-11-2012_10_'!I2516,"AAAAAF/++ww=")</f>
        <v>#VALUE!</v>
      </c>
      <c r="N168" t="e">
        <f>AND('Planilla_General_29-11-2012_10_'!J2516,"AAAAAF/++w0=")</f>
        <v>#VALUE!</v>
      </c>
      <c r="O168" t="e">
        <f>AND('Planilla_General_29-11-2012_10_'!K2516,"AAAAAF/++w4=")</f>
        <v>#VALUE!</v>
      </c>
      <c r="P168" t="e">
        <f>AND('Planilla_General_29-11-2012_10_'!L2516,"AAAAAF/++w8=")</f>
        <v>#VALUE!</v>
      </c>
      <c r="Q168" t="e">
        <f>AND('Planilla_General_29-11-2012_10_'!M2516,"AAAAAF/++xA=")</f>
        <v>#VALUE!</v>
      </c>
      <c r="R168" t="e">
        <f>AND('Planilla_General_29-11-2012_10_'!N2516,"AAAAAF/++xE=")</f>
        <v>#VALUE!</v>
      </c>
      <c r="S168" t="e">
        <f>AND('Planilla_General_29-11-2012_10_'!O2516,"AAAAAF/++xI=")</f>
        <v>#VALUE!</v>
      </c>
      <c r="T168" t="e">
        <f>AND('Planilla_General_29-11-2012_10_'!P2516,"AAAAAF/++xM=")</f>
        <v>#VALUE!</v>
      </c>
      <c r="U168">
        <f>IF('Planilla_General_29-11-2012_10_'!2517:2517,"AAAAAF/++xQ=",0)</f>
        <v>0</v>
      </c>
      <c r="V168" t="e">
        <f>AND('Planilla_General_29-11-2012_10_'!A2517,"AAAAAF/++xU=")</f>
        <v>#VALUE!</v>
      </c>
      <c r="W168" t="e">
        <f>AND('Planilla_General_29-11-2012_10_'!B2517,"AAAAAF/++xY=")</f>
        <v>#VALUE!</v>
      </c>
      <c r="X168" t="e">
        <f>AND('Planilla_General_29-11-2012_10_'!C2517,"AAAAAF/++xc=")</f>
        <v>#VALUE!</v>
      </c>
      <c r="Y168" t="e">
        <f>AND('Planilla_General_29-11-2012_10_'!D2517,"AAAAAF/++xg=")</f>
        <v>#VALUE!</v>
      </c>
      <c r="Z168" t="e">
        <f>AND('Planilla_General_29-11-2012_10_'!E2517,"AAAAAF/++xk=")</f>
        <v>#VALUE!</v>
      </c>
      <c r="AA168" t="e">
        <f>AND('Planilla_General_29-11-2012_10_'!F2517,"AAAAAF/++xo=")</f>
        <v>#VALUE!</v>
      </c>
      <c r="AB168" t="e">
        <f>AND('Planilla_General_29-11-2012_10_'!G2517,"AAAAAF/++xs=")</f>
        <v>#VALUE!</v>
      </c>
      <c r="AC168" t="e">
        <f>AND('Planilla_General_29-11-2012_10_'!H2517,"AAAAAF/++xw=")</f>
        <v>#VALUE!</v>
      </c>
      <c r="AD168" t="e">
        <f>AND('Planilla_General_29-11-2012_10_'!I2517,"AAAAAF/++x0=")</f>
        <v>#VALUE!</v>
      </c>
      <c r="AE168" t="e">
        <f>AND('Planilla_General_29-11-2012_10_'!J2517,"AAAAAF/++x4=")</f>
        <v>#VALUE!</v>
      </c>
      <c r="AF168" t="e">
        <f>AND('Planilla_General_29-11-2012_10_'!K2517,"AAAAAF/++x8=")</f>
        <v>#VALUE!</v>
      </c>
      <c r="AG168" t="e">
        <f>AND('Planilla_General_29-11-2012_10_'!L2517,"AAAAAF/++yA=")</f>
        <v>#VALUE!</v>
      </c>
      <c r="AH168" t="e">
        <f>AND('Planilla_General_29-11-2012_10_'!M2517,"AAAAAF/++yE=")</f>
        <v>#VALUE!</v>
      </c>
      <c r="AI168" t="e">
        <f>AND('Planilla_General_29-11-2012_10_'!N2517,"AAAAAF/++yI=")</f>
        <v>#VALUE!</v>
      </c>
      <c r="AJ168" t="e">
        <f>AND('Planilla_General_29-11-2012_10_'!O2517,"AAAAAF/++yM=")</f>
        <v>#VALUE!</v>
      </c>
      <c r="AK168" t="e">
        <f>AND('Planilla_General_29-11-2012_10_'!P2517,"AAAAAF/++yQ=")</f>
        <v>#VALUE!</v>
      </c>
      <c r="AL168">
        <f>IF('Planilla_General_29-11-2012_10_'!2518:2518,"AAAAAF/++yU=",0)</f>
        <v>0</v>
      </c>
      <c r="AM168" t="e">
        <f>AND('Planilla_General_29-11-2012_10_'!A2518,"AAAAAF/++yY=")</f>
        <v>#VALUE!</v>
      </c>
      <c r="AN168" t="e">
        <f>AND('Planilla_General_29-11-2012_10_'!B2518,"AAAAAF/++yc=")</f>
        <v>#VALUE!</v>
      </c>
      <c r="AO168" t="e">
        <f>AND('Planilla_General_29-11-2012_10_'!C2518,"AAAAAF/++yg=")</f>
        <v>#VALUE!</v>
      </c>
      <c r="AP168" t="e">
        <f>AND('Planilla_General_29-11-2012_10_'!D2518,"AAAAAF/++yk=")</f>
        <v>#VALUE!</v>
      </c>
      <c r="AQ168" t="e">
        <f>AND('Planilla_General_29-11-2012_10_'!E2518,"AAAAAF/++yo=")</f>
        <v>#VALUE!</v>
      </c>
      <c r="AR168" t="e">
        <f>AND('Planilla_General_29-11-2012_10_'!F2518,"AAAAAF/++ys=")</f>
        <v>#VALUE!</v>
      </c>
      <c r="AS168" t="e">
        <f>AND('Planilla_General_29-11-2012_10_'!G2518,"AAAAAF/++yw=")</f>
        <v>#VALUE!</v>
      </c>
      <c r="AT168" t="e">
        <f>AND('Planilla_General_29-11-2012_10_'!H2518,"AAAAAF/++y0=")</f>
        <v>#VALUE!</v>
      </c>
      <c r="AU168" t="e">
        <f>AND('Planilla_General_29-11-2012_10_'!I2518,"AAAAAF/++y4=")</f>
        <v>#VALUE!</v>
      </c>
      <c r="AV168" t="e">
        <f>AND('Planilla_General_29-11-2012_10_'!J2518,"AAAAAF/++y8=")</f>
        <v>#VALUE!</v>
      </c>
      <c r="AW168" t="e">
        <f>AND('Planilla_General_29-11-2012_10_'!K2518,"AAAAAF/++zA=")</f>
        <v>#VALUE!</v>
      </c>
      <c r="AX168" t="e">
        <f>AND('Planilla_General_29-11-2012_10_'!L2518,"AAAAAF/++zE=")</f>
        <v>#VALUE!</v>
      </c>
      <c r="AY168" t="e">
        <f>AND('Planilla_General_29-11-2012_10_'!M2518,"AAAAAF/++zI=")</f>
        <v>#VALUE!</v>
      </c>
      <c r="AZ168" t="e">
        <f>AND('Planilla_General_29-11-2012_10_'!N2518,"AAAAAF/++zM=")</f>
        <v>#VALUE!</v>
      </c>
      <c r="BA168" t="e">
        <f>AND('Planilla_General_29-11-2012_10_'!O2518,"AAAAAF/++zQ=")</f>
        <v>#VALUE!</v>
      </c>
      <c r="BB168" t="e">
        <f>AND('Planilla_General_29-11-2012_10_'!P2518,"AAAAAF/++zU=")</f>
        <v>#VALUE!</v>
      </c>
      <c r="BC168">
        <f>IF('Planilla_General_29-11-2012_10_'!2519:2519,"AAAAAF/++zY=",0)</f>
        <v>0</v>
      </c>
      <c r="BD168" t="e">
        <f>AND('Planilla_General_29-11-2012_10_'!A2519,"AAAAAF/++zc=")</f>
        <v>#VALUE!</v>
      </c>
      <c r="BE168" t="e">
        <f>AND('Planilla_General_29-11-2012_10_'!B2519,"AAAAAF/++zg=")</f>
        <v>#VALUE!</v>
      </c>
      <c r="BF168" t="e">
        <f>AND('Planilla_General_29-11-2012_10_'!C2519,"AAAAAF/++zk=")</f>
        <v>#VALUE!</v>
      </c>
      <c r="BG168" t="e">
        <f>AND('Planilla_General_29-11-2012_10_'!D2519,"AAAAAF/++zo=")</f>
        <v>#VALUE!</v>
      </c>
      <c r="BH168" t="e">
        <f>AND('Planilla_General_29-11-2012_10_'!E2519,"AAAAAF/++zs=")</f>
        <v>#VALUE!</v>
      </c>
      <c r="BI168" t="e">
        <f>AND('Planilla_General_29-11-2012_10_'!F2519,"AAAAAF/++zw=")</f>
        <v>#VALUE!</v>
      </c>
      <c r="BJ168" t="e">
        <f>AND('Planilla_General_29-11-2012_10_'!G2519,"AAAAAF/++z0=")</f>
        <v>#VALUE!</v>
      </c>
      <c r="BK168" t="e">
        <f>AND('Planilla_General_29-11-2012_10_'!H2519,"AAAAAF/++z4=")</f>
        <v>#VALUE!</v>
      </c>
      <c r="BL168" t="e">
        <f>AND('Planilla_General_29-11-2012_10_'!I2519,"AAAAAF/++z8=")</f>
        <v>#VALUE!</v>
      </c>
      <c r="BM168" t="e">
        <f>AND('Planilla_General_29-11-2012_10_'!J2519,"AAAAAF/++0A=")</f>
        <v>#VALUE!</v>
      </c>
      <c r="BN168" t="e">
        <f>AND('Planilla_General_29-11-2012_10_'!K2519,"AAAAAF/++0E=")</f>
        <v>#VALUE!</v>
      </c>
      <c r="BO168" t="e">
        <f>AND('Planilla_General_29-11-2012_10_'!L2519,"AAAAAF/++0I=")</f>
        <v>#VALUE!</v>
      </c>
      <c r="BP168" t="e">
        <f>AND('Planilla_General_29-11-2012_10_'!M2519,"AAAAAF/++0M=")</f>
        <v>#VALUE!</v>
      </c>
      <c r="BQ168" t="e">
        <f>AND('Planilla_General_29-11-2012_10_'!N2519,"AAAAAF/++0Q=")</f>
        <v>#VALUE!</v>
      </c>
      <c r="BR168" t="e">
        <f>AND('Planilla_General_29-11-2012_10_'!O2519,"AAAAAF/++0U=")</f>
        <v>#VALUE!</v>
      </c>
      <c r="BS168" t="e">
        <f>AND('Planilla_General_29-11-2012_10_'!P2519,"AAAAAF/++0Y=")</f>
        <v>#VALUE!</v>
      </c>
      <c r="BT168">
        <f>IF('Planilla_General_29-11-2012_10_'!2520:2520,"AAAAAF/++0c=",0)</f>
        <v>0</v>
      </c>
      <c r="BU168" t="e">
        <f>AND('Planilla_General_29-11-2012_10_'!A2520,"AAAAAF/++0g=")</f>
        <v>#VALUE!</v>
      </c>
      <c r="BV168" t="e">
        <f>AND('Planilla_General_29-11-2012_10_'!B2520,"AAAAAF/++0k=")</f>
        <v>#VALUE!</v>
      </c>
      <c r="BW168" t="e">
        <f>AND('Planilla_General_29-11-2012_10_'!C2520,"AAAAAF/++0o=")</f>
        <v>#VALUE!</v>
      </c>
      <c r="BX168" t="e">
        <f>AND('Planilla_General_29-11-2012_10_'!D2520,"AAAAAF/++0s=")</f>
        <v>#VALUE!</v>
      </c>
      <c r="BY168" t="e">
        <f>AND('Planilla_General_29-11-2012_10_'!E2520,"AAAAAF/++0w=")</f>
        <v>#VALUE!</v>
      </c>
      <c r="BZ168" t="e">
        <f>AND('Planilla_General_29-11-2012_10_'!F2520,"AAAAAF/++00=")</f>
        <v>#VALUE!</v>
      </c>
      <c r="CA168" t="e">
        <f>AND('Planilla_General_29-11-2012_10_'!G2520,"AAAAAF/++04=")</f>
        <v>#VALUE!</v>
      </c>
      <c r="CB168" t="e">
        <f>AND('Planilla_General_29-11-2012_10_'!H2520,"AAAAAF/++08=")</f>
        <v>#VALUE!</v>
      </c>
      <c r="CC168" t="e">
        <f>AND('Planilla_General_29-11-2012_10_'!I2520,"AAAAAF/++1A=")</f>
        <v>#VALUE!</v>
      </c>
      <c r="CD168" t="e">
        <f>AND('Planilla_General_29-11-2012_10_'!J2520,"AAAAAF/++1E=")</f>
        <v>#VALUE!</v>
      </c>
      <c r="CE168" t="e">
        <f>AND('Planilla_General_29-11-2012_10_'!K2520,"AAAAAF/++1I=")</f>
        <v>#VALUE!</v>
      </c>
      <c r="CF168" t="e">
        <f>AND('Planilla_General_29-11-2012_10_'!L2520,"AAAAAF/++1M=")</f>
        <v>#VALUE!</v>
      </c>
      <c r="CG168" t="e">
        <f>AND('Planilla_General_29-11-2012_10_'!M2520,"AAAAAF/++1Q=")</f>
        <v>#VALUE!</v>
      </c>
      <c r="CH168" t="e">
        <f>AND('Planilla_General_29-11-2012_10_'!N2520,"AAAAAF/++1U=")</f>
        <v>#VALUE!</v>
      </c>
      <c r="CI168" t="e">
        <f>AND('Planilla_General_29-11-2012_10_'!O2520,"AAAAAF/++1Y=")</f>
        <v>#VALUE!</v>
      </c>
      <c r="CJ168" t="e">
        <f>AND('Planilla_General_29-11-2012_10_'!P2520,"AAAAAF/++1c=")</f>
        <v>#VALUE!</v>
      </c>
      <c r="CK168">
        <f>IF('Planilla_General_29-11-2012_10_'!2521:2521,"AAAAAF/++1g=",0)</f>
        <v>0</v>
      </c>
      <c r="CL168" t="e">
        <f>AND('Planilla_General_29-11-2012_10_'!A2521,"AAAAAF/++1k=")</f>
        <v>#VALUE!</v>
      </c>
      <c r="CM168" t="e">
        <f>AND('Planilla_General_29-11-2012_10_'!B2521,"AAAAAF/++1o=")</f>
        <v>#VALUE!</v>
      </c>
      <c r="CN168" t="e">
        <f>AND('Planilla_General_29-11-2012_10_'!C2521,"AAAAAF/++1s=")</f>
        <v>#VALUE!</v>
      </c>
      <c r="CO168" t="e">
        <f>AND('Planilla_General_29-11-2012_10_'!D2521,"AAAAAF/++1w=")</f>
        <v>#VALUE!</v>
      </c>
      <c r="CP168" t="e">
        <f>AND('Planilla_General_29-11-2012_10_'!E2521,"AAAAAF/++10=")</f>
        <v>#VALUE!</v>
      </c>
      <c r="CQ168" t="e">
        <f>AND('Planilla_General_29-11-2012_10_'!F2521,"AAAAAF/++14=")</f>
        <v>#VALUE!</v>
      </c>
      <c r="CR168" t="e">
        <f>AND('Planilla_General_29-11-2012_10_'!G2521,"AAAAAF/++18=")</f>
        <v>#VALUE!</v>
      </c>
      <c r="CS168" t="e">
        <f>AND('Planilla_General_29-11-2012_10_'!H2521,"AAAAAF/++2A=")</f>
        <v>#VALUE!</v>
      </c>
      <c r="CT168" t="e">
        <f>AND('Planilla_General_29-11-2012_10_'!I2521,"AAAAAF/++2E=")</f>
        <v>#VALUE!</v>
      </c>
      <c r="CU168" t="e">
        <f>AND('Planilla_General_29-11-2012_10_'!J2521,"AAAAAF/++2I=")</f>
        <v>#VALUE!</v>
      </c>
      <c r="CV168" t="e">
        <f>AND('Planilla_General_29-11-2012_10_'!K2521,"AAAAAF/++2M=")</f>
        <v>#VALUE!</v>
      </c>
      <c r="CW168" t="e">
        <f>AND('Planilla_General_29-11-2012_10_'!L2521,"AAAAAF/++2Q=")</f>
        <v>#VALUE!</v>
      </c>
      <c r="CX168" t="e">
        <f>AND('Planilla_General_29-11-2012_10_'!M2521,"AAAAAF/++2U=")</f>
        <v>#VALUE!</v>
      </c>
      <c r="CY168" t="e">
        <f>AND('Planilla_General_29-11-2012_10_'!N2521,"AAAAAF/++2Y=")</f>
        <v>#VALUE!</v>
      </c>
      <c r="CZ168" t="e">
        <f>AND('Planilla_General_29-11-2012_10_'!O2521,"AAAAAF/++2c=")</f>
        <v>#VALUE!</v>
      </c>
      <c r="DA168" t="e">
        <f>AND('Planilla_General_29-11-2012_10_'!P2521,"AAAAAF/++2g=")</f>
        <v>#VALUE!</v>
      </c>
      <c r="DB168">
        <f>IF('Planilla_General_29-11-2012_10_'!2522:2522,"AAAAAF/++2k=",0)</f>
        <v>0</v>
      </c>
      <c r="DC168" t="e">
        <f>AND('Planilla_General_29-11-2012_10_'!A2522,"AAAAAF/++2o=")</f>
        <v>#VALUE!</v>
      </c>
      <c r="DD168" t="e">
        <f>AND('Planilla_General_29-11-2012_10_'!B2522,"AAAAAF/++2s=")</f>
        <v>#VALUE!</v>
      </c>
      <c r="DE168" t="e">
        <f>AND('Planilla_General_29-11-2012_10_'!C2522,"AAAAAF/++2w=")</f>
        <v>#VALUE!</v>
      </c>
      <c r="DF168" t="e">
        <f>AND('Planilla_General_29-11-2012_10_'!D2522,"AAAAAF/++20=")</f>
        <v>#VALUE!</v>
      </c>
      <c r="DG168" t="e">
        <f>AND('Planilla_General_29-11-2012_10_'!E2522,"AAAAAF/++24=")</f>
        <v>#VALUE!</v>
      </c>
      <c r="DH168" t="e">
        <f>AND('Planilla_General_29-11-2012_10_'!F2522,"AAAAAF/++28=")</f>
        <v>#VALUE!</v>
      </c>
      <c r="DI168" t="e">
        <f>AND('Planilla_General_29-11-2012_10_'!G2522,"AAAAAF/++3A=")</f>
        <v>#VALUE!</v>
      </c>
      <c r="DJ168" t="e">
        <f>AND('Planilla_General_29-11-2012_10_'!H2522,"AAAAAF/++3E=")</f>
        <v>#VALUE!</v>
      </c>
      <c r="DK168" t="e">
        <f>AND('Planilla_General_29-11-2012_10_'!I2522,"AAAAAF/++3I=")</f>
        <v>#VALUE!</v>
      </c>
      <c r="DL168" t="e">
        <f>AND('Planilla_General_29-11-2012_10_'!J2522,"AAAAAF/++3M=")</f>
        <v>#VALUE!</v>
      </c>
      <c r="DM168" t="e">
        <f>AND('Planilla_General_29-11-2012_10_'!K2522,"AAAAAF/++3Q=")</f>
        <v>#VALUE!</v>
      </c>
      <c r="DN168" t="e">
        <f>AND('Planilla_General_29-11-2012_10_'!L2522,"AAAAAF/++3U=")</f>
        <v>#VALUE!</v>
      </c>
      <c r="DO168" t="e">
        <f>AND('Planilla_General_29-11-2012_10_'!M2522,"AAAAAF/++3Y=")</f>
        <v>#VALUE!</v>
      </c>
      <c r="DP168" t="e">
        <f>AND('Planilla_General_29-11-2012_10_'!N2522,"AAAAAF/++3c=")</f>
        <v>#VALUE!</v>
      </c>
      <c r="DQ168" t="e">
        <f>AND('Planilla_General_29-11-2012_10_'!O2522,"AAAAAF/++3g=")</f>
        <v>#VALUE!</v>
      </c>
      <c r="DR168" t="e">
        <f>AND('Planilla_General_29-11-2012_10_'!P2522,"AAAAAF/++3k=")</f>
        <v>#VALUE!</v>
      </c>
      <c r="DS168">
        <f>IF('Planilla_General_29-11-2012_10_'!2523:2523,"AAAAAF/++3o=",0)</f>
        <v>0</v>
      </c>
      <c r="DT168" t="e">
        <f>AND('Planilla_General_29-11-2012_10_'!A2523,"AAAAAF/++3s=")</f>
        <v>#VALUE!</v>
      </c>
      <c r="DU168" t="e">
        <f>AND('Planilla_General_29-11-2012_10_'!B2523,"AAAAAF/++3w=")</f>
        <v>#VALUE!</v>
      </c>
      <c r="DV168" t="e">
        <f>AND('Planilla_General_29-11-2012_10_'!C2523,"AAAAAF/++30=")</f>
        <v>#VALUE!</v>
      </c>
      <c r="DW168" t="e">
        <f>AND('Planilla_General_29-11-2012_10_'!D2523,"AAAAAF/++34=")</f>
        <v>#VALUE!</v>
      </c>
      <c r="DX168" t="e">
        <f>AND('Planilla_General_29-11-2012_10_'!E2523,"AAAAAF/++38=")</f>
        <v>#VALUE!</v>
      </c>
      <c r="DY168" t="e">
        <f>AND('Planilla_General_29-11-2012_10_'!F2523,"AAAAAF/++4A=")</f>
        <v>#VALUE!</v>
      </c>
      <c r="DZ168" t="e">
        <f>AND('Planilla_General_29-11-2012_10_'!G2523,"AAAAAF/++4E=")</f>
        <v>#VALUE!</v>
      </c>
      <c r="EA168" t="e">
        <f>AND('Planilla_General_29-11-2012_10_'!H2523,"AAAAAF/++4I=")</f>
        <v>#VALUE!</v>
      </c>
      <c r="EB168" t="e">
        <f>AND('Planilla_General_29-11-2012_10_'!I2523,"AAAAAF/++4M=")</f>
        <v>#VALUE!</v>
      </c>
      <c r="EC168" t="e">
        <f>AND('Planilla_General_29-11-2012_10_'!J2523,"AAAAAF/++4Q=")</f>
        <v>#VALUE!</v>
      </c>
      <c r="ED168" t="e">
        <f>AND('Planilla_General_29-11-2012_10_'!K2523,"AAAAAF/++4U=")</f>
        <v>#VALUE!</v>
      </c>
      <c r="EE168" t="e">
        <f>AND('Planilla_General_29-11-2012_10_'!L2523,"AAAAAF/++4Y=")</f>
        <v>#VALUE!</v>
      </c>
      <c r="EF168" t="e">
        <f>AND('Planilla_General_29-11-2012_10_'!M2523,"AAAAAF/++4c=")</f>
        <v>#VALUE!</v>
      </c>
      <c r="EG168" t="e">
        <f>AND('Planilla_General_29-11-2012_10_'!N2523,"AAAAAF/++4g=")</f>
        <v>#VALUE!</v>
      </c>
      <c r="EH168" t="e">
        <f>AND('Planilla_General_29-11-2012_10_'!O2523,"AAAAAF/++4k=")</f>
        <v>#VALUE!</v>
      </c>
      <c r="EI168" t="e">
        <f>AND('Planilla_General_29-11-2012_10_'!P2523,"AAAAAF/++4o=")</f>
        <v>#VALUE!</v>
      </c>
      <c r="EJ168">
        <f>IF('Planilla_General_29-11-2012_10_'!2524:2524,"AAAAAF/++4s=",0)</f>
        <v>0</v>
      </c>
      <c r="EK168" t="e">
        <f>AND('Planilla_General_29-11-2012_10_'!A2524,"AAAAAF/++4w=")</f>
        <v>#VALUE!</v>
      </c>
      <c r="EL168" t="e">
        <f>AND('Planilla_General_29-11-2012_10_'!B2524,"AAAAAF/++40=")</f>
        <v>#VALUE!</v>
      </c>
      <c r="EM168" t="e">
        <f>AND('Planilla_General_29-11-2012_10_'!C2524,"AAAAAF/++44=")</f>
        <v>#VALUE!</v>
      </c>
      <c r="EN168" t="e">
        <f>AND('Planilla_General_29-11-2012_10_'!D2524,"AAAAAF/++48=")</f>
        <v>#VALUE!</v>
      </c>
      <c r="EO168" t="e">
        <f>AND('Planilla_General_29-11-2012_10_'!E2524,"AAAAAF/++5A=")</f>
        <v>#VALUE!</v>
      </c>
      <c r="EP168" t="e">
        <f>AND('Planilla_General_29-11-2012_10_'!F2524,"AAAAAF/++5E=")</f>
        <v>#VALUE!</v>
      </c>
      <c r="EQ168" t="e">
        <f>AND('Planilla_General_29-11-2012_10_'!G2524,"AAAAAF/++5I=")</f>
        <v>#VALUE!</v>
      </c>
      <c r="ER168" t="e">
        <f>AND('Planilla_General_29-11-2012_10_'!H2524,"AAAAAF/++5M=")</f>
        <v>#VALUE!</v>
      </c>
      <c r="ES168" t="e">
        <f>AND('Planilla_General_29-11-2012_10_'!I2524,"AAAAAF/++5Q=")</f>
        <v>#VALUE!</v>
      </c>
      <c r="ET168" t="e">
        <f>AND('Planilla_General_29-11-2012_10_'!J2524,"AAAAAF/++5U=")</f>
        <v>#VALUE!</v>
      </c>
      <c r="EU168" t="e">
        <f>AND('Planilla_General_29-11-2012_10_'!K2524,"AAAAAF/++5Y=")</f>
        <v>#VALUE!</v>
      </c>
      <c r="EV168" t="e">
        <f>AND('Planilla_General_29-11-2012_10_'!L2524,"AAAAAF/++5c=")</f>
        <v>#VALUE!</v>
      </c>
      <c r="EW168" t="e">
        <f>AND('Planilla_General_29-11-2012_10_'!M2524,"AAAAAF/++5g=")</f>
        <v>#VALUE!</v>
      </c>
      <c r="EX168" t="e">
        <f>AND('Planilla_General_29-11-2012_10_'!N2524,"AAAAAF/++5k=")</f>
        <v>#VALUE!</v>
      </c>
      <c r="EY168" t="e">
        <f>AND('Planilla_General_29-11-2012_10_'!O2524,"AAAAAF/++5o=")</f>
        <v>#VALUE!</v>
      </c>
      <c r="EZ168" t="e">
        <f>AND('Planilla_General_29-11-2012_10_'!P2524,"AAAAAF/++5s=")</f>
        <v>#VALUE!</v>
      </c>
      <c r="FA168">
        <f>IF('Planilla_General_29-11-2012_10_'!2525:2525,"AAAAAF/++5w=",0)</f>
        <v>0</v>
      </c>
      <c r="FB168" t="e">
        <f>AND('Planilla_General_29-11-2012_10_'!A2525,"AAAAAF/++50=")</f>
        <v>#VALUE!</v>
      </c>
      <c r="FC168" t="e">
        <f>AND('Planilla_General_29-11-2012_10_'!B2525,"AAAAAF/++54=")</f>
        <v>#VALUE!</v>
      </c>
      <c r="FD168" t="e">
        <f>AND('Planilla_General_29-11-2012_10_'!C2525,"AAAAAF/++58=")</f>
        <v>#VALUE!</v>
      </c>
      <c r="FE168" t="e">
        <f>AND('Planilla_General_29-11-2012_10_'!D2525,"AAAAAF/++6A=")</f>
        <v>#VALUE!</v>
      </c>
      <c r="FF168" t="e">
        <f>AND('Planilla_General_29-11-2012_10_'!E2525,"AAAAAF/++6E=")</f>
        <v>#VALUE!</v>
      </c>
      <c r="FG168" t="e">
        <f>AND('Planilla_General_29-11-2012_10_'!F2525,"AAAAAF/++6I=")</f>
        <v>#VALUE!</v>
      </c>
      <c r="FH168" t="e">
        <f>AND('Planilla_General_29-11-2012_10_'!G2525,"AAAAAF/++6M=")</f>
        <v>#VALUE!</v>
      </c>
      <c r="FI168" t="e">
        <f>AND('Planilla_General_29-11-2012_10_'!H2525,"AAAAAF/++6Q=")</f>
        <v>#VALUE!</v>
      </c>
      <c r="FJ168" t="e">
        <f>AND('Planilla_General_29-11-2012_10_'!I2525,"AAAAAF/++6U=")</f>
        <v>#VALUE!</v>
      </c>
      <c r="FK168" t="e">
        <f>AND('Planilla_General_29-11-2012_10_'!J2525,"AAAAAF/++6Y=")</f>
        <v>#VALUE!</v>
      </c>
      <c r="FL168" t="e">
        <f>AND('Planilla_General_29-11-2012_10_'!K2525,"AAAAAF/++6c=")</f>
        <v>#VALUE!</v>
      </c>
      <c r="FM168" t="e">
        <f>AND('Planilla_General_29-11-2012_10_'!L2525,"AAAAAF/++6g=")</f>
        <v>#VALUE!</v>
      </c>
      <c r="FN168" t="e">
        <f>AND('Planilla_General_29-11-2012_10_'!M2525,"AAAAAF/++6k=")</f>
        <v>#VALUE!</v>
      </c>
      <c r="FO168" t="e">
        <f>AND('Planilla_General_29-11-2012_10_'!N2525,"AAAAAF/++6o=")</f>
        <v>#VALUE!</v>
      </c>
      <c r="FP168" t="e">
        <f>AND('Planilla_General_29-11-2012_10_'!O2525,"AAAAAF/++6s=")</f>
        <v>#VALUE!</v>
      </c>
      <c r="FQ168" t="e">
        <f>AND('Planilla_General_29-11-2012_10_'!P2525,"AAAAAF/++6w=")</f>
        <v>#VALUE!</v>
      </c>
      <c r="FR168">
        <f>IF('Planilla_General_29-11-2012_10_'!2526:2526,"AAAAAF/++60=",0)</f>
        <v>0</v>
      </c>
      <c r="FS168" t="e">
        <f>AND('Planilla_General_29-11-2012_10_'!A2526,"AAAAAF/++64=")</f>
        <v>#VALUE!</v>
      </c>
      <c r="FT168" t="e">
        <f>AND('Planilla_General_29-11-2012_10_'!B2526,"AAAAAF/++68=")</f>
        <v>#VALUE!</v>
      </c>
      <c r="FU168" t="e">
        <f>AND('Planilla_General_29-11-2012_10_'!C2526,"AAAAAF/++7A=")</f>
        <v>#VALUE!</v>
      </c>
      <c r="FV168" t="e">
        <f>AND('Planilla_General_29-11-2012_10_'!D2526,"AAAAAF/++7E=")</f>
        <v>#VALUE!</v>
      </c>
      <c r="FW168" t="e">
        <f>AND('Planilla_General_29-11-2012_10_'!E2526,"AAAAAF/++7I=")</f>
        <v>#VALUE!</v>
      </c>
      <c r="FX168" t="e">
        <f>AND('Planilla_General_29-11-2012_10_'!F2526,"AAAAAF/++7M=")</f>
        <v>#VALUE!</v>
      </c>
      <c r="FY168" t="e">
        <f>AND('Planilla_General_29-11-2012_10_'!G2526,"AAAAAF/++7Q=")</f>
        <v>#VALUE!</v>
      </c>
      <c r="FZ168" t="e">
        <f>AND('Planilla_General_29-11-2012_10_'!H2526,"AAAAAF/++7U=")</f>
        <v>#VALUE!</v>
      </c>
      <c r="GA168" t="e">
        <f>AND('Planilla_General_29-11-2012_10_'!I2526,"AAAAAF/++7Y=")</f>
        <v>#VALUE!</v>
      </c>
      <c r="GB168" t="e">
        <f>AND('Planilla_General_29-11-2012_10_'!J2526,"AAAAAF/++7c=")</f>
        <v>#VALUE!</v>
      </c>
      <c r="GC168" t="e">
        <f>AND('Planilla_General_29-11-2012_10_'!K2526,"AAAAAF/++7g=")</f>
        <v>#VALUE!</v>
      </c>
      <c r="GD168" t="e">
        <f>AND('Planilla_General_29-11-2012_10_'!L2526,"AAAAAF/++7k=")</f>
        <v>#VALUE!</v>
      </c>
      <c r="GE168" t="e">
        <f>AND('Planilla_General_29-11-2012_10_'!M2526,"AAAAAF/++7o=")</f>
        <v>#VALUE!</v>
      </c>
      <c r="GF168" t="e">
        <f>AND('Planilla_General_29-11-2012_10_'!N2526,"AAAAAF/++7s=")</f>
        <v>#VALUE!</v>
      </c>
      <c r="GG168" t="e">
        <f>AND('Planilla_General_29-11-2012_10_'!O2526,"AAAAAF/++7w=")</f>
        <v>#VALUE!</v>
      </c>
      <c r="GH168" t="e">
        <f>AND('Planilla_General_29-11-2012_10_'!P2526,"AAAAAF/++70=")</f>
        <v>#VALUE!</v>
      </c>
      <c r="GI168">
        <f>IF('Planilla_General_29-11-2012_10_'!2527:2527,"AAAAAF/++74=",0)</f>
        <v>0</v>
      </c>
      <c r="GJ168" t="e">
        <f>AND('Planilla_General_29-11-2012_10_'!A2527,"AAAAAF/++78=")</f>
        <v>#VALUE!</v>
      </c>
      <c r="GK168" t="e">
        <f>AND('Planilla_General_29-11-2012_10_'!B2527,"AAAAAF/++8A=")</f>
        <v>#VALUE!</v>
      </c>
      <c r="GL168" t="e">
        <f>AND('Planilla_General_29-11-2012_10_'!C2527,"AAAAAF/++8E=")</f>
        <v>#VALUE!</v>
      </c>
      <c r="GM168" t="e">
        <f>AND('Planilla_General_29-11-2012_10_'!D2527,"AAAAAF/++8I=")</f>
        <v>#VALUE!</v>
      </c>
      <c r="GN168" t="e">
        <f>AND('Planilla_General_29-11-2012_10_'!E2527,"AAAAAF/++8M=")</f>
        <v>#VALUE!</v>
      </c>
      <c r="GO168" t="e">
        <f>AND('Planilla_General_29-11-2012_10_'!F2527,"AAAAAF/++8Q=")</f>
        <v>#VALUE!</v>
      </c>
      <c r="GP168" t="e">
        <f>AND('Planilla_General_29-11-2012_10_'!G2527,"AAAAAF/++8U=")</f>
        <v>#VALUE!</v>
      </c>
      <c r="GQ168" t="e">
        <f>AND('Planilla_General_29-11-2012_10_'!H2527,"AAAAAF/++8Y=")</f>
        <v>#VALUE!</v>
      </c>
      <c r="GR168" t="e">
        <f>AND('Planilla_General_29-11-2012_10_'!I2527,"AAAAAF/++8c=")</f>
        <v>#VALUE!</v>
      </c>
      <c r="GS168" t="e">
        <f>AND('Planilla_General_29-11-2012_10_'!J2527,"AAAAAF/++8g=")</f>
        <v>#VALUE!</v>
      </c>
      <c r="GT168" t="e">
        <f>AND('Planilla_General_29-11-2012_10_'!K2527,"AAAAAF/++8k=")</f>
        <v>#VALUE!</v>
      </c>
      <c r="GU168" t="e">
        <f>AND('Planilla_General_29-11-2012_10_'!L2527,"AAAAAF/++8o=")</f>
        <v>#VALUE!</v>
      </c>
      <c r="GV168" t="e">
        <f>AND('Planilla_General_29-11-2012_10_'!M2527,"AAAAAF/++8s=")</f>
        <v>#VALUE!</v>
      </c>
      <c r="GW168" t="e">
        <f>AND('Planilla_General_29-11-2012_10_'!N2527,"AAAAAF/++8w=")</f>
        <v>#VALUE!</v>
      </c>
      <c r="GX168" t="e">
        <f>AND('Planilla_General_29-11-2012_10_'!O2527,"AAAAAF/++80=")</f>
        <v>#VALUE!</v>
      </c>
      <c r="GY168" t="e">
        <f>AND('Planilla_General_29-11-2012_10_'!P2527,"AAAAAF/++84=")</f>
        <v>#VALUE!</v>
      </c>
      <c r="GZ168">
        <f>IF('Planilla_General_29-11-2012_10_'!2528:2528,"AAAAAF/++88=",0)</f>
        <v>0</v>
      </c>
      <c r="HA168" t="e">
        <f>AND('Planilla_General_29-11-2012_10_'!A2528,"AAAAAF/++9A=")</f>
        <v>#VALUE!</v>
      </c>
      <c r="HB168" t="e">
        <f>AND('Planilla_General_29-11-2012_10_'!B2528,"AAAAAF/++9E=")</f>
        <v>#VALUE!</v>
      </c>
      <c r="HC168" t="e">
        <f>AND('Planilla_General_29-11-2012_10_'!C2528,"AAAAAF/++9I=")</f>
        <v>#VALUE!</v>
      </c>
      <c r="HD168" t="e">
        <f>AND('Planilla_General_29-11-2012_10_'!D2528,"AAAAAF/++9M=")</f>
        <v>#VALUE!</v>
      </c>
      <c r="HE168" t="e">
        <f>AND('Planilla_General_29-11-2012_10_'!E2528,"AAAAAF/++9Q=")</f>
        <v>#VALUE!</v>
      </c>
      <c r="HF168" t="e">
        <f>AND('Planilla_General_29-11-2012_10_'!F2528,"AAAAAF/++9U=")</f>
        <v>#VALUE!</v>
      </c>
      <c r="HG168" t="e">
        <f>AND('Planilla_General_29-11-2012_10_'!G2528,"AAAAAF/++9Y=")</f>
        <v>#VALUE!</v>
      </c>
      <c r="HH168" t="e">
        <f>AND('Planilla_General_29-11-2012_10_'!H2528,"AAAAAF/++9c=")</f>
        <v>#VALUE!</v>
      </c>
      <c r="HI168" t="e">
        <f>AND('Planilla_General_29-11-2012_10_'!I2528,"AAAAAF/++9g=")</f>
        <v>#VALUE!</v>
      </c>
      <c r="HJ168" t="e">
        <f>AND('Planilla_General_29-11-2012_10_'!J2528,"AAAAAF/++9k=")</f>
        <v>#VALUE!</v>
      </c>
      <c r="HK168" t="e">
        <f>AND('Planilla_General_29-11-2012_10_'!K2528,"AAAAAF/++9o=")</f>
        <v>#VALUE!</v>
      </c>
      <c r="HL168" t="e">
        <f>AND('Planilla_General_29-11-2012_10_'!L2528,"AAAAAF/++9s=")</f>
        <v>#VALUE!</v>
      </c>
      <c r="HM168" t="e">
        <f>AND('Planilla_General_29-11-2012_10_'!M2528,"AAAAAF/++9w=")</f>
        <v>#VALUE!</v>
      </c>
      <c r="HN168" t="e">
        <f>AND('Planilla_General_29-11-2012_10_'!N2528,"AAAAAF/++90=")</f>
        <v>#VALUE!</v>
      </c>
      <c r="HO168" t="e">
        <f>AND('Planilla_General_29-11-2012_10_'!O2528,"AAAAAF/++94=")</f>
        <v>#VALUE!</v>
      </c>
      <c r="HP168" t="e">
        <f>AND('Planilla_General_29-11-2012_10_'!P2528,"AAAAAF/++98=")</f>
        <v>#VALUE!</v>
      </c>
      <c r="HQ168">
        <f>IF('Planilla_General_29-11-2012_10_'!2529:2529,"AAAAAF/+++A=",0)</f>
        <v>0</v>
      </c>
      <c r="HR168" t="e">
        <f>AND('Planilla_General_29-11-2012_10_'!A2529,"AAAAAF/+++E=")</f>
        <v>#VALUE!</v>
      </c>
      <c r="HS168" t="e">
        <f>AND('Planilla_General_29-11-2012_10_'!B2529,"AAAAAF/+++I=")</f>
        <v>#VALUE!</v>
      </c>
      <c r="HT168" t="e">
        <f>AND('Planilla_General_29-11-2012_10_'!C2529,"AAAAAF/+++M=")</f>
        <v>#VALUE!</v>
      </c>
      <c r="HU168" t="e">
        <f>AND('Planilla_General_29-11-2012_10_'!D2529,"AAAAAF/+++Q=")</f>
        <v>#VALUE!</v>
      </c>
      <c r="HV168" t="e">
        <f>AND('Planilla_General_29-11-2012_10_'!E2529,"AAAAAF/+++U=")</f>
        <v>#VALUE!</v>
      </c>
      <c r="HW168" t="e">
        <f>AND('Planilla_General_29-11-2012_10_'!F2529,"AAAAAF/+++Y=")</f>
        <v>#VALUE!</v>
      </c>
      <c r="HX168" t="e">
        <f>AND('Planilla_General_29-11-2012_10_'!G2529,"AAAAAF/+++c=")</f>
        <v>#VALUE!</v>
      </c>
      <c r="HY168" t="e">
        <f>AND('Planilla_General_29-11-2012_10_'!H2529,"AAAAAF/+++g=")</f>
        <v>#VALUE!</v>
      </c>
      <c r="HZ168" t="e">
        <f>AND('Planilla_General_29-11-2012_10_'!I2529,"AAAAAF/+++k=")</f>
        <v>#VALUE!</v>
      </c>
      <c r="IA168" t="e">
        <f>AND('Planilla_General_29-11-2012_10_'!J2529,"AAAAAF/+++o=")</f>
        <v>#VALUE!</v>
      </c>
      <c r="IB168" t="e">
        <f>AND('Planilla_General_29-11-2012_10_'!K2529,"AAAAAF/+++s=")</f>
        <v>#VALUE!</v>
      </c>
      <c r="IC168" t="e">
        <f>AND('Planilla_General_29-11-2012_10_'!L2529,"AAAAAF/+++w=")</f>
        <v>#VALUE!</v>
      </c>
      <c r="ID168" t="e">
        <f>AND('Planilla_General_29-11-2012_10_'!M2529,"AAAAAF/+++0=")</f>
        <v>#VALUE!</v>
      </c>
      <c r="IE168" t="e">
        <f>AND('Planilla_General_29-11-2012_10_'!N2529,"AAAAAF/+++4=")</f>
        <v>#VALUE!</v>
      </c>
      <c r="IF168" t="e">
        <f>AND('Planilla_General_29-11-2012_10_'!O2529,"AAAAAF/+++8=")</f>
        <v>#VALUE!</v>
      </c>
      <c r="IG168" t="e">
        <f>AND('Planilla_General_29-11-2012_10_'!P2529,"AAAAAF/++/A=")</f>
        <v>#VALUE!</v>
      </c>
      <c r="IH168">
        <f>IF('Planilla_General_29-11-2012_10_'!2530:2530,"AAAAAF/++/E=",0)</f>
        <v>0</v>
      </c>
      <c r="II168" t="e">
        <f>AND('Planilla_General_29-11-2012_10_'!A2530,"AAAAAF/++/I=")</f>
        <v>#VALUE!</v>
      </c>
      <c r="IJ168" t="e">
        <f>AND('Planilla_General_29-11-2012_10_'!B2530,"AAAAAF/++/M=")</f>
        <v>#VALUE!</v>
      </c>
      <c r="IK168" t="e">
        <f>AND('Planilla_General_29-11-2012_10_'!C2530,"AAAAAF/++/Q=")</f>
        <v>#VALUE!</v>
      </c>
      <c r="IL168" t="e">
        <f>AND('Planilla_General_29-11-2012_10_'!D2530,"AAAAAF/++/U=")</f>
        <v>#VALUE!</v>
      </c>
      <c r="IM168" t="e">
        <f>AND('Planilla_General_29-11-2012_10_'!E2530,"AAAAAF/++/Y=")</f>
        <v>#VALUE!</v>
      </c>
      <c r="IN168" t="e">
        <f>AND('Planilla_General_29-11-2012_10_'!F2530,"AAAAAF/++/c=")</f>
        <v>#VALUE!</v>
      </c>
      <c r="IO168" t="e">
        <f>AND('Planilla_General_29-11-2012_10_'!G2530,"AAAAAF/++/g=")</f>
        <v>#VALUE!</v>
      </c>
      <c r="IP168" t="e">
        <f>AND('Planilla_General_29-11-2012_10_'!H2530,"AAAAAF/++/k=")</f>
        <v>#VALUE!</v>
      </c>
      <c r="IQ168" t="e">
        <f>AND('Planilla_General_29-11-2012_10_'!I2530,"AAAAAF/++/o=")</f>
        <v>#VALUE!</v>
      </c>
      <c r="IR168" t="e">
        <f>AND('Planilla_General_29-11-2012_10_'!J2530,"AAAAAF/++/s=")</f>
        <v>#VALUE!</v>
      </c>
      <c r="IS168" t="e">
        <f>AND('Planilla_General_29-11-2012_10_'!K2530,"AAAAAF/++/w=")</f>
        <v>#VALUE!</v>
      </c>
      <c r="IT168" t="e">
        <f>AND('Planilla_General_29-11-2012_10_'!L2530,"AAAAAF/++/0=")</f>
        <v>#VALUE!</v>
      </c>
      <c r="IU168" t="e">
        <f>AND('Planilla_General_29-11-2012_10_'!M2530,"AAAAAF/++/4=")</f>
        <v>#VALUE!</v>
      </c>
      <c r="IV168" t="e">
        <f>AND('Planilla_General_29-11-2012_10_'!N2530,"AAAAAF/++/8=")</f>
        <v>#VALUE!</v>
      </c>
    </row>
    <row r="169" spans="1:256" x14ac:dyDescent="0.25">
      <c r="A169" t="e">
        <f>AND('Planilla_General_29-11-2012_10_'!O2530,"AAAAAH3VegA=")</f>
        <v>#VALUE!</v>
      </c>
      <c r="B169" t="e">
        <f>AND('Planilla_General_29-11-2012_10_'!P2530,"AAAAAH3VegE=")</f>
        <v>#VALUE!</v>
      </c>
      <c r="C169" t="str">
        <f>IF('Planilla_General_29-11-2012_10_'!2531:2531,"AAAAAH3VegI=",0)</f>
        <v>AAAAAH3VegI=</v>
      </c>
      <c r="D169" t="e">
        <f>AND('Planilla_General_29-11-2012_10_'!A2531,"AAAAAH3VegM=")</f>
        <v>#VALUE!</v>
      </c>
      <c r="E169" t="e">
        <f>AND('Planilla_General_29-11-2012_10_'!B2531,"AAAAAH3VegQ=")</f>
        <v>#VALUE!</v>
      </c>
      <c r="F169" t="e">
        <f>AND('Planilla_General_29-11-2012_10_'!C2531,"AAAAAH3VegU=")</f>
        <v>#VALUE!</v>
      </c>
      <c r="G169" t="e">
        <f>AND('Planilla_General_29-11-2012_10_'!D2531,"AAAAAH3VegY=")</f>
        <v>#VALUE!</v>
      </c>
      <c r="H169" t="e">
        <f>AND('Planilla_General_29-11-2012_10_'!E2531,"AAAAAH3Vegc=")</f>
        <v>#VALUE!</v>
      </c>
      <c r="I169" t="e">
        <f>AND('Planilla_General_29-11-2012_10_'!F2531,"AAAAAH3Vegg=")</f>
        <v>#VALUE!</v>
      </c>
      <c r="J169" t="e">
        <f>AND('Planilla_General_29-11-2012_10_'!G2531,"AAAAAH3Vegk=")</f>
        <v>#VALUE!</v>
      </c>
      <c r="K169" t="e">
        <f>AND('Planilla_General_29-11-2012_10_'!H2531,"AAAAAH3Vego=")</f>
        <v>#VALUE!</v>
      </c>
      <c r="L169" t="e">
        <f>AND('Planilla_General_29-11-2012_10_'!I2531,"AAAAAH3Vegs=")</f>
        <v>#VALUE!</v>
      </c>
      <c r="M169" t="e">
        <f>AND('Planilla_General_29-11-2012_10_'!J2531,"AAAAAH3Vegw=")</f>
        <v>#VALUE!</v>
      </c>
      <c r="N169" t="e">
        <f>AND('Planilla_General_29-11-2012_10_'!K2531,"AAAAAH3Veg0=")</f>
        <v>#VALUE!</v>
      </c>
      <c r="O169" t="e">
        <f>AND('Planilla_General_29-11-2012_10_'!L2531,"AAAAAH3Veg4=")</f>
        <v>#VALUE!</v>
      </c>
      <c r="P169" t="e">
        <f>AND('Planilla_General_29-11-2012_10_'!M2531,"AAAAAH3Veg8=")</f>
        <v>#VALUE!</v>
      </c>
      <c r="Q169" t="e">
        <f>AND('Planilla_General_29-11-2012_10_'!N2531,"AAAAAH3VehA=")</f>
        <v>#VALUE!</v>
      </c>
      <c r="R169" t="e">
        <f>AND('Planilla_General_29-11-2012_10_'!O2531,"AAAAAH3VehE=")</f>
        <v>#VALUE!</v>
      </c>
      <c r="S169" t="e">
        <f>AND('Planilla_General_29-11-2012_10_'!P2531,"AAAAAH3VehI=")</f>
        <v>#VALUE!</v>
      </c>
      <c r="T169">
        <f>IF('Planilla_General_29-11-2012_10_'!2532:2532,"AAAAAH3VehM=",0)</f>
        <v>0</v>
      </c>
      <c r="U169" t="e">
        <f>AND('Planilla_General_29-11-2012_10_'!A2532,"AAAAAH3VehQ=")</f>
        <v>#VALUE!</v>
      </c>
      <c r="V169" t="e">
        <f>AND('Planilla_General_29-11-2012_10_'!B2532,"AAAAAH3VehU=")</f>
        <v>#VALUE!</v>
      </c>
      <c r="W169" t="e">
        <f>AND('Planilla_General_29-11-2012_10_'!C2532,"AAAAAH3VehY=")</f>
        <v>#VALUE!</v>
      </c>
      <c r="X169" t="e">
        <f>AND('Planilla_General_29-11-2012_10_'!D2532,"AAAAAH3Vehc=")</f>
        <v>#VALUE!</v>
      </c>
      <c r="Y169" t="e">
        <f>AND('Planilla_General_29-11-2012_10_'!E2532,"AAAAAH3Vehg=")</f>
        <v>#VALUE!</v>
      </c>
      <c r="Z169" t="e">
        <f>AND('Planilla_General_29-11-2012_10_'!F2532,"AAAAAH3Vehk=")</f>
        <v>#VALUE!</v>
      </c>
      <c r="AA169" t="e">
        <f>AND('Planilla_General_29-11-2012_10_'!G2532,"AAAAAH3Veho=")</f>
        <v>#VALUE!</v>
      </c>
      <c r="AB169" t="e">
        <f>AND('Planilla_General_29-11-2012_10_'!H2532,"AAAAAH3Vehs=")</f>
        <v>#VALUE!</v>
      </c>
      <c r="AC169" t="e">
        <f>AND('Planilla_General_29-11-2012_10_'!I2532,"AAAAAH3Vehw=")</f>
        <v>#VALUE!</v>
      </c>
      <c r="AD169" t="e">
        <f>AND('Planilla_General_29-11-2012_10_'!J2532,"AAAAAH3Veh0=")</f>
        <v>#VALUE!</v>
      </c>
      <c r="AE169" t="e">
        <f>AND('Planilla_General_29-11-2012_10_'!K2532,"AAAAAH3Veh4=")</f>
        <v>#VALUE!</v>
      </c>
      <c r="AF169" t="e">
        <f>AND('Planilla_General_29-11-2012_10_'!L2532,"AAAAAH3Veh8=")</f>
        <v>#VALUE!</v>
      </c>
      <c r="AG169" t="e">
        <f>AND('Planilla_General_29-11-2012_10_'!M2532,"AAAAAH3VeiA=")</f>
        <v>#VALUE!</v>
      </c>
      <c r="AH169" t="e">
        <f>AND('Planilla_General_29-11-2012_10_'!N2532,"AAAAAH3VeiE=")</f>
        <v>#VALUE!</v>
      </c>
      <c r="AI169" t="e">
        <f>AND('Planilla_General_29-11-2012_10_'!O2532,"AAAAAH3VeiI=")</f>
        <v>#VALUE!</v>
      </c>
      <c r="AJ169" t="e">
        <f>AND('Planilla_General_29-11-2012_10_'!P2532,"AAAAAH3VeiM=")</f>
        <v>#VALUE!</v>
      </c>
      <c r="AK169">
        <f>IF('Planilla_General_29-11-2012_10_'!2533:2533,"AAAAAH3VeiQ=",0)</f>
        <v>0</v>
      </c>
      <c r="AL169" t="e">
        <f>AND('Planilla_General_29-11-2012_10_'!A2533,"AAAAAH3VeiU=")</f>
        <v>#VALUE!</v>
      </c>
      <c r="AM169" t="e">
        <f>AND('Planilla_General_29-11-2012_10_'!B2533,"AAAAAH3VeiY=")</f>
        <v>#VALUE!</v>
      </c>
      <c r="AN169" t="e">
        <f>AND('Planilla_General_29-11-2012_10_'!C2533,"AAAAAH3Veic=")</f>
        <v>#VALUE!</v>
      </c>
      <c r="AO169" t="e">
        <f>AND('Planilla_General_29-11-2012_10_'!D2533,"AAAAAH3Veig=")</f>
        <v>#VALUE!</v>
      </c>
      <c r="AP169" t="e">
        <f>AND('Planilla_General_29-11-2012_10_'!E2533,"AAAAAH3Veik=")</f>
        <v>#VALUE!</v>
      </c>
      <c r="AQ169" t="e">
        <f>AND('Planilla_General_29-11-2012_10_'!F2533,"AAAAAH3Veio=")</f>
        <v>#VALUE!</v>
      </c>
      <c r="AR169" t="e">
        <f>AND('Planilla_General_29-11-2012_10_'!G2533,"AAAAAH3Veis=")</f>
        <v>#VALUE!</v>
      </c>
      <c r="AS169" t="e">
        <f>AND('Planilla_General_29-11-2012_10_'!H2533,"AAAAAH3Veiw=")</f>
        <v>#VALUE!</v>
      </c>
      <c r="AT169" t="e">
        <f>AND('Planilla_General_29-11-2012_10_'!I2533,"AAAAAH3Vei0=")</f>
        <v>#VALUE!</v>
      </c>
      <c r="AU169" t="e">
        <f>AND('Planilla_General_29-11-2012_10_'!J2533,"AAAAAH3Vei4=")</f>
        <v>#VALUE!</v>
      </c>
      <c r="AV169" t="e">
        <f>AND('Planilla_General_29-11-2012_10_'!K2533,"AAAAAH3Vei8=")</f>
        <v>#VALUE!</v>
      </c>
      <c r="AW169" t="e">
        <f>AND('Planilla_General_29-11-2012_10_'!L2533,"AAAAAH3VejA=")</f>
        <v>#VALUE!</v>
      </c>
      <c r="AX169" t="e">
        <f>AND('Planilla_General_29-11-2012_10_'!M2533,"AAAAAH3VejE=")</f>
        <v>#VALUE!</v>
      </c>
      <c r="AY169" t="e">
        <f>AND('Planilla_General_29-11-2012_10_'!N2533,"AAAAAH3VejI=")</f>
        <v>#VALUE!</v>
      </c>
      <c r="AZ169" t="e">
        <f>AND('Planilla_General_29-11-2012_10_'!O2533,"AAAAAH3VejM=")</f>
        <v>#VALUE!</v>
      </c>
      <c r="BA169" t="e">
        <f>AND('Planilla_General_29-11-2012_10_'!P2533,"AAAAAH3VejQ=")</f>
        <v>#VALUE!</v>
      </c>
      <c r="BB169">
        <f>IF('Planilla_General_29-11-2012_10_'!2534:2534,"AAAAAH3VejU=",0)</f>
        <v>0</v>
      </c>
      <c r="BC169" t="e">
        <f>AND('Planilla_General_29-11-2012_10_'!A2534,"AAAAAH3VejY=")</f>
        <v>#VALUE!</v>
      </c>
      <c r="BD169" t="e">
        <f>AND('Planilla_General_29-11-2012_10_'!B2534,"AAAAAH3Vejc=")</f>
        <v>#VALUE!</v>
      </c>
      <c r="BE169" t="e">
        <f>AND('Planilla_General_29-11-2012_10_'!C2534,"AAAAAH3Vejg=")</f>
        <v>#VALUE!</v>
      </c>
      <c r="BF169" t="e">
        <f>AND('Planilla_General_29-11-2012_10_'!D2534,"AAAAAH3Vejk=")</f>
        <v>#VALUE!</v>
      </c>
      <c r="BG169" t="e">
        <f>AND('Planilla_General_29-11-2012_10_'!E2534,"AAAAAH3Vejo=")</f>
        <v>#VALUE!</v>
      </c>
      <c r="BH169" t="e">
        <f>AND('Planilla_General_29-11-2012_10_'!F2534,"AAAAAH3Vejs=")</f>
        <v>#VALUE!</v>
      </c>
      <c r="BI169" t="e">
        <f>AND('Planilla_General_29-11-2012_10_'!G2534,"AAAAAH3Vejw=")</f>
        <v>#VALUE!</v>
      </c>
      <c r="BJ169" t="e">
        <f>AND('Planilla_General_29-11-2012_10_'!H2534,"AAAAAH3Vej0=")</f>
        <v>#VALUE!</v>
      </c>
      <c r="BK169" t="e">
        <f>AND('Planilla_General_29-11-2012_10_'!I2534,"AAAAAH3Vej4=")</f>
        <v>#VALUE!</v>
      </c>
      <c r="BL169" t="e">
        <f>AND('Planilla_General_29-11-2012_10_'!J2534,"AAAAAH3Vej8=")</f>
        <v>#VALUE!</v>
      </c>
      <c r="BM169" t="e">
        <f>AND('Planilla_General_29-11-2012_10_'!K2534,"AAAAAH3VekA=")</f>
        <v>#VALUE!</v>
      </c>
      <c r="BN169" t="e">
        <f>AND('Planilla_General_29-11-2012_10_'!L2534,"AAAAAH3VekE=")</f>
        <v>#VALUE!</v>
      </c>
      <c r="BO169" t="e">
        <f>AND('Planilla_General_29-11-2012_10_'!M2534,"AAAAAH3VekI=")</f>
        <v>#VALUE!</v>
      </c>
      <c r="BP169" t="e">
        <f>AND('Planilla_General_29-11-2012_10_'!N2534,"AAAAAH3VekM=")</f>
        <v>#VALUE!</v>
      </c>
      <c r="BQ169" t="e">
        <f>AND('Planilla_General_29-11-2012_10_'!O2534,"AAAAAH3VekQ=")</f>
        <v>#VALUE!</v>
      </c>
      <c r="BR169" t="e">
        <f>AND('Planilla_General_29-11-2012_10_'!P2534,"AAAAAH3VekU=")</f>
        <v>#VALUE!</v>
      </c>
      <c r="BS169">
        <f>IF('Planilla_General_29-11-2012_10_'!2535:2535,"AAAAAH3VekY=",0)</f>
        <v>0</v>
      </c>
      <c r="BT169" t="e">
        <f>AND('Planilla_General_29-11-2012_10_'!A2535,"AAAAAH3Vekc=")</f>
        <v>#VALUE!</v>
      </c>
      <c r="BU169" t="e">
        <f>AND('Planilla_General_29-11-2012_10_'!B2535,"AAAAAH3Vekg=")</f>
        <v>#VALUE!</v>
      </c>
      <c r="BV169" t="e">
        <f>AND('Planilla_General_29-11-2012_10_'!C2535,"AAAAAH3Vekk=")</f>
        <v>#VALUE!</v>
      </c>
      <c r="BW169" t="e">
        <f>AND('Planilla_General_29-11-2012_10_'!D2535,"AAAAAH3Veko=")</f>
        <v>#VALUE!</v>
      </c>
      <c r="BX169" t="e">
        <f>AND('Planilla_General_29-11-2012_10_'!E2535,"AAAAAH3Veks=")</f>
        <v>#VALUE!</v>
      </c>
      <c r="BY169" t="e">
        <f>AND('Planilla_General_29-11-2012_10_'!F2535,"AAAAAH3Vekw=")</f>
        <v>#VALUE!</v>
      </c>
      <c r="BZ169" t="e">
        <f>AND('Planilla_General_29-11-2012_10_'!G2535,"AAAAAH3Vek0=")</f>
        <v>#VALUE!</v>
      </c>
      <c r="CA169" t="e">
        <f>AND('Planilla_General_29-11-2012_10_'!H2535,"AAAAAH3Vek4=")</f>
        <v>#VALUE!</v>
      </c>
      <c r="CB169" t="e">
        <f>AND('Planilla_General_29-11-2012_10_'!I2535,"AAAAAH3Vek8=")</f>
        <v>#VALUE!</v>
      </c>
      <c r="CC169" t="e">
        <f>AND('Planilla_General_29-11-2012_10_'!J2535,"AAAAAH3VelA=")</f>
        <v>#VALUE!</v>
      </c>
      <c r="CD169" t="e">
        <f>AND('Planilla_General_29-11-2012_10_'!K2535,"AAAAAH3VelE=")</f>
        <v>#VALUE!</v>
      </c>
      <c r="CE169" t="e">
        <f>AND('Planilla_General_29-11-2012_10_'!L2535,"AAAAAH3VelI=")</f>
        <v>#VALUE!</v>
      </c>
      <c r="CF169" t="e">
        <f>AND('Planilla_General_29-11-2012_10_'!M2535,"AAAAAH3VelM=")</f>
        <v>#VALUE!</v>
      </c>
      <c r="CG169" t="e">
        <f>AND('Planilla_General_29-11-2012_10_'!N2535,"AAAAAH3VelQ=")</f>
        <v>#VALUE!</v>
      </c>
      <c r="CH169" t="e">
        <f>AND('Planilla_General_29-11-2012_10_'!O2535,"AAAAAH3VelU=")</f>
        <v>#VALUE!</v>
      </c>
      <c r="CI169" t="e">
        <f>AND('Planilla_General_29-11-2012_10_'!P2535,"AAAAAH3VelY=")</f>
        <v>#VALUE!</v>
      </c>
      <c r="CJ169">
        <f>IF('Planilla_General_29-11-2012_10_'!2536:2536,"AAAAAH3Velc=",0)</f>
        <v>0</v>
      </c>
      <c r="CK169" t="e">
        <f>AND('Planilla_General_29-11-2012_10_'!A2536,"AAAAAH3Velg=")</f>
        <v>#VALUE!</v>
      </c>
      <c r="CL169" t="e">
        <f>AND('Planilla_General_29-11-2012_10_'!B2536,"AAAAAH3Velk=")</f>
        <v>#VALUE!</v>
      </c>
      <c r="CM169" t="e">
        <f>AND('Planilla_General_29-11-2012_10_'!C2536,"AAAAAH3Velo=")</f>
        <v>#VALUE!</v>
      </c>
      <c r="CN169" t="e">
        <f>AND('Planilla_General_29-11-2012_10_'!D2536,"AAAAAH3Vels=")</f>
        <v>#VALUE!</v>
      </c>
      <c r="CO169" t="e">
        <f>AND('Planilla_General_29-11-2012_10_'!E2536,"AAAAAH3Velw=")</f>
        <v>#VALUE!</v>
      </c>
      <c r="CP169" t="e">
        <f>AND('Planilla_General_29-11-2012_10_'!F2536,"AAAAAH3Vel0=")</f>
        <v>#VALUE!</v>
      </c>
      <c r="CQ169" t="e">
        <f>AND('Planilla_General_29-11-2012_10_'!G2536,"AAAAAH3Vel4=")</f>
        <v>#VALUE!</v>
      </c>
      <c r="CR169" t="e">
        <f>AND('Planilla_General_29-11-2012_10_'!H2536,"AAAAAH3Vel8=")</f>
        <v>#VALUE!</v>
      </c>
      <c r="CS169" t="e">
        <f>AND('Planilla_General_29-11-2012_10_'!I2536,"AAAAAH3VemA=")</f>
        <v>#VALUE!</v>
      </c>
      <c r="CT169" t="e">
        <f>AND('Planilla_General_29-11-2012_10_'!J2536,"AAAAAH3VemE=")</f>
        <v>#VALUE!</v>
      </c>
      <c r="CU169" t="e">
        <f>AND('Planilla_General_29-11-2012_10_'!K2536,"AAAAAH3VemI=")</f>
        <v>#VALUE!</v>
      </c>
      <c r="CV169" t="e">
        <f>AND('Planilla_General_29-11-2012_10_'!L2536,"AAAAAH3VemM=")</f>
        <v>#VALUE!</v>
      </c>
      <c r="CW169" t="e">
        <f>AND('Planilla_General_29-11-2012_10_'!M2536,"AAAAAH3VemQ=")</f>
        <v>#VALUE!</v>
      </c>
      <c r="CX169" t="e">
        <f>AND('Planilla_General_29-11-2012_10_'!N2536,"AAAAAH3VemU=")</f>
        <v>#VALUE!</v>
      </c>
      <c r="CY169" t="e">
        <f>AND('Planilla_General_29-11-2012_10_'!O2536,"AAAAAH3VemY=")</f>
        <v>#VALUE!</v>
      </c>
      <c r="CZ169" t="e">
        <f>AND('Planilla_General_29-11-2012_10_'!P2536,"AAAAAH3Vemc=")</f>
        <v>#VALUE!</v>
      </c>
      <c r="DA169">
        <f>IF('Planilla_General_29-11-2012_10_'!2537:2537,"AAAAAH3Vemg=",0)</f>
        <v>0</v>
      </c>
      <c r="DB169" t="e">
        <f>AND('Planilla_General_29-11-2012_10_'!A2537,"AAAAAH3Vemk=")</f>
        <v>#VALUE!</v>
      </c>
      <c r="DC169" t="e">
        <f>AND('Planilla_General_29-11-2012_10_'!B2537,"AAAAAH3Vemo=")</f>
        <v>#VALUE!</v>
      </c>
      <c r="DD169" t="e">
        <f>AND('Planilla_General_29-11-2012_10_'!C2537,"AAAAAH3Vems=")</f>
        <v>#VALUE!</v>
      </c>
      <c r="DE169" t="e">
        <f>AND('Planilla_General_29-11-2012_10_'!D2537,"AAAAAH3Vemw=")</f>
        <v>#VALUE!</v>
      </c>
      <c r="DF169" t="e">
        <f>AND('Planilla_General_29-11-2012_10_'!E2537,"AAAAAH3Vem0=")</f>
        <v>#VALUE!</v>
      </c>
      <c r="DG169" t="e">
        <f>AND('Planilla_General_29-11-2012_10_'!F2537,"AAAAAH3Vem4=")</f>
        <v>#VALUE!</v>
      </c>
      <c r="DH169" t="e">
        <f>AND('Planilla_General_29-11-2012_10_'!G2537,"AAAAAH3Vem8=")</f>
        <v>#VALUE!</v>
      </c>
      <c r="DI169" t="e">
        <f>AND('Planilla_General_29-11-2012_10_'!H2537,"AAAAAH3VenA=")</f>
        <v>#VALUE!</v>
      </c>
      <c r="DJ169" t="e">
        <f>AND('Planilla_General_29-11-2012_10_'!I2537,"AAAAAH3VenE=")</f>
        <v>#VALUE!</v>
      </c>
      <c r="DK169" t="e">
        <f>AND('Planilla_General_29-11-2012_10_'!J2537,"AAAAAH3VenI=")</f>
        <v>#VALUE!</v>
      </c>
      <c r="DL169" t="e">
        <f>AND('Planilla_General_29-11-2012_10_'!K2537,"AAAAAH3VenM=")</f>
        <v>#VALUE!</v>
      </c>
      <c r="DM169" t="e">
        <f>AND('Planilla_General_29-11-2012_10_'!L2537,"AAAAAH3VenQ=")</f>
        <v>#VALUE!</v>
      </c>
      <c r="DN169" t="e">
        <f>AND('Planilla_General_29-11-2012_10_'!M2537,"AAAAAH3VenU=")</f>
        <v>#VALUE!</v>
      </c>
      <c r="DO169" t="e">
        <f>AND('Planilla_General_29-11-2012_10_'!N2537,"AAAAAH3VenY=")</f>
        <v>#VALUE!</v>
      </c>
      <c r="DP169" t="e">
        <f>AND('Planilla_General_29-11-2012_10_'!O2537,"AAAAAH3Venc=")</f>
        <v>#VALUE!</v>
      </c>
      <c r="DQ169" t="e">
        <f>AND('Planilla_General_29-11-2012_10_'!P2537,"AAAAAH3Veng=")</f>
        <v>#VALUE!</v>
      </c>
      <c r="DR169">
        <f>IF('Planilla_General_29-11-2012_10_'!2538:2538,"AAAAAH3Venk=",0)</f>
        <v>0</v>
      </c>
      <c r="DS169" t="e">
        <f>AND('Planilla_General_29-11-2012_10_'!A2538,"AAAAAH3Veno=")</f>
        <v>#VALUE!</v>
      </c>
      <c r="DT169" t="e">
        <f>AND('Planilla_General_29-11-2012_10_'!B2538,"AAAAAH3Vens=")</f>
        <v>#VALUE!</v>
      </c>
      <c r="DU169" t="e">
        <f>AND('Planilla_General_29-11-2012_10_'!C2538,"AAAAAH3Venw=")</f>
        <v>#VALUE!</v>
      </c>
      <c r="DV169" t="e">
        <f>AND('Planilla_General_29-11-2012_10_'!D2538,"AAAAAH3Ven0=")</f>
        <v>#VALUE!</v>
      </c>
      <c r="DW169" t="e">
        <f>AND('Planilla_General_29-11-2012_10_'!E2538,"AAAAAH3Ven4=")</f>
        <v>#VALUE!</v>
      </c>
      <c r="DX169" t="e">
        <f>AND('Planilla_General_29-11-2012_10_'!F2538,"AAAAAH3Ven8=")</f>
        <v>#VALUE!</v>
      </c>
      <c r="DY169" t="e">
        <f>AND('Planilla_General_29-11-2012_10_'!G2538,"AAAAAH3VeoA=")</f>
        <v>#VALUE!</v>
      </c>
      <c r="DZ169" t="e">
        <f>AND('Planilla_General_29-11-2012_10_'!H2538,"AAAAAH3VeoE=")</f>
        <v>#VALUE!</v>
      </c>
      <c r="EA169" t="e">
        <f>AND('Planilla_General_29-11-2012_10_'!I2538,"AAAAAH3VeoI=")</f>
        <v>#VALUE!</v>
      </c>
      <c r="EB169" t="e">
        <f>AND('Planilla_General_29-11-2012_10_'!J2538,"AAAAAH3VeoM=")</f>
        <v>#VALUE!</v>
      </c>
      <c r="EC169" t="e">
        <f>AND('Planilla_General_29-11-2012_10_'!K2538,"AAAAAH3VeoQ=")</f>
        <v>#VALUE!</v>
      </c>
      <c r="ED169" t="e">
        <f>AND('Planilla_General_29-11-2012_10_'!L2538,"AAAAAH3VeoU=")</f>
        <v>#VALUE!</v>
      </c>
      <c r="EE169" t="e">
        <f>AND('Planilla_General_29-11-2012_10_'!M2538,"AAAAAH3VeoY=")</f>
        <v>#VALUE!</v>
      </c>
      <c r="EF169" t="e">
        <f>AND('Planilla_General_29-11-2012_10_'!N2538,"AAAAAH3Veoc=")</f>
        <v>#VALUE!</v>
      </c>
      <c r="EG169" t="e">
        <f>AND('Planilla_General_29-11-2012_10_'!O2538,"AAAAAH3Veog=")</f>
        <v>#VALUE!</v>
      </c>
      <c r="EH169" t="e">
        <f>AND('Planilla_General_29-11-2012_10_'!P2538,"AAAAAH3Veok=")</f>
        <v>#VALUE!</v>
      </c>
      <c r="EI169">
        <f>IF('Planilla_General_29-11-2012_10_'!2539:2539,"AAAAAH3Veoo=",0)</f>
        <v>0</v>
      </c>
      <c r="EJ169" t="e">
        <f>AND('Planilla_General_29-11-2012_10_'!A2539,"AAAAAH3Veos=")</f>
        <v>#VALUE!</v>
      </c>
      <c r="EK169" t="e">
        <f>AND('Planilla_General_29-11-2012_10_'!B2539,"AAAAAH3Veow=")</f>
        <v>#VALUE!</v>
      </c>
      <c r="EL169" t="e">
        <f>AND('Planilla_General_29-11-2012_10_'!C2539,"AAAAAH3Veo0=")</f>
        <v>#VALUE!</v>
      </c>
      <c r="EM169" t="e">
        <f>AND('Planilla_General_29-11-2012_10_'!D2539,"AAAAAH3Veo4=")</f>
        <v>#VALUE!</v>
      </c>
      <c r="EN169" t="e">
        <f>AND('Planilla_General_29-11-2012_10_'!E2539,"AAAAAH3Veo8=")</f>
        <v>#VALUE!</v>
      </c>
      <c r="EO169" t="e">
        <f>AND('Planilla_General_29-11-2012_10_'!F2539,"AAAAAH3VepA=")</f>
        <v>#VALUE!</v>
      </c>
      <c r="EP169" t="e">
        <f>AND('Planilla_General_29-11-2012_10_'!G2539,"AAAAAH3VepE=")</f>
        <v>#VALUE!</v>
      </c>
      <c r="EQ169" t="e">
        <f>AND('Planilla_General_29-11-2012_10_'!H2539,"AAAAAH3VepI=")</f>
        <v>#VALUE!</v>
      </c>
      <c r="ER169" t="e">
        <f>AND('Planilla_General_29-11-2012_10_'!I2539,"AAAAAH3VepM=")</f>
        <v>#VALUE!</v>
      </c>
      <c r="ES169" t="e">
        <f>AND('Planilla_General_29-11-2012_10_'!J2539,"AAAAAH3VepQ=")</f>
        <v>#VALUE!</v>
      </c>
      <c r="ET169" t="e">
        <f>AND('Planilla_General_29-11-2012_10_'!K2539,"AAAAAH3VepU=")</f>
        <v>#VALUE!</v>
      </c>
      <c r="EU169" t="e">
        <f>AND('Planilla_General_29-11-2012_10_'!L2539,"AAAAAH3VepY=")</f>
        <v>#VALUE!</v>
      </c>
      <c r="EV169" t="e">
        <f>AND('Planilla_General_29-11-2012_10_'!M2539,"AAAAAH3Vepc=")</f>
        <v>#VALUE!</v>
      </c>
      <c r="EW169" t="e">
        <f>AND('Planilla_General_29-11-2012_10_'!N2539,"AAAAAH3Vepg=")</f>
        <v>#VALUE!</v>
      </c>
      <c r="EX169" t="e">
        <f>AND('Planilla_General_29-11-2012_10_'!O2539,"AAAAAH3Vepk=")</f>
        <v>#VALUE!</v>
      </c>
      <c r="EY169" t="e">
        <f>AND('Planilla_General_29-11-2012_10_'!P2539,"AAAAAH3Vepo=")</f>
        <v>#VALUE!</v>
      </c>
      <c r="EZ169">
        <f>IF('Planilla_General_29-11-2012_10_'!2540:2540,"AAAAAH3Veps=",0)</f>
        <v>0</v>
      </c>
      <c r="FA169" t="e">
        <f>AND('Planilla_General_29-11-2012_10_'!A2540,"AAAAAH3Vepw=")</f>
        <v>#VALUE!</v>
      </c>
      <c r="FB169" t="e">
        <f>AND('Planilla_General_29-11-2012_10_'!B2540,"AAAAAH3Vep0=")</f>
        <v>#VALUE!</v>
      </c>
      <c r="FC169" t="e">
        <f>AND('Planilla_General_29-11-2012_10_'!C2540,"AAAAAH3Vep4=")</f>
        <v>#VALUE!</v>
      </c>
      <c r="FD169" t="e">
        <f>AND('Planilla_General_29-11-2012_10_'!D2540,"AAAAAH3Vep8=")</f>
        <v>#VALUE!</v>
      </c>
      <c r="FE169" t="e">
        <f>AND('Planilla_General_29-11-2012_10_'!E2540,"AAAAAH3VeqA=")</f>
        <v>#VALUE!</v>
      </c>
      <c r="FF169" t="e">
        <f>AND('Planilla_General_29-11-2012_10_'!F2540,"AAAAAH3VeqE=")</f>
        <v>#VALUE!</v>
      </c>
      <c r="FG169" t="e">
        <f>AND('Planilla_General_29-11-2012_10_'!G2540,"AAAAAH3VeqI=")</f>
        <v>#VALUE!</v>
      </c>
      <c r="FH169" t="e">
        <f>AND('Planilla_General_29-11-2012_10_'!H2540,"AAAAAH3VeqM=")</f>
        <v>#VALUE!</v>
      </c>
      <c r="FI169" t="e">
        <f>AND('Planilla_General_29-11-2012_10_'!I2540,"AAAAAH3VeqQ=")</f>
        <v>#VALUE!</v>
      </c>
      <c r="FJ169" t="e">
        <f>AND('Planilla_General_29-11-2012_10_'!J2540,"AAAAAH3VeqU=")</f>
        <v>#VALUE!</v>
      </c>
      <c r="FK169" t="e">
        <f>AND('Planilla_General_29-11-2012_10_'!K2540,"AAAAAH3VeqY=")</f>
        <v>#VALUE!</v>
      </c>
      <c r="FL169" t="e">
        <f>AND('Planilla_General_29-11-2012_10_'!L2540,"AAAAAH3Veqc=")</f>
        <v>#VALUE!</v>
      </c>
      <c r="FM169" t="e">
        <f>AND('Planilla_General_29-11-2012_10_'!M2540,"AAAAAH3Veqg=")</f>
        <v>#VALUE!</v>
      </c>
      <c r="FN169" t="e">
        <f>AND('Planilla_General_29-11-2012_10_'!N2540,"AAAAAH3Veqk=")</f>
        <v>#VALUE!</v>
      </c>
      <c r="FO169" t="e">
        <f>AND('Planilla_General_29-11-2012_10_'!O2540,"AAAAAH3Veqo=")</f>
        <v>#VALUE!</v>
      </c>
      <c r="FP169" t="e">
        <f>AND('Planilla_General_29-11-2012_10_'!P2540,"AAAAAH3Veqs=")</f>
        <v>#VALUE!</v>
      </c>
      <c r="FQ169">
        <f>IF('Planilla_General_29-11-2012_10_'!2541:2541,"AAAAAH3Veqw=",0)</f>
        <v>0</v>
      </c>
      <c r="FR169" t="e">
        <f>AND('Planilla_General_29-11-2012_10_'!A2541,"AAAAAH3Veq0=")</f>
        <v>#VALUE!</v>
      </c>
      <c r="FS169" t="e">
        <f>AND('Planilla_General_29-11-2012_10_'!B2541,"AAAAAH3Veq4=")</f>
        <v>#VALUE!</v>
      </c>
      <c r="FT169" t="e">
        <f>AND('Planilla_General_29-11-2012_10_'!C2541,"AAAAAH3Veq8=")</f>
        <v>#VALUE!</v>
      </c>
      <c r="FU169" t="e">
        <f>AND('Planilla_General_29-11-2012_10_'!D2541,"AAAAAH3VerA=")</f>
        <v>#VALUE!</v>
      </c>
      <c r="FV169" t="e">
        <f>AND('Planilla_General_29-11-2012_10_'!E2541,"AAAAAH3VerE=")</f>
        <v>#VALUE!</v>
      </c>
      <c r="FW169" t="e">
        <f>AND('Planilla_General_29-11-2012_10_'!F2541,"AAAAAH3VerI=")</f>
        <v>#VALUE!</v>
      </c>
      <c r="FX169" t="e">
        <f>AND('Planilla_General_29-11-2012_10_'!G2541,"AAAAAH3VerM=")</f>
        <v>#VALUE!</v>
      </c>
      <c r="FY169" t="e">
        <f>AND('Planilla_General_29-11-2012_10_'!H2541,"AAAAAH3VerQ=")</f>
        <v>#VALUE!</v>
      </c>
      <c r="FZ169" t="e">
        <f>AND('Planilla_General_29-11-2012_10_'!I2541,"AAAAAH3VerU=")</f>
        <v>#VALUE!</v>
      </c>
      <c r="GA169" t="e">
        <f>AND('Planilla_General_29-11-2012_10_'!J2541,"AAAAAH3VerY=")</f>
        <v>#VALUE!</v>
      </c>
      <c r="GB169" t="e">
        <f>AND('Planilla_General_29-11-2012_10_'!K2541,"AAAAAH3Verc=")</f>
        <v>#VALUE!</v>
      </c>
      <c r="GC169" t="e">
        <f>AND('Planilla_General_29-11-2012_10_'!L2541,"AAAAAH3Verg=")</f>
        <v>#VALUE!</v>
      </c>
      <c r="GD169" t="e">
        <f>AND('Planilla_General_29-11-2012_10_'!M2541,"AAAAAH3Verk=")</f>
        <v>#VALUE!</v>
      </c>
      <c r="GE169" t="e">
        <f>AND('Planilla_General_29-11-2012_10_'!N2541,"AAAAAH3Vero=")</f>
        <v>#VALUE!</v>
      </c>
      <c r="GF169" t="e">
        <f>AND('Planilla_General_29-11-2012_10_'!O2541,"AAAAAH3Vers=")</f>
        <v>#VALUE!</v>
      </c>
      <c r="GG169" t="e">
        <f>AND('Planilla_General_29-11-2012_10_'!P2541,"AAAAAH3Verw=")</f>
        <v>#VALUE!</v>
      </c>
      <c r="GH169">
        <f>IF('Planilla_General_29-11-2012_10_'!2542:2542,"AAAAAH3Ver0=",0)</f>
        <v>0</v>
      </c>
      <c r="GI169" t="e">
        <f>AND('Planilla_General_29-11-2012_10_'!A2542,"AAAAAH3Ver4=")</f>
        <v>#VALUE!</v>
      </c>
      <c r="GJ169" t="e">
        <f>AND('Planilla_General_29-11-2012_10_'!B2542,"AAAAAH3Ver8=")</f>
        <v>#VALUE!</v>
      </c>
      <c r="GK169" t="e">
        <f>AND('Planilla_General_29-11-2012_10_'!C2542,"AAAAAH3VesA=")</f>
        <v>#VALUE!</v>
      </c>
      <c r="GL169" t="e">
        <f>AND('Planilla_General_29-11-2012_10_'!D2542,"AAAAAH3VesE=")</f>
        <v>#VALUE!</v>
      </c>
      <c r="GM169" t="e">
        <f>AND('Planilla_General_29-11-2012_10_'!E2542,"AAAAAH3VesI=")</f>
        <v>#VALUE!</v>
      </c>
      <c r="GN169" t="e">
        <f>AND('Planilla_General_29-11-2012_10_'!F2542,"AAAAAH3VesM=")</f>
        <v>#VALUE!</v>
      </c>
      <c r="GO169" t="e">
        <f>AND('Planilla_General_29-11-2012_10_'!G2542,"AAAAAH3VesQ=")</f>
        <v>#VALUE!</v>
      </c>
      <c r="GP169" t="e">
        <f>AND('Planilla_General_29-11-2012_10_'!H2542,"AAAAAH3VesU=")</f>
        <v>#VALUE!</v>
      </c>
      <c r="GQ169" t="e">
        <f>AND('Planilla_General_29-11-2012_10_'!I2542,"AAAAAH3VesY=")</f>
        <v>#VALUE!</v>
      </c>
      <c r="GR169" t="e">
        <f>AND('Planilla_General_29-11-2012_10_'!J2542,"AAAAAH3Vesc=")</f>
        <v>#VALUE!</v>
      </c>
      <c r="GS169" t="e">
        <f>AND('Planilla_General_29-11-2012_10_'!K2542,"AAAAAH3Vesg=")</f>
        <v>#VALUE!</v>
      </c>
      <c r="GT169" t="e">
        <f>AND('Planilla_General_29-11-2012_10_'!L2542,"AAAAAH3Vesk=")</f>
        <v>#VALUE!</v>
      </c>
      <c r="GU169" t="e">
        <f>AND('Planilla_General_29-11-2012_10_'!M2542,"AAAAAH3Veso=")</f>
        <v>#VALUE!</v>
      </c>
      <c r="GV169" t="e">
        <f>AND('Planilla_General_29-11-2012_10_'!N2542,"AAAAAH3Vess=")</f>
        <v>#VALUE!</v>
      </c>
      <c r="GW169" t="e">
        <f>AND('Planilla_General_29-11-2012_10_'!O2542,"AAAAAH3Vesw=")</f>
        <v>#VALUE!</v>
      </c>
      <c r="GX169" t="e">
        <f>AND('Planilla_General_29-11-2012_10_'!P2542,"AAAAAH3Ves0=")</f>
        <v>#VALUE!</v>
      </c>
      <c r="GY169">
        <f>IF('Planilla_General_29-11-2012_10_'!2543:2543,"AAAAAH3Ves4=",0)</f>
        <v>0</v>
      </c>
      <c r="GZ169" t="e">
        <f>AND('Planilla_General_29-11-2012_10_'!A2543,"AAAAAH3Ves8=")</f>
        <v>#VALUE!</v>
      </c>
      <c r="HA169" t="e">
        <f>AND('Planilla_General_29-11-2012_10_'!B2543,"AAAAAH3VetA=")</f>
        <v>#VALUE!</v>
      </c>
      <c r="HB169" t="e">
        <f>AND('Planilla_General_29-11-2012_10_'!C2543,"AAAAAH3VetE=")</f>
        <v>#VALUE!</v>
      </c>
      <c r="HC169" t="e">
        <f>AND('Planilla_General_29-11-2012_10_'!D2543,"AAAAAH3VetI=")</f>
        <v>#VALUE!</v>
      </c>
      <c r="HD169" t="e">
        <f>AND('Planilla_General_29-11-2012_10_'!E2543,"AAAAAH3VetM=")</f>
        <v>#VALUE!</v>
      </c>
      <c r="HE169" t="e">
        <f>AND('Planilla_General_29-11-2012_10_'!F2543,"AAAAAH3VetQ=")</f>
        <v>#VALUE!</v>
      </c>
      <c r="HF169" t="e">
        <f>AND('Planilla_General_29-11-2012_10_'!G2543,"AAAAAH3VetU=")</f>
        <v>#VALUE!</v>
      </c>
      <c r="HG169" t="e">
        <f>AND('Planilla_General_29-11-2012_10_'!H2543,"AAAAAH3VetY=")</f>
        <v>#VALUE!</v>
      </c>
      <c r="HH169" t="e">
        <f>AND('Planilla_General_29-11-2012_10_'!I2543,"AAAAAH3Vetc=")</f>
        <v>#VALUE!</v>
      </c>
      <c r="HI169" t="e">
        <f>AND('Planilla_General_29-11-2012_10_'!J2543,"AAAAAH3Vetg=")</f>
        <v>#VALUE!</v>
      </c>
      <c r="HJ169" t="e">
        <f>AND('Planilla_General_29-11-2012_10_'!K2543,"AAAAAH3Vetk=")</f>
        <v>#VALUE!</v>
      </c>
      <c r="HK169" t="e">
        <f>AND('Planilla_General_29-11-2012_10_'!L2543,"AAAAAH3Veto=")</f>
        <v>#VALUE!</v>
      </c>
      <c r="HL169" t="e">
        <f>AND('Planilla_General_29-11-2012_10_'!M2543,"AAAAAH3Vets=")</f>
        <v>#VALUE!</v>
      </c>
      <c r="HM169" t="e">
        <f>AND('Planilla_General_29-11-2012_10_'!N2543,"AAAAAH3Vetw=")</f>
        <v>#VALUE!</v>
      </c>
      <c r="HN169" t="e">
        <f>AND('Planilla_General_29-11-2012_10_'!O2543,"AAAAAH3Vet0=")</f>
        <v>#VALUE!</v>
      </c>
      <c r="HO169" t="e">
        <f>AND('Planilla_General_29-11-2012_10_'!P2543,"AAAAAH3Vet4=")</f>
        <v>#VALUE!</v>
      </c>
      <c r="HP169">
        <f>IF('Planilla_General_29-11-2012_10_'!2544:2544,"AAAAAH3Vet8=",0)</f>
        <v>0</v>
      </c>
      <c r="HQ169" t="e">
        <f>AND('Planilla_General_29-11-2012_10_'!A2544,"AAAAAH3VeuA=")</f>
        <v>#VALUE!</v>
      </c>
      <c r="HR169" t="e">
        <f>AND('Planilla_General_29-11-2012_10_'!B2544,"AAAAAH3VeuE=")</f>
        <v>#VALUE!</v>
      </c>
      <c r="HS169" t="e">
        <f>AND('Planilla_General_29-11-2012_10_'!C2544,"AAAAAH3VeuI=")</f>
        <v>#VALUE!</v>
      </c>
      <c r="HT169" t="e">
        <f>AND('Planilla_General_29-11-2012_10_'!D2544,"AAAAAH3VeuM=")</f>
        <v>#VALUE!</v>
      </c>
      <c r="HU169" t="e">
        <f>AND('Planilla_General_29-11-2012_10_'!E2544,"AAAAAH3VeuQ=")</f>
        <v>#VALUE!</v>
      </c>
      <c r="HV169" t="e">
        <f>AND('Planilla_General_29-11-2012_10_'!F2544,"AAAAAH3VeuU=")</f>
        <v>#VALUE!</v>
      </c>
      <c r="HW169" t="e">
        <f>AND('Planilla_General_29-11-2012_10_'!G2544,"AAAAAH3VeuY=")</f>
        <v>#VALUE!</v>
      </c>
      <c r="HX169" t="e">
        <f>AND('Planilla_General_29-11-2012_10_'!H2544,"AAAAAH3Veuc=")</f>
        <v>#VALUE!</v>
      </c>
      <c r="HY169" t="e">
        <f>AND('Planilla_General_29-11-2012_10_'!I2544,"AAAAAH3Veug=")</f>
        <v>#VALUE!</v>
      </c>
      <c r="HZ169" t="e">
        <f>AND('Planilla_General_29-11-2012_10_'!J2544,"AAAAAH3Veuk=")</f>
        <v>#VALUE!</v>
      </c>
      <c r="IA169" t="e">
        <f>AND('Planilla_General_29-11-2012_10_'!K2544,"AAAAAH3Veuo=")</f>
        <v>#VALUE!</v>
      </c>
      <c r="IB169" t="e">
        <f>AND('Planilla_General_29-11-2012_10_'!L2544,"AAAAAH3Veus=")</f>
        <v>#VALUE!</v>
      </c>
      <c r="IC169" t="e">
        <f>AND('Planilla_General_29-11-2012_10_'!M2544,"AAAAAH3Veuw=")</f>
        <v>#VALUE!</v>
      </c>
      <c r="ID169" t="e">
        <f>AND('Planilla_General_29-11-2012_10_'!N2544,"AAAAAH3Veu0=")</f>
        <v>#VALUE!</v>
      </c>
      <c r="IE169" t="e">
        <f>AND('Planilla_General_29-11-2012_10_'!O2544,"AAAAAH3Veu4=")</f>
        <v>#VALUE!</v>
      </c>
      <c r="IF169" t="e">
        <f>AND('Planilla_General_29-11-2012_10_'!P2544,"AAAAAH3Veu8=")</f>
        <v>#VALUE!</v>
      </c>
      <c r="IG169">
        <f>IF('Planilla_General_29-11-2012_10_'!2545:2545,"AAAAAH3VevA=",0)</f>
        <v>0</v>
      </c>
      <c r="IH169" t="e">
        <f>AND('Planilla_General_29-11-2012_10_'!A2545,"AAAAAH3VevE=")</f>
        <v>#VALUE!</v>
      </c>
      <c r="II169" t="e">
        <f>AND('Planilla_General_29-11-2012_10_'!B2545,"AAAAAH3VevI=")</f>
        <v>#VALUE!</v>
      </c>
      <c r="IJ169" t="e">
        <f>AND('Planilla_General_29-11-2012_10_'!C2545,"AAAAAH3VevM=")</f>
        <v>#VALUE!</v>
      </c>
      <c r="IK169" t="e">
        <f>AND('Planilla_General_29-11-2012_10_'!D2545,"AAAAAH3VevQ=")</f>
        <v>#VALUE!</v>
      </c>
      <c r="IL169" t="e">
        <f>AND('Planilla_General_29-11-2012_10_'!E2545,"AAAAAH3VevU=")</f>
        <v>#VALUE!</v>
      </c>
      <c r="IM169" t="e">
        <f>AND('Planilla_General_29-11-2012_10_'!F2545,"AAAAAH3VevY=")</f>
        <v>#VALUE!</v>
      </c>
      <c r="IN169" t="e">
        <f>AND('Planilla_General_29-11-2012_10_'!G2545,"AAAAAH3Vevc=")</f>
        <v>#VALUE!</v>
      </c>
      <c r="IO169" t="e">
        <f>AND('Planilla_General_29-11-2012_10_'!H2545,"AAAAAH3Vevg=")</f>
        <v>#VALUE!</v>
      </c>
      <c r="IP169" t="e">
        <f>AND('Planilla_General_29-11-2012_10_'!I2545,"AAAAAH3Vevk=")</f>
        <v>#VALUE!</v>
      </c>
      <c r="IQ169" t="e">
        <f>AND('Planilla_General_29-11-2012_10_'!J2545,"AAAAAH3Vevo=")</f>
        <v>#VALUE!</v>
      </c>
      <c r="IR169" t="e">
        <f>AND('Planilla_General_29-11-2012_10_'!K2545,"AAAAAH3Vevs=")</f>
        <v>#VALUE!</v>
      </c>
      <c r="IS169" t="e">
        <f>AND('Planilla_General_29-11-2012_10_'!L2545,"AAAAAH3Vevw=")</f>
        <v>#VALUE!</v>
      </c>
      <c r="IT169" t="e">
        <f>AND('Planilla_General_29-11-2012_10_'!M2545,"AAAAAH3Vev0=")</f>
        <v>#VALUE!</v>
      </c>
      <c r="IU169" t="e">
        <f>AND('Planilla_General_29-11-2012_10_'!N2545,"AAAAAH3Vev4=")</f>
        <v>#VALUE!</v>
      </c>
      <c r="IV169" t="e">
        <f>AND('Planilla_General_29-11-2012_10_'!O2545,"AAAAAH3Vev8=")</f>
        <v>#VALUE!</v>
      </c>
    </row>
    <row r="170" spans="1:256" x14ac:dyDescent="0.25">
      <c r="A170" t="e">
        <f>AND('Planilla_General_29-11-2012_10_'!P2545,"AAAAAF2aPgA=")</f>
        <v>#VALUE!</v>
      </c>
      <c r="B170" t="e">
        <f>IF('Planilla_General_29-11-2012_10_'!2546:2546,"AAAAAF2aPgE=",0)</f>
        <v>#VALUE!</v>
      </c>
      <c r="C170" t="e">
        <f>AND('Planilla_General_29-11-2012_10_'!A2546,"AAAAAF2aPgI=")</f>
        <v>#VALUE!</v>
      </c>
      <c r="D170" t="e">
        <f>AND('Planilla_General_29-11-2012_10_'!B2546,"AAAAAF2aPgM=")</f>
        <v>#VALUE!</v>
      </c>
      <c r="E170" t="e">
        <f>AND('Planilla_General_29-11-2012_10_'!C2546,"AAAAAF2aPgQ=")</f>
        <v>#VALUE!</v>
      </c>
      <c r="F170" t="e">
        <f>AND('Planilla_General_29-11-2012_10_'!D2546,"AAAAAF2aPgU=")</f>
        <v>#VALUE!</v>
      </c>
      <c r="G170" t="e">
        <f>AND('Planilla_General_29-11-2012_10_'!E2546,"AAAAAF2aPgY=")</f>
        <v>#VALUE!</v>
      </c>
      <c r="H170" t="e">
        <f>AND('Planilla_General_29-11-2012_10_'!F2546,"AAAAAF2aPgc=")</f>
        <v>#VALUE!</v>
      </c>
      <c r="I170" t="e">
        <f>AND('Planilla_General_29-11-2012_10_'!G2546,"AAAAAF2aPgg=")</f>
        <v>#VALUE!</v>
      </c>
      <c r="J170" t="e">
        <f>AND('Planilla_General_29-11-2012_10_'!H2546,"AAAAAF2aPgk=")</f>
        <v>#VALUE!</v>
      </c>
      <c r="K170" t="e">
        <f>AND('Planilla_General_29-11-2012_10_'!I2546,"AAAAAF2aPgo=")</f>
        <v>#VALUE!</v>
      </c>
      <c r="L170" t="e">
        <f>AND('Planilla_General_29-11-2012_10_'!J2546,"AAAAAF2aPgs=")</f>
        <v>#VALUE!</v>
      </c>
      <c r="M170" t="e">
        <f>AND('Planilla_General_29-11-2012_10_'!K2546,"AAAAAF2aPgw=")</f>
        <v>#VALUE!</v>
      </c>
      <c r="N170" t="e">
        <f>AND('Planilla_General_29-11-2012_10_'!L2546,"AAAAAF2aPg0=")</f>
        <v>#VALUE!</v>
      </c>
      <c r="O170" t="e">
        <f>AND('Planilla_General_29-11-2012_10_'!M2546,"AAAAAF2aPg4=")</f>
        <v>#VALUE!</v>
      </c>
      <c r="P170" t="e">
        <f>AND('Planilla_General_29-11-2012_10_'!N2546,"AAAAAF2aPg8=")</f>
        <v>#VALUE!</v>
      </c>
      <c r="Q170" t="e">
        <f>AND('Planilla_General_29-11-2012_10_'!O2546,"AAAAAF2aPhA=")</f>
        <v>#VALUE!</v>
      </c>
      <c r="R170" t="e">
        <f>AND('Planilla_General_29-11-2012_10_'!P2546,"AAAAAF2aPhE=")</f>
        <v>#VALUE!</v>
      </c>
      <c r="S170">
        <f>IF('Planilla_General_29-11-2012_10_'!2547:2547,"AAAAAF2aPhI=",0)</f>
        <v>0</v>
      </c>
      <c r="T170" t="e">
        <f>AND('Planilla_General_29-11-2012_10_'!A2547,"AAAAAF2aPhM=")</f>
        <v>#VALUE!</v>
      </c>
      <c r="U170" t="e">
        <f>AND('Planilla_General_29-11-2012_10_'!B2547,"AAAAAF2aPhQ=")</f>
        <v>#VALUE!</v>
      </c>
      <c r="V170" t="e">
        <f>AND('Planilla_General_29-11-2012_10_'!C2547,"AAAAAF2aPhU=")</f>
        <v>#VALUE!</v>
      </c>
      <c r="W170" t="e">
        <f>AND('Planilla_General_29-11-2012_10_'!D2547,"AAAAAF2aPhY=")</f>
        <v>#VALUE!</v>
      </c>
      <c r="X170" t="e">
        <f>AND('Planilla_General_29-11-2012_10_'!E2547,"AAAAAF2aPhc=")</f>
        <v>#VALUE!</v>
      </c>
      <c r="Y170" t="e">
        <f>AND('Planilla_General_29-11-2012_10_'!F2547,"AAAAAF2aPhg=")</f>
        <v>#VALUE!</v>
      </c>
      <c r="Z170" t="e">
        <f>AND('Planilla_General_29-11-2012_10_'!G2547,"AAAAAF2aPhk=")</f>
        <v>#VALUE!</v>
      </c>
      <c r="AA170" t="e">
        <f>AND('Planilla_General_29-11-2012_10_'!H2547,"AAAAAF2aPho=")</f>
        <v>#VALUE!</v>
      </c>
      <c r="AB170" t="e">
        <f>AND('Planilla_General_29-11-2012_10_'!I2547,"AAAAAF2aPhs=")</f>
        <v>#VALUE!</v>
      </c>
      <c r="AC170" t="e">
        <f>AND('Planilla_General_29-11-2012_10_'!J2547,"AAAAAF2aPhw=")</f>
        <v>#VALUE!</v>
      </c>
      <c r="AD170" t="e">
        <f>AND('Planilla_General_29-11-2012_10_'!K2547,"AAAAAF2aPh0=")</f>
        <v>#VALUE!</v>
      </c>
      <c r="AE170" t="e">
        <f>AND('Planilla_General_29-11-2012_10_'!L2547,"AAAAAF2aPh4=")</f>
        <v>#VALUE!</v>
      </c>
      <c r="AF170" t="e">
        <f>AND('Planilla_General_29-11-2012_10_'!M2547,"AAAAAF2aPh8=")</f>
        <v>#VALUE!</v>
      </c>
      <c r="AG170" t="e">
        <f>AND('Planilla_General_29-11-2012_10_'!N2547,"AAAAAF2aPiA=")</f>
        <v>#VALUE!</v>
      </c>
      <c r="AH170" t="e">
        <f>AND('Planilla_General_29-11-2012_10_'!O2547,"AAAAAF2aPiE=")</f>
        <v>#VALUE!</v>
      </c>
      <c r="AI170" t="e">
        <f>AND('Planilla_General_29-11-2012_10_'!P2547,"AAAAAF2aPiI=")</f>
        <v>#VALUE!</v>
      </c>
      <c r="AJ170">
        <f>IF('Planilla_General_29-11-2012_10_'!2548:2548,"AAAAAF2aPiM=",0)</f>
        <v>0</v>
      </c>
      <c r="AK170" t="e">
        <f>AND('Planilla_General_29-11-2012_10_'!A2548,"AAAAAF2aPiQ=")</f>
        <v>#VALUE!</v>
      </c>
      <c r="AL170" t="e">
        <f>AND('Planilla_General_29-11-2012_10_'!B2548,"AAAAAF2aPiU=")</f>
        <v>#VALUE!</v>
      </c>
      <c r="AM170" t="e">
        <f>AND('Planilla_General_29-11-2012_10_'!C2548,"AAAAAF2aPiY=")</f>
        <v>#VALUE!</v>
      </c>
      <c r="AN170" t="e">
        <f>AND('Planilla_General_29-11-2012_10_'!D2548,"AAAAAF2aPic=")</f>
        <v>#VALUE!</v>
      </c>
      <c r="AO170" t="e">
        <f>AND('Planilla_General_29-11-2012_10_'!E2548,"AAAAAF2aPig=")</f>
        <v>#VALUE!</v>
      </c>
      <c r="AP170" t="e">
        <f>AND('Planilla_General_29-11-2012_10_'!F2548,"AAAAAF2aPik=")</f>
        <v>#VALUE!</v>
      </c>
      <c r="AQ170" t="e">
        <f>AND('Planilla_General_29-11-2012_10_'!G2548,"AAAAAF2aPio=")</f>
        <v>#VALUE!</v>
      </c>
      <c r="AR170" t="e">
        <f>AND('Planilla_General_29-11-2012_10_'!H2548,"AAAAAF2aPis=")</f>
        <v>#VALUE!</v>
      </c>
      <c r="AS170" t="e">
        <f>AND('Planilla_General_29-11-2012_10_'!I2548,"AAAAAF2aPiw=")</f>
        <v>#VALUE!</v>
      </c>
      <c r="AT170" t="e">
        <f>AND('Planilla_General_29-11-2012_10_'!J2548,"AAAAAF2aPi0=")</f>
        <v>#VALUE!</v>
      </c>
      <c r="AU170" t="e">
        <f>AND('Planilla_General_29-11-2012_10_'!K2548,"AAAAAF2aPi4=")</f>
        <v>#VALUE!</v>
      </c>
      <c r="AV170" t="e">
        <f>AND('Planilla_General_29-11-2012_10_'!L2548,"AAAAAF2aPi8=")</f>
        <v>#VALUE!</v>
      </c>
      <c r="AW170" t="e">
        <f>AND('Planilla_General_29-11-2012_10_'!M2548,"AAAAAF2aPjA=")</f>
        <v>#VALUE!</v>
      </c>
      <c r="AX170" t="e">
        <f>AND('Planilla_General_29-11-2012_10_'!N2548,"AAAAAF2aPjE=")</f>
        <v>#VALUE!</v>
      </c>
      <c r="AY170" t="e">
        <f>AND('Planilla_General_29-11-2012_10_'!O2548,"AAAAAF2aPjI=")</f>
        <v>#VALUE!</v>
      </c>
      <c r="AZ170" t="e">
        <f>AND('Planilla_General_29-11-2012_10_'!P2548,"AAAAAF2aPjM=")</f>
        <v>#VALUE!</v>
      </c>
      <c r="BA170">
        <f>IF('Planilla_General_29-11-2012_10_'!2549:2549,"AAAAAF2aPjQ=",0)</f>
        <v>0</v>
      </c>
      <c r="BB170" t="e">
        <f>AND('Planilla_General_29-11-2012_10_'!A2549,"AAAAAF2aPjU=")</f>
        <v>#VALUE!</v>
      </c>
      <c r="BC170" t="e">
        <f>AND('Planilla_General_29-11-2012_10_'!B2549,"AAAAAF2aPjY=")</f>
        <v>#VALUE!</v>
      </c>
      <c r="BD170" t="e">
        <f>AND('Planilla_General_29-11-2012_10_'!C2549,"AAAAAF2aPjc=")</f>
        <v>#VALUE!</v>
      </c>
      <c r="BE170" t="e">
        <f>AND('Planilla_General_29-11-2012_10_'!D2549,"AAAAAF2aPjg=")</f>
        <v>#VALUE!</v>
      </c>
      <c r="BF170" t="e">
        <f>AND('Planilla_General_29-11-2012_10_'!E2549,"AAAAAF2aPjk=")</f>
        <v>#VALUE!</v>
      </c>
      <c r="BG170" t="e">
        <f>AND('Planilla_General_29-11-2012_10_'!F2549,"AAAAAF2aPjo=")</f>
        <v>#VALUE!</v>
      </c>
      <c r="BH170" t="e">
        <f>AND('Planilla_General_29-11-2012_10_'!G2549,"AAAAAF2aPjs=")</f>
        <v>#VALUE!</v>
      </c>
      <c r="BI170" t="e">
        <f>AND('Planilla_General_29-11-2012_10_'!H2549,"AAAAAF2aPjw=")</f>
        <v>#VALUE!</v>
      </c>
      <c r="BJ170" t="e">
        <f>AND('Planilla_General_29-11-2012_10_'!I2549,"AAAAAF2aPj0=")</f>
        <v>#VALUE!</v>
      </c>
      <c r="BK170" t="e">
        <f>AND('Planilla_General_29-11-2012_10_'!J2549,"AAAAAF2aPj4=")</f>
        <v>#VALUE!</v>
      </c>
      <c r="BL170" t="e">
        <f>AND('Planilla_General_29-11-2012_10_'!K2549,"AAAAAF2aPj8=")</f>
        <v>#VALUE!</v>
      </c>
      <c r="BM170" t="e">
        <f>AND('Planilla_General_29-11-2012_10_'!L2549,"AAAAAF2aPkA=")</f>
        <v>#VALUE!</v>
      </c>
      <c r="BN170" t="e">
        <f>AND('Planilla_General_29-11-2012_10_'!M2549,"AAAAAF2aPkE=")</f>
        <v>#VALUE!</v>
      </c>
      <c r="BO170" t="e">
        <f>AND('Planilla_General_29-11-2012_10_'!N2549,"AAAAAF2aPkI=")</f>
        <v>#VALUE!</v>
      </c>
      <c r="BP170" t="e">
        <f>AND('Planilla_General_29-11-2012_10_'!O2549,"AAAAAF2aPkM=")</f>
        <v>#VALUE!</v>
      </c>
      <c r="BQ170" t="e">
        <f>AND('Planilla_General_29-11-2012_10_'!P2549,"AAAAAF2aPkQ=")</f>
        <v>#VALUE!</v>
      </c>
      <c r="BR170">
        <f>IF('Planilla_General_29-11-2012_10_'!2550:2550,"AAAAAF2aPkU=",0)</f>
        <v>0</v>
      </c>
      <c r="BS170" t="e">
        <f>AND('Planilla_General_29-11-2012_10_'!A2550,"AAAAAF2aPkY=")</f>
        <v>#VALUE!</v>
      </c>
      <c r="BT170" t="e">
        <f>AND('Planilla_General_29-11-2012_10_'!B2550,"AAAAAF2aPkc=")</f>
        <v>#VALUE!</v>
      </c>
      <c r="BU170" t="e">
        <f>AND('Planilla_General_29-11-2012_10_'!C2550,"AAAAAF2aPkg=")</f>
        <v>#VALUE!</v>
      </c>
      <c r="BV170" t="e">
        <f>AND('Planilla_General_29-11-2012_10_'!D2550,"AAAAAF2aPkk=")</f>
        <v>#VALUE!</v>
      </c>
      <c r="BW170" t="e">
        <f>AND('Planilla_General_29-11-2012_10_'!E2550,"AAAAAF2aPko=")</f>
        <v>#VALUE!</v>
      </c>
      <c r="BX170" t="e">
        <f>AND('Planilla_General_29-11-2012_10_'!F2550,"AAAAAF2aPks=")</f>
        <v>#VALUE!</v>
      </c>
      <c r="BY170" t="e">
        <f>AND('Planilla_General_29-11-2012_10_'!G2550,"AAAAAF2aPkw=")</f>
        <v>#VALUE!</v>
      </c>
      <c r="BZ170" t="e">
        <f>AND('Planilla_General_29-11-2012_10_'!H2550,"AAAAAF2aPk0=")</f>
        <v>#VALUE!</v>
      </c>
      <c r="CA170" t="e">
        <f>AND('Planilla_General_29-11-2012_10_'!I2550,"AAAAAF2aPk4=")</f>
        <v>#VALUE!</v>
      </c>
      <c r="CB170" t="e">
        <f>AND('Planilla_General_29-11-2012_10_'!J2550,"AAAAAF2aPk8=")</f>
        <v>#VALUE!</v>
      </c>
      <c r="CC170" t="e">
        <f>AND('Planilla_General_29-11-2012_10_'!K2550,"AAAAAF2aPlA=")</f>
        <v>#VALUE!</v>
      </c>
      <c r="CD170" t="e">
        <f>AND('Planilla_General_29-11-2012_10_'!L2550,"AAAAAF2aPlE=")</f>
        <v>#VALUE!</v>
      </c>
      <c r="CE170" t="e">
        <f>AND('Planilla_General_29-11-2012_10_'!M2550,"AAAAAF2aPlI=")</f>
        <v>#VALUE!</v>
      </c>
      <c r="CF170" t="e">
        <f>AND('Planilla_General_29-11-2012_10_'!N2550,"AAAAAF2aPlM=")</f>
        <v>#VALUE!</v>
      </c>
      <c r="CG170" t="e">
        <f>AND('Planilla_General_29-11-2012_10_'!O2550,"AAAAAF2aPlQ=")</f>
        <v>#VALUE!</v>
      </c>
      <c r="CH170" t="e">
        <f>AND('Planilla_General_29-11-2012_10_'!P2550,"AAAAAF2aPlU=")</f>
        <v>#VALUE!</v>
      </c>
      <c r="CI170">
        <f>IF('Planilla_General_29-11-2012_10_'!2551:2551,"AAAAAF2aPlY=",0)</f>
        <v>0</v>
      </c>
      <c r="CJ170" t="e">
        <f>AND('Planilla_General_29-11-2012_10_'!A2551,"AAAAAF2aPlc=")</f>
        <v>#VALUE!</v>
      </c>
      <c r="CK170" t="e">
        <f>AND('Planilla_General_29-11-2012_10_'!B2551,"AAAAAF2aPlg=")</f>
        <v>#VALUE!</v>
      </c>
      <c r="CL170" t="e">
        <f>AND('Planilla_General_29-11-2012_10_'!C2551,"AAAAAF2aPlk=")</f>
        <v>#VALUE!</v>
      </c>
      <c r="CM170" t="e">
        <f>AND('Planilla_General_29-11-2012_10_'!D2551,"AAAAAF2aPlo=")</f>
        <v>#VALUE!</v>
      </c>
      <c r="CN170" t="e">
        <f>AND('Planilla_General_29-11-2012_10_'!E2551,"AAAAAF2aPls=")</f>
        <v>#VALUE!</v>
      </c>
      <c r="CO170" t="e">
        <f>AND('Planilla_General_29-11-2012_10_'!F2551,"AAAAAF2aPlw=")</f>
        <v>#VALUE!</v>
      </c>
      <c r="CP170" t="e">
        <f>AND('Planilla_General_29-11-2012_10_'!G2551,"AAAAAF2aPl0=")</f>
        <v>#VALUE!</v>
      </c>
      <c r="CQ170" t="e">
        <f>AND('Planilla_General_29-11-2012_10_'!H2551,"AAAAAF2aPl4=")</f>
        <v>#VALUE!</v>
      </c>
      <c r="CR170" t="e">
        <f>AND('Planilla_General_29-11-2012_10_'!I2551,"AAAAAF2aPl8=")</f>
        <v>#VALUE!</v>
      </c>
      <c r="CS170" t="e">
        <f>AND('Planilla_General_29-11-2012_10_'!J2551,"AAAAAF2aPmA=")</f>
        <v>#VALUE!</v>
      </c>
      <c r="CT170" t="e">
        <f>AND('Planilla_General_29-11-2012_10_'!K2551,"AAAAAF2aPmE=")</f>
        <v>#VALUE!</v>
      </c>
      <c r="CU170" t="e">
        <f>AND('Planilla_General_29-11-2012_10_'!L2551,"AAAAAF2aPmI=")</f>
        <v>#VALUE!</v>
      </c>
      <c r="CV170" t="e">
        <f>AND('Planilla_General_29-11-2012_10_'!M2551,"AAAAAF2aPmM=")</f>
        <v>#VALUE!</v>
      </c>
      <c r="CW170" t="e">
        <f>AND('Planilla_General_29-11-2012_10_'!N2551,"AAAAAF2aPmQ=")</f>
        <v>#VALUE!</v>
      </c>
      <c r="CX170" t="e">
        <f>AND('Planilla_General_29-11-2012_10_'!O2551,"AAAAAF2aPmU=")</f>
        <v>#VALUE!</v>
      </c>
      <c r="CY170" t="e">
        <f>AND('Planilla_General_29-11-2012_10_'!P2551,"AAAAAF2aPmY=")</f>
        <v>#VALUE!</v>
      </c>
      <c r="CZ170">
        <f>IF('Planilla_General_29-11-2012_10_'!2552:2552,"AAAAAF2aPmc=",0)</f>
        <v>0</v>
      </c>
      <c r="DA170" t="e">
        <f>AND('Planilla_General_29-11-2012_10_'!A2552,"AAAAAF2aPmg=")</f>
        <v>#VALUE!</v>
      </c>
      <c r="DB170" t="e">
        <f>AND('Planilla_General_29-11-2012_10_'!B2552,"AAAAAF2aPmk=")</f>
        <v>#VALUE!</v>
      </c>
      <c r="DC170" t="e">
        <f>AND('Planilla_General_29-11-2012_10_'!C2552,"AAAAAF2aPmo=")</f>
        <v>#VALUE!</v>
      </c>
      <c r="DD170" t="e">
        <f>AND('Planilla_General_29-11-2012_10_'!D2552,"AAAAAF2aPms=")</f>
        <v>#VALUE!</v>
      </c>
      <c r="DE170" t="e">
        <f>AND('Planilla_General_29-11-2012_10_'!E2552,"AAAAAF2aPmw=")</f>
        <v>#VALUE!</v>
      </c>
      <c r="DF170" t="e">
        <f>AND('Planilla_General_29-11-2012_10_'!F2552,"AAAAAF2aPm0=")</f>
        <v>#VALUE!</v>
      </c>
      <c r="DG170" t="e">
        <f>AND('Planilla_General_29-11-2012_10_'!G2552,"AAAAAF2aPm4=")</f>
        <v>#VALUE!</v>
      </c>
      <c r="DH170" t="e">
        <f>AND('Planilla_General_29-11-2012_10_'!H2552,"AAAAAF2aPm8=")</f>
        <v>#VALUE!</v>
      </c>
      <c r="DI170" t="e">
        <f>AND('Planilla_General_29-11-2012_10_'!I2552,"AAAAAF2aPnA=")</f>
        <v>#VALUE!</v>
      </c>
      <c r="DJ170" t="e">
        <f>AND('Planilla_General_29-11-2012_10_'!J2552,"AAAAAF2aPnE=")</f>
        <v>#VALUE!</v>
      </c>
      <c r="DK170" t="e">
        <f>AND('Planilla_General_29-11-2012_10_'!K2552,"AAAAAF2aPnI=")</f>
        <v>#VALUE!</v>
      </c>
      <c r="DL170" t="e">
        <f>AND('Planilla_General_29-11-2012_10_'!L2552,"AAAAAF2aPnM=")</f>
        <v>#VALUE!</v>
      </c>
      <c r="DM170" t="e">
        <f>AND('Planilla_General_29-11-2012_10_'!M2552,"AAAAAF2aPnQ=")</f>
        <v>#VALUE!</v>
      </c>
      <c r="DN170" t="e">
        <f>AND('Planilla_General_29-11-2012_10_'!N2552,"AAAAAF2aPnU=")</f>
        <v>#VALUE!</v>
      </c>
      <c r="DO170" t="e">
        <f>AND('Planilla_General_29-11-2012_10_'!O2552,"AAAAAF2aPnY=")</f>
        <v>#VALUE!</v>
      </c>
      <c r="DP170" t="e">
        <f>AND('Planilla_General_29-11-2012_10_'!P2552,"AAAAAF2aPnc=")</f>
        <v>#VALUE!</v>
      </c>
      <c r="DQ170">
        <f>IF('Planilla_General_29-11-2012_10_'!2553:2553,"AAAAAF2aPng=",0)</f>
        <v>0</v>
      </c>
      <c r="DR170" t="e">
        <f>AND('Planilla_General_29-11-2012_10_'!A2553,"AAAAAF2aPnk=")</f>
        <v>#VALUE!</v>
      </c>
      <c r="DS170" t="e">
        <f>AND('Planilla_General_29-11-2012_10_'!B2553,"AAAAAF2aPno=")</f>
        <v>#VALUE!</v>
      </c>
      <c r="DT170" t="e">
        <f>AND('Planilla_General_29-11-2012_10_'!C2553,"AAAAAF2aPns=")</f>
        <v>#VALUE!</v>
      </c>
      <c r="DU170" t="e">
        <f>AND('Planilla_General_29-11-2012_10_'!D2553,"AAAAAF2aPnw=")</f>
        <v>#VALUE!</v>
      </c>
      <c r="DV170" t="e">
        <f>AND('Planilla_General_29-11-2012_10_'!E2553,"AAAAAF2aPn0=")</f>
        <v>#VALUE!</v>
      </c>
      <c r="DW170" t="e">
        <f>AND('Planilla_General_29-11-2012_10_'!F2553,"AAAAAF2aPn4=")</f>
        <v>#VALUE!</v>
      </c>
      <c r="DX170" t="e">
        <f>AND('Planilla_General_29-11-2012_10_'!G2553,"AAAAAF2aPn8=")</f>
        <v>#VALUE!</v>
      </c>
      <c r="DY170" t="e">
        <f>AND('Planilla_General_29-11-2012_10_'!H2553,"AAAAAF2aPoA=")</f>
        <v>#VALUE!</v>
      </c>
      <c r="DZ170" t="e">
        <f>AND('Planilla_General_29-11-2012_10_'!I2553,"AAAAAF2aPoE=")</f>
        <v>#VALUE!</v>
      </c>
      <c r="EA170" t="e">
        <f>AND('Planilla_General_29-11-2012_10_'!J2553,"AAAAAF2aPoI=")</f>
        <v>#VALUE!</v>
      </c>
      <c r="EB170" t="e">
        <f>AND('Planilla_General_29-11-2012_10_'!K2553,"AAAAAF2aPoM=")</f>
        <v>#VALUE!</v>
      </c>
      <c r="EC170" t="e">
        <f>AND('Planilla_General_29-11-2012_10_'!L2553,"AAAAAF2aPoQ=")</f>
        <v>#VALUE!</v>
      </c>
      <c r="ED170" t="e">
        <f>AND('Planilla_General_29-11-2012_10_'!M2553,"AAAAAF2aPoU=")</f>
        <v>#VALUE!</v>
      </c>
      <c r="EE170" t="e">
        <f>AND('Planilla_General_29-11-2012_10_'!N2553,"AAAAAF2aPoY=")</f>
        <v>#VALUE!</v>
      </c>
      <c r="EF170" t="e">
        <f>AND('Planilla_General_29-11-2012_10_'!O2553,"AAAAAF2aPoc=")</f>
        <v>#VALUE!</v>
      </c>
      <c r="EG170" t="e">
        <f>AND('Planilla_General_29-11-2012_10_'!P2553,"AAAAAF2aPog=")</f>
        <v>#VALUE!</v>
      </c>
      <c r="EH170">
        <f>IF('Planilla_General_29-11-2012_10_'!2554:2554,"AAAAAF2aPok=",0)</f>
        <v>0</v>
      </c>
      <c r="EI170" t="e">
        <f>AND('Planilla_General_29-11-2012_10_'!A2554,"AAAAAF2aPoo=")</f>
        <v>#VALUE!</v>
      </c>
      <c r="EJ170" t="e">
        <f>AND('Planilla_General_29-11-2012_10_'!B2554,"AAAAAF2aPos=")</f>
        <v>#VALUE!</v>
      </c>
      <c r="EK170" t="e">
        <f>AND('Planilla_General_29-11-2012_10_'!C2554,"AAAAAF2aPow=")</f>
        <v>#VALUE!</v>
      </c>
      <c r="EL170" t="e">
        <f>AND('Planilla_General_29-11-2012_10_'!D2554,"AAAAAF2aPo0=")</f>
        <v>#VALUE!</v>
      </c>
      <c r="EM170" t="e">
        <f>AND('Planilla_General_29-11-2012_10_'!E2554,"AAAAAF2aPo4=")</f>
        <v>#VALUE!</v>
      </c>
      <c r="EN170" t="e">
        <f>AND('Planilla_General_29-11-2012_10_'!F2554,"AAAAAF2aPo8=")</f>
        <v>#VALUE!</v>
      </c>
      <c r="EO170" t="e">
        <f>AND('Planilla_General_29-11-2012_10_'!G2554,"AAAAAF2aPpA=")</f>
        <v>#VALUE!</v>
      </c>
      <c r="EP170" t="e">
        <f>AND('Planilla_General_29-11-2012_10_'!H2554,"AAAAAF2aPpE=")</f>
        <v>#VALUE!</v>
      </c>
      <c r="EQ170" t="e">
        <f>AND('Planilla_General_29-11-2012_10_'!I2554,"AAAAAF2aPpI=")</f>
        <v>#VALUE!</v>
      </c>
      <c r="ER170" t="e">
        <f>AND('Planilla_General_29-11-2012_10_'!J2554,"AAAAAF2aPpM=")</f>
        <v>#VALUE!</v>
      </c>
      <c r="ES170" t="e">
        <f>AND('Planilla_General_29-11-2012_10_'!K2554,"AAAAAF2aPpQ=")</f>
        <v>#VALUE!</v>
      </c>
      <c r="ET170" t="e">
        <f>AND('Planilla_General_29-11-2012_10_'!L2554,"AAAAAF2aPpU=")</f>
        <v>#VALUE!</v>
      </c>
      <c r="EU170" t="e">
        <f>AND('Planilla_General_29-11-2012_10_'!M2554,"AAAAAF2aPpY=")</f>
        <v>#VALUE!</v>
      </c>
      <c r="EV170" t="e">
        <f>AND('Planilla_General_29-11-2012_10_'!N2554,"AAAAAF2aPpc=")</f>
        <v>#VALUE!</v>
      </c>
      <c r="EW170" t="e">
        <f>AND('Planilla_General_29-11-2012_10_'!O2554,"AAAAAF2aPpg=")</f>
        <v>#VALUE!</v>
      </c>
      <c r="EX170" t="e">
        <f>AND('Planilla_General_29-11-2012_10_'!P2554,"AAAAAF2aPpk=")</f>
        <v>#VALUE!</v>
      </c>
      <c r="EY170">
        <f>IF('Planilla_General_29-11-2012_10_'!2555:2555,"AAAAAF2aPpo=",0)</f>
        <v>0</v>
      </c>
      <c r="EZ170" t="e">
        <f>AND('Planilla_General_29-11-2012_10_'!A2555,"AAAAAF2aPps=")</f>
        <v>#VALUE!</v>
      </c>
      <c r="FA170" t="e">
        <f>AND('Planilla_General_29-11-2012_10_'!B2555,"AAAAAF2aPpw=")</f>
        <v>#VALUE!</v>
      </c>
      <c r="FB170" t="e">
        <f>AND('Planilla_General_29-11-2012_10_'!C2555,"AAAAAF2aPp0=")</f>
        <v>#VALUE!</v>
      </c>
      <c r="FC170" t="e">
        <f>AND('Planilla_General_29-11-2012_10_'!D2555,"AAAAAF2aPp4=")</f>
        <v>#VALUE!</v>
      </c>
      <c r="FD170" t="e">
        <f>AND('Planilla_General_29-11-2012_10_'!E2555,"AAAAAF2aPp8=")</f>
        <v>#VALUE!</v>
      </c>
      <c r="FE170" t="e">
        <f>AND('Planilla_General_29-11-2012_10_'!F2555,"AAAAAF2aPqA=")</f>
        <v>#VALUE!</v>
      </c>
      <c r="FF170" t="e">
        <f>AND('Planilla_General_29-11-2012_10_'!G2555,"AAAAAF2aPqE=")</f>
        <v>#VALUE!</v>
      </c>
      <c r="FG170" t="e">
        <f>AND('Planilla_General_29-11-2012_10_'!H2555,"AAAAAF2aPqI=")</f>
        <v>#VALUE!</v>
      </c>
      <c r="FH170" t="e">
        <f>AND('Planilla_General_29-11-2012_10_'!I2555,"AAAAAF2aPqM=")</f>
        <v>#VALUE!</v>
      </c>
      <c r="FI170" t="e">
        <f>AND('Planilla_General_29-11-2012_10_'!J2555,"AAAAAF2aPqQ=")</f>
        <v>#VALUE!</v>
      </c>
      <c r="FJ170" t="e">
        <f>AND('Planilla_General_29-11-2012_10_'!K2555,"AAAAAF2aPqU=")</f>
        <v>#VALUE!</v>
      </c>
      <c r="FK170" t="e">
        <f>AND('Planilla_General_29-11-2012_10_'!L2555,"AAAAAF2aPqY=")</f>
        <v>#VALUE!</v>
      </c>
      <c r="FL170" t="e">
        <f>AND('Planilla_General_29-11-2012_10_'!M2555,"AAAAAF2aPqc=")</f>
        <v>#VALUE!</v>
      </c>
      <c r="FM170" t="e">
        <f>AND('Planilla_General_29-11-2012_10_'!N2555,"AAAAAF2aPqg=")</f>
        <v>#VALUE!</v>
      </c>
      <c r="FN170" t="e">
        <f>AND('Planilla_General_29-11-2012_10_'!O2555,"AAAAAF2aPqk=")</f>
        <v>#VALUE!</v>
      </c>
      <c r="FO170" t="e">
        <f>AND('Planilla_General_29-11-2012_10_'!P2555,"AAAAAF2aPqo=")</f>
        <v>#VALUE!</v>
      </c>
      <c r="FP170">
        <f>IF('Planilla_General_29-11-2012_10_'!2556:2556,"AAAAAF2aPqs=",0)</f>
        <v>0</v>
      </c>
      <c r="FQ170" t="e">
        <f>AND('Planilla_General_29-11-2012_10_'!A2556,"AAAAAF2aPqw=")</f>
        <v>#VALUE!</v>
      </c>
      <c r="FR170" t="e">
        <f>AND('Planilla_General_29-11-2012_10_'!B2556,"AAAAAF2aPq0=")</f>
        <v>#VALUE!</v>
      </c>
      <c r="FS170" t="e">
        <f>AND('Planilla_General_29-11-2012_10_'!C2556,"AAAAAF2aPq4=")</f>
        <v>#VALUE!</v>
      </c>
      <c r="FT170" t="e">
        <f>AND('Planilla_General_29-11-2012_10_'!D2556,"AAAAAF2aPq8=")</f>
        <v>#VALUE!</v>
      </c>
      <c r="FU170" t="e">
        <f>AND('Planilla_General_29-11-2012_10_'!E2556,"AAAAAF2aPrA=")</f>
        <v>#VALUE!</v>
      </c>
      <c r="FV170" t="e">
        <f>AND('Planilla_General_29-11-2012_10_'!F2556,"AAAAAF2aPrE=")</f>
        <v>#VALUE!</v>
      </c>
      <c r="FW170" t="e">
        <f>AND('Planilla_General_29-11-2012_10_'!G2556,"AAAAAF2aPrI=")</f>
        <v>#VALUE!</v>
      </c>
      <c r="FX170" t="e">
        <f>AND('Planilla_General_29-11-2012_10_'!H2556,"AAAAAF2aPrM=")</f>
        <v>#VALUE!</v>
      </c>
      <c r="FY170" t="e">
        <f>AND('Planilla_General_29-11-2012_10_'!I2556,"AAAAAF2aPrQ=")</f>
        <v>#VALUE!</v>
      </c>
      <c r="FZ170" t="e">
        <f>AND('Planilla_General_29-11-2012_10_'!J2556,"AAAAAF2aPrU=")</f>
        <v>#VALUE!</v>
      </c>
      <c r="GA170" t="e">
        <f>AND('Planilla_General_29-11-2012_10_'!K2556,"AAAAAF2aPrY=")</f>
        <v>#VALUE!</v>
      </c>
      <c r="GB170" t="e">
        <f>AND('Planilla_General_29-11-2012_10_'!L2556,"AAAAAF2aPrc=")</f>
        <v>#VALUE!</v>
      </c>
      <c r="GC170" t="e">
        <f>AND('Planilla_General_29-11-2012_10_'!M2556,"AAAAAF2aPrg=")</f>
        <v>#VALUE!</v>
      </c>
      <c r="GD170" t="e">
        <f>AND('Planilla_General_29-11-2012_10_'!N2556,"AAAAAF2aPrk=")</f>
        <v>#VALUE!</v>
      </c>
      <c r="GE170" t="e">
        <f>AND('Planilla_General_29-11-2012_10_'!O2556,"AAAAAF2aPro=")</f>
        <v>#VALUE!</v>
      </c>
      <c r="GF170" t="e">
        <f>AND('Planilla_General_29-11-2012_10_'!P2556,"AAAAAF2aPrs=")</f>
        <v>#VALUE!</v>
      </c>
      <c r="GG170">
        <f>IF('Planilla_General_29-11-2012_10_'!2557:2557,"AAAAAF2aPrw=",0)</f>
        <v>0</v>
      </c>
      <c r="GH170" t="e">
        <f>AND('Planilla_General_29-11-2012_10_'!A2557,"AAAAAF2aPr0=")</f>
        <v>#VALUE!</v>
      </c>
      <c r="GI170" t="e">
        <f>AND('Planilla_General_29-11-2012_10_'!B2557,"AAAAAF2aPr4=")</f>
        <v>#VALUE!</v>
      </c>
      <c r="GJ170" t="e">
        <f>AND('Planilla_General_29-11-2012_10_'!C2557,"AAAAAF2aPr8=")</f>
        <v>#VALUE!</v>
      </c>
      <c r="GK170" t="e">
        <f>AND('Planilla_General_29-11-2012_10_'!D2557,"AAAAAF2aPsA=")</f>
        <v>#VALUE!</v>
      </c>
      <c r="GL170" t="e">
        <f>AND('Planilla_General_29-11-2012_10_'!E2557,"AAAAAF2aPsE=")</f>
        <v>#VALUE!</v>
      </c>
      <c r="GM170" t="e">
        <f>AND('Planilla_General_29-11-2012_10_'!F2557,"AAAAAF2aPsI=")</f>
        <v>#VALUE!</v>
      </c>
      <c r="GN170" t="e">
        <f>AND('Planilla_General_29-11-2012_10_'!G2557,"AAAAAF2aPsM=")</f>
        <v>#VALUE!</v>
      </c>
      <c r="GO170" t="e">
        <f>AND('Planilla_General_29-11-2012_10_'!H2557,"AAAAAF2aPsQ=")</f>
        <v>#VALUE!</v>
      </c>
      <c r="GP170" t="e">
        <f>AND('Planilla_General_29-11-2012_10_'!I2557,"AAAAAF2aPsU=")</f>
        <v>#VALUE!</v>
      </c>
      <c r="GQ170" t="e">
        <f>AND('Planilla_General_29-11-2012_10_'!J2557,"AAAAAF2aPsY=")</f>
        <v>#VALUE!</v>
      </c>
      <c r="GR170" t="e">
        <f>AND('Planilla_General_29-11-2012_10_'!K2557,"AAAAAF2aPsc=")</f>
        <v>#VALUE!</v>
      </c>
      <c r="GS170" t="e">
        <f>AND('Planilla_General_29-11-2012_10_'!L2557,"AAAAAF2aPsg=")</f>
        <v>#VALUE!</v>
      </c>
      <c r="GT170" t="e">
        <f>AND('Planilla_General_29-11-2012_10_'!M2557,"AAAAAF2aPsk=")</f>
        <v>#VALUE!</v>
      </c>
      <c r="GU170" t="e">
        <f>AND('Planilla_General_29-11-2012_10_'!N2557,"AAAAAF2aPso=")</f>
        <v>#VALUE!</v>
      </c>
      <c r="GV170" t="e">
        <f>AND('Planilla_General_29-11-2012_10_'!O2557,"AAAAAF2aPss=")</f>
        <v>#VALUE!</v>
      </c>
      <c r="GW170" t="e">
        <f>AND('Planilla_General_29-11-2012_10_'!P2557,"AAAAAF2aPsw=")</f>
        <v>#VALUE!</v>
      </c>
      <c r="GX170">
        <f>IF('Planilla_General_29-11-2012_10_'!2558:2558,"AAAAAF2aPs0=",0)</f>
        <v>0</v>
      </c>
      <c r="GY170" t="e">
        <f>AND('Planilla_General_29-11-2012_10_'!A2558,"AAAAAF2aPs4=")</f>
        <v>#VALUE!</v>
      </c>
      <c r="GZ170" t="e">
        <f>AND('Planilla_General_29-11-2012_10_'!B2558,"AAAAAF2aPs8=")</f>
        <v>#VALUE!</v>
      </c>
      <c r="HA170" t="e">
        <f>AND('Planilla_General_29-11-2012_10_'!C2558,"AAAAAF2aPtA=")</f>
        <v>#VALUE!</v>
      </c>
      <c r="HB170" t="e">
        <f>AND('Planilla_General_29-11-2012_10_'!D2558,"AAAAAF2aPtE=")</f>
        <v>#VALUE!</v>
      </c>
      <c r="HC170" t="e">
        <f>AND('Planilla_General_29-11-2012_10_'!E2558,"AAAAAF2aPtI=")</f>
        <v>#VALUE!</v>
      </c>
      <c r="HD170" t="e">
        <f>AND('Planilla_General_29-11-2012_10_'!F2558,"AAAAAF2aPtM=")</f>
        <v>#VALUE!</v>
      </c>
      <c r="HE170" t="e">
        <f>AND('Planilla_General_29-11-2012_10_'!G2558,"AAAAAF2aPtQ=")</f>
        <v>#VALUE!</v>
      </c>
      <c r="HF170" t="e">
        <f>AND('Planilla_General_29-11-2012_10_'!H2558,"AAAAAF2aPtU=")</f>
        <v>#VALUE!</v>
      </c>
      <c r="HG170" t="e">
        <f>AND('Planilla_General_29-11-2012_10_'!I2558,"AAAAAF2aPtY=")</f>
        <v>#VALUE!</v>
      </c>
      <c r="HH170" t="e">
        <f>AND('Planilla_General_29-11-2012_10_'!J2558,"AAAAAF2aPtc=")</f>
        <v>#VALUE!</v>
      </c>
      <c r="HI170" t="e">
        <f>AND('Planilla_General_29-11-2012_10_'!K2558,"AAAAAF2aPtg=")</f>
        <v>#VALUE!</v>
      </c>
      <c r="HJ170" t="e">
        <f>AND('Planilla_General_29-11-2012_10_'!L2558,"AAAAAF2aPtk=")</f>
        <v>#VALUE!</v>
      </c>
      <c r="HK170" t="e">
        <f>AND('Planilla_General_29-11-2012_10_'!M2558,"AAAAAF2aPto=")</f>
        <v>#VALUE!</v>
      </c>
      <c r="HL170" t="e">
        <f>AND('Planilla_General_29-11-2012_10_'!N2558,"AAAAAF2aPts=")</f>
        <v>#VALUE!</v>
      </c>
      <c r="HM170" t="e">
        <f>AND('Planilla_General_29-11-2012_10_'!O2558,"AAAAAF2aPtw=")</f>
        <v>#VALUE!</v>
      </c>
      <c r="HN170" t="e">
        <f>AND('Planilla_General_29-11-2012_10_'!P2558,"AAAAAF2aPt0=")</f>
        <v>#VALUE!</v>
      </c>
      <c r="HO170">
        <f>IF('Planilla_General_29-11-2012_10_'!2559:2559,"AAAAAF2aPt4=",0)</f>
        <v>0</v>
      </c>
      <c r="HP170" t="e">
        <f>AND('Planilla_General_29-11-2012_10_'!A2559,"AAAAAF2aPt8=")</f>
        <v>#VALUE!</v>
      </c>
      <c r="HQ170" t="e">
        <f>AND('Planilla_General_29-11-2012_10_'!B2559,"AAAAAF2aPuA=")</f>
        <v>#VALUE!</v>
      </c>
      <c r="HR170" t="e">
        <f>AND('Planilla_General_29-11-2012_10_'!C2559,"AAAAAF2aPuE=")</f>
        <v>#VALUE!</v>
      </c>
      <c r="HS170" t="e">
        <f>AND('Planilla_General_29-11-2012_10_'!D2559,"AAAAAF2aPuI=")</f>
        <v>#VALUE!</v>
      </c>
      <c r="HT170" t="e">
        <f>AND('Planilla_General_29-11-2012_10_'!E2559,"AAAAAF2aPuM=")</f>
        <v>#VALUE!</v>
      </c>
      <c r="HU170" t="e">
        <f>AND('Planilla_General_29-11-2012_10_'!F2559,"AAAAAF2aPuQ=")</f>
        <v>#VALUE!</v>
      </c>
      <c r="HV170" t="e">
        <f>AND('Planilla_General_29-11-2012_10_'!G2559,"AAAAAF2aPuU=")</f>
        <v>#VALUE!</v>
      </c>
      <c r="HW170" t="e">
        <f>AND('Planilla_General_29-11-2012_10_'!H2559,"AAAAAF2aPuY=")</f>
        <v>#VALUE!</v>
      </c>
      <c r="HX170" t="e">
        <f>AND('Planilla_General_29-11-2012_10_'!I2559,"AAAAAF2aPuc=")</f>
        <v>#VALUE!</v>
      </c>
      <c r="HY170" t="e">
        <f>AND('Planilla_General_29-11-2012_10_'!J2559,"AAAAAF2aPug=")</f>
        <v>#VALUE!</v>
      </c>
      <c r="HZ170" t="e">
        <f>AND('Planilla_General_29-11-2012_10_'!K2559,"AAAAAF2aPuk=")</f>
        <v>#VALUE!</v>
      </c>
      <c r="IA170" t="e">
        <f>AND('Planilla_General_29-11-2012_10_'!L2559,"AAAAAF2aPuo=")</f>
        <v>#VALUE!</v>
      </c>
      <c r="IB170" t="e">
        <f>AND('Planilla_General_29-11-2012_10_'!M2559,"AAAAAF2aPus=")</f>
        <v>#VALUE!</v>
      </c>
      <c r="IC170" t="e">
        <f>AND('Planilla_General_29-11-2012_10_'!N2559,"AAAAAF2aPuw=")</f>
        <v>#VALUE!</v>
      </c>
      <c r="ID170" t="e">
        <f>AND('Planilla_General_29-11-2012_10_'!O2559,"AAAAAF2aPu0=")</f>
        <v>#VALUE!</v>
      </c>
      <c r="IE170" t="e">
        <f>AND('Planilla_General_29-11-2012_10_'!P2559,"AAAAAF2aPu4=")</f>
        <v>#VALUE!</v>
      </c>
      <c r="IF170">
        <f>IF('Planilla_General_29-11-2012_10_'!2560:2560,"AAAAAF2aPu8=",0)</f>
        <v>0</v>
      </c>
      <c r="IG170" t="e">
        <f>AND('Planilla_General_29-11-2012_10_'!A2560,"AAAAAF2aPvA=")</f>
        <v>#VALUE!</v>
      </c>
      <c r="IH170" t="e">
        <f>AND('Planilla_General_29-11-2012_10_'!B2560,"AAAAAF2aPvE=")</f>
        <v>#VALUE!</v>
      </c>
      <c r="II170" t="e">
        <f>AND('Planilla_General_29-11-2012_10_'!C2560,"AAAAAF2aPvI=")</f>
        <v>#VALUE!</v>
      </c>
      <c r="IJ170" t="e">
        <f>AND('Planilla_General_29-11-2012_10_'!D2560,"AAAAAF2aPvM=")</f>
        <v>#VALUE!</v>
      </c>
      <c r="IK170" t="e">
        <f>AND('Planilla_General_29-11-2012_10_'!E2560,"AAAAAF2aPvQ=")</f>
        <v>#VALUE!</v>
      </c>
      <c r="IL170" t="e">
        <f>AND('Planilla_General_29-11-2012_10_'!F2560,"AAAAAF2aPvU=")</f>
        <v>#VALUE!</v>
      </c>
      <c r="IM170" t="e">
        <f>AND('Planilla_General_29-11-2012_10_'!G2560,"AAAAAF2aPvY=")</f>
        <v>#VALUE!</v>
      </c>
      <c r="IN170" t="e">
        <f>AND('Planilla_General_29-11-2012_10_'!H2560,"AAAAAF2aPvc=")</f>
        <v>#VALUE!</v>
      </c>
      <c r="IO170" t="e">
        <f>AND('Planilla_General_29-11-2012_10_'!I2560,"AAAAAF2aPvg=")</f>
        <v>#VALUE!</v>
      </c>
      <c r="IP170" t="e">
        <f>AND('Planilla_General_29-11-2012_10_'!J2560,"AAAAAF2aPvk=")</f>
        <v>#VALUE!</v>
      </c>
      <c r="IQ170" t="e">
        <f>AND('Planilla_General_29-11-2012_10_'!K2560,"AAAAAF2aPvo=")</f>
        <v>#VALUE!</v>
      </c>
      <c r="IR170" t="e">
        <f>AND('Planilla_General_29-11-2012_10_'!L2560,"AAAAAF2aPvs=")</f>
        <v>#VALUE!</v>
      </c>
      <c r="IS170" t="e">
        <f>AND('Planilla_General_29-11-2012_10_'!M2560,"AAAAAF2aPvw=")</f>
        <v>#VALUE!</v>
      </c>
      <c r="IT170" t="e">
        <f>AND('Planilla_General_29-11-2012_10_'!N2560,"AAAAAF2aPv0=")</f>
        <v>#VALUE!</v>
      </c>
      <c r="IU170" t="e">
        <f>AND('Planilla_General_29-11-2012_10_'!O2560,"AAAAAF2aPv4=")</f>
        <v>#VALUE!</v>
      </c>
      <c r="IV170" t="e">
        <f>AND('Planilla_General_29-11-2012_10_'!P2560,"AAAAAF2aPv8=")</f>
        <v>#VALUE!</v>
      </c>
    </row>
    <row r="171" spans="1:256" x14ac:dyDescent="0.25">
      <c r="A171" t="e">
        <f>IF('Planilla_General_29-11-2012_10_'!2561:2561,"AAAAAH+XdwA=",0)</f>
        <v>#VALUE!</v>
      </c>
      <c r="B171" t="e">
        <f>AND('Planilla_General_29-11-2012_10_'!A2561,"AAAAAH+XdwE=")</f>
        <v>#VALUE!</v>
      </c>
      <c r="C171" t="e">
        <f>AND('Planilla_General_29-11-2012_10_'!B2561,"AAAAAH+XdwI=")</f>
        <v>#VALUE!</v>
      </c>
      <c r="D171" t="e">
        <f>AND('Planilla_General_29-11-2012_10_'!C2561,"AAAAAH+XdwM=")</f>
        <v>#VALUE!</v>
      </c>
      <c r="E171" t="e">
        <f>AND('Planilla_General_29-11-2012_10_'!D2561,"AAAAAH+XdwQ=")</f>
        <v>#VALUE!</v>
      </c>
      <c r="F171" t="e">
        <f>AND('Planilla_General_29-11-2012_10_'!E2561,"AAAAAH+XdwU=")</f>
        <v>#VALUE!</v>
      </c>
      <c r="G171" t="e">
        <f>AND('Planilla_General_29-11-2012_10_'!F2561,"AAAAAH+XdwY=")</f>
        <v>#VALUE!</v>
      </c>
      <c r="H171" t="e">
        <f>AND('Planilla_General_29-11-2012_10_'!G2561,"AAAAAH+Xdwc=")</f>
        <v>#VALUE!</v>
      </c>
      <c r="I171" t="e">
        <f>AND('Planilla_General_29-11-2012_10_'!H2561,"AAAAAH+Xdwg=")</f>
        <v>#VALUE!</v>
      </c>
      <c r="J171" t="e">
        <f>AND('Planilla_General_29-11-2012_10_'!I2561,"AAAAAH+Xdwk=")</f>
        <v>#VALUE!</v>
      </c>
      <c r="K171" t="e">
        <f>AND('Planilla_General_29-11-2012_10_'!J2561,"AAAAAH+Xdwo=")</f>
        <v>#VALUE!</v>
      </c>
      <c r="L171" t="e">
        <f>AND('Planilla_General_29-11-2012_10_'!K2561,"AAAAAH+Xdws=")</f>
        <v>#VALUE!</v>
      </c>
      <c r="M171" t="e">
        <f>AND('Planilla_General_29-11-2012_10_'!L2561,"AAAAAH+Xdww=")</f>
        <v>#VALUE!</v>
      </c>
      <c r="N171" t="e">
        <f>AND('Planilla_General_29-11-2012_10_'!M2561,"AAAAAH+Xdw0=")</f>
        <v>#VALUE!</v>
      </c>
      <c r="O171" t="e">
        <f>AND('Planilla_General_29-11-2012_10_'!N2561,"AAAAAH+Xdw4=")</f>
        <v>#VALUE!</v>
      </c>
      <c r="P171" t="e">
        <f>AND('Planilla_General_29-11-2012_10_'!O2561,"AAAAAH+Xdw8=")</f>
        <v>#VALUE!</v>
      </c>
      <c r="Q171" t="e">
        <f>AND('Planilla_General_29-11-2012_10_'!P2561,"AAAAAH+XdxA=")</f>
        <v>#VALUE!</v>
      </c>
      <c r="R171">
        <f>IF('Planilla_General_29-11-2012_10_'!2562:2562,"AAAAAH+XdxE=",0)</f>
        <v>0</v>
      </c>
      <c r="S171" t="e">
        <f>AND('Planilla_General_29-11-2012_10_'!A2562,"AAAAAH+XdxI=")</f>
        <v>#VALUE!</v>
      </c>
      <c r="T171" t="e">
        <f>AND('Planilla_General_29-11-2012_10_'!B2562,"AAAAAH+XdxM=")</f>
        <v>#VALUE!</v>
      </c>
      <c r="U171" t="e">
        <f>AND('Planilla_General_29-11-2012_10_'!C2562,"AAAAAH+XdxQ=")</f>
        <v>#VALUE!</v>
      </c>
      <c r="V171" t="e">
        <f>AND('Planilla_General_29-11-2012_10_'!D2562,"AAAAAH+XdxU=")</f>
        <v>#VALUE!</v>
      </c>
      <c r="W171" t="e">
        <f>AND('Planilla_General_29-11-2012_10_'!E2562,"AAAAAH+XdxY=")</f>
        <v>#VALUE!</v>
      </c>
      <c r="X171" t="e">
        <f>AND('Planilla_General_29-11-2012_10_'!F2562,"AAAAAH+Xdxc=")</f>
        <v>#VALUE!</v>
      </c>
      <c r="Y171" t="e">
        <f>AND('Planilla_General_29-11-2012_10_'!G2562,"AAAAAH+Xdxg=")</f>
        <v>#VALUE!</v>
      </c>
      <c r="Z171" t="e">
        <f>AND('Planilla_General_29-11-2012_10_'!H2562,"AAAAAH+Xdxk=")</f>
        <v>#VALUE!</v>
      </c>
      <c r="AA171" t="e">
        <f>AND('Planilla_General_29-11-2012_10_'!I2562,"AAAAAH+Xdxo=")</f>
        <v>#VALUE!</v>
      </c>
      <c r="AB171" t="e">
        <f>AND('Planilla_General_29-11-2012_10_'!J2562,"AAAAAH+Xdxs=")</f>
        <v>#VALUE!</v>
      </c>
      <c r="AC171" t="e">
        <f>AND('Planilla_General_29-11-2012_10_'!K2562,"AAAAAH+Xdxw=")</f>
        <v>#VALUE!</v>
      </c>
      <c r="AD171" t="e">
        <f>AND('Planilla_General_29-11-2012_10_'!L2562,"AAAAAH+Xdx0=")</f>
        <v>#VALUE!</v>
      </c>
      <c r="AE171" t="e">
        <f>AND('Planilla_General_29-11-2012_10_'!M2562,"AAAAAH+Xdx4=")</f>
        <v>#VALUE!</v>
      </c>
      <c r="AF171" t="e">
        <f>AND('Planilla_General_29-11-2012_10_'!N2562,"AAAAAH+Xdx8=")</f>
        <v>#VALUE!</v>
      </c>
      <c r="AG171" t="e">
        <f>AND('Planilla_General_29-11-2012_10_'!O2562,"AAAAAH+XdyA=")</f>
        <v>#VALUE!</v>
      </c>
      <c r="AH171" t="e">
        <f>AND('Planilla_General_29-11-2012_10_'!P2562,"AAAAAH+XdyE=")</f>
        <v>#VALUE!</v>
      </c>
      <c r="AI171">
        <f>IF('Planilla_General_29-11-2012_10_'!2563:2563,"AAAAAH+XdyI=",0)</f>
        <v>0</v>
      </c>
      <c r="AJ171" t="e">
        <f>AND('Planilla_General_29-11-2012_10_'!A2563,"AAAAAH+XdyM=")</f>
        <v>#VALUE!</v>
      </c>
      <c r="AK171" t="e">
        <f>AND('Planilla_General_29-11-2012_10_'!B2563,"AAAAAH+XdyQ=")</f>
        <v>#VALUE!</v>
      </c>
      <c r="AL171" t="e">
        <f>AND('Planilla_General_29-11-2012_10_'!C2563,"AAAAAH+XdyU=")</f>
        <v>#VALUE!</v>
      </c>
      <c r="AM171" t="e">
        <f>AND('Planilla_General_29-11-2012_10_'!D2563,"AAAAAH+XdyY=")</f>
        <v>#VALUE!</v>
      </c>
      <c r="AN171" t="e">
        <f>AND('Planilla_General_29-11-2012_10_'!E2563,"AAAAAH+Xdyc=")</f>
        <v>#VALUE!</v>
      </c>
      <c r="AO171" t="e">
        <f>AND('Planilla_General_29-11-2012_10_'!F2563,"AAAAAH+Xdyg=")</f>
        <v>#VALUE!</v>
      </c>
      <c r="AP171" t="e">
        <f>AND('Planilla_General_29-11-2012_10_'!G2563,"AAAAAH+Xdyk=")</f>
        <v>#VALUE!</v>
      </c>
      <c r="AQ171" t="e">
        <f>AND('Planilla_General_29-11-2012_10_'!H2563,"AAAAAH+Xdyo=")</f>
        <v>#VALUE!</v>
      </c>
      <c r="AR171" t="e">
        <f>AND('Planilla_General_29-11-2012_10_'!I2563,"AAAAAH+Xdys=")</f>
        <v>#VALUE!</v>
      </c>
      <c r="AS171" t="e">
        <f>AND('Planilla_General_29-11-2012_10_'!J2563,"AAAAAH+Xdyw=")</f>
        <v>#VALUE!</v>
      </c>
      <c r="AT171" t="e">
        <f>AND('Planilla_General_29-11-2012_10_'!K2563,"AAAAAH+Xdy0=")</f>
        <v>#VALUE!</v>
      </c>
      <c r="AU171" t="e">
        <f>AND('Planilla_General_29-11-2012_10_'!L2563,"AAAAAH+Xdy4=")</f>
        <v>#VALUE!</v>
      </c>
      <c r="AV171" t="e">
        <f>AND('Planilla_General_29-11-2012_10_'!M2563,"AAAAAH+Xdy8=")</f>
        <v>#VALUE!</v>
      </c>
      <c r="AW171" t="e">
        <f>AND('Planilla_General_29-11-2012_10_'!N2563,"AAAAAH+XdzA=")</f>
        <v>#VALUE!</v>
      </c>
      <c r="AX171" t="e">
        <f>AND('Planilla_General_29-11-2012_10_'!O2563,"AAAAAH+XdzE=")</f>
        <v>#VALUE!</v>
      </c>
      <c r="AY171" t="e">
        <f>AND('Planilla_General_29-11-2012_10_'!P2563,"AAAAAH+XdzI=")</f>
        <v>#VALUE!</v>
      </c>
      <c r="AZ171">
        <f>IF('Planilla_General_29-11-2012_10_'!2564:2564,"AAAAAH+XdzM=",0)</f>
        <v>0</v>
      </c>
      <c r="BA171" t="e">
        <f>AND('Planilla_General_29-11-2012_10_'!A2564,"AAAAAH+XdzQ=")</f>
        <v>#VALUE!</v>
      </c>
      <c r="BB171" t="e">
        <f>AND('Planilla_General_29-11-2012_10_'!B2564,"AAAAAH+XdzU=")</f>
        <v>#VALUE!</v>
      </c>
      <c r="BC171" t="e">
        <f>AND('Planilla_General_29-11-2012_10_'!C2564,"AAAAAH+XdzY=")</f>
        <v>#VALUE!</v>
      </c>
      <c r="BD171" t="e">
        <f>AND('Planilla_General_29-11-2012_10_'!D2564,"AAAAAH+Xdzc=")</f>
        <v>#VALUE!</v>
      </c>
      <c r="BE171" t="e">
        <f>AND('Planilla_General_29-11-2012_10_'!E2564,"AAAAAH+Xdzg=")</f>
        <v>#VALUE!</v>
      </c>
      <c r="BF171" t="e">
        <f>AND('Planilla_General_29-11-2012_10_'!F2564,"AAAAAH+Xdzk=")</f>
        <v>#VALUE!</v>
      </c>
      <c r="BG171" t="e">
        <f>AND('Planilla_General_29-11-2012_10_'!G2564,"AAAAAH+Xdzo=")</f>
        <v>#VALUE!</v>
      </c>
      <c r="BH171" t="e">
        <f>AND('Planilla_General_29-11-2012_10_'!H2564,"AAAAAH+Xdzs=")</f>
        <v>#VALUE!</v>
      </c>
      <c r="BI171" t="e">
        <f>AND('Planilla_General_29-11-2012_10_'!I2564,"AAAAAH+Xdzw=")</f>
        <v>#VALUE!</v>
      </c>
      <c r="BJ171" t="e">
        <f>AND('Planilla_General_29-11-2012_10_'!J2564,"AAAAAH+Xdz0=")</f>
        <v>#VALUE!</v>
      </c>
      <c r="BK171" t="e">
        <f>AND('Planilla_General_29-11-2012_10_'!K2564,"AAAAAH+Xdz4=")</f>
        <v>#VALUE!</v>
      </c>
      <c r="BL171" t="e">
        <f>AND('Planilla_General_29-11-2012_10_'!L2564,"AAAAAH+Xdz8=")</f>
        <v>#VALUE!</v>
      </c>
      <c r="BM171" t="e">
        <f>AND('Planilla_General_29-11-2012_10_'!M2564,"AAAAAH+Xd0A=")</f>
        <v>#VALUE!</v>
      </c>
      <c r="BN171" t="e">
        <f>AND('Planilla_General_29-11-2012_10_'!N2564,"AAAAAH+Xd0E=")</f>
        <v>#VALUE!</v>
      </c>
      <c r="BO171" t="e">
        <f>AND('Planilla_General_29-11-2012_10_'!O2564,"AAAAAH+Xd0I=")</f>
        <v>#VALUE!</v>
      </c>
      <c r="BP171" t="e">
        <f>AND('Planilla_General_29-11-2012_10_'!P2564,"AAAAAH+Xd0M=")</f>
        <v>#VALUE!</v>
      </c>
      <c r="BQ171">
        <f>IF('Planilla_General_29-11-2012_10_'!2565:2565,"AAAAAH+Xd0Q=",0)</f>
        <v>0</v>
      </c>
      <c r="BR171" t="e">
        <f>AND('Planilla_General_29-11-2012_10_'!A2565,"AAAAAH+Xd0U=")</f>
        <v>#VALUE!</v>
      </c>
      <c r="BS171" t="e">
        <f>AND('Planilla_General_29-11-2012_10_'!B2565,"AAAAAH+Xd0Y=")</f>
        <v>#VALUE!</v>
      </c>
      <c r="BT171" t="e">
        <f>AND('Planilla_General_29-11-2012_10_'!C2565,"AAAAAH+Xd0c=")</f>
        <v>#VALUE!</v>
      </c>
      <c r="BU171" t="e">
        <f>AND('Planilla_General_29-11-2012_10_'!D2565,"AAAAAH+Xd0g=")</f>
        <v>#VALUE!</v>
      </c>
      <c r="BV171" t="e">
        <f>AND('Planilla_General_29-11-2012_10_'!E2565,"AAAAAH+Xd0k=")</f>
        <v>#VALUE!</v>
      </c>
      <c r="BW171" t="e">
        <f>AND('Planilla_General_29-11-2012_10_'!F2565,"AAAAAH+Xd0o=")</f>
        <v>#VALUE!</v>
      </c>
      <c r="BX171" t="e">
        <f>AND('Planilla_General_29-11-2012_10_'!G2565,"AAAAAH+Xd0s=")</f>
        <v>#VALUE!</v>
      </c>
      <c r="BY171" t="e">
        <f>AND('Planilla_General_29-11-2012_10_'!H2565,"AAAAAH+Xd0w=")</f>
        <v>#VALUE!</v>
      </c>
      <c r="BZ171" t="e">
        <f>AND('Planilla_General_29-11-2012_10_'!I2565,"AAAAAH+Xd00=")</f>
        <v>#VALUE!</v>
      </c>
      <c r="CA171" t="e">
        <f>AND('Planilla_General_29-11-2012_10_'!J2565,"AAAAAH+Xd04=")</f>
        <v>#VALUE!</v>
      </c>
      <c r="CB171" t="e">
        <f>AND('Planilla_General_29-11-2012_10_'!K2565,"AAAAAH+Xd08=")</f>
        <v>#VALUE!</v>
      </c>
      <c r="CC171" t="e">
        <f>AND('Planilla_General_29-11-2012_10_'!L2565,"AAAAAH+Xd1A=")</f>
        <v>#VALUE!</v>
      </c>
      <c r="CD171" t="e">
        <f>AND('Planilla_General_29-11-2012_10_'!M2565,"AAAAAH+Xd1E=")</f>
        <v>#VALUE!</v>
      </c>
      <c r="CE171" t="e">
        <f>AND('Planilla_General_29-11-2012_10_'!N2565,"AAAAAH+Xd1I=")</f>
        <v>#VALUE!</v>
      </c>
      <c r="CF171" t="e">
        <f>AND('Planilla_General_29-11-2012_10_'!O2565,"AAAAAH+Xd1M=")</f>
        <v>#VALUE!</v>
      </c>
      <c r="CG171" t="e">
        <f>AND('Planilla_General_29-11-2012_10_'!P2565,"AAAAAH+Xd1Q=")</f>
        <v>#VALUE!</v>
      </c>
      <c r="CH171">
        <f>IF('Planilla_General_29-11-2012_10_'!2566:2566,"AAAAAH+Xd1U=",0)</f>
        <v>0</v>
      </c>
      <c r="CI171" t="e">
        <f>AND('Planilla_General_29-11-2012_10_'!A2566,"AAAAAH+Xd1Y=")</f>
        <v>#VALUE!</v>
      </c>
      <c r="CJ171" t="e">
        <f>AND('Planilla_General_29-11-2012_10_'!B2566,"AAAAAH+Xd1c=")</f>
        <v>#VALUE!</v>
      </c>
      <c r="CK171" t="e">
        <f>AND('Planilla_General_29-11-2012_10_'!C2566,"AAAAAH+Xd1g=")</f>
        <v>#VALUE!</v>
      </c>
      <c r="CL171" t="e">
        <f>AND('Planilla_General_29-11-2012_10_'!D2566,"AAAAAH+Xd1k=")</f>
        <v>#VALUE!</v>
      </c>
      <c r="CM171" t="e">
        <f>AND('Planilla_General_29-11-2012_10_'!E2566,"AAAAAH+Xd1o=")</f>
        <v>#VALUE!</v>
      </c>
      <c r="CN171" t="e">
        <f>AND('Planilla_General_29-11-2012_10_'!F2566,"AAAAAH+Xd1s=")</f>
        <v>#VALUE!</v>
      </c>
      <c r="CO171" t="e">
        <f>AND('Planilla_General_29-11-2012_10_'!G2566,"AAAAAH+Xd1w=")</f>
        <v>#VALUE!</v>
      </c>
      <c r="CP171" t="e">
        <f>AND('Planilla_General_29-11-2012_10_'!H2566,"AAAAAH+Xd10=")</f>
        <v>#VALUE!</v>
      </c>
      <c r="CQ171" t="e">
        <f>AND('Planilla_General_29-11-2012_10_'!I2566,"AAAAAH+Xd14=")</f>
        <v>#VALUE!</v>
      </c>
      <c r="CR171" t="e">
        <f>AND('Planilla_General_29-11-2012_10_'!J2566,"AAAAAH+Xd18=")</f>
        <v>#VALUE!</v>
      </c>
      <c r="CS171" t="e">
        <f>AND('Planilla_General_29-11-2012_10_'!K2566,"AAAAAH+Xd2A=")</f>
        <v>#VALUE!</v>
      </c>
      <c r="CT171" t="e">
        <f>AND('Planilla_General_29-11-2012_10_'!L2566,"AAAAAH+Xd2E=")</f>
        <v>#VALUE!</v>
      </c>
      <c r="CU171" t="e">
        <f>AND('Planilla_General_29-11-2012_10_'!M2566,"AAAAAH+Xd2I=")</f>
        <v>#VALUE!</v>
      </c>
      <c r="CV171" t="e">
        <f>AND('Planilla_General_29-11-2012_10_'!N2566,"AAAAAH+Xd2M=")</f>
        <v>#VALUE!</v>
      </c>
      <c r="CW171" t="e">
        <f>AND('Planilla_General_29-11-2012_10_'!O2566,"AAAAAH+Xd2Q=")</f>
        <v>#VALUE!</v>
      </c>
      <c r="CX171" t="e">
        <f>AND('Planilla_General_29-11-2012_10_'!P2566,"AAAAAH+Xd2U=")</f>
        <v>#VALUE!</v>
      </c>
      <c r="CY171">
        <f>IF('Planilla_General_29-11-2012_10_'!2567:2567,"AAAAAH+Xd2Y=",0)</f>
        <v>0</v>
      </c>
      <c r="CZ171" t="e">
        <f>AND('Planilla_General_29-11-2012_10_'!A2567,"AAAAAH+Xd2c=")</f>
        <v>#VALUE!</v>
      </c>
      <c r="DA171" t="e">
        <f>AND('Planilla_General_29-11-2012_10_'!B2567,"AAAAAH+Xd2g=")</f>
        <v>#VALUE!</v>
      </c>
      <c r="DB171" t="e">
        <f>AND('Planilla_General_29-11-2012_10_'!C2567,"AAAAAH+Xd2k=")</f>
        <v>#VALUE!</v>
      </c>
      <c r="DC171" t="e">
        <f>AND('Planilla_General_29-11-2012_10_'!D2567,"AAAAAH+Xd2o=")</f>
        <v>#VALUE!</v>
      </c>
      <c r="DD171" t="e">
        <f>AND('Planilla_General_29-11-2012_10_'!E2567,"AAAAAH+Xd2s=")</f>
        <v>#VALUE!</v>
      </c>
      <c r="DE171" t="e">
        <f>AND('Planilla_General_29-11-2012_10_'!F2567,"AAAAAH+Xd2w=")</f>
        <v>#VALUE!</v>
      </c>
      <c r="DF171" t="e">
        <f>AND('Planilla_General_29-11-2012_10_'!G2567,"AAAAAH+Xd20=")</f>
        <v>#VALUE!</v>
      </c>
      <c r="DG171" t="e">
        <f>AND('Planilla_General_29-11-2012_10_'!H2567,"AAAAAH+Xd24=")</f>
        <v>#VALUE!</v>
      </c>
      <c r="DH171" t="e">
        <f>AND('Planilla_General_29-11-2012_10_'!I2567,"AAAAAH+Xd28=")</f>
        <v>#VALUE!</v>
      </c>
      <c r="DI171" t="e">
        <f>AND('Planilla_General_29-11-2012_10_'!J2567,"AAAAAH+Xd3A=")</f>
        <v>#VALUE!</v>
      </c>
      <c r="DJ171" t="e">
        <f>AND('Planilla_General_29-11-2012_10_'!K2567,"AAAAAH+Xd3E=")</f>
        <v>#VALUE!</v>
      </c>
      <c r="DK171" t="e">
        <f>AND('Planilla_General_29-11-2012_10_'!L2567,"AAAAAH+Xd3I=")</f>
        <v>#VALUE!</v>
      </c>
      <c r="DL171" t="e">
        <f>AND('Planilla_General_29-11-2012_10_'!M2567,"AAAAAH+Xd3M=")</f>
        <v>#VALUE!</v>
      </c>
      <c r="DM171" t="e">
        <f>AND('Planilla_General_29-11-2012_10_'!N2567,"AAAAAH+Xd3Q=")</f>
        <v>#VALUE!</v>
      </c>
      <c r="DN171" t="e">
        <f>AND('Planilla_General_29-11-2012_10_'!O2567,"AAAAAH+Xd3U=")</f>
        <v>#VALUE!</v>
      </c>
      <c r="DO171" t="e">
        <f>AND('Planilla_General_29-11-2012_10_'!P2567,"AAAAAH+Xd3Y=")</f>
        <v>#VALUE!</v>
      </c>
      <c r="DP171">
        <f>IF('Planilla_General_29-11-2012_10_'!2568:2568,"AAAAAH+Xd3c=",0)</f>
        <v>0</v>
      </c>
      <c r="DQ171" t="e">
        <f>AND('Planilla_General_29-11-2012_10_'!A2568,"AAAAAH+Xd3g=")</f>
        <v>#VALUE!</v>
      </c>
      <c r="DR171" t="e">
        <f>AND('Planilla_General_29-11-2012_10_'!B2568,"AAAAAH+Xd3k=")</f>
        <v>#VALUE!</v>
      </c>
      <c r="DS171" t="e">
        <f>AND('Planilla_General_29-11-2012_10_'!C2568,"AAAAAH+Xd3o=")</f>
        <v>#VALUE!</v>
      </c>
      <c r="DT171" t="e">
        <f>AND('Planilla_General_29-11-2012_10_'!D2568,"AAAAAH+Xd3s=")</f>
        <v>#VALUE!</v>
      </c>
      <c r="DU171" t="e">
        <f>AND('Planilla_General_29-11-2012_10_'!E2568,"AAAAAH+Xd3w=")</f>
        <v>#VALUE!</v>
      </c>
      <c r="DV171" t="e">
        <f>AND('Planilla_General_29-11-2012_10_'!F2568,"AAAAAH+Xd30=")</f>
        <v>#VALUE!</v>
      </c>
      <c r="DW171" t="e">
        <f>AND('Planilla_General_29-11-2012_10_'!G2568,"AAAAAH+Xd34=")</f>
        <v>#VALUE!</v>
      </c>
      <c r="DX171" t="e">
        <f>AND('Planilla_General_29-11-2012_10_'!H2568,"AAAAAH+Xd38=")</f>
        <v>#VALUE!</v>
      </c>
      <c r="DY171" t="e">
        <f>AND('Planilla_General_29-11-2012_10_'!I2568,"AAAAAH+Xd4A=")</f>
        <v>#VALUE!</v>
      </c>
      <c r="DZ171" t="e">
        <f>AND('Planilla_General_29-11-2012_10_'!J2568,"AAAAAH+Xd4E=")</f>
        <v>#VALUE!</v>
      </c>
      <c r="EA171" t="e">
        <f>AND('Planilla_General_29-11-2012_10_'!K2568,"AAAAAH+Xd4I=")</f>
        <v>#VALUE!</v>
      </c>
      <c r="EB171" t="e">
        <f>AND('Planilla_General_29-11-2012_10_'!L2568,"AAAAAH+Xd4M=")</f>
        <v>#VALUE!</v>
      </c>
      <c r="EC171" t="e">
        <f>AND('Planilla_General_29-11-2012_10_'!M2568,"AAAAAH+Xd4Q=")</f>
        <v>#VALUE!</v>
      </c>
      <c r="ED171" t="e">
        <f>AND('Planilla_General_29-11-2012_10_'!N2568,"AAAAAH+Xd4U=")</f>
        <v>#VALUE!</v>
      </c>
      <c r="EE171" t="e">
        <f>AND('Planilla_General_29-11-2012_10_'!O2568,"AAAAAH+Xd4Y=")</f>
        <v>#VALUE!</v>
      </c>
      <c r="EF171" t="e">
        <f>AND('Planilla_General_29-11-2012_10_'!P2568,"AAAAAH+Xd4c=")</f>
        <v>#VALUE!</v>
      </c>
      <c r="EG171">
        <f>IF('Planilla_General_29-11-2012_10_'!2569:2569,"AAAAAH+Xd4g=",0)</f>
        <v>0</v>
      </c>
      <c r="EH171" t="e">
        <f>AND('Planilla_General_29-11-2012_10_'!A2569,"AAAAAH+Xd4k=")</f>
        <v>#VALUE!</v>
      </c>
      <c r="EI171" t="e">
        <f>AND('Planilla_General_29-11-2012_10_'!B2569,"AAAAAH+Xd4o=")</f>
        <v>#VALUE!</v>
      </c>
      <c r="EJ171" t="e">
        <f>AND('Planilla_General_29-11-2012_10_'!C2569,"AAAAAH+Xd4s=")</f>
        <v>#VALUE!</v>
      </c>
      <c r="EK171" t="e">
        <f>AND('Planilla_General_29-11-2012_10_'!D2569,"AAAAAH+Xd4w=")</f>
        <v>#VALUE!</v>
      </c>
      <c r="EL171" t="e">
        <f>AND('Planilla_General_29-11-2012_10_'!E2569,"AAAAAH+Xd40=")</f>
        <v>#VALUE!</v>
      </c>
      <c r="EM171" t="e">
        <f>AND('Planilla_General_29-11-2012_10_'!F2569,"AAAAAH+Xd44=")</f>
        <v>#VALUE!</v>
      </c>
      <c r="EN171" t="e">
        <f>AND('Planilla_General_29-11-2012_10_'!G2569,"AAAAAH+Xd48=")</f>
        <v>#VALUE!</v>
      </c>
      <c r="EO171" t="e">
        <f>AND('Planilla_General_29-11-2012_10_'!H2569,"AAAAAH+Xd5A=")</f>
        <v>#VALUE!</v>
      </c>
      <c r="EP171" t="e">
        <f>AND('Planilla_General_29-11-2012_10_'!I2569,"AAAAAH+Xd5E=")</f>
        <v>#VALUE!</v>
      </c>
      <c r="EQ171" t="e">
        <f>AND('Planilla_General_29-11-2012_10_'!J2569,"AAAAAH+Xd5I=")</f>
        <v>#VALUE!</v>
      </c>
      <c r="ER171" t="e">
        <f>AND('Planilla_General_29-11-2012_10_'!K2569,"AAAAAH+Xd5M=")</f>
        <v>#VALUE!</v>
      </c>
      <c r="ES171" t="e">
        <f>AND('Planilla_General_29-11-2012_10_'!L2569,"AAAAAH+Xd5Q=")</f>
        <v>#VALUE!</v>
      </c>
      <c r="ET171" t="e">
        <f>AND('Planilla_General_29-11-2012_10_'!M2569,"AAAAAH+Xd5U=")</f>
        <v>#VALUE!</v>
      </c>
      <c r="EU171" t="e">
        <f>AND('Planilla_General_29-11-2012_10_'!N2569,"AAAAAH+Xd5Y=")</f>
        <v>#VALUE!</v>
      </c>
      <c r="EV171" t="e">
        <f>AND('Planilla_General_29-11-2012_10_'!O2569,"AAAAAH+Xd5c=")</f>
        <v>#VALUE!</v>
      </c>
      <c r="EW171" t="e">
        <f>AND('Planilla_General_29-11-2012_10_'!P2569,"AAAAAH+Xd5g=")</f>
        <v>#VALUE!</v>
      </c>
      <c r="EX171">
        <f>IF('Planilla_General_29-11-2012_10_'!2570:2570,"AAAAAH+Xd5k=",0)</f>
        <v>0</v>
      </c>
      <c r="EY171" t="e">
        <f>AND('Planilla_General_29-11-2012_10_'!A2570,"AAAAAH+Xd5o=")</f>
        <v>#VALUE!</v>
      </c>
      <c r="EZ171" t="e">
        <f>AND('Planilla_General_29-11-2012_10_'!B2570,"AAAAAH+Xd5s=")</f>
        <v>#VALUE!</v>
      </c>
      <c r="FA171" t="e">
        <f>AND('Planilla_General_29-11-2012_10_'!C2570,"AAAAAH+Xd5w=")</f>
        <v>#VALUE!</v>
      </c>
      <c r="FB171" t="e">
        <f>AND('Planilla_General_29-11-2012_10_'!D2570,"AAAAAH+Xd50=")</f>
        <v>#VALUE!</v>
      </c>
      <c r="FC171" t="e">
        <f>AND('Planilla_General_29-11-2012_10_'!E2570,"AAAAAH+Xd54=")</f>
        <v>#VALUE!</v>
      </c>
      <c r="FD171" t="e">
        <f>AND('Planilla_General_29-11-2012_10_'!F2570,"AAAAAH+Xd58=")</f>
        <v>#VALUE!</v>
      </c>
      <c r="FE171" t="e">
        <f>AND('Planilla_General_29-11-2012_10_'!G2570,"AAAAAH+Xd6A=")</f>
        <v>#VALUE!</v>
      </c>
      <c r="FF171" t="e">
        <f>AND('Planilla_General_29-11-2012_10_'!H2570,"AAAAAH+Xd6E=")</f>
        <v>#VALUE!</v>
      </c>
      <c r="FG171" t="e">
        <f>AND('Planilla_General_29-11-2012_10_'!I2570,"AAAAAH+Xd6I=")</f>
        <v>#VALUE!</v>
      </c>
      <c r="FH171" t="e">
        <f>AND('Planilla_General_29-11-2012_10_'!J2570,"AAAAAH+Xd6M=")</f>
        <v>#VALUE!</v>
      </c>
      <c r="FI171" t="e">
        <f>AND('Planilla_General_29-11-2012_10_'!K2570,"AAAAAH+Xd6Q=")</f>
        <v>#VALUE!</v>
      </c>
      <c r="FJ171" t="e">
        <f>AND('Planilla_General_29-11-2012_10_'!L2570,"AAAAAH+Xd6U=")</f>
        <v>#VALUE!</v>
      </c>
      <c r="FK171" t="e">
        <f>AND('Planilla_General_29-11-2012_10_'!M2570,"AAAAAH+Xd6Y=")</f>
        <v>#VALUE!</v>
      </c>
      <c r="FL171" t="e">
        <f>AND('Planilla_General_29-11-2012_10_'!N2570,"AAAAAH+Xd6c=")</f>
        <v>#VALUE!</v>
      </c>
      <c r="FM171" t="e">
        <f>AND('Planilla_General_29-11-2012_10_'!O2570,"AAAAAH+Xd6g=")</f>
        <v>#VALUE!</v>
      </c>
      <c r="FN171" t="e">
        <f>AND('Planilla_General_29-11-2012_10_'!P2570,"AAAAAH+Xd6k=")</f>
        <v>#VALUE!</v>
      </c>
      <c r="FO171">
        <f>IF('Planilla_General_29-11-2012_10_'!2571:2571,"AAAAAH+Xd6o=",0)</f>
        <v>0</v>
      </c>
      <c r="FP171" t="e">
        <f>AND('Planilla_General_29-11-2012_10_'!A2571,"AAAAAH+Xd6s=")</f>
        <v>#VALUE!</v>
      </c>
      <c r="FQ171" t="e">
        <f>AND('Planilla_General_29-11-2012_10_'!B2571,"AAAAAH+Xd6w=")</f>
        <v>#VALUE!</v>
      </c>
      <c r="FR171" t="e">
        <f>AND('Planilla_General_29-11-2012_10_'!C2571,"AAAAAH+Xd60=")</f>
        <v>#VALUE!</v>
      </c>
      <c r="FS171" t="e">
        <f>AND('Planilla_General_29-11-2012_10_'!D2571,"AAAAAH+Xd64=")</f>
        <v>#VALUE!</v>
      </c>
      <c r="FT171" t="e">
        <f>AND('Planilla_General_29-11-2012_10_'!E2571,"AAAAAH+Xd68=")</f>
        <v>#VALUE!</v>
      </c>
      <c r="FU171" t="e">
        <f>AND('Planilla_General_29-11-2012_10_'!F2571,"AAAAAH+Xd7A=")</f>
        <v>#VALUE!</v>
      </c>
      <c r="FV171" t="e">
        <f>AND('Planilla_General_29-11-2012_10_'!G2571,"AAAAAH+Xd7E=")</f>
        <v>#VALUE!</v>
      </c>
      <c r="FW171" t="e">
        <f>AND('Planilla_General_29-11-2012_10_'!H2571,"AAAAAH+Xd7I=")</f>
        <v>#VALUE!</v>
      </c>
      <c r="FX171" t="e">
        <f>AND('Planilla_General_29-11-2012_10_'!I2571,"AAAAAH+Xd7M=")</f>
        <v>#VALUE!</v>
      </c>
      <c r="FY171" t="e">
        <f>AND('Planilla_General_29-11-2012_10_'!J2571,"AAAAAH+Xd7Q=")</f>
        <v>#VALUE!</v>
      </c>
      <c r="FZ171" t="e">
        <f>AND('Planilla_General_29-11-2012_10_'!K2571,"AAAAAH+Xd7U=")</f>
        <v>#VALUE!</v>
      </c>
      <c r="GA171" t="e">
        <f>AND('Planilla_General_29-11-2012_10_'!L2571,"AAAAAH+Xd7Y=")</f>
        <v>#VALUE!</v>
      </c>
      <c r="GB171" t="e">
        <f>AND('Planilla_General_29-11-2012_10_'!M2571,"AAAAAH+Xd7c=")</f>
        <v>#VALUE!</v>
      </c>
      <c r="GC171" t="e">
        <f>AND('Planilla_General_29-11-2012_10_'!N2571,"AAAAAH+Xd7g=")</f>
        <v>#VALUE!</v>
      </c>
      <c r="GD171" t="e">
        <f>AND('Planilla_General_29-11-2012_10_'!O2571,"AAAAAH+Xd7k=")</f>
        <v>#VALUE!</v>
      </c>
      <c r="GE171" t="e">
        <f>AND('Planilla_General_29-11-2012_10_'!P2571,"AAAAAH+Xd7o=")</f>
        <v>#VALUE!</v>
      </c>
      <c r="GF171">
        <f>IF('Planilla_General_29-11-2012_10_'!2572:2572,"AAAAAH+Xd7s=",0)</f>
        <v>0</v>
      </c>
      <c r="GG171" t="e">
        <f>AND('Planilla_General_29-11-2012_10_'!A2572,"AAAAAH+Xd7w=")</f>
        <v>#VALUE!</v>
      </c>
      <c r="GH171" t="e">
        <f>AND('Planilla_General_29-11-2012_10_'!B2572,"AAAAAH+Xd70=")</f>
        <v>#VALUE!</v>
      </c>
      <c r="GI171" t="e">
        <f>AND('Planilla_General_29-11-2012_10_'!C2572,"AAAAAH+Xd74=")</f>
        <v>#VALUE!</v>
      </c>
      <c r="GJ171" t="e">
        <f>AND('Planilla_General_29-11-2012_10_'!D2572,"AAAAAH+Xd78=")</f>
        <v>#VALUE!</v>
      </c>
      <c r="GK171" t="e">
        <f>AND('Planilla_General_29-11-2012_10_'!E2572,"AAAAAH+Xd8A=")</f>
        <v>#VALUE!</v>
      </c>
      <c r="GL171" t="e">
        <f>AND('Planilla_General_29-11-2012_10_'!F2572,"AAAAAH+Xd8E=")</f>
        <v>#VALUE!</v>
      </c>
      <c r="GM171" t="e">
        <f>AND('Planilla_General_29-11-2012_10_'!G2572,"AAAAAH+Xd8I=")</f>
        <v>#VALUE!</v>
      </c>
      <c r="GN171" t="e">
        <f>AND('Planilla_General_29-11-2012_10_'!H2572,"AAAAAH+Xd8M=")</f>
        <v>#VALUE!</v>
      </c>
      <c r="GO171" t="e">
        <f>AND('Planilla_General_29-11-2012_10_'!I2572,"AAAAAH+Xd8Q=")</f>
        <v>#VALUE!</v>
      </c>
      <c r="GP171" t="e">
        <f>AND('Planilla_General_29-11-2012_10_'!J2572,"AAAAAH+Xd8U=")</f>
        <v>#VALUE!</v>
      </c>
      <c r="GQ171" t="e">
        <f>AND('Planilla_General_29-11-2012_10_'!K2572,"AAAAAH+Xd8Y=")</f>
        <v>#VALUE!</v>
      </c>
      <c r="GR171" t="e">
        <f>AND('Planilla_General_29-11-2012_10_'!L2572,"AAAAAH+Xd8c=")</f>
        <v>#VALUE!</v>
      </c>
      <c r="GS171" t="e">
        <f>AND('Planilla_General_29-11-2012_10_'!M2572,"AAAAAH+Xd8g=")</f>
        <v>#VALUE!</v>
      </c>
      <c r="GT171" t="e">
        <f>AND('Planilla_General_29-11-2012_10_'!N2572,"AAAAAH+Xd8k=")</f>
        <v>#VALUE!</v>
      </c>
      <c r="GU171" t="e">
        <f>AND('Planilla_General_29-11-2012_10_'!O2572,"AAAAAH+Xd8o=")</f>
        <v>#VALUE!</v>
      </c>
      <c r="GV171" t="e">
        <f>AND('Planilla_General_29-11-2012_10_'!P2572,"AAAAAH+Xd8s=")</f>
        <v>#VALUE!</v>
      </c>
      <c r="GW171">
        <f>IF('Planilla_General_29-11-2012_10_'!2573:2573,"AAAAAH+Xd8w=",0)</f>
        <v>0</v>
      </c>
      <c r="GX171" t="e">
        <f>AND('Planilla_General_29-11-2012_10_'!A2573,"AAAAAH+Xd80=")</f>
        <v>#VALUE!</v>
      </c>
      <c r="GY171" t="e">
        <f>AND('Planilla_General_29-11-2012_10_'!B2573,"AAAAAH+Xd84=")</f>
        <v>#VALUE!</v>
      </c>
      <c r="GZ171" t="e">
        <f>AND('Planilla_General_29-11-2012_10_'!C2573,"AAAAAH+Xd88=")</f>
        <v>#VALUE!</v>
      </c>
      <c r="HA171" t="e">
        <f>AND('Planilla_General_29-11-2012_10_'!D2573,"AAAAAH+Xd9A=")</f>
        <v>#VALUE!</v>
      </c>
      <c r="HB171" t="e">
        <f>AND('Planilla_General_29-11-2012_10_'!E2573,"AAAAAH+Xd9E=")</f>
        <v>#VALUE!</v>
      </c>
      <c r="HC171" t="e">
        <f>AND('Planilla_General_29-11-2012_10_'!F2573,"AAAAAH+Xd9I=")</f>
        <v>#VALUE!</v>
      </c>
      <c r="HD171" t="e">
        <f>AND('Planilla_General_29-11-2012_10_'!G2573,"AAAAAH+Xd9M=")</f>
        <v>#VALUE!</v>
      </c>
      <c r="HE171" t="e">
        <f>AND('Planilla_General_29-11-2012_10_'!H2573,"AAAAAH+Xd9Q=")</f>
        <v>#VALUE!</v>
      </c>
      <c r="HF171" t="e">
        <f>AND('Planilla_General_29-11-2012_10_'!I2573,"AAAAAH+Xd9U=")</f>
        <v>#VALUE!</v>
      </c>
      <c r="HG171" t="e">
        <f>AND('Planilla_General_29-11-2012_10_'!J2573,"AAAAAH+Xd9Y=")</f>
        <v>#VALUE!</v>
      </c>
      <c r="HH171" t="e">
        <f>AND('Planilla_General_29-11-2012_10_'!K2573,"AAAAAH+Xd9c=")</f>
        <v>#VALUE!</v>
      </c>
      <c r="HI171" t="e">
        <f>AND('Planilla_General_29-11-2012_10_'!L2573,"AAAAAH+Xd9g=")</f>
        <v>#VALUE!</v>
      </c>
      <c r="HJ171" t="e">
        <f>AND('Planilla_General_29-11-2012_10_'!M2573,"AAAAAH+Xd9k=")</f>
        <v>#VALUE!</v>
      </c>
      <c r="HK171" t="e">
        <f>AND('Planilla_General_29-11-2012_10_'!N2573,"AAAAAH+Xd9o=")</f>
        <v>#VALUE!</v>
      </c>
      <c r="HL171" t="e">
        <f>AND('Planilla_General_29-11-2012_10_'!O2573,"AAAAAH+Xd9s=")</f>
        <v>#VALUE!</v>
      </c>
      <c r="HM171" t="e">
        <f>AND('Planilla_General_29-11-2012_10_'!P2573,"AAAAAH+Xd9w=")</f>
        <v>#VALUE!</v>
      </c>
      <c r="HN171">
        <f>IF('Planilla_General_29-11-2012_10_'!2574:2574,"AAAAAH+Xd90=",0)</f>
        <v>0</v>
      </c>
      <c r="HO171" t="e">
        <f>AND('Planilla_General_29-11-2012_10_'!A2574,"AAAAAH+Xd94=")</f>
        <v>#VALUE!</v>
      </c>
      <c r="HP171" t="e">
        <f>AND('Planilla_General_29-11-2012_10_'!B2574,"AAAAAH+Xd98=")</f>
        <v>#VALUE!</v>
      </c>
      <c r="HQ171" t="e">
        <f>AND('Planilla_General_29-11-2012_10_'!C2574,"AAAAAH+Xd+A=")</f>
        <v>#VALUE!</v>
      </c>
      <c r="HR171" t="e">
        <f>AND('Planilla_General_29-11-2012_10_'!D2574,"AAAAAH+Xd+E=")</f>
        <v>#VALUE!</v>
      </c>
      <c r="HS171" t="e">
        <f>AND('Planilla_General_29-11-2012_10_'!E2574,"AAAAAH+Xd+I=")</f>
        <v>#VALUE!</v>
      </c>
      <c r="HT171" t="e">
        <f>AND('Planilla_General_29-11-2012_10_'!F2574,"AAAAAH+Xd+M=")</f>
        <v>#VALUE!</v>
      </c>
      <c r="HU171" t="e">
        <f>AND('Planilla_General_29-11-2012_10_'!G2574,"AAAAAH+Xd+Q=")</f>
        <v>#VALUE!</v>
      </c>
      <c r="HV171" t="e">
        <f>AND('Planilla_General_29-11-2012_10_'!H2574,"AAAAAH+Xd+U=")</f>
        <v>#VALUE!</v>
      </c>
      <c r="HW171" t="e">
        <f>AND('Planilla_General_29-11-2012_10_'!I2574,"AAAAAH+Xd+Y=")</f>
        <v>#VALUE!</v>
      </c>
      <c r="HX171" t="e">
        <f>AND('Planilla_General_29-11-2012_10_'!J2574,"AAAAAH+Xd+c=")</f>
        <v>#VALUE!</v>
      </c>
      <c r="HY171" t="e">
        <f>AND('Planilla_General_29-11-2012_10_'!K2574,"AAAAAH+Xd+g=")</f>
        <v>#VALUE!</v>
      </c>
      <c r="HZ171" t="e">
        <f>AND('Planilla_General_29-11-2012_10_'!L2574,"AAAAAH+Xd+k=")</f>
        <v>#VALUE!</v>
      </c>
      <c r="IA171" t="e">
        <f>AND('Planilla_General_29-11-2012_10_'!M2574,"AAAAAH+Xd+o=")</f>
        <v>#VALUE!</v>
      </c>
      <c r="IB171" t="e">
        <f>AND('Planilla_General_29-11-2012_10_'!N2574,"AAAAAH+Xd+s=")</f>
        <v>#VALUE!</v>
      </c>
      <c r="IC171" t="e">
        <f>AND('Planilla_General_29-11-2012_10_'!O2574,"AAAAAH+Xd+w=")</f>
        <v>#VALUE!</v>
      </c>
      <c r="ID171" t="e">
        <f>AND('Planilla_General_29-11-2012_10_'!P2574,"AAAAAH+Xd+0=")</f>
        <v>#VALUE!</v>
      </c>
      <c r="IE171">
        <f>IF('Planilla_General_29-11-2012_10_'!2575:2575,"AAAAAH+Xd+4=",0)</f>
        <v>0</v>
      </c>
      <c r="IF171" t="e">
        <f>AND('Planilla_General_29-11-2012_10_'!A2575,"AAAAAH+Xd+8=")</f>
        <v>#VALUE!</v>
      </c>
      <c r="IG171" t="e">
        <f>AND('Planilla_General_29-11-2012_10_'!B2575,"AAAAAH+Xd/A=")</f>
        <v>#VALUE!</v>
      </c>
      <c r="IH171" t="e">
        <f>AND('Planilla_General_29-11-2012_10_'!C2575,"AAAAAH+Xd/E=")</f>
        <v>#VALUE!</v>
      </c>
      <c r="II171" t="e">
        <f>AND('Planilla_General_29-11-2012_10_'!D2575,"AAAAAH+Xd/I=")</f>
        <v>#VALUE!</v>
      </c>
      <c r="IJ171" t="e">
        <f>AND('Planilla_General_29-11-2012_10_'!E2575,"AAAAAH+Xd/M=")</f>
        <v>#VALUE!</v>
      </c>
      <c r="IK171" t="e">
        <f>AND('Planilla_General_29-11-2012_10_'!F2575,"AAAAAH+Xd/Q=")</f>
        <v>#VALUE!</v>
      </c>
      <c r="IL171" t="e">
        <f>AND('Planilla_General_29-11-2012_10_'!G2575,"AAAAAH+Xd/U=")</f>
        <v>#VALUE!</v>
      </c>
      <c r="IM171" t="e">
        <f>AND('Planilla_General_29-11-2012_10_'!H2575,"AAAAAH+Xd/Y=")</f>
        <v>#VALUE!</v>
      </c>
      <c r="IN171" t="e">
        <f>AND('Planilla_General_29-11-2012_10_'!I2575,"AAAAAH+Xd/c=")</f>
        <v>#VALUE!</v>
      </c>
      <c r="IO171" t="e">
        <f>AND('Planilla_General_29-11-2012_10_'!J2575,"AAAAAH+Xd/g=")</f>
        <v>#VALUE!</v>
      </c>
      <c r="IP171" t="e">
        <f>AND('Planilla_General_29-11-2012_10_'!K2575,"AAAAAH+Xd/k=")</f>
        <v>#VALUE!</v>
      </c>
      <c r="IQ171" t="e">
        <f>AND('Planilla_General_29-11-2012_10_'!L2575,"AAAAAH+Xd/o=")</f>
        <v>#VALUE!</v>
      </c>
      <c r="IR171" t="e">
        <f>AND('Planilla_General_29-11-2012_10_'!M2575,"AAAAAH+Xd/s=")</f>
        <v>#VALUE!</v>
      </c>
      <c r="IS171" t="e">
        <f>AND('Planilla_General_29-11-2012_10_'!N2575,"AAAAAH+Xd/w=")</f>
        <v>#VALUE!</v>
      </c>
      <c r="IT171" t="e">
        <f>AND('Planilla_General_29-11-2012_10_'!O2575,"AAAAAH+Xd/0=")</f>
        <v>#VALUE!</v>
      </c>
      <c r="IU171" t="e">
        <f>AND('Planilla_General_29-11-2012_10_'!P2575,"AAAAAH+Xd/4=")</f>
        <v>#VALUE!</v>
      </c>
      <c r="IV171">
        <f>IF('Planilla_General_29-11-2012_10_'!2576:2576,"AAAAAH+Xd/8=",0)</f>
        <v>0</v>
      </c>
    </row>
    <row r="172" spans="1:256" x14ac:dyDescent="0.25">
      <c r="A172" t="e">
        <f>AND('Planilla_General_29-11-2012_10_'!A2576,"AAAAACkYYwA=")</f>
        <v>#VALUE!</v>
      </c>
      <c r="B172" t="e">
        <f>AND('Planilla_General_29-11-2012_10_'!B2576,"AAAAACkYYwE=")</f>
        <v>#VALUE!</v>
      </c>
      <c r="C172" t="e">
        <f>AND('Planilla_General_29-11-2012_10_'!C2576,"AAAAACkYYwI=")</f>
        <v>#VALUE!</v>
      </c>
      <c r="D172" t="e">
        <f>AND('Planilla_General_29-11-2012_10_'!D2576,"AAAAACkYYwM=")</f>
        <v>#VALUE!</v>
      </c>
      <c r="E172" t="e">
        <f>AND('Planilla_General_29-11-2012_10_'!E2576,"AAAAACkYYwQ=")</f>
        <v>#VALUE!</v>
      </c>
      <c r="F172" t="e">
        <f>AND('Planilla_General_29-11-2012_10_'!F2576,"AAAAACkYYwU=")</f>
        <v>#VALUE!</v>
      </c>
      <c r="G172" t="e">
        <f>AND('Planilla_General_29-11-2012_10_'!G2576,"AAAAACkYYwY=")</f>
        <v>#VALUE!</v>
      </c>
      <c r="H172" t="e">
        <f>AND('Planilla_General_29-11-2012_10_'!H2576,"AAAAACkYYwc=")</f>
        <v>#VALUE!</v>
      </c>
      <c r="I172" t="e">
        <f>AND('Planilla_General_29-11-2012_10_'!I2576,"AAAAACkYYwg=")</f>
        <v>#VALUE!</v>
      </c>
      <c r="J172" t="e">
        <f>AND('Planilla_General_29-11-2012_10_'!J2576,"AAAAACkYYwk=")</f>
        <v>#VALUE!</v>
      </c>
      <c r="K172" t="e">
        <f>AND('Planilla_General_29-11-2012_10_'!K2576,"AAAAACkYYwo=")</f>
        <v>#VALUE!</v>
      </c>
      <c r="L172" t="e">
        <f>AND('Planilla_General_29-11-2012_10_'!L2576,"AAAAACkYYws=")</f>
        <v>#VALUE!</v>
      </c>
      <c r="M172" t="e">
        <f>AND('Planilla_General_29-11-2012_10_'!M2576,"AAAAACkYYww=")</f>
        <v>#VALUE!</v>
      </c>
      <c r="N172" t="e">
        <f>AND('Planilla_General_29-11-2012_10_'!N2576,"AAAAACkYYw0=")</f>
        <v>#VALUE!</v>
      </c>
      <c r="O172" t="e">
        <f>AND('Planilla_General_29-11-2012_10_'!O2576,"AAAAACkYYw4=")</f>
        <v>#VALUE!</v>
      </c>
      <c r="P172" t="e">
        <f>AND('Planilla_General_29-11-2012_10_'!P2576,"AAAAACkYYw8=")</f>
        <v>#VALUE!</v>
      </c>
      <c r="Q172">
        <f>IF('Planilla_General_29-11-2012_10_'!2577:2577,"AAAAACkYYxA=",0)</f>
        <v>0</v>
      </c>
      <c r="R172" t="e">
        <f>AND('Planilla_General_29-11-2012_10_'!A2577,"AAAAACkYYxE=")</f>
        <v>#VALUE!</v>
      </c>
      <c r="S172" t="e">
        <f>AND('Planilla_General_29-11-2012_10_'!B2577,"AAAAACkYYxI=")</f>
        <v>#VALUE!</v>
      </c>
      <c r="T172" t="e">
        <f>AND('Planilla_General_29-11-2012_10_'!C2577,"AAAAACkYYxM=")</f>
        <v>#VALUE!</v>
      </c>
      <c r="U172" t="e">
        <f>AND('Planilla_General_29-11-2012_10_'!D2577,"AAAAACkYYxQ=")</f>
        <v>#VALUE!</v>
      </c>
      <c r="V172" t="e">
        <f>AND('Planilla_General_29-11-2012_10_'!E2577,"AAAAACkYYxU=")</f>
        <v>#VALUE!</v>
      </c>
      <c r="W172" t="e">
        <f>AND('Planilla_General_29-11-2012_10_'!F2577,"AAAAACkYYxY=")</f>
        <v>#VALUE!</v>
      </c>
      <c r="X172" t="e">
        <f>AND('Planilla_General_29-11-2012_10_'!G2577,"AAAAACkYYxc=")</f>
        <v>#VALUE!</v>
      </c>
      <c r="Y172" t="e">
        <f>AND('Planilla_General_29-11-2012_10_'!H2577,"AAAAACkYYxg=")</f>
        <v>#VALUE!</v>
      </c>
      <c r="Z172" t="e">
        <f>AND('Planilla_General_29-11-2012_10_'!I2577,"AAAAACkYYxk=")</f>
        <v>#VALUE!</v>
      </c>
      <c r="AA172" t="e">
        <f>AND('Planilla_General_29-11-2012_10_'!J2577,"AAAAACkYYxo=")</f>
        <v>#VALUE!</v>
      </c>
      <c r="AB172" t="e">
        <f>AND('Planilla_General_29-11-2012_10_'!K2577,"AAAAACkYYxs=")</f>
        <v>#VALUE!</v>
      </c>
      <c r="AC172" t="e">
        <f>AND('Planilla_General_29-11-2012_10_'!L2577,"AAAAACkYYxw=")</f>
        <v>#VALUE!</v>
      </c>
      <c r="AD172" t="e">
        <f>AND('Planilla_General_29-11-2012_10_'!M2577,"AAAAACkYYx0=")</f>
        <v>#VALUE!</v>
      </c>
      <c r="AE172" t="e">
        <f>AND('Planilla_General_29-11-2012_10_'!N2577,"AAAAACkYYx4=")</f>
        <v>#VALUE!</v>
      </c>
      <c r="AF172" t="e">
        <f>AND('Planilla_General_29-11-2012_10_'!O2577,"AAAAACkYYx8=")</f>
        <v>#VALUE!</v>
      </c>
      <c r="AG172" t="e">
        <f>AND('Planilla_General_29-11-2012_10_'!P2577,"AAAAACkYYyA=")</f>
        <v>#VALUE!</v>
      </c>
      <c r="AH172">
        <f>IF('Planilla_General_29-11-2012_10_'!2578:2578,"AAAAACkYYyE=",0)</f>
        <v>0</v>
      </c>
      <c r="AI172" t="e">
        <f>AND('Planilla_General_29-11-2012_10_'!A2578,"AAAAACkYYyI=")</f>
        <v>#VALUE!</v>
      </c>
      <c r="AJ172" t="e">
        <f>AND('Planilla_General_29-11-2012_10_'!B2578,"AAAAACkYYyM=")</f>
        <v>#VALUE!</v>
      </c>
      <c r="AK172" t="e">
        <f>AND('Planilla_General_29-11-2012_10_'!C2578,"AAAAACkYYyQ=")</f>
        <v>#VALUE!</v>
      </c>
      <c r="AL172" t="e">
        <f>AND('Planilla_General_29-11-2012_10_'!D2578,"AAAAACkYYyU=")</f>
        <v>#VALUE!</v>
      </c>
      <c r="AM172" t="e">
        <f>AND('Planilla_General_29-11-2012_10_'!E2578,"AAAAACkYYyY=")</f>
        <v>#VALUE!</v>
      </c>
      <c r="AN172" t="e">
        <f>AND('Planilla_General_29-11-2012_10_'!F2578,"AAAAACkYYyc=")</f>
        <v>#VALUE!</v>
      </c>
      <c r="AO172" t="e">
        <f>AND('Planilla_General_29-11-2012_10_'!G2578,"AAAAACkYYyg=")</f>
        <v>#VALUE!</v>
      </c>
      <c r="AP172" t="e">
        <f>AND('Planilla_General_29-11-2012_10_'!H2578,"AAAAACkYYyk=")</f>
        <v>#VALUE!</v>
      </c>
      <c r="AQ172" t="e">
        <f>AND('Planilla_General_29-11-2012_10_'!I2578,"AAAAACkYYyo=")</f>
        <v>#VALUE!</v>
      </c>
      <c r="AR172" t="e">
        <f>AND('Planilla_General_29-11-2012_10_'!J2578,"AAAAACkYYys=")</f>
        <v>#VALUE!</v>
      </c>
      <c r="AS172" t="e">
        <f>AND('Planilla_General_29-11-2012_10_'!K2578,"AAAAACkYYyw=")</f>
        <v>#VALUE!</v>
      </c>
      <c r="AT172" t="e">
        <f>AND('Planilla_General_29-11-2012_10_'!L2578,"AAAAACkYYy0=")</f>
        <v>#VALUE!</v>
      </c>
      <c r="AU172" t="e">
        <f>AND('Planilla_General_29-11-2012_10_'!M2578,"AAAAACkYYy4=")</f>
        <v>#VALUE!</v>
      </c>
      <c r="AV172" t="e">
        <f>AND('Planilla_General_29-11-2012_10_'!N2578,"AAAAACkYYy8=")</f>
        <v>#VALUE!</v>
      </c>
      <c r="AW172" t="e">
        <f>AND('Planilla_General_29-11-2012_10_'!O2578,"AAAAACkYYzA=")</f>
        <v>#VALUE!</v>
      </c>
      <c r="AX172" t="e">
        <f>AND('Planilla_General_29-11-2012_10_'!P2578,"AAAAACkYYzE=")</f>
        <v>#VALUE!</v>
      </c>
      <c r="AY172">
        <f>IF('Planilla_General_29-11-2012_10_'!2579:2579,"AAAAACkYYzI=",0)</f>
        <v>0</v>
      </c>
      <c r="AZ172" t="e">
        <f>AND('Planilla_General_29-11-2012_10_'!A2579,"AAAAACkYYzM=")</f>
        <v>#VALUE!</v>
      </c>
      <c r="BA172" t="e">
        <f>AND('Planilla_General_29-11-2012_10_'!B2579,"AAAAACkYYzQ=")</f>
        <v>#VALUE!</v>
      </c>
      <c r="BB172" t="e">
        <f>AND('Planilla_General_29-11-2012_10_'!C2579,"AAAAACkYYzU=")</f>
        <v>#VALUE!</v>
      </c>
      <c r="BC172" t="e">
        <f>AND('Planilla_General_29-11-2012_10_'!D2579,"AAAAACkYYzY=")</f>
        <v>#VALUE!</v>
      </c>
      <c r="BD172" t="e">
        <f>AND('Planilla_General_29-11-2012_10_'!E2579,"AAAAACkYYzc=")</f>
        <v>#VALUE!</v>
      </c>
      <c r="BE172" t="e">
        <f>AND('Planilla_General_29-11-2012_10_'!F2579,"AAAAACkYYzg=")</f>
        <v>#VALUE!</v>
      </c>
      <c r="BF172" t="e">
        <f>AND('Planilla_General_29-11-2012_10_'!G2579,"AAAAACkYYzk=")</f>
        <v>#VALUE!</v>
      </c>
      <c r="BG172" t="e">
        <f>AND('Planilla_General_29-11-2012_10_'!H2579,"AAAAACkYYzo=")</f>
        <v>#VALUE!</v>
      </c>
      <c r="BH172" t="e">
        <f>AND('Planilla_General_29-11-2012_10_'!I2579,"AAAAACkYYzs=")</f>
        <v>#VALUE!</v>
      </c>
      <c r="BI172" t="e">
        <f>AND('Planilla_General_29-11-2012_10_'!J2579,"AAAAACkYYzw=")</f>
        <v>#VALUE!</v>
      </c>
      <c r="BJ172" t="e">
        <f>AND('Planilla_General_29-11-2012_10_'!K2579,"AAAAACkYYz0=")</f>
        <v>#VALUE!</v>
      </c>
      <c r="BK172" t="e">
        <f>AND('Planilla_General_29-11-2012_10_'!L2579,"AAAAACkYYz4=")</f>
        <v>#VALUE!</v>
      </c>
      <c r="BL172" t="e">
        <f>AND('Planilla_General_29-11-2012_10_'!M2579,"AAAAACkYYz8=")</f>
        <v>#VALUE!</v>
      </c>
      <c r="BM172" t="e">
        <f>AND('Planilla_General_29-11-2012_10_'!N2579,"AAAAACkYY0A=")</f>
        <v>#VALUE!</v>
      </c>
      <c r="BN172" t="e">
        <f>AND('Planilla_General_29-11-2012_10_'!O2579,"AAAAACkYY0E=")</f>
        <v>#VALUE!</v>
      </c>
      <c r="BO172" t="e">
        <f>AND('Planilla_General_29-11-2012_10_'!P2579,"AAAAACkYY0I=")</f>
        <v>#VALUE!</v>
      </c>
      <c r="BP172">
        <f>IF('Planilla_General_29-11-2012_10_'!2580:2580,"AAAAACkYY0M=",0)</f>
        <v>0</v>
      </c>
      <c r="BQ172" t="e">
        <f>AND('Planilla_General_29-11-2012_10_'!A2580,"AAAAACkYY0Q=")</f>
        <v>#VALUE!</v>
      </c>
      <c r="BR172" t="e">
        <f>AND('Planilla_General_29-11-2012_10_'!B2580,"AAAAACkYY0U=")</f>
        <v>#VALUE!</v>
      </c>
      <c r="BS172" t="e">
        <f>AND('Planilla_General_29-11-2012_10_'!C2580,"AAAAACkYY0Y=")</f>
        <v>#VALUE!</v>
      </c>
      <c r="BT172" t="e">
        <f>AND('Planilla_General_29-11-2012_10_'!D2580,"AAAAACkYY0c=")</f>
        <v>#VALUE!</v>
      </c>
      <c r="BU172" t="e">
        <f>AND('Planilla_General_29-11-2012_10_'!E2580,"AAAAACkYY0g=")</f>
        <v>#VALUE!</v>
      </c>
      <c r="BV172" t="e">
        <f>AND('Planilla_General_29-11-2012_10_'!F2580,"AAAAACkYY0k=")</f>
        <v>#VALUE!</v>
      </c>
      <c r="BW172" t="e">
        <f>AND('Planilla_General_29-11-2012_10_'!G2580,"AAAAACkYY0o=")</f>
        <v>#VALUE!</v>
      </c>
      <c r="BX172" t="e">
        <f>AND('Planilla_General_29-11-2012_10_'!H2580,"AAAAACkYY0s=")</f>
        <v>#VALUE!</v>
      </c>
      <c r="BY172" t="e">
        <f>AND('Planilla_General_29-11-2012_10_'!I2580,"AAAAACkYY0w=")</f>
        <v>#VALUE!</v>
      </c>
      <c r="BZ172" t="e">
        <f>AND('Planilla_General_29-11-2012_10_'!J2580,"AAAAACkYY00=")</f>
        <v>#VALUE!</v>
      </c>
      <c r="CA172" t="e">
        <f>AND('Planilla_General_29-11-2012_10_'!K2580,"AAAAACkYY04=")</f>
        <v>#VALUE!</v>
      </c>
      <c r="CB172" t="e">
        <f>AND('Planilla_General_29-11-2012_10_'!L2580,"AAAAACkYY08=")</f>
        <v>#VALUE!</v>
      </c>
      <c r="CC172" t="e">
        <f>AND('Planilla_General_29-11-2012_10_'!M2580,"AAAAACkYY1A=")</f>
        <v>#VALUE!</v>
      </c>
      <c r="CD172" t="e">
        <f>AND('Planilla_General_29-11-2012_10_'!N2580,"AAAAACkYY1E=")</f>
        <v>#VALUE!</v>
      </c>
      <c r="CE172" t="e">
        <f>AND('Planilla_General_29-11-2012_10_'!O2580,"AAAAACkYY1I=")</f>
        <v>#VALUE!</v>
      </c>
      <c r="CF172" t="e">
        <f>AND('Planilla_General_29-11-2012_10_'!P2580,"AAAAACkYY1M=")</f>
        <v>#VALUE!</v>
      </c>
      <c r="CG172">
        <f>IF('Planilla_General_29-11-2012_10_'!2581:2581,"AAAAACkYY1Q=",0)</f>
        <v>0</v>
      </c>
      <c r="CH172" t="e">
        <f>AND('Planilla_General_29-11-2012_10_'!A2581,"AAAAACkYY1U=")</f>
        <v>#VALUE!</v>
      </c>
      <c r="CI172" t="e">
        <f>AND('Planilla_General_29-11-2012_10_'!B2581,"AAAAACkYY1Y=")</f>
        <v>#VALUE!</v>
      </c>
      <c r="CJ172" t="e">
        <f>AND('Planilla_General_29-11-2012_10_'!C2581,"AAAAACkYY1c=")</f>
        <v>#VALUE!</v>
      </c>
      <c r="CK172" t="e">
        <f>AND('Planilla_General_29-11-2012_10_'!D2581,"AAAAACkYY1g=")</f>
        <v>#VALUE!</v>
      </c>
      <c r="CL172" t="e">
        <f>AND('Planilla_General_29-11-2012_10_'!E2581,"AAAAACkYY1k=")</f>
        <v>#VALUE!</v>
      </c>
      <c r="CM172" t="e">
        <f>AND('Planilla_General_29-11-2012_10_'!F2581,"AAAAACkYY1o=")</f>
        <v>#VALUE!</v>
      </c>
      <c r="CN172" t="e">
        <f>AND('Planilla_General_29-11-2012_10_'!G2581,"AAAAACkYY1s=")</f>
        <v>#VALUE!</v>
      </c>
      <c r="CO172" t="e">
        <f>AND('Planilla_General_29-11-2012_10_'!H2581,"AAAAACkYY1w=")</f>
        <v>#VALUE!</v>
      </c>
      <c r="CP172" t="e">
        <f>AND('Planilla_General_29-11-2012_10_'!I2581,"AAAAACkYY10=")</f>
        <v>#VALUE!</v>
      </c>
      <c r="CQ172" t="e">
        <f>AND('Planilla_General_29-11-2012_10_'!J2581,"AAAAACkYY14=")</f>
        <v>#VALUE!</v>
      </c>
      <c r="CR172" t="e">
        <f>AND('Planilla_General_29-11-2012_10_'!K2581,"AAAAACkYY18=")</f>
        <v>#VALUE!</v>
      </c>
      <c r="CS172" t="e">
        <f>AND('Planilla_General_29-11-2012_10_'!L2581,"AAAAACkYY2A=")</f>
        <v>#VALUE!</v>
      </c>
      <c r="CT172" t="e">
        <f>AND('Planilla_General_29-11-2012_10_'!M2581,"AAAAACkYY2E=")</f>
        <v>#VALUE!</v>
      </c>
      <c r="CU172" t="e">
        <f>AND('Planilla_General_29-11-2012_10_'!N2581,"AAAAACkYY2I=")</f>
        <v>#VALUE!</v>
      </c>
      <c r="CV172" t="e">
        <f>AND('Planilla_General_29-11-2012_10_'!O2581,"AAAAACkYY2M=")</f>
        <v>#VALUE!</v>
      </c>
      <c r="CW172" t="e">
        <f>AND('Planilla_General_29-11-2012_10_'!P2581,"AAAAACkYY2Q=")</f>
        <v>#VALUE!</v>
      </c>
      <c r="CX172">
        <f>IF('Planilla_General_29-11-2012_10_'!2582:2582,"AAAAACkYY2U=",0)</f>
        <v>0</v>
      </c>
      <c r="CY172" t="e">
        <f>AND('Planilla_General_29-11-2012_10_'!A2582,"AAAAACkYY2Y=")</f>
        <v>#VALUE!</v>
      </c>
      <c r="CZ172" t="e">
        <f>AND('Planilla_General_29-11-2012_10_'!B2582,"AAAAACkYY2c=")</f>
        <v>#VALUE!</v>
      </c>
      <c r="DA172" t="e">
        <f>AND('Planilla_General_29-11-2012_10_'!C2582,"AAAAACkYY2g=")</f>
        <v>#VALUE!</v>
      </c>
      <c r="DB172" t="e">
        <f>AND('Planilla_General_29-11-2012_10_'!D2582,"AAAAACkYY2k=")</f>
        <v>#VALUE!</v>
      </c>
      <c r="DC172" t="e">
        <f>AND('Planilla_General_29-11-2012_10_'!E2582,"AAAAACkYY2o=")</f>
        <v>#VALUE!</v>
      </c>
      <c r="DD172" t="e">
        <f>AND('Planilla_General_29-11-2012_10_'!F2582,"AAAAACkYY2s=")</f>
        <v>#VALUE!</v>
      </c>
      <c r="DE172" t="e">
        <f>AND('Planilla_General_29-11-2012_10_'!G2582,"AAAAACkYY2w=")</f>
        <v>#VALUE!</v>
      </c>
      <c r="DF172" t="e">
        <f>AND('Planilla_General_29-11-2012_10_'!H2582,"AAAAACkYY20=")</f>
        <v>#VALUE!</v>
      </c>
      <c r="DG172" t="e">
        <f>AND('Planilla_General_29-11-2012_10_'!I2582,"AAAAACkYY24=")</f>
        <v>#VALUE!</v>
      </c>
      <c r="DH172" t="e">
        <f>AND('Planilla_General_29-11-2012_10_'!J2582,"AAAAACkYY28=")</f>
        <v>#VALUE!</v>
      </c>
      <c r="DI172" t="e">
        <f>AND('Planilla_General_29-11-2012_10_'!K2582,"AAAAACkYY3A=")</f>
        <v>#VALUE!</v>
      </c>
      <c r="DJ172" t="e">
        <f>AND('Planilla_General_29-11-2012_10_'!L2582,"AAAAACkYY3E=")</f>
        <v>#VALUE!</v>
      </c>
      <c r="DK172" t="e">
        <f>AND('Planilla_General_29-11-2012_10_'!M2582,"AAAAACkYY3I=")</f>
        <v>#VALUE!</v>
      </c>
      <c r="DL172" t="e">
        <f>AND('Planilla_General_29-11-2012_10_'!N2582,"AAAAACkYY3M=")</f>
        <v>#VALUE!</v>
      </c>
      <c r="DM172" t="e">
        <f>AND('Planilla_General_29-11-2012_10_'!O2582,"AAAAACkYY3Q=")</f>
        <v>#VALUE!</v>
      </c>
      <c r="DN172" t="e">
        <f>AND('Planilla_General_29-11-2012_10_'!P2582,"AAAAACkYY3U=")</f>
        <v>#VALUE!</v>
      </c>
      <c r="DO172">
        <f>IF('Planilla_General_29-11-2012_10_'!2583:2583,"AAAAACkYY3Y=",0)</f>
        <v>0</v>
      </c>
      <c r="DP172" t="e">
        <f>AND('Planilla_General_29-11-2012_10_'!A2583,"AAAAACkYY3c=")</f>
        <v>#VALUE!</v>
      </c>
      <c r="DQ172" t="e">
        <f>AND('Planilla_General_29-11-2012_10_'!B2583,"AAAAACkYY3g=")</f>
        <v>#VALUE!</v>
      </c>
      <c r="DR172" t="e">
        <f>AND('Planilla_General_29-11-2012_10_'!C2583,"AAAAACkYY3k=")</f>
        <v>#VALUE!</v>
      </c>
      <c r="DS172" t="e">
        <f>AND('Planilla_General_29-11-2012_10_'!D2583,"AAAAACkYY3o=")</f>
        <v>#VALUE!</v>
      </c>
      <c r="DT172" t="e">
        <f>AND('Planilla_General_29-11-2012_10_'!E2583,"AAAAACkYY3s=")</f>
        <v>#VALUE!</v>
      </c>
      <c r="DU172" t="e">
        <f>AND('Planilla_General_29-11-2012_10_'!F2583,"AAAAACkYY3w=")</f>
        <v>#VALUE!</v>
      </c>
      <c r="DV172" t="e">
        <f>AND('Planilla_General_29-11-2012_10_'!G2583,"AAAAACkYY30=")</f>
        <v>#VALUE!</v>
      </c>
      <c r="DW172" t="e">
        <f>AND('Planilla_General_29-11-2012_10_'!H2583,"AAAAACkYY34=")</f>
        <v>#VALUE!</v>
      </c>
      <c r="DX172" t="e">
        <f>AND('Planilla_General_29-11-2012_10_'!I2583,"AAAAACkYY38=")</f>
        <v>#VALUE!</v>
      </c>
      <c r="DY172" t="e">
        <f>AND('Planilla_General_29-11-2012_10_'!J2583,"AAAAACkYY4A=")</f>
        <v>#VALUE!</v>
      </c>
      <c r="DZ172" t="e">
        <f>AND('Planilla_General_29-11-2012_10_'!K2583,"AAAAACkYY4E=")</f>
        <v>#VALUE!</v>
      </c>
      <c r="EA172" t="e">
        <f>AND('Planilla_General_29-11-2012_10_'!L2583,"AAAAACkYY4I=")</f>
        <v>#VALUE!</v>
      </c>
      <c r="EB172" t="e">
        <f>AND('Planilla_General_29-11-2012_10_'!M2583,"AAAAACkYY4M=")</f>
        <v>#VALUE!</v>
      </c>
      <c r="EC172" t="e">
        <f>AND('Planilla_General_29-11-2012_10_'!N2583,"AAAAACkYY4Q=")</f>
        <v>#VALUE!</v>
      </c>
      <c r="ED172" t="e">
        <f>AND('Planilla_General_29-11-2012_10_'!O2583,"AAAAACkYY4U=")</f>
        <v>#VALUE!</v>
      </c>
      <c r="EE172" t="e">
        <f>AND('Planilla_General_29-11-2012_10_'!P2583,"AAAAACkYY4Y=")</f>
        <v>#VALUE!</v>
      </c>
      <c r="EF172">
        <f>IF('Planilla_General_29-11-2012_10_'!2584:2584,"AAAAACkYY4c=",0)</f>
        <v>0</v>
      </c>
      <c r="EG172" t="e">
        <f>AND('Planilla_General_29-11-2012_10_'!A2584,"AAAAACkYY4g=")</f>
        <v>#VALUE!</v>
      </c>
      <c r="EH172" t="e">
        <f>AND('Planilla_General_29-11-2012_10_'!B2584,"AAAAACkYY4k=")</f>
        <v>#VALUE!</v>
      </c>
      <c r="EI172" t="e">
        <f>AND('Planilla_General_29-11-2012_10_'!C2584,"AAAAACkYY4o=")</f>
        <v>#VALUE!</v>
      </c>
      <c r="EJ172" t="e">
        <f>AND('Planilla_General_29-11-2012_10_'!D2584,"AAAAACkYY4s=")</f>
        <v>#VALUE!</v>
      </c>
      <c r="EK172" t="e">
        <f>AND('Planilla_General_29-11-2012_10_'!E2584,"AAAAACkYY4w=")</f>
        <v>#VALUE!</v>
      </c>
      <c r="EL172" t="e">
        <f>AND('Planilla_General_29-11-2012_10_'!F2584,"AAAAACkYY40=")</f>
        <v>#VALUE!</v>
      </c>
      <c r="EM172" t="e">
        <f>AND('Planilla_General_29-11-2012_10_'!G2584,"AAAAACkYY44=")</f>
        <v>#VALUE!</v>
      </c>
      <c r="EN172" t="e">
        <f>AND('Planilla_General_29-11-2012_10_'!H2584,"AAAAACkYY48=")</f>
        <v>#VALUE!</v>
      </c>
      <c r="EO172" t="e">
        <f>AND('Planilla_General_29-11-2012_10_'!I2584,"AAAAACkYY5A=")</f>
        <v>#VALUE!</v>
      </c>
      <c r="EP172" t="e">
        <f>AND('Planilla_General_29-11-2012_10_'!J2584,"AAAAACkYY5E=")</f>
        <v>#VALUE!</v>
      </c>
      <c r="EQ172" t="e">
        <f>AND('Planilla_General_29-11-2012_10_'!K2584,"AAAAACkYY5I=")</f>
        <v>#VALUE!</v>
      </c>
      <c r="ER172" t="e">
        <f>AND('Planilla_General_29-11-2012_10_'!L2584,"AAAAACkYY5M=")</f>
        <v>#VALUE!</v>
      </c>
      <c r="ES172" t="e">
        <f>AND('Planilla_General_29-11-2012_10_'!M2584,"AAAAACkYY5Q=")</f>
        <v>#VALUE!</v>
      </c>
      <c r="ET172" t="e">
        <f>AND('Planilla_General_29-11-2012_10_'!N2584,"AAAAACkYY5U=")</f>
        <v>#VALUE!</v>
      </c>
      <c r="EU172" t="e">
        <f>AND('Planilla_General_29-11-2012_10_'!O2584,"AAAAACkYY5Y=")</f>
        <v>#VALUE!</v>
      </c>
      <c r="EV172" t="e">
        <f>AND('Planilla_General_29-11-2012_10_'!P2584,"AAAAACkYY5c=")</f>
        <v>#VALUE!</v>
      </c>
      <c r="EW172">
        <f>IF('Planilla_General_29-11-2012_10_'!2585:2585,"AAAAACkYY5g=",0)</f>
        <v>0</v>
      </c>
      <c r="EX172" t="e">
        <f>AND('Planilla_General_29-11-2012_10_'!A2585,"AAAAACkYY5k=")</f>
        <v>#VALUE!</v>
      </c>
      <c r="EY172" t="e">
        <f>AND('Planilla_General_29-11-2012_10_'!B2585,"AAAAACkYY5o=")</f>
        <v>#VALUE!</v>
      </c>
      <c r="EZ172" t="e">
        <f>AND('Planilla_General_29-11-2012_10_'!C2585,"AAAAACkYY5s=")</f>
        <v>#VALUE!</v>
      </c>
      <c r="FA172" t="e">
        <f>AND('Planilla_General_29-11-2012_10_'!D2585,"AAAAACkYY5w=")</f>
        <v>#VALUE!</v>
      </c>
      <c r="FB172" t="e">
        <f>AND('Planilla_General_29-11-2012_10_'!E2585,"AAAAACkYY50=")</f>
        <v>#VALUE!</v>
      </c>
      <c r="FC172" t="e">
        <f>AND('Planilla_General_29-11-2012_10_'!F2585,"AAAAACkYY54=")</f>
        <v>#VALUE!</v>
      </c>
      <c r="FD172" t="e">
        <f>AND('Planilla_General_29-11-2012_10_'!G2585,"AAAAACkYY58=")</f>
        <v>#VALUE!</v>
      </c>
      <c r="FE172" t="e">
        <f>AND('Planilla_General_29-11-2012_10_'!H2585,"AAAAACkYY6A=")</f>
        <v>#VALUE!</v>
      </c>
      <c r="FF172" t="e">
        <f>AND('Planilla_General_29-11-2012_10_'!I2585,"AAAAACkYY6E=")</f>
        <v>#VALUE!</v>
      </c>
      <c r="FG172" t="e">
        <f>AND('Planilla_General_29-11-2012_10_'!J2585,"AAAAACkYY6I=")</f>
        <v>#VALUE!</v>
      </c>
      <c r="FH172" t="e">
        <f>AND('Planilla_General_29-11-2012_10_'!K2585,"AAAAACkYY6M=")</f>
        <v>#VALUE!</v>
      </c>
      <c r="FI172" t="e">
        <f>AND('Planilla_General_29-11-2012_10_'!L2585,"AAAAACkYY6Q=")</f>
        <v>#VALUE!</v>
      </c>
      <c r="FJ172" t="e">
        <f>AND('Planilla_General_29-11-2012_10_'!M2585,"AAAAACkYY6U=")</f>
        <v>#VALUE!</v>
      </c>
      <c r="FK172" t="e">
        <f>AND('Planilla_General_29-11-2012_10_'!N2585,"AAAAACkYY6Y=")</f>
        <v>#VALUE!</v>
      </c>
      <c r="FL172" t="e">
        <f>AND('Planilla_General_29-11-2012_10_'!O2585,"AAAAACkYY6c=")</f>
        <v>#VALUE!</v>
      </c>
      <c r="FM172" t="e">
        <f>AND('Planilla_General_29-11-2012_10_'!P2585,"AAAAACkYY6g=")</f>
        <v>#VALUE!</v>
      </c>
      <c r="FN172">
        <f>IF('Planilla_General_29-11-2012_10_'!2586:2586,"AAAAACkYY6k=",0)</f>
        <v>0</v>
      </c>
      <c r="FO172" t="e">
        <f>AND('Planilla_General_29-11-2012_10_'!A2586,"AAAAACkYY6o=")</f>
        <v>#VALUE!</v>
      </c>
      <c r="FP172" t="e">
        <f>AND('Planilla_General_29-11-2012_10_'!B2586,"AAAAACkYY6s=")</f>
        <v>#VALUE!</v>
      </c>
      <c r="FQ172" t="e">
        <f>AND('Planilla_General_29-11-2012_10_'!C2586,"AAAAACkYY6w=")</f>
        <v>#VALUE!</v>
      </c>
      <c r="FR172" t="e">
        <f>AND('Planilla_General_29-11-2012_10_'!D2586,"AAAAACkYY60=")</f>
        <v>#VALUE!</v>
      </c>
      <c r="FS172" t="e">
        <f>AND('Planilla_General_29-11-2012_10_'!E2586,"AAAAACkYY64=")</f>
        <v>#VALUE!</v>
      </c>
      <c r="FT172" t="e">
        <f>AND('Planilla_General_29-11-2012_10_'!F2586,"AAAAACkYY68=")</f>
        <v>#VALUE!</v>
      </c>
      <c r="FU172" t="e">
        <f>AND('Planilla_General_29-11-2012_10_'!G2586,"AAAAACkYY7A=")</f>
        <v>#VALUE!</v>
      </c>
      <c r="FV172" t="e">
        <f>AND('Planilla_General_29-11-2012_10_'!H2586,"AAAAACkYY7E=")</f>
        <v>#VALUE!</v>
      </c>
      <c r="FW172" t="e">
        <f>AND('Planilla_General_29-11-2012_10_'!I2586,"AAAAACkYY7I=")</f>
        <v>#VALUE!</v>
      </c>
      <c r="FX172" t="e">
        <f>AND('Planilla_General_29-11-2012_10_'!J2586,"AAAAACkYY7M=")</f>
        <v>#VALUE!</v>
      </c>
      <c r="FY172" t="e">
        <f>AND('Planilla_General_29-11-2012_10_'!K2586,"AAAAACkYY7Q=")</f>
        <v>#VALUE!</v>
      </c>
      <c r="FZ172" t="e">
        <f>AND('Planilla_General_29-11-2012_10_'!L2586,"AAAAACkYY7U=")</f>
        <v>#VALUE!</v>
      </c>
      <c r="GA172" t="e">
        <f>AND('Planilla_General_29-11-2012_10_'!M2586,"AAAAACkYY7Y=")</f>
        <v>#VALUE!</v>
      </c>
      <c r="GB172" t="e">
        <f>AND('Planilla_General_29-11-2012_10_'!N2586,"AAAAACkYY7c=")</f>
        <v>#VALUE!</v>
      </c>
      <c r="GC172" t="e">
        <f>AND('Planilla_General_29-11-2012_10_'!O2586,"AAAAACkYY7g=")</f>
        <v>#VALUE!</v>
      </c>
      <c r="GD172" t="e">
        <f>AND('Planilla_General_29-11-2012_10_'!P2586,"AAAAACkYY7k=")</f>
        <v>#VALUE!</v>
      </c>
      <c r="GE172">
        <f>IF('Planilla_General_29-11-2012_10_'!2587:2587,"AAAAACkYY7o=",0)</f>
        <v>0</v>
      </c>
      <c r="GF172" t="e">
        <f>AND('Planilla_General_29-11-2012_10_'!A2587,"AAAAACkYY7s=")</f>
        <v>#VALUE!</v>
      </c>
      <c r="GG172" t="e">
        <f>AND('Planilla_General_29-11-2012_10_'!B2587,"AAAAACkYY7w=")</f>
        <v>#VALUE!</v>
      </c>
      <c r="GH172" t="e">
        <f>AND('Planilla_General_29-11-2012_10_'!C2587,"AAAAACkYY70=")</f>
        <v>#VALUE!</v>
      </c>
      <c r="GI172" t="e">
        <f>AND('Planilla_General_29-11-2012_10_'!D2587,"AAAAACkYY74=")</f>
        <v>#VALUE!</v>
      </c>
      <c r="GJ172" t="e">
        <f>AND('Planilla_General_29-11-2012_10_'!E2587,"AAAAACkYY78=")</f>
        <v>#VALUE!</v>
      </c>
      <c r="GK172" t="e">
        <f>AND('Planilla_General_29-11-2012_10_'!F2587,"AAAAACkYY8A=")</f>
        <v>#VALUE!</v>
      </c>
      <c r="GL172" t="e">
        <f>AND('Planilla_General_29-11-2012_10_'!G2587,"AAAAACkYY8E=")</f>
        <v>#VALUE!</v>
      </c>
      <c r="GM172" t="e">
        <f>AND('Planilla_General_29-11-2012_10_'!H2587,"AAAAACkYY8I=")</f>
        <v>#VALUE!</v>
      </c>
      <c r="GN172" t="e">
        <f>AND('Planilla_General_29-11-2012_10_'!I2587,"AAAAACkYY8M=")</f>
        <v>#VALUE!</v>
      </c>
      <c r="GO172" t="e">
        <f>AND('Planilla_General_29-11-2012_10_'!J2587,"AAAAACkYY8Q=")</f>
        <v>#VALUE!</v>
      </c>
      <c r="GP172" t="e">
        <f>AND('Planilla_General_29-11-2012_10_'!K2587,"AAAAACkYY8U=")</f>
        <v>#VALUE!</v>
      </c>
      <c r="GQ172" t="e">
        <f>AND('Planilla_General_29-11-2012_10_'!L2587,"AAAAACkYY8Y=")</f>
        <v>#VALUE!</v>
      </c>
      <c r="GR172" t="e">
        <f>AND('Planilla_General_29-11-2012_10_'!M2587,"AAAAACkYY8c=")</f>
        <v>#VALUE!</v>
      </c>
      <c r="GS172" t="e">
        <f>AND('Planilla_General_29-11-2012_10_'!N2587,"AAAAACkYY8g=")</f>
        <v>#VALUE!</v>
      </c>
      <c r="GT172" t="e">
        <f>AND('Planilla_General_29-11-2012_10_'!O2587,"AAAAACkYY8k=")</f>
        <v>#VALUE!</v>
      </c>
      <c r="GU172" t="e">
        <f>AND('Planilla_General_29-11-2012_10_'!P2587,"AAAAACkYY8o=")</f>
        <v>#VALUE!</v>
      </c>
      <c r="GV172">
        <f>IF('Planilla_General_29-11-2012_10_'!2588:2588,"AAAAACkYY8s=",0)</f>
        <v>0</v>
      </c>
      <c r="GW172" t="e">
        <f>AND('Planilla_General_29-11-2012_10_'!A2588,"AAAAACkYY8w=")</f>
        <v>#VALUE!</v>
      </c>
      <c r="GX172" t="e">
        <f>AND('Planilla_General_29-11-2012_10_'!B2588,"AAAAACkYY80=")</f>
        <v>#VALUE!</v>
      </c>
      <c r="GY172" t="e">
        <f>AND('Planilla_General_29-11-2012_10_'!C2588,"AAAAACkYY84=")</f>
        <v>#VALUE!</v>
      </c>
      <c r="GZ172" t="e">
        <f>AND('Planilla_General_29-11-2012_10_'!D2588,"AAAAACkYY88=")</f>
        <v>#VALUE!</v>
      </c>
      <c r="HA172" t="e">
        <f>AND('Planilla_General_29-11-2012_10_'!E2588,"AAAAACkYY9A=")</f>
        <v>#VALUE!</v>
      </c>
      <c r="HB172" t="e">
        <f>AND('Planilla_General_29-11-2012_10_'!F2588,"AAAAACkYY9E=")</f>
        <v>#VALUE!</v>
      </c>
      <c r="HC172" t="e">
        <f>AND('Planilla_General_29-11-2012_10_'!G2588,"AAAAACkYY9I=")</f>
        <v>#VALUE!</v>
      </c>
      <c r="HD172" t="e">
        <f>AND('Planilla_General_29-11-2012_10_'!H2588,"AAAAACkYY9M=")</f>
        <v>#VALUE!</v>
      </c>
      <c r="HE172" t="e">
        <f>AND('Planilla_General_29-11-2012_10_'!I2588,"AAAAACkYY9Q=")</f>
        <v>#VALUE!</v>
      </c>
      <c r="HF172" t="e">
        <f>AND('Planilla_General_29-11-2012_10_'!J2588,"AAAAACkYY9U=")</f>
        <v>#VALUE!</v>
      </c>
      <c r="HG172" t="e">
        <f>AND('Planilla_General_29-11-2012_10_'!K2588,"AAAAACkYY9Y=")</f>
        <v>#VALUE!</v>
      </c>
      <c r="HH172" t="e">
        <f>AND('Planilla_General_29-11-2012_10_'!L2588,"AAAAACkYY9c=")</f>
        <v>#VALUE!</v>
      </c>
      <c r="HI172" t="e">
        <f>AND('Planilla_General_29-11-2012_10_'!M2588,"AAAAACkYY9g=")</f>
        <v>#VALUE!</v>
      </c>
      <c r="HJ172" t="e">
        <f>AND('Planilla_General_29-11-2012_10_'!N2588,"AAAAACkYY9k=")</f>
        <v>#VALUE!</v>
      </c>
      <c r="HK172" t="e">
        <f>AND('Planilla_General_29-11-2012_10_'!O2588,"AAAAACkYY9o=")</f>
        <v>#VALUE!</v>
      </c>
      <c r="HL172" t="e">
        <f>AND('Planilla_General_29-11-2012_10_'!P2588,"AAAAACkYY9s=")</f>
        <v>#VALUE!</v>
      </c>
      <c r="HM172">
        <f>IF('Planilla_General_29-11-2012_10_'!2589:2589,"AAAAACkYY9w=",0)</f>
        <v>0</v>
      </c>
      <c r="HN172" t="e">
        <f>AND('Planilla_General_29-11-2012_10_'!A2589,"AAAAACkYY90=")</f>
        <v>#VALUE!</v>
      </c>
      <c r="HO172" t="e">
        <f>AND('Planilla_General_29-11-2012_10_'!B2589,"AAAAACkYY94=")</f>
        <v>#VALUE!</v>
      </c>
      <c r="HP172" t="e">
        <f>AND('Planilla_General_29-11-2012_10_'!C2589,"AAAAACkYY98=")</f>
        <v>#VALUE!</v>
      </c>
      <c r="HQ172" t="e">
        <f>AND('Planilla_General_29-11-2012_10_'!D2589,"AAAAACkYY+A=")</f>
        <v>#VALUE!</v>
      </c>
      <c r="HR172" t="e">
        <f>AND('Planilla_General_29-11-2012_10_'!E2589,"AAAAACkYY+E=")</f>
        <v>#VALUE!</v>
      </c>
      <c r="HS172" t="e">
        <f>AND('Planilla_General_29-11-2012_10_'!F2589,"AAAAACkYY+I=")</f>
        <v>#VALUE!</v>
      </c>
      <c r="HT172" t="e">
        <f>AND('Planilla_General_29-11-2012_10_'!G2589,"AAAAACkYY+M=")</f>
        <v>#VALUE!</v>
      </c>
      <c r="HU172" t="e">
        <f>AND('Planilla_General_29-11-2012_10_'!H2589,"AAAAACkYY+Q=")</f>
        <v>#VALUE!</v>
      </c>
      <c r="HV172" t="e">
        <f>AND('Planilla_General_29-11-2012_10_'!I2589,"AAAAACkYY+U=")</f>
        <v>#VALUE!</v>
      </c>
      <c r="HW172" t="e">
        <f>AND('Planilla_General_29-11-2012_10_'!J2589,"AAAAACkYY+Y=")</f>
        <v>#VALUE!</v>
      </c>
      <c r="HX172" t="e">
        <f>AND('Planilla_General_29-11-2012_10_'!K2589,"AAAAACkYY+c=")</f>
        <v>#VALUE!</v>
      </c>
      <c r="HY172" t="e">
        <f>AND('Planilla_General_29-11-2012_10_'!L2589,"AAAAACkYY+g=")</f>
        <v>#VALUE!</v>
      </c>
      <c r="HZ172" t="e">
        <f>AND('Planilla_General_29-11-2012_10_'!M2589,"AAAAACkYY+k=")</f>
        <v>#VALUE!</v>
      </c>
      <c r="IA172" t="e">
        <f>AND('Planilla_General_29-11-2012_10_'!N2589,"AAAAACkYY+o=")</f>
        <v>#VALUE!</v>
      </c>
      <c r="IB172" t="e">
        <f>AND('Planilla_General_29-11-2012_10_'!O2589,"AAAAACkYY+s=")</f>
        <v>#VALUE!</v>
      </c>
      <c r="IC172" t="e">
        <f>AND('Planilla_General_29-11-2012_10_'!P2589,"AAAAACkYY+w=")</f>
        <v>#VALUE!</v>
      </c>
      <c r="ID172">
        <f>IF('Planilla_General_29-11-2012_10_'!2590:2590,"AAAAACkYY+0=",0)</f>
        <v>0</v>
      </c>
      <c r="IE172" t="e">
        <f>AND('Planilla_General_29-11-2012_10_'!A2590,"AAAAACkYY+4=")</f>
        <v>#VALUE!</v>
      </c>
      <c r="IF172" t="e">
        <f>AND('Planilla_General_29-11-2012_10_'!B2590,"AAAAACkYY+8=")</f>
        <v>#VALUE!</v>
      </c>
      <c r="IG172" t="e">
        <f>AND('Planilla_General_29-11-2012_10_'!C2590,"AAAAACkYY/A=")</f>
        <v>#VALUE!</v>
      </c>
      <c r="IH172" t="e">
        <f>AND('Planilla_General_29-11-2012_10_'!D2590,"AAAAACkYY/E=")</f>
        <v>#VALUE!</v>
      </c>
      <c r="II172" t="e">
        <f>AND('Planilla_General_29-11-2012_10_'!E2590,"AAAAACkYY/I=")</f>
        <v>#VALUE!</v>
      </c>
      <c r="IJ172" t="e">
        <f>AND('Planilla_General_29-11-2012_10_'!F2590,"AAAAACkYY/M=")</f>
        <v>#VALUE!</v>
      </c>
      <c r="IK172" t="e">
        <f>AND('Planilla_General_29-11-2012_10_'!G2590,"AAAAACkYY/Q=")</f>
        <v>#VALUE!</v>
      </c>
      <c r="IL172" t="e">
        <f>AND('Planilla_General_29-11-2012_10_'!H2590,"AAAAACkYY/U=")</f>
        <v>#VALUE!</v>
      </c>
      <c r="IM172" t="e">
        <f>AND('Planilla_General_29-11-2012_10_'!I2590,"AAAAACkYY/Y=")</f>
        <v>#VALUE!</v>
      </c>
      <c r="IN172" t="e">
        <f>AND('Planilla_General_29-11-2012_10_'!J2590,"AAAAACkYY/c=")</f>
        <v>#VALUE!</v>
      </c>
      <c r="IO172" t="e">
        <f>AND('Planilla_General_29-11-2012_10_'!K2590,"AAAAACkYY/g=")</f>
        <v>#VALUE!</v>
      </c>
      <c r="IP172" t="e">
        <f>AND('Planilla_General_29-11-2012_10_'!L2590,"AAAAACkYY/k=")</f>
        <v>#VALUE!</v>
      </c>
      <c r="IQ172" t="e">
        <f>AND('Planilla_General_29-11-2012_10_'!M2590,"AAAAACkYY/o=")</f>
        <v>#VALUE!</v>
      </c>
      <c r="IR172" t="e">
        <f>AND('Planilla_General_29-11-2012_10_'!N2590,"AAAAACkYY/s=")</f>
        <v>#VALUE!</v>
      </c>
      <c r="IS172" t="e">
        <f>AND('Planilla_General_29-11-2012_10_'!O2590,"AAAAACkYY/w=")</f>
        <v>#VALUE!</v>
      </c>
      <c r="IT172" t="e">
        <f>AND('Planilla_General_29-11-2012_10_'!P2590,"AAAAACkYY/0=")</f>
        <v>#VALUE!</v>
      </c>
      <c r="IU172">
        <f>IF('Planilla_General_29-11-2012_10_'!2591:2591,"AAAAACkYY/4=",0)</f>
        <v>0</v>
      </c>
      <c r="IV172" t="e">
        <f>AND('Planilla_General_29-11-2012_10_'!A2591,"AAAAACkYY/8=")</f>
        <v>#VALUE!</v>
      </c>
    </row>
    <row r="173" spans="1:256" x14ac:dyDescent="0.25">
      <c r="A173" t="e">
        <f>AND('Planilla_General_29-11-2012_10_'!B2591,"AAAAAC/X9QA=")</f>
        <v>#VALUE!</v>
      </c>
      <c r="B173" t="e">
        <f>AND('Planilla_General_29-11-2012_10_'!C2591,"AAAAAC/X9QE=")</f>
        <v>#VALUE!</v>
      </c>
      <c r="C173" t="e">
        <f>AND('Planilla_General_29-11-2012_10_'!D2591,"AAAAAC/X9QI=")</f>
        <v>#VALUE!</v>
      </c>
      <c r="D173" t="e">
        <f>AND('Planilla_General_29-11-2012_10_'!E2591,"AAAAAC/X9QM=")</f>
        <v>#VALUE!</v>
      </c>
      <c r="E173" t="e">
        <f>AND('Planilla_General_29-11-2012_10_'!F2591,"AAAAAC/X9QQ=")</f>
        <v>#VALUE!</v>
      </c>
      <c r="F173" t="e">
        <f>AND('Planilla_General_29-11-2012_10_'!G2591,"AAAAAC/X9QU=")</f>
        <v>#VALUE!</v>
      </c>
      <c r="G173" t="e">
        <f>AND('Planilla_General_29-11-2012_10_'!H2591,"AAAAAC/X9QY=")</f>
        <v>#VALUE!</v>
      </c>
      <c r="H173" t="e">
        <f>AND('Planilla_General_29-11-2012_10_'!I2591,"AAAAAC/X9Qc=")</f>
        <v>#VALUE!</v>
      </c>
      <c r="I173" t="e">
        <f>AND('Planilla_General_29-11-2012_10_'!J2591,"AAAAAC/X9Qg=")</f>
        <v>#VALUE!</v>
      </c>
      <c r="J173" t="e">
        <f>AND('Planilla_General_29-11-2012_10_'!K2591,"AAAAAC/X9Qk=")</f>
        <v>#VALUE!</v>
      </c>
      <c r="K173" t="e">
        <f>AND('Planilla_General_29-11-2012_10_'!L2591,"AAAAAC/X9Qo=")</f>
        <v>#VALUE!</v>
      </c>
      <c r="L173" t="e">
        <f>AND('Planilla_General_29-11-2012_10_'!M2591,"AAAAAC/X9Qs=")</f>
        <v>#VALUE!</v>
      </c>
      <c r="M173" t="e">
        <f>AND('Planilla_General_29-11-2012_10_'!N2591,"AAAAAC/X9Qw=")</f>
        <v>#VALUE!</v>
      </c>
      <c r="N173" t="e">
        <f>AND('Planilla_General_29-11-2012_10_'!O2591,"AAAAAC/X9Q0=")</f>
        <v>#VALUE!</v>
      </c>
      <c r="O173" t="e">
        <f>AND('Planilla_General_29-11-2012_10_'!P2591,"AAAAAC/X9Q4=")</f>
        <v>#VALUE!</v>
      </c>
      <c r="P173">
        <f>IF('Planilla_General_29-11-2012_10_'!2592:2592,"AAAAAC/X9Q8=",0)</f>
        <v>0</v>
      </c>
      <c r="Q173" t="e">
        <f>AND('Planilla_General_29-11-2012_10_'!A2592,"AAAAAC/X9RA=")</f>
        <v>#VALUE!</v>
      </c>
      <c r="R173" t="e">
        <f>AND('Planilla_General_29-11-2012_10_'!B2592,"AAAAAC/X9RE=")</f>
        <v>#VALUE!</v>
      </c>
      <c r="S173" t="e">
        <f>AND('Planilla_General_29-11-2012_10_'!C2592,"AAAAAC/X9RI=")</f>
        <v>#VALUE!</v>
      </c>
      <c r="T173" t="e">
        <f>AND('Planilla_General_29-11-2012_10_'!D2592,"AAAAAC/X9RM=")</f>
        <v>#VALUE!</v>
      </c>
      <c r="U173" t="e">
        <f>AND('Planilla_General_29-11-2012_10_'!E2592,"AAAAAC/X9RQ=")</f>
        <v>#VALUE!</v>
      </c>
      <c r="V173" t="e">
        <f>AND('Planilla_General_29-11-2012_10_'!F2592,"AAAAAC/X9RU=")</f>
        <v>#VALUE!</v>
      </c>
      <c r="W173" t="e">
        <f>AND('Planilla_General_29-11-2012_10_'!G2592,"AAAAAC/X9RY=")</f>
        <v>#VALUE!</v>
      </c>
      <c r="X173" t="e">
        <f>AND('Planilla_General_29-11-2012_10_'!H2592,"AAAAAC/X9Rc=")</f>
        <v>#VALUE!</v>
      </c>
      <c r="Y173" t="e">
        <f>AND('Planilla_General_29-11-2012_10_'!I2592,"AAAAAC/X9Rg=")</f>
        <v>#VALUE!</v>
      </c>
      <c r="Z173" t="e">
        <f>AND('Planilla_General_29-11-2012_10_'!J2592,"AAAAAC/X9Rk=")</f>
        <v>#VALUE!</v>
      </c>
      <c r="AA173" t="e">
        <f>AND('Planilla_General_29-11-2012_10_'!K2592,"AAAAAC/X9Ro=")</f>
        <v>#VALUE!</v>
      </c>
      <c r="AB173" t="e">
        <f>AND('Planilla_General_29-11-2012_10_'!L2592,"AAAAAC/X9Rs=")</f>
        <v>#VALUE!</v>
      </c>
      <c r="AC173" t="e">
        <f>AND('Planilla_General_29-11-2012_10_'!M2592,"AAAAAC/X9Rw=")</f>
        <v>#VALUE!</v>
      </c>
      <c r="AD173" t="e">
        <f>AND('Planilla_General_29-11-2012_10_'!N2592,"AAAAAC/X9R0=")</f>
        <v>#VALUE!</v>
      </c>
      <c r="AE173" t="e">
        <f>AND('Planilla_General_29-11-2012_10_'!O2592,"AAAAAC/X9R4=")</f>
        <v>#VALUE!</v>
      </c>
      <c r="AF173" t="e">
        <f>AND('Planilla_General_29-11-2012_10_'!P2592,"AAAAAC/X9R8=")</f>
        <v>#VALUE!</v>
      </c>
      <c r="AG173">
        <f>IF('Planilla_General_29-11-2012_10_'!2593:2593,"AAAAAC/X9SA=",0)</f>
        <v>0</v>
      </c>
      <c r="AH173" t="e">
        <f>AND('Planilla_General_29-11-2012_10_'!A2593,"AAAAAC/X9SE=")</f>
        <v>#VALUE!</v>
      </c>
      <c r="AI173" t="e">
        <f>AND('Planilla_General_29-11-2012_10_'!B2593,"AAAAAC/X9SI=")</f>
        <v>#VALUE!</v>
      </c>
      <c r="AJ173" t="e">
        <f>AND('Planilla_General_29-11-2012_10_'!C2593,"AAAAAC/X9SM=")</f>
        <v>#VALUE!</v>
      </c>
      <c r="AK173" t="e">
        <f>AND('Planilla_General_29-11-2012_10_'!D2593,"AAAAAC/X9SQ=")</f>
        <v>#VALUE!</v>
      </c>
      <c r="AL173" t="e">
        <f>AND('Planilla_General_29-11-2012_10_'!E2593,"AAAAAC/X9SU=")</f>
        <v>#VALUE!</v>
      </c>
      <c r="AM173" t="e">
        <f>AND('Planilla_General_29-11-2012_10_'!F2593,"AAAAAC/X9SY=")</f>
        <v>#VALUE!</v>
      </c>
      <c r="AN173" t="e">
        <f>AND('Planilla_General_29-11-2012_10_'!G2593,"AAAAAC/X9Sc=")</f>
        <v>#VALUE!</v>
      </c>
      <c r="AO173" t="e">
        <f>AND('Planilla_General_29-11-2012_10_'!H2593,"AAAAAC/X9Sg=")</f>
        <v>#VALUE!</v>
      </c>
      <c r="AP173" t="e">
        <f>AND('Planilla_General_29-11-2012_10_'!I2593,"AAAAAC/X9Sk=")</f>
        <v>#VALUE!</v>
      </c>
      <c r="AQ173" t="e">
        <f>AND('Planilla_General_29-11-2012_10_'!J2593,"AAAAAC/X9So=")</f>
        <v>#VALUE!</v>
      </c>
      <c r="AR173" t="e">
        <f>AND('Planilla_General_29-11-2012_10_'!K2593,"AAAAAC/X9Ss=")</f>
        <v>#VALUE!</v>
      </c>
      <c r="AS173" t="e">
        <f>AND('Planilla_General_29-11-2012_10_'!L2593,"AAAAAC/X9Sw=")</f>
        <v>#VALUE!</v>
      </c>
      <c r="AT173" t="e">
        <f>AND('Planilla_General_29-11-2012_10_'!M2593,"AAAAAC/X9S0=")</f>
        <v>#VALUE!</v>
      </c>
      <c r="AU173" t="e">
        <f>AND('Planilla_General_29-11-2012_10_'!N2593,"AAAAAC/X9S4=")</f>
        <v>#VALUE!</v>
      </c>
      <c r="AV173" t="e">
        <f>AND('Planilla_General_29-11-2012_10_'!O2593,"AAAAAC/X9S8=")</f>
        <v>#VALUE!</v>
      </c>
      <c r="AW173" t="e">
        <f>AND('Planilla_General_29-11-2012_10_'!P2593,"AAAAAC/X9TA=")</f>
        <v>#VALUE!</v>
      </c>
      <c r="AX173">
        <f>IF('Planilla_General_29-11-2012_10_'!2594:2594,"AAAAAC/X9TE=",0)</f>
        <v>0</v>
      </c>
      <c r="AY173" t="e">
        <f>AND('Planilla_General_29-11-2012_10_'!A2594,"AAAAAC/X9TI=")</f>
        <v>#VALUE!</v>
      </c>
      <c r="AZ173" t="e">
        <f>AND('Planilla_General_29-11-2012_10_'!B2594,"AAAAAC/X9TM=")</f>
        <v>#VALUE!</v>
      </c>
      <c r="BA173" t="e">
        <f>AND('Planilla_General_29-11-2012_10_'!C2594,"AAAAAC/X9TQ=")</f>
        <v>#VALUE!</v>
      </c>
      <c r="BB173" t="e">
        <f>AND('Planilla_General_29-11-2012_10_'!D2594,"AAAAAC/X9TU=")</f>
        <v>#VALUE!</v>
      </c>
      <c r="BC173" t="e">
        <f>AND('Planilla_General_29-11-2012_10_'!E2594,"AAAAAC/X9TY=")</f>
        <v>#VALUE!</v>
      </c>
      <c r="BD173" t="e">
        <f>AND('Planilla_General_29-11-2012_10_'!F2594,"AAAAAC/X9Tc=")</f>
        <v>#VALUE!</v>
      </c>
      <c r="BE173" t="e">
        <f>AND('Planilla_General_29-11-2012_10_'!G2594,"AAAAAC/X9Tg=")</f>
        <v>#VALUE!</v>
      </c>
      <c r="BF173" t="e">
        <f>AND('Planilla_General_29-11-2012_10_'!H2594,"AAAAAC/X9Tk=")</f>
        <v>#VALUE!</v>
      </c>
      <c r="BG173" t="e">
        <f>AND('Planilla_General_29-11-2012_10_'!I2594,"AAAAAC/X9To=")</f>
        <v>#VALUE!</v>
      </c>
      <c r="BH173" t="e">
        <f>AND('Planilla_General_29-11-2012_10_'!J2594,"AAAAAC/X9Ts=")</f>
        <v>#VALUE!</v>
      </c>
      <c r="BI173" t="e">
        <f>AND('Planilla_General_29-11-2012_10_'!K2594,"AAAAAC/X9Tw=")</f>
        <v>#VALUE!</v>
      </c>
      <c r="BJ173" t="e">
        <f>AND('Planilla_General_29-11-2012_10_'!L2594,"AAAAAC/X9T0=")</f>
        <v>#VALUE!</v>
      </c>
      <c r="BK173" t="e">
        <f>AND('Planilla_General_29-11-2012_10_'!M2594,"AAAAAC/X9T4=")</f>
        <v>#VALUE!</v>
      </c>
      <c r="BL173" t="e">
        <f>AND('Planilla_General_29-11-2012_10_'!N2594,"AAAAAC/X9T8=")</f>
        <v>#VALUE!</v>
      </c>
      <c r="BM173" t="e">
        <f>AND('Planilla_General_29-11-2012_10_'!O2594,"AAAAAC/X9UA=")</f>
        <v>#VALUE!</v>
      </c>
      <c r="BN173" t="e">
        <f>AND('Planilla_General_29-11-2012_10_'!P2594,"AAAAAC/X9UE=")</f>
        <v>#VALUE!</v>
      </c>
      <c r="BO173">
        <f>IF('Planilla_General_29-11-2012_10_'!2595:2595,"AAAAAC/X9UI=",0)</f>
        <v>0</v>
      </c>
      <c r="BP173" t="e">
        <f>AND('Planilla_General_29-11-2012_10_'!A2595,"AAAAAC/X9UM=")</f>
        <v>#VALUE!</v>
      </c>
      <c r="BQ173" t="e">
        <f>AND('Planilla_General_29-11-2012_10_'!B2595,"AAAAAC/X9UQ=")</f>
        <v>#VALUE!</v>
      </c>
      <c r="BR173" t="e">
        <f>AND('Planilla_General_29-11-2012_10_'!C2595,"AAAAAC/X9UU=")</f>
        <v>#VALUE!</v>
      </c>
      <c r="BS173" t="e">
        <f>AND('Planilla_General_29-11-2012_10_'!D2595,"AAAAAC/X9UY=")</f>
        <v>#VALUE!</v>
      </c>
      <c r="BT173" t="e">
        <f>AND('Planilla_General_29-11-2012_10_'!E2595,"AAAAAC/X9Uc=")</f>
        <v>#VALUE!</v>
      </c>
      <c r="BU173" t="e">
        <f>AND('Planilla_General_29-11-2012_10_'!F2595,"AAAAAC/X9Ug=")</f>
        <v>#VALUE!</v>
      </c>
      <c r="BV173" t="e">
        <f>AND('Planilla_General_29-11-2012_10_'!G2595,"AAAAAC/X9Uk=")</f>
        <v>#VALUE!</v>
      </c>
      <c r="BW173" t="e">
        <f>AND('Planilla_General_29-11-2012_10_'!H2595,"AAAAAC/X9Uo=")</f>
        <v>#VALUE!</v>
      </c>
      <c r="BX173" t="e">
        <f>AND('Planilla_General_29-11-2012_10_'!I2595,"AAAAAC/X9Us=")</f>
        <v>#VALUE!</v>
      </c>
      <c r="BY173" t="e">
        <f>AND('Planilla_General_29-11-2012_10_'!J2595,"AAAAAC/X9Uw=")</f>
        <v>#VALUE!</v>
      </c>
      <c r="BZ173" t="e">
        <f>AND('Planilla_General_29-11-2012_10_'!K2595,"AAAAAC/X9U0=")</f>
        <v>#VALUE!</v>
      </c>
      <c r="CA173" t="e">
        <f>AND('Planilla_General_29-11-2012_10_'!L2595,"AAAAAC/X9U4=")</f>
        <v>#VALUE!</v>
      </c>
      <c r="CB173" t="e">
        <f>AND('Planilla_General_29-11-2012_10_'!M2595,"AAAAAC/X9U8=")</f>
        <v>#VALUE!</v>
      </c>
      <c r="CC173" t="e">
        <f>AND('Planilla_General_29-11-2012_10_'!N2595,"AAAAAC/X9VA=")</f>
        <v>#VALUE!</v>
      </c>
      <c r="CD173" t="e">
        <f>AND('Planilla_General_29-11-2012_10_'!O2595,"AAAAAC/X9VE=")</f>
        <v>#VALUE!</v>
      </c>
      <c r="CE173" t="e">
        <f>AND('Planilla_General_29-11-2012_10_'!P2595,"AAAAAC/X9VI=")</f>
        <v>#VALUE!</v>
      </c>
      <c r="CF173">
        <f>IF('Planilla_General_29-11-2012_10_'!2596:2596,"AAAAAC/X9VM=",0)</f>
        <v>0</v>
      </c>
      <c r="CG173" t="e">
        <f>AND('Planilla_General_29-11-2012_10_'!A2596,"AAAAAC/X9VQ=")</f>
        <v>#VALUE!</v>
      </c>
      <c r="CH173" t="e">
        <f>AND('Planilla_General_29-11-2012_10_'!B2596,"AAAAAC/X9VU=")</f>
        <v>#VALUE!</v>
      </c>
      <c r="CI173" t="e">
        <f>AND('Planilla_General_29-11-2012_10_'!C2596,"AAAAAC/X9VY=")</f>
        <v>#VALUE!</v>
      </c>
      <c r="CJ173" t="e">
        <f>AND('Planilla_General_29-11-2012_10_'!D2596,"AAAAAC/X9Vc=")</f>
        <v>#VALUE!</v>
      </c>
      <c r="CK173" t="e">
        <f>AND('Planilla_General_29-11-2012_10_'!E2596,"AAAAAC/X9Vg=")</f>
        <v>#VALUE!</v>
      </c>
      <c r="CL173" t="e">
        <f>AND('Planilla_General_29-11-2012_10_'!F2596,"AAAAAC/X9Vk=")</f>
        <v>#VALUE!</v>
      </c>
      <c r="CM173" t="e">
        <f>AND('Planilla_General_29-11-2012_10_'!G2596,"AAAAAC/X9Vo=")</f>
        <v>#VALUE!</v>
      </c>
      <c r="CN173" t="e">
        <f>AND('Planilla_General_29-11-2012_10_'!H2596,"AAAAAC/X9Vs=")</f>
        <v>#VALUE!</v>
      </c>
      <c r="CO173" t="e">
        <f>AND('Planilla_General_29-11-2012_10_'!I2596,"AAAAAC/X9Vw=")</f>
        <v>#VALUE!</v>
      </c>
      <c r="CP173" t="e">
        <f>AND('Planilla_General_29-11-2012_10_'!J2596,"AAAAAC/X9V0=")</f>
        <v>#VALUE!</v>
      </c>
      <c r="CQ173" t="e">
        <f>AND('Planilla_General_29-11-2012_10_'!K2596,"AAAAAC/X9V4=")</f>
        <v>#VALUE!</v>
      </c>
      <c r="CR173" t="e">
        <f>AND('Planilla_General_29-11-2012_10_'!L2596,"AAAAAC/X9V8=")</f>
        <v>#VALUE!</v>
      </c>
      <c r="CS173" t="e">
        <f>AND('Planilla_General_29-11-2012_10_'!M2596,"AAAAAC/X9WA=")</f>
        <v>#VALUE!</v>
      </c>
      <c r="CT173" t="e">
        <f>AND('Planilla_General_29-11-2012_10_'!N2596,"AAAAAC/X9WE=")</f>
        <v>#VALUE!</v>
      </c>
      <c r="CU173" t="e">
        <f>AND('Planilla_General_29-11-2012_10_'!O2596,"AAAAAC/X9WI=")</f>
        <v>#VALUE!</v>
      </c>
      <c r="CV173" t="e">
        <f>AND('Planilla_General_29-11-2012_10_'!P2596,"AAAAAC/X9WM=")</f>
        <v>#VALUE!</v>
      </c>
      <c r="CW173">
        <f>IF('Planilla_General_29-11-2012_10_'!2597:2597,"AAAAAC/X9WQ=",0)</f>
        <v>0</v>
      </c>
      <c r="CX173" t="e">
        <f>AND('Planilla_General_29-11-2012_10_'!A2597,"AAAAAC/X9WU=")</f>
        <v>#VALUE!</v>
      </c>
      <c r="CY173" t="e">
        <f>AND('Planilla_General_29-11-2012_10_'!B2597,"AAAAAC/X9WY=")</f>
        <v>#VALUE!</v>
      </c>
      <c r="CZ173" t="e">
        <f>AND('Planilla_General_29-11-2012_10_'!C2597,"AAAAAC/X9Wc=")</f>
        <v>#VALUE!</v>
      </c>
      <c r="DA173" t="e">
        <f>AND('Planilla_General_29-11-2012_10_'!D2597,"AAAAAC/X9Wg=")</f>
        <v>#VALUE!</v>
      </c>
      <c r="DB173" t="e">
        <f>AND('Planilla_General_29-11-2012_10_'!E2597,"AAAAAC/X9Wk=")</f>
        <v>#VALUE!</v>
      </c>
      <c r="DC173" t="e">
        <f>AND('Planilla_General_29-11-2012_10_'!F2597,"AAAAAC/X9Wo=")</f>
        <v>#VALUE!</v>
      </c>
      <c r="DD173" t="e">
        <f>AND('Planilla_General_29-11-2012_10_'!G2597,"AAAAAC/X9Ws=")</f>
        <v>#VALUE!</v>
      </c>
      <c r="DE173" t="e">
        <f>AND('Planilla_General_29-11-2012_10_'!H2597,"AAAAAC/X9Ww=")</f>
        <v>#VALUE!</v>
      </c>
      <c r="DF173" t="e">
        <f>AND('Planilla_General_29-11-2012_10_'!I2597,"AAAAAC/X9W0=")</f>
        <v>#VALUE!</v>
      </c>
      <c r="DG173" t="e">
        <f>AND('Planilla_General_29-11-2012_10_'!J2597,"AAAAAC/X9W4=")</f>
        <v>#VALUE!</v>
      </c>
      <c r="DH173" t="e">
        <f>AND('Planilla_General_29-11-2012_10_'!K2597,"AAAAAC/X9W8=")</f>
        <v>#VALUE!</v>
      </c>
      <c r="DI173" t="e">
        <f>AND('Planilla_General_29-11-2012_10_'!L2597,"AAAAAC/X9XA=")</f>
        <v>#VALUE!</v>
      </c>
      <c r="DJ173" t="e">
        <f>AND('Planilla_General_29-11-2012_10_'!M2597,"AAAAAC/X9XE=")</f>
        <v>#VALUE!</v>
      </c>
      <c r="DK173" t="e">
        <f>AND('Planilla_General_29-11-2012_10_'!N2597,"AAAAAC/X9XI=")</f>
        <v>#VALUE!</v>
      </c>
      <c r="DL173" t="e">
        <f>AND('Planilla_General_29-11-2012_10_'!O2597,"AAAAAC/X9XM=")</f>
        <v>#VALUE!</v>
      </c>
      <c r="DM173" t="e">
        <f>AND('Planilla_General_29-11-2012_10_'!P2597,"AAAAAC/X9XQ=")</f>
        <v>#VALUE!</v>
      </c>
      <c r="DN173">
        <f>IF('Planilla_General_29-11-2012_10_'!2598:2598,"AAAAAC/X9XU=",0)</f>
        <v>0</v>
      </c>
      <c r="DO173" t="e">
        <f>AND('Planilla_General_29-11-2012_10_'!A2598,"AAAAAC/X9XY=")</f>
        <v>#VALUE!</v>
      </c>
      <c r="DP173" t="e">
        <f>AND('Planilla_General_29-11-2012_10_'!B2598,"AAAAAC/X9Xc=")</f>
        <v>#VALUE!</v>
      </c>
      <c r="DQ173" t="e">
        <f>AND('Planilla_General_29-11-2012_10_'!C2598,"AAAAAC/X9Xg=")</f>
        <v>#VALUE!</v>
      </c>
      <c r="DR173" t="e">
        <f>AND('Planilla_General_29-11-2012_10_'!D2598,"AAAAAC/X9Xk=")</f>
        <v>#VALUE!</v>
      </c>
      <c r="DS173" t="e">
        <f>AND('Planilla_General_29-11-2012_10_'!E2598,"AAAAAC/X9Xo=")</f>
        <v>#VALUE!</v>
      </c>
      <c r="DT173" t="e">
        <f>AND('Planilla_General_29-11-2012_10_'!F2598,"AAAAAC/X9Xs=")</f>
        <v>#VALUE!</v>
      </c>
      <c r="DU173" t="e">
        <f>AND('Planilla_General_29-11-2012_10_'!G2598,"AAAAAC/X9Xw=")</f>
        <v>#VALUE!</v>
      </c>
      <c r="DV173" t="e">
        <f>AND('Planilla_General_29-11-2012_10_'!H2598,"AAAAAC/X9X0=")</f>
        <v>#VALUE!</v>
      </c>
      <c r="DW173" t="e">
        <f>AND('Planilla_General_29-11-2012_10_'!I2598,"AAAAAC/X9X4=")</f>
        <v>#VALUE!</v>
      </c>
      <c r="DX173" t="e">
        <f>AND('Planilla_General_29-11-2012_10_'!J2598,"AAAAAC/X9X8=")</f>
        <v>#VALUE!</v>
      </c>
      <c r="DY173" t="e">
        <f>AND('Planilla_General_29-11-2012_10_'!K2598,"AAAAAC/X9YA=")</f>
        <v>#VALUE!</v>
      </c>
      <c r="DZ173" t="e">
        <f>AND('Planilla_General_29-11-2012_10_'!L2598,"AAAAAC/X9YE=")</f>
        <v>#VALUE!</v>
      </c>
      <c r="EA173" t="e">
        <f>AND('Planilla_General_29-11-2012_10_'!M2598,"AAAAAC/X9YI=")</f>
        <v>#VALUE!</v>
      </c>
      <c r="EB173" t="e">
        <f>AND('Planilla_General_29-11-2012_10_'!N2598,"AAAAAC/X9YM=")</f>
        <v>#VALUE!</v>
      </c>
      <c r="EC173" t="e">
        <f>AND('Planilla_General_29-11-2012_10_'!O2598,"AAAAAC/X9YQ=")</f>
        <v>#VALUE!</v>
      </c>
      <c r="ED173" t="e">
        <f>AND('Planilla_General_29-11-2012_10_'!P2598,"AAAAAC/X9YU=")</f>
        <v>#VALUE!</v>
      </c>
      <c r="EE173">
        <f>IF('Planilla_General_29-11-2012_10_'!2599:2599,"AAAAAC/X9YY=",0)</f>
        <v>0</v>
      </c>
      <c r="EF173" t="e">
        <f>AND('Planilla_General_29-11-2012_10_'!A2599,"AAAAAC/X9Yc=")</f>
        <v>#VALUE!</v>
      </c>
      <c r="EG173" t="e">
        <f>AND('Planilla_General_29-11-2012_10_'!B2599,"AAAAAC/X9Yg=")</f>
        <v>#VALUE!</v>
      </c>
      <c r="EH173" t="e">
        <f>AND('Planilla_General_29-11-2012_10_'!C2599,"AAAAAC/X9Yk=")</f>
        <v>#VALUE!</v>
      </c>
      <c r="EI173" t="e">
        <f>AND('Planilla_General_29-11-2012_10_'!D2599,"AAAAAC/X9Yo=")</f>
        <v>#VALUE!</v>
      </c>
      <c r="EJ173" t="e">
        <f>AND('Planilla_General_29-11-2012_10_'!E2599,"AAAAAC/X9Ys=")</f>
        <v>#VALUE!</v>
      </c>
      <c r="EK173" t="e">
        <f>AND('Planilla_General_29-11-2012_10_'!F2599,"AAAAAC/X9Yw=")</f>
        <v>#VALUE!</v>
      </c>
      <c r="EL173" t="e">
        <f>AND('Planilla_General_29-11-2012_10_'!G2599,"AAAAAC/X9Y0=")</f>
        <v>#VALUE!</v>
      </c>
      <c r="EM173" t="e">
        <f>AND('Planilla_General_29-11-2012_10_'!H2599,"AAAAAC/X9Y4=")</f>
        <v>#VALUE!</v>
      </c>
      <c r="EN173" t="e">
        <f>AND('Planilla_General_29-11-2012_10_'!I2599,"AAAAAC/X9Y8=")</f>
        <v>#VALUE!</v>
      </c>
      <c r="EO173" t="e">
        <f>AND('Planilla_General_29-11-2012_10_'!J2599,"AAAAAC/X9ZA=")</f>
        <v>#VALUE!</v>
      </c>
      <c r="EP173" t="e">
        <f>AND('Planilla_General_29-11-2012_10_'!K2599,"AAAAAC/X9ZE=")</f>
        <v>#VALUE!</v>
      </c>
      <c r="EQ173" t="e">
        <f>AND('Planilla_General_29-11-2012_10_'!L2599,"AAAAAC/X9ZI=")</f>
        <v>#VALUE!</v>
      </c>
      <c r="ER173" t="e">
        <f>AND('Planilla_General_29-11-2012_10_'!M2599,"AAAAAC/X9ZM=")</f>
        <v>#VALUE!</v>
      </c>
      <c r="ES173" t="e">
        <f>AND('Planilla_General_29-11-2012_10_'!N2599,"AAAAAC/X9ZQ=")</f>
        <v>#VALUE!</v>
      </c>
      <c r="ET173" t="e">
        <f>AND('Planilla_General_29-11-2012_10_'!O2599,"AAAAAC/X9ZU=")</f>
        <v>#VALUE!</v>
      </c>
      <c r="EU173" t="e">
        <f>AND('Planilla_General_29-11-2012_10_'!P2599,"AAAAAC/X9ZY=")</f>
        <v>#VALUE!</v>
      </c>
      <c r="EV173">
        <f>IF('Planilla_General_29-11-2012_10_'!2600:2600,"AAAAAC/X9Zc=",0)</f>
        <v>0</v>
      </c>
      <c r="EW173" t="e">
        <f>AND('Planilla_General_29-11-2012_10_'!A2600,"AAAAAC/X9Zg=")</f>
        <v>#VALUE!</v>
      </c>
      <c r="EX173" t="e">
        <f>AND('Planilla_General_29-11-2012_10_'!B2600,"AAAAAC/X9Zk=")</f>
        <v>#VALUE!</v>
      </c>
      <c r="EY173" t="e">
        <f>AND('Planilla_General_29-11-2012_10_'!C2600,"AAAAAC/X9Zo=")</f>
        <v>#VALUE!</v>
      </c>
      <c r="EZ173" t="e">
        <f>AND('Planilla_General_29-11-2012_10_'!D2600,"AAAAAC/X9Zs=")</f>
        <v>#VALUE!</v>
      </c>
      <c r="FA173" t="e">
        <f>AND('Planilla_General_29-11-2012_10_'!E2600,"AAAAAC/X9Zw=")</f>
        <v>#VALUE!</v>
      </c>
      <c r="FB173" t="e">
        <f>AND('Planilla_General_29-11-2012_10_'!F2600,"AAAAAC/X9Z0=")</f>
        <v>#VALUE!</v>
      </c>
      <c r="FC173" t="e">
        <f>AND('Planilla_General_29-11-2012_10_'!G2600,"AAAAAC/X9Z4=")</f>
        <v>#VALUE!</v>
      </c>
      <c r="FD173" t="e">
        <f>AND('Planilla_General_29-11-2012_10_'!H2600,"AAAAAC/X9Z8=")</f>
        <v>#VALUE!</v>
      </c>
      <c r="FE173" t="e">
        <f>AND('Planilla_General_29-11-2012_10_'!I2600,"AAAAAC/X9aA=")</f>
        <v>#VALUE!</v>
      </c>
      <c r="FF173" t="e">
        <f>AND('Planilla_General_29-11-2012_10_'!J2600,"AAAAAC/X9aE=")</f>
        <v>#VALUE!</v>
      </c>
      <c r="FG173" t="e">
        <f>AND('Planilla_General_29-11-2012_10_'!K2600,"AAAAAC/X9aI=")</f>
        <v>#VALUE!</v>
      </c>
      <c r="FH173" t="e">
        <f>AND('Planilla_General_29-11-2012_10_'!L2600,"AAAAAC/X9aM=")</f>
        <v>#VALUE!</v>
      </c>
      <c r="FI173" t="e">
        <f>AND('Planilla_General_29-11-2012_10_'!M2600,"AAAAAC/X9aQ=")</f>
        <v>#VALUE!</v>
      </c>
      <c r="FJ173" t="e">
        <f>AND('Planilla_General_29-11-2012_10_'!N2600,"AAAAAC/X9aU=")</f>
        <v>#VALUE!</v>
      </c>
      <c r="FK173" t="e">
        <f>AND('Planilla_General_29-11-2012_10_'!O2600,"AAAAAC/X9aY=")</f>
        <v>#VALUE!</v>
      </c>
      <c r="FL173" t="e">
        <f>AND('Planilla_General_29-11-2012_10_'!P2600,"AAAAAC/X9ac=")</f>
        <v>#VALUE!</v>
      </c>
      <c r="FM173">
        <f>IF('Planilla_General_29-11-2012_10_'!2601:2601,"AAAAAC/X9ag=",0)</f>
        <v>0</v>
      </c>
      <c r="FN173" t="e">
        <f>AND('Planilla_General_29-11-2012_10_'!A2601,"AAAAAC/X9ak=")</f>
        <v>#VALUE!</v>
      </c>
      <c r="FO173" t="e">
        <f>AND('Planilla_General_29-11-2012_10_'!B2601,"AAAAAC/X9ao=")</f>
        <v>#VALUE!</v>
      </c>
      <c r="FP173" t="e">
        <f>AND('Planilla_General_29-11-2012_10_'!C2601,"AAAAAC/X9as=")</f>
        <v>#VALUE!</v>
      </c>
      <c r="FQ173" t="e">
        <f>AND('Planilla_General_29-11-2012_10_'!D2601,"AAAAAC/X9aw=")</f>
        <v>#VALUE!</v>
      </c>
      <c r="FR173" t="e">
        <f>AND('Planilla_General_29-11-2012_10_'!E2601,"AAAAAC/X9a0=")</f>
        <v>#VALUE!</v>
      </c>
      <c r="FS173" t="e">
        <f>AND('Planilla_General_29-11-2012_10_'!F2601,"AAAAAC/X9a4=")</f>
        <v>#VALUE!</v>
      </c>
      <c r="FT173" t="e">
        <f>AND('Planilla_General_29-11-2012_10_'!G2601,"AAAAAC/X9a8=")</f>
        <v>#VALUE!</v>
      </c>
      <c r="FU173" t="e">
        <f>AND('Planilla_General_29-11-2012_10_'!H2601,"AAAAAC/X9bA=")</f>
        <v>#VALUE!</v>
      </c>
      <c r="FV173" t="e">
        <f>AND('Planilla_General_29-11-2012_10_'!I2601,"AAAAAC/X9bE=")</f>
        <v>#VALUE!</v>
      </c>
      <c r="FW173" t="e">
        <f>AND('Planilla_General_29-11-2012_10_'!J2601,"AAAAAC/X9bI=")</f>
        <v>#VALUE!</v>
      </c>
      <c r="FX173" t="e">
        <f>AND('Planilla_General_29-11-2012_10_'!K2601,"AAAAAC/X9bM=")</f>
        <v>#VALUE!</v>
      </c>
      <c r="FY173" t="e">
        <f>AND('Planilla_General_29-11-2012_10_'!L2601,"AAAAAC/X9bQ=")</f>
        <v>#VALUE!</v>
      </c>
      <c r="FZ173" t="e">
        <f>AND('Planilla_General_29-11-2012_10_'!M2601,"AAAAAC/X9bU=")</f>
        <v>#VALUE!</v>
      </c>
      <c r="GA173" t="e">
        <f>AND('Planilla_General_29-11-2012_10_'!N2601,"AAAAAC/X9bY=")</f>
        <v>#VALUE!</v>
      </c>
      <c r="GB173" t="e">
        <f>AND('Planilla_General_29-11-2012_10_'!O2601,"AAAAAC/X9bc=")</f>
        <v>#VALUE!</v>
      </c>
      <c r="GC173" t="e">
        <f>AND('Planilla_General_29-11-2012_10_'!P2601,"AAAAAC/X9bg=")</f>
        <v>#VALUE!</v>
      </c>
      <c r="GD173">
        <f>IF('Planilla_General_29-11-2012_10_'!2602:2602,"AAAAAC/X9bk=",0)</f>
        <v>0</v>
      </c>
      <c r="GE173" t="e">
        <f>AND('Planilla_General_29-11-2012_10_'!A2602,"AAAAAC/X9bo=")</f>
        <v>#VALUE!</v>
      </c>
      <c r="GF173" t="e">
        <f>AND('Planilla_General_29-11-2012_10_'!B2602,"AAAAAC/X9bs=")</f>
        <v>#VALUE!</v>
      </c>
      <c r="GG173" t="e">
        <f>AND('Planilla_General_29-11-2012_10_'!C2602,"AAAAAC/X9bw=")</f>
        <v>#VALUE!</v>
      </c>
      <c r="GH173" t="e">
        <f>AND('Planilla_General_29-11-2012_10_'!D2602,"AAAAAC/X9b0=")</f>
        <v>#VALUE!</v>
      </c>
      <c r="GI173" t="e">
        <f>AND('Planilla_General_29-11-2012_10_'!E2602,"AAAAAC/X9b4=")</f>
        <v>#VALUE!</v>
      </c>
      <c r="GJ173" t="e">
        <f>AND('Planilla_General_29-11-2012_10_'!F2602,"AAAAAC/X9b8=")</f>
        <v>#VALUE!</v>
      </c>
      <c r="GK173" t="e">
        <f>AND('Planilla_General_29-11-2012_10_'!G2602,"AAAAAC/X9cA=")</f>
        <v>#VALUE!</v>
      </c>
      <c r="GL173" t="e">
        <f>AND('Planilla_General_29-11-2012_10_'!H2602,"AAAAAC/X9cE=")</f>
        <v>#VALUE!</v>
      </c>
      <c r="GM173" t="e">
        <f>AND('Planilla_General_29-11-2012_10_'!I2602,"AAAAAC/X9cI=")</f>
        <v>#VALUE!</v>
      </c>
      <c r="GN173" t="e">
        <f>AND('Planilla_General_29-11-2012_10_'!J2602,"AAAAAC/X9cM=")</f>
        <v>#VALUE!</v>
      </c>
      <c r="GO173" t="e">
        <f>AND('Planilla_General_29-11-2012_10_'!K2602,"AAAAAC/X9cQ=")</f>
        <v>#VALUE!</v>
      </c>
      <c r="GP173" t="e">
        <f>AND('Planilla_General_29-11-2012_10_'!L2602,"AAAAAC/X9cU=")</f>
        <v>#VALUE!</v>
      </c>
      <c r="GQ173" t="e">
        <f>AND('Planilla_General_29-11-2012_10_'!M2602,"AAAAAC/X9cY=")</f>
        <v>#VALUE!</v>
      </c>
      <c r="GR173" t="e">
        <f>AND('Planilla_General_29-11-2012_10_'!N2602,"AAAAAC/X9cc=")</f>
        <v>#VALUE!</v>
      </c>
      <c r="GS173" t="e">
        <f>AND('Planilla_General_29-11-2012_10_'!O2602,"AAAAAC/X9cg=")</f>
        <v>#VALUE!</v>
      </c>
      <c r="GT173" t="e">
        <f>AND('Planilla_General_29-11-2012_10_'!P2602,"AAAAAC/X9ck=")</f>
        <v>#VALUE!</v>
      </c>
      <c r="GU173">
        <f>IF('Planilla_General_29-11-2012_10_'!2603:2603,"AAAAAC/X9co=",0)</f>
        <v>0</v>
      </c>
      <c r="GV173" t="e">
        <f>AND('Planilla_General_29-11-2012_10_'!A2603,"AAAAAC/X9cs=")</f>
        <v>#VALUE!</v>
      </c>
      <c r="GW173" t="e">
        <f>AND('Planilla_General_29-11-2012_10_'!B2603,"AAAAAC/X9cw=")</f>
        <v>#VALUE!</v>
      </c>
      <c r="GX173" t="e">
        <f>AND('Planilla_General_29-11-2012_10_'!C2603,"AAAAAC/X9c0=")</f>
        <v>#VALUE!</v>
      </c>
      <c r="GY173" t="e">
        <f>AND('Planilla_General_29-11-2012_10_'!D2603,"AAAAAC/X9c4=")</f>
        <v>#VALUE!</v>
      </c>
      <c r="GZ173" t="e">
        <f>AND('Planilla_General_29-11-2012_10_'!E2603,"AAAAAC/X9c8=")</f>
        <v>#VALUE!</v>
      </c>
      <c r="HA173" t="e">
        <f>AND('Planilla_General_29-11-2012_10_'!F2603,"AAAAAC/X9dA=")</f>
        <v>#VALUE!</v>
      </c>
      <c r="HB173" t="e">
        <f>AND('Planilla_General_29-11-2012_10_'!G2603,"AAAAAC/X9dE=")</f>
        <v>#VALUE!</v>
      </c>
      <c r="HC173" t="e">
        <f>AND('Planilla_General_29-11-2012_10_'!H2603,"AAAAAC/X9dI=")</f>
        <v>#VALUE!</v>
      </c>
      <c r="HD173" t="e">
        <f>AND('Planilla_General_29-11-2012_10_'!I2603,"AAAAAC/X9dM=")</f>
        <v>#VALUE!</v>
      </c>
      <c r="HE173" t="e">
        <f>AND('Planilla_General_29-11-2012_10_'!J2603,"AAAAAC/X9dQ=")</f>
        <v>#VALUE!</v>
      </c>
      <c r="HF173" t="e">
        <f>AND('Planilla_General_29-11-2012_10_'!K2603,"AAAAAC/X9dU=")</f>
        <v>#VALUE!</v>
      </c>
      <c r="HG173" t="e">
        <f>AND('Planilla_General_29-11-2012_10_'!L2603,"AAAAAC/X9dY=")</f>
        <v>#VALUE!</v>
      </c>
      <c r="HH173" t="e">
        <f>AND('Planilla_General_29-11-2012_10_'!M2603,"AAAAAC/X9dc=")</f>
        <v>#VALUE!</v>
      </c>
      <c r="HI173" t="e">
        <f>AND('Planilla_General_29-11-2012_10_'!N2603,"AAAAAC/X9dg=")</f>
        <v>#VALUE!</v>
      </c>
      <c r="HJ173" t="e">
        <f>AND('Planilla_General_29-11-2012_10_'!O2603,"AAAAAC/X9dk=")</f>
        <v>#VALUE!</v>
      </c>
      <c r="HK173" t="e">
        <f>AND('Planilla_General_29-11-2012_10_'!P2603,"AAAAAC/X9do=")</f>
        <v>#VALUE!</v>
      </c>
      <c r="HL173">
        <f>IF('Planilla_General_29-11-2012_10_'!2604:2604,"AAAAAC/X9ds=",0)</f>
        <v>0</v>
      </c>
      <c r="HM173" t="e">
        <f>AND('Planilla_General_29-11-2012_10_'!A2604,"AAAAAC/X9dw=")</f>
        <v>#VALUE!</v>
      </c>
      <c r="HN173" t="e">
        <f>AND('Planilla_General_29-11-2012_10_'!B2604,"AAAAAC/X9d0=")</f>
        <v>#VALUE!</v>
      </c>
      <c r="HO173" t="e">
        <f>AND('Planilla_General_29-11-2012_10_'!C2604,"AAAAAC/X9d4=")</f>
        <v>#VALUE!</v>
      </c>
      <c r="HP173" t="e">
        <f>AND('Planilla_General_29-11-2012_10_'!D2604,"AAAAAC/X9d8=")</f>
        <v>#VALUE!</v>
      </c>
      <c r="HQ173" t="e">
        <f>AND('Planilla_General_29-11-2012_10_'!E2604,"AAAAAC/X9eA=")</f>
        <v>#VALUE!</v>
      </c>
      <c r="HR173" t="e">
        <f>AND('Planilla_General_29-11-2012_10_'!F2604,"AAAAAC/X9eE=")</f>
        <v>#VALUE!</v>
      </c>
      <c r="HS173" t="e">
        <f>AND('Planilla_General_29-11-2012_10_'!G2604,"AAAAAC/X9eI=")</f>
        <v>#VALUE!</v>
      </c>
      <c r="HT173" t="e">
        <f>AND('Planilla_General_29-11-2012_10_'!H2604,"AAAAAC/X9eM=")</f>
        <v>#VALUE!</v>
      </c>
      <c r="HU173" t="e">
        <f>AND('Planilla_General_29-11-2012_10_'!I2604,"AAAAAC/X9eQ=")</f>
        <v>#VALUE!</v>
      </c>
      <c r="HV173" t="e">
        <f>AND('Planilla_General_29-11-2012_10_'!J2604,"AAAAAC/X9eU=")</f>
        <v>#VALUE!</v>
      </c>
      <c r="HW173" t="e">
        <f>AND('Planilla_General_29-11-2012_10_'!K2604,"AAAAAC/X9eY=")</f>
        <v>#VALUE!</v>
      </c>
      <c r="HX173" t="e">
        <f>AND('Planilla_General_29-11-2012_10_'!L2604,"AAAAAC/X9ec=")</f>
        <v>#VALUE!</v>
      </c>
      <c r="HY173" t="e">
        <f>AND('Planilla_General_29-11-2012_10_'!M2604,"AAAAAC/X9eg=")</f>
        <v>#VALUE!</v>
      </c>
      <c r="HZ173" t="e">
        <f>AND('Planilla_General_29-11-2012_10_'!N2604,"AAAAAC/X9ek=")</f>
        <v>#VALUE!</v>
      </c>
      <c r="IA173" t="e">
        <f>AND('Planilla_General_29-11-2012_10_'!O2604,"AAAAAC/X9eo=")</f>
        <v>#VALUE!</v>
      </c>
      <c r="IB173" t="e">
        <f>AND('Planilla_General_29-11-2012_10_'!P2604,"AAAAAC/X9es=")</f>
        <v>#VALUE!</v>
      </c>
      <c r="IC173">
        <f>IF('Planilla_General_29-11-2012_10_'!2605:2605,"AAAAAC/X9ew=",0)</f>
        <v>0</v>
      </c>
      <c r="ID173" t="e">
        <f>AND('Planilla_General_29-11-2012_10_'!A2605,"AAAAAC/X9e0=")</f>
        <v>#VALUE!</v>
      </c>
      <c r="IE173" t="e">
        <f>AND('Planilla_General_29-11-2012_10_'!B2605,"AAAAAC/X9e4=")</f>
        <v>#VALUE!</v>
      </c>
      <c r="IF173" t="e">
        <f>AND('Planilla_General_29-11-2012_10_'!C2605,"AAAAAC/X9e8=")</f>
        <v>#VALUE!</v>
      </c>
      <c r="IG173" t="e">
        <f>AND('Planilla_General_29-11-2012_10_'!D2605,"AAAAAC/X9fA=")</f>
        <v>#VALUE!</v>
      </c>
      <c r="IH173" t="e">
        <f>AND('Planilla_General_29-11-2012_10_'!E2605,"AAAAAC/X9fE=")</f>
        <v>#VALUE!</v>
      </c>
      <c r="II173" t="e">
        <f>AND('Planilla_General_29-11-2012_10_'!F2605,"AAAAAC/X9fI=")</f>
        <v>#VALUE!</v>
      </c>
      <c r="IJ173" t="e">
        <f>AND('Planilla_General_29-11-2012_10_'!G2605,"AAAAAC/X9fM=")</f>
        <v>#VALUE!</v>
      </c>
      <c r="IK173" t="e">
        <f>AND('Planilla_General_29-11-2012_10_'!H2605,"AAAAAC/X9fQ=")</f>
        <v>#VALUE!</v>
      </c>
      <c r="IL173" t="e">
        <f>AND('Planilla_General_29-11-2012_10_'!I2605,"AAAAAC/X9fU=")</f>
        <v>#VALUE!</v>
      </c>
      <c r="IM173" t="e">
        <f>AND('Planilla_General_29-11-2012_10_'!J2605,"AAAAAC/X9fY=")</f>
        <v>#VALUE!</v>
      </c>
      <c r="IN173" t="e">
        <f>AND('Planilla_General_29-11-2012_10_'!K2605,"AAAAAC/X9fc=")</f>
        <v>#VALUE!</v>
      </c>
      <c r="IO173" t="e">
        <f>AND('Planilla_General_29-11-2012_10_'!L2605,"AAAAAC/X9fg=")</f>
        <v>#VALUE!</v>
      </c>
      <c r="IP173" t="e">
        <f>AND('Planilla_General_29-11-2012_10_'!M2605,"AAAAAC/X9fk=")</f>
        <v>#VALUE!</v>
      </c>
      <c r="IQ173" t="e">
        <f>AND('Planilla_General_29-11-2012_10_'!N2605,"AAAAAC/X9fo=")</f>
        <v>#VALUE!</v>
      </c>
      <c r="IR173" t="e">
        <f>AND('Planilla_General_29-11-2012_10_'!O2605,"AAAAAC/X9fs=")</f>
        <v>#VALUE!</v>
      </c>
      <c r="IS173" t="e">
        <f>AND('Planilla_General_29-11-2012_10_'!P2605,"AAAAAC/X9fw=")</f>
        <v>#VALUE!</v>
      </c>
      <c r="IT173">
        <f>IF('Planilla_General_29-11-2012_10_'!2606:2606,"AAAAAC/X9f0=",0)</f>
        <v>0</v>
      </c>
      <c r="IU173" t="e">
        <f>AND('Planilla_General_29-11-2012_10_'!A2606,"AAAAAC/X9f4=")</f>
        <v>#VALUE!</v>
      </c>
      <c r="IV173" t="e">
        <f>AND('Planilla_General_29-11-2012_10_'!B2606,"AAAAAC/X9f8=")</f>
        <v>#VALUE!</v>
      </c>
    </row>
    <row r="174" spans="1:256" x14ac:dyDescent="0.25">
      <c r="A174" t="e">
        <f>AND('Planilla_General_29-11-2012_10_'!C2606,"AAAAAD/j0gA=")</f>
        <v>#VALUE!</v>
      </c>
      <c r="B174" t="e">
        <f>AND('Planilla_General_29-11-2012_10_'!D2606,"AAAAAD/j0gE=")</f>
        <v>#VALUE!</v>
      </c>
      <c r="C174" t="e">
        <f>AND('Planilla_General_29-11-2012_10_'!E2606,"AAAAAD/j0gI=")</f>
        <v>#VALUE!</v>
      </c>
      <c r="D174" t="e">
        <f>AND('Planilla_General_29-11-2012_10_'!F2606,"AAAAAD/j0gM=")</f>
        <v>#VALUE!</v>
      </c>
      <c r="E174" t="e">
        <f>AND('Planilla_General_29-11-2012_10_'!G2606,"AAAAAD/j0gQ=")</f>
        <v>#VALUE!</v>
      </c>
      <c r="F174" t="e">
        <f>AND('Planilla_General_29-11-2012_10_'!H2606,"AAAAAD/j0gU=")</f>
        <v>#VALUE!</v>
      </c>
      <c r="G174" t="e">
        <f>AND('Planilla_General_29-11-2012_10_'!I2606,"AAAAAD/j0gY=")</f>
        <v>#VALUE!</v>
      </c>
      <c r="H174" t="e">
        <f>AND('Planilla_General_29-11-2012_10_'!J2606,"AAAAAD/j0gc=")</f>
        <v>#VALUE!</v>
      </c>
      <c r="I174" t="e">
        <f>AND('Planilla_General_29-11-2012_10_'!K2606,"AAAAAD/j0gg=")</f>
        <v>#VALUE!</v>
      </c>
      <c r="J174" t="e">
        <f>AND('Planilla_General_29-11-2012_10_'!L2606,"AAAAAD/j0gk=")</f>
        <v>#VALUE!</v>
      </c>
      <c r="K174" t="e">
        <f>AND('Planilla_General_29-11-2012_10_'!M2606,"AAAAAD/j0go=")</f>
        <v>#VALUE!</v>
      </c>
      <c r="L174" t="e">
        <f>AND('Planilla_General_29-11-2012_10_'!N2606,"AAAAAD/j0gs=")</f>
        <v>#VALUE!</v>
      </c>
      <c r="M174" t="e">
        <f>AND('Planilla_General_29-11-2012_10_'!O2606,"AAAAAD/j0gw=")</f>
        <v>#VALUE!</v>
      </c>
      <c r="N174" t="e">
        <f>AND('Planilla_General_29-11-2012_10_'!P2606,"AAAAAD/j0g0=")</f>
        <v>#VALUE!</v>
      </c>
      <c r="O174" t="str">
        <f>IF('Planilla_General_29-11-2012_10_'!2607:2607,"AAAAAD/j0g4=",0)</f>
        <v>AAAAAD/j0g4=</v>
      </c>
      <c r="P174" t="e">
        <f>AND('Planilla_General_29-11-2012_10_'!A2607,"AAAAAD/j0g8=")</f>
        <v>#VALUE!</v>
      </c>
      <c r="Q174" t="e">
        <f>AND('Planilla_General_29-11-2012_10_'!B2607,"AAAAAD/j0hA=")</f>
        <v>#VALUE!</v>
      </c>
      <c r="R174" t="e">
        <f>AND('Planilla_General_29-11-2012_10_'!C2607,"AAAAAD/j0hE=")</f>
        <v>#VALUE!</v>
      </c>
      <c r="S174" t="e">
        <f>AND('Planilla_General_29-11-2012_10_'!D2607,"AAAAAD/j0hI=")</f>
        <v>#VALUE!</v>
      </c>
      <c r="T174" t="e">
        <f>AND('Planilla_General_29-11-2012_10_'!E2607,"AAAAAD/j0hM=")</f>
        <v>#VALUE!</v>
      </c>
      <c r="U174" t="e">
        <f>AND('Planilla_General_29-11-2012_10_'!F2607,"AAAAAD/j0hQ=")</f>
        <v>#VALUE!</v>
      </c>
      <c r="V174" t="e">
        <f>AND('Planilla_General_29-11-2012_10_'!G2607,"AAAAAD/j0hU=")</f>
        <v>#VALUE!</v>
      </c>
      <c r="W174" t="e">
        <f>AND('Planilla_General_29-11-2012_10_'!H2607,"AAAAAD/j0hY=")</f>
        <v>#VALUE!</v>
      </c>
      <c r="X174" t="e">
        <f>AND('Planilla_General_29-11-2012_10_'!I2607,"AAAAAD/j0hc=")</f>
        <v>#VALUE!</v>
      </c>
      <c r="Y174" t="e">
        <f>AND('Planilla_General_29-11-2012_10_'!J2607,"AAAAAD/j0hg=")</f>
        <v>#VALUE!</v>
      </c>
      <c r="Z174" t="e">
        <f>AND('Planilla_General_29-11-2012_10_'!K2607,"AAAAAD/j0hk=")</f>
        <v>#VALUE!</v>
      </c>
      <c r="AA174" t="e">
        <f>AND('Planilla_General_29-11-2012_10_'!L2607,"AAAAAD/j0ho=")</f>
        <v>#VALUE!</v>
      </c>
      <c r="AB174" t="e">
        <f>AND('Planilla_General_29-11-2012_10_'!M2607,"AAAAAD/j0hs=")</f>
        <v>#VALUE!</v>
      </c>
      <c r="AC174" t="e">
        <f>AND('Planilla_General_29-11-2012_10_'!N2607,"AAAAAD/j0hw=")</f>
        <v>#VALUE!</v>
      </c>
      <c r="AD174" t="e">
        <f>AND('Planilla_General_29-11-2012_10_'!O2607,"AAAAAD/j0h0=")</f>
        <v>#VALUE!</v>
      </c>
      <c r="AE174" t="e">
        <f>AND('Planilla_General_29-11-2012_10_'!P2607,"AAAAAD/j0h4=")</f>
        <v>#VALUE!</v>
      </c>
      <c r="AF174">
        <f>IF('Planilla_General_29-11-2012_10_'!2608:2608,"AAAAAD/j0h8=",0)</f>
        <v>0</v>
      </c>
      <c r="AG174" t="e">
        <f>AND('Planilla_General_29-11-2012_10_'!A2608,"AAAAAD/j0iA=")</f>
        <v>#VALUE!</v>
      </c>
      <c r="AH174" t="e">
        <f>AND('Planilla_General_29-11-2012_10_'!B2608,"AAAAAD/j0iE=")</f>
        <v>#VALUE!</v>
      </c>
      <c r="AI174" t="e">
        <f>AND('Planilla_General_29-11-2012_10_'!C2608,"AAAAAD/j0iI=")</f>
        <v>#VALUE!</v>
      </c>
      <c r="AJ174" t="e">
        <f>AND('Planilla_General_29-11-2012_10_'!D2608,"AAAAAD/j0iM=")</f>
        <v>#VALUE!</v>
      </c>
      <c r="AK174" t="e">
        <f>AND('Planilla_General_29-11-2012_10_'!E2608,"AAAAAD/j0iQ=")</f>
        <v>#VALUE!</v>
      </c>
      <c r="AL174" t="e">
        <f>AND('Planilla_General_29-11-2012_10_'!F2608,"AAAAAD/j0iU=")</f>
        <v>#VALUE!</v>
      </c>
      <c r="AM174" t="e">
        <f>AND('Planilla_General_29-11-2012_10_'!G2608,"AAAAAD/j0iY=")</f>
        <v>#VALUE!</v>
      </c>
      <c r="AN174" t="e">
        <f>AND('Planilla_General_29-11-2012_10_'!H2608,"AAAAAD/j0ic=")</f>
        <v>#VALUE!</v>
      </c>
      <c r="AO174" t="e">
        <f>AND('Planilla_General_29-11-2012_10_'!I2608,"AAAAAD/j0ig=")</f>
        <v>#VALUE!</v>
      </c>
      <c r="AP174" t="e">
        <f>AND('Planilla_General_29-11-2012_10_'!J2608,"AAAAAD/j0ik=")</f>
        <v>#VALUE!</v>
      </c>
      <c r="AQ174" t="e">
        <f>AND('Planilla_General_29-11-2012_10_'!K2608,"AAAAAD/j0io=")</f>
        <v>#VALUE!</v>
      </c>
      <c r="AR174" t="e">
        <f>AND('Planilla_General_29-11-2012_10_'!L2608,"AAAAAD/j0is=")</f>
        <v>#VALUE!</v>
      </c>
      <c r="AS174" t="e">
        <f>AND('Planilla_General_29-11-2012_10_'!M2608,"AAAAAD/j0iw=")</f>
        <v>#VALUE!</v>
      </c>
      <c r="AT174" t="e">
        <f>AND('Planilla_General_29-11-2012_10_'!N2608,"AAAAAD/j0i0=")</f>
        <v>#VALUE!</v>
      </c>
      <c r="AU174" t="e">
        <f>AND('Planilla_General_29-11-2012_10_'!O2608,"AAAAAD/j0i4=")</f>
        <v>#VALUE!</v>
      </c>
      <c r="AV174" t="e">
        <f>AND('Planilla_General_29-11-2012_10_'!P2608,"AAAAAD/j0i8=")</f>
        <v>#VALUE!</v>
      </c>
      <c r="AW174">
        <f>IF('Planilla_General_29-11-2012_10_'!2609:2609,"AAAAAD/j0jA=",0)</f>
        <v>0</v>
      </c>
      <c r="AX174" t="e">
        <f>AND('Planilla_General_29-11-2012_10_'!A2609,"AAAAAD/j0jE=")</f>
        <v>#VALUE!</v>
      </c>
      <c r="AY174" t="e">
        <f>AND('Planilla_General_29-11-2012_10_'!B2609,"AAAAAD/j0jI=")</f>
        <v>#VALUE!</v>
      </c>
      <c r="AZ174" t="e">
        <f>AND('Planilla_General_29-11-2012_10_'!C2609,"AAAAAD/j0jM=")</f>
        <v>#VALUE!</v>
      </c>
      <c r="BA174" t="e">
        <f>AND('Planilla_General_29-11-2012_10_'!D2609,"AAAAAD/j0jQ=")</f>
        <v>#VALUE!</v>
      </c>
      <c r="BB174" t="e">
        <f>AND('Planilla_General_29-11-2012_10_'!E2609,"AAAAAD/j0jU=")</f>
        <v>#VALUE!</v>
      </c>
      <c r="BC174" t="e">
        <f>AND('Planilla_General_29-11-2012_10_'!F2609,"AAAAAD/j0jY=")</f>
        <v>#VALUE!</v>
      </c>
      <c r="BD174" t="e">
        <f>AND('Planilla_General_29-11-2012_10_'!G2609,"AAAAAD/j0jc=")</f>
        <v>#VALUE!</v>
      </c>
      <c r="BE174" t="e">
        <f>AND('Planilla_General_29-11-2012_10_'!H2609,"AAAAAD/j0jg=")</f>
        <v>#VALUE!</v>
      </c>
      <c r="BF174" t="e">
        <f>AND('Planilla_General_29-11-2012_10_'!I2609,"AAAAAD/j0jk=")</f>
        <v>#VALUE!</v>
      </c>
      <c r="BG174" t="e">
        <f>AND('Planilla_General_29-11-2012_10_'!J2609,"AAAAAD/j0jo=")</f>
        <v>#VALUE!</v>
      </c>
      <c r="BH174" t="e">
        <f>AND('Planilla_General_29-11-2012_10_'!K2609,"AAAAAD/j0js=")</f>
        <v>#VALUE!</v>
      </c>
      <c r="BI174" t="e">
        <f>AND('Planilla_General_29-11-2012_10_'!L2609,"AAAAAD/j0jw=")</f>
        <v>#VALUE!</v>
      </c>
      <c r="BJ174" t="e">
        <f>AND('Planilla_General_29-11-2012_10_'!M2609,"AAAAAD/j0j0=")</f>
        <v>#VALUE!</v>
      </c>
      <c r="BK174" t="e">
        <f>AND('Planilla_General_29-11-2012_10_'!N2609,"AAAAAD/j0j4=")</f>
        <v>#VALUE!</v>
      </c>
      <c r="BL174" t="e">
        <f>AND('Planilla_General_29-11-2012_10_'!O2609,"AAAAAD/j0j8=")</f>
        <v>#VALUE!</v>
      </c>
      <c r="BM174" t="e">
        <f>AND('Planilla_General_29-11-2012_10_'!P2609,"AAAAAD/j0kA=")</f>
        <v>#VALUE!</v>
      </c>
      <c r="BN174">
        <f>IF('Planilla_General_29-11-2012_10_'!2610:2610,"AAAAAD/j0kE=",0)</f>
        <v>0</v>
      </c>
      <c r="BO174" t="e">
        <f>AND('Planilla_General_29-11-2012_10_'!A2610,"AAAAAD/j0kI=")</f>
        <v>#VALUE!</v>
      </c>
      <c r="BP174" t="e">
        <f>AND('Planilla_General_29-11-2012_10_'!B2610,"AAAAAD/j0kM=")</f>
        <v>#VALUE!</v>
      </c>
      <c r="BQ174" t="e">
        <f>AND('Planilla_General_29-11-2012_10_'!C2610,"AAAAAD/j0kQ=")</f>
        <v>#VALUE!</v>
      </c>
      <c r="BR174" t="e">
        <f>AND('Planilla_General_29-11-2012_10_'!D2610,"AAAAAD/j0kU=")</f>
        <v>#VALUE!</v>
      </c>
      <c r="BS174" t="e">
        <f>AND('Planilla_General_29-11-2012_10_'!E2610,"AAAAAD/j0kY=")</f>
        <v>#VALUE!</v>
      </c>
      <c r="BT174" t="e">
        <f>AND('Planilla_General_29-11-2012_10_'!F2610,"AAAAAD/j0kc=")</f>
        <v>#VALUE!</v>
      </c>
      <c r="BU174" t="e">
        <f>AND('Planilla_General_29-11-2012_10_'!G2610,"AAAAAD/j0kg=")</f>
        <v>#VALUE!</v>
      </c>
      <c r="BV174" t="e">
        <f>AND('Planilla_General_29-11-2012_10_'!H2610,"AAAAAD/j0kk=")</f>
        <v>#VALUE!</v>
      </c>
      <c r="BW174" t="e">
        <f>AND('Planilla_General_29-11-2012_10_'!I2610,"AAAAAD/j0ko=")</f>
        <v>#VALUE!</v>
      </c>
      <c r="BX174" t="e">
        <f>AND('Planilla_General_29-11-2012_10_'!J2610,"AAAAAD/j0ks=")</f>
        <v>#VALUE!</v>
      </c>
      <c r="BY174" t="e">
        <f>AND('Planilla_General_29-11-2012_10_'!K2610,"AAAAAD/j0kw=")</f>
        <v>#VALUE!</v>
      </c>
      <c r="BZ174" t="e">
        <f>AND('Planilla_General_29-11-2012_10_'!L2610,"AAAAAD/j0k0=")</f>
        <v>#VALUE!</v>
      </c>
      <c r="CA174" t="e">
        <f>AND('Planilla_General_29-11-2012_10_'!M2610,"AAAAAD/j0k4=")</f>
        <v>#VALUE!</v>
      </c>
      <c r="CB174" t="e">
        <f>AND('Planilla_General_29-11-2012_10_'!N2610,"AAAAAD/j0k8=")</f>
        <v>#VALUE!</v>
      </c>
      <c r="CC174" t="e">
        <f>AND('Planilla_General_29-11-2012_10_'!O2610,"AAAAAD/j0lA=")</f>
        <v>#VALUE!</v>
      </c>
      <c r="CD174" t="e">
        <f>AND('Planilla_General_29-11-2012_10_'!P2610,"AAAAAD/j0lE=")</f>
        <v>#VALUE!</v>
      </c>
      <c r="CE174">
        <f>IF('Planilla_General_29-11-2012_10_'!2611:2611,"AAAAAD/j0lI=",0)</f>
        <v>0</v>
      </c>
      <c r="CF174" t="e">
        <f>AND('Planilla_General_29-11-2012_10_'!A2611,"AAAAAD/j0lM=")</f>
        <v>#VALUE!</v>
      </c>
      <c r="CG174" t="e">
        <f>AND('Planilla_General_29-11-2012_10_'!B2611,"AAAAAD/j0lQ=")</f>
        <v>#VALUE!</v>
      </c>
      <c r="CH174" t="e">
        <f>AND('Planilla_General_29-11-2012_10_'!C2611,"AAAAAD/j0lU=")</f>
        <v>#VALUE!</v>
      </c>
      <c r="CI174" t="e">
        <f>AND('Planilla_General_29-11-2012_10_'!D2611,"AAAAAD/j0lY=")</f>
        <v>#VALUE!</v>
      </c>
      <c r="CJ174" t="e">
        <f>AND('Planilla_General_29-11-2012_10_'!E2611,"AAAAAD/j0lc=")</f>
        <v>#VALUE!</v>
      </c>
      <c r="CK174" t="e">
        <f>AND('Planilla_General_29-11-2012_10_'!F2611,"AAAAAD/j0lg=")</f>
        <v>#VALUE!</v>
      </c>
      <c r="CL174" t="e">
        <f>AND('Planilla_General_29-11-2012_10_'!G2611,"AAAAAD/j0lk=")</f>
        <v>#VALUE!</v>
      </c>
      <c r="CM174" t="e">
        <f>AND('Planilla_General_29-11-2012_10_'!H2611,"AAAAAD/j0lo=")</f>
        <v>#VALUE!</v>
      </c>
      <c r="CN174" t="e">
        <f>AND('Planilla_General_29-11-2012_10_'!I2611,"AAAAAD/j0ls=")</f>
        <v>#VALUE!</v>
      </c>
      <c r="CO174" t="e">
        <f>AND('Planilla_General_29-11-2012_10_'!J2611,"AAAAAD/j0lw=")</f>
        <v>#VALUE!</v>
      </c>
      <c r="CP174" t="e">
        <f>AND('Planilla_General_29-11-2012_10_'!K2611,"AAAAAD/j0l0=")</f>
        <v>#VALUE!</v>
      </c>
      <c r="CQ174" t="e">
        <f>AND('Planilla_General_29-11-2012_10_'!L2611,"AAAAAD/j0l4=")</f>
        <v>#VALUE!</v>
      </c>
      <c r="CR174" t="e">
        <f>AND('Planilla_General_29-11-2012_10_'!M2611,"AAAAAD/j0l8=")</f>
        <v>#VALUE!</v>
      </c>
      <c r="CS174" t="e">
        <f>AND('Planilla_General_29-11-2012_10_'!N2611,"AAAAAD/j0mA=")</f>
        <v>#VALUE!</v>
      </c>
      <c r="CT174" t="e">
        <f>AND('Planilla_General_29-11-2012_10_'!O2611,"AAAAAD/j0mE=")</f>
        <v>#VALUE!</v>
      </c>
      <c r="CU174" t="e">
        <f>AND('Planilla_General_29-11-2012_10_'!P2611,"AAAAAD/j0mI=")</f>
        <v>#VALUE!</v>
      </c>
      <c r="CV174">
        <f>IF('Planilla_General_29-11-2012_10_'!2612:2612,"AAAAAD/j0mM=",0)</f>
        <v>0</v>
      </c>
      <c r="CW174" t="e">
        <f>AND('Planilla_General_29-11-2012_10_'!A2612,"AAAAAD/j0mQ=")</f>
        <v>#VALUE!</v>
      </c>
      <c r="CX174" t="e">
        <f>AND('Planilla_General_29-11-2012_10_'!B2612,"AAAAAD/j0mU=")</f>
        <v>#VALUE!</v>
      </c>
      <c r="CY174" t="e">
        <f>AND('Planilla_General_29-11-2012_10_'!C2612,"AAAAAD/j0mY=")</f>
        <v>#VALUE!</v>
      </c>
      <c r="CZ174" t="e">
        <f>AND('Planilla_General_29-11-2012_10_'!D2612,"AAAAAD/j0mc=")</f>
        <v>#VALUE!</v>
      </c>
      <c r="DA174" t="e">
        <f>AND('Planilla_General_29-11-2012_10_'!E2612,"AAAAAD/j0mg=")</f>
        <v>#VALUE!</v>
      </c>
      <c r="DB174" t="e">
        <f>AND('Planilla_General_29-11-2012_10_'!F2612,"AAAAAD/j0mk=")</f>
        <v>#VALUE!</v>
      </c>
      <c r="DC174" t="e">
        <f>AND('Planilla_General_29-11-2012_10_'!G2612,"AAAAAD/j0mo=")</f>
        <v>#VALUE!</v>
      </c>
      <c r="DD174" t="e">
        <f>AND('Planilla_General_29-11-2012_10_'!H2612,"AAAAAD/j0ms=")</f>
        <v>#VALUE!</v>
      </c>
      <c r="DE174" t="e">
        <f>AND('Planilla_General_29-11-2012_10_'!I2612,"AAAAAD/j0mw=")</f>
        <v>#VALUE!</v>
      </c>
      <c r="DF174" t="e">
        <f>AND('Planilla_General_29-11-2012_10_'!J2612,"AAAAAD/j0m0=")</f>
        <v>#VALUE!</v>
      </c>
      <c r="DG174" t="e">
        <f>AND('Planilla_General_29-11-2012_10_'!K2612,"AAAAAD/j0m4=")</f>
        <v>#VALUE!</v>
      </c>
      <c r="DH174" t="e">
        <f>AND('Planilla_General_29-11-2012_10_'!L2612,"AAAAAD/j0m8=")</f>
        <v>#VALUE!</v>
      </c>
      <c r="DI174" t="e">
        <f>AND('Planilla_General_29-11-2012_10_'!M2612,"AAAAAD/j0nA=")</f>
        <v>#VALUE!</v>
      </c>
      <c r="DJ174" t="e">
        <f>AND('Planilla_General_29-11-2012_10_'!N2612,"AAAAAD/j0nE=")</f>
        <v>#VALUE!</v>
      </c>
      <c r="DK174" t="e">
        <f>AND('Planilla_General_29-11-2012_10_'!O2612,"AAAAAD/j0nI=")</f>
        <v>#VALUE!</v>
      </c>
      <c r="DL174" t="e">
        <f>AND('Planilla_General_29-11-2012_10_'!P2612,"AAAAAD/j0nM=")</f>
        <v>#VALUE!</v>
      </c>
      <c r="DM174">
        <f>IF('Planilla_General_29-11-2012_10_'!2613:2613,"AAAAAD/j0nQ=",0)</f>
        <v>0</v>
      </c>
      <c r="DN174" t="e">
        <f>AND('Planilla_General_29-11-2012_10_'!A2613,"AAAAAD/j0nU=")</f>
        <v>#VALUE!</v>
      </c>
      <c r="DO174" t="e">
        <f>AND('Planilla_General_29-11-2012_10_'!B2613,"AAAAAD/j0nY=")</f>
        <v>#VALUE!</v>
      </c>
      <c r="DP174" t="e">
        <f>AND('Planilla_General_29-11-2012_10_'!C2613,"AAAAAD/j0nc=")</f>
        <v>#VALUE!</v>
      </c>
      <c r="DQ174" t="e">
        <f>AND('Planilla_General_29-11-2012_10_'!D2613,"AAAAAD/j0ng=")</f>
        <v>#VALUE!</v>
      </c>
      <c r="DR174" t="e">
        <f>AND('Planilla_General_29-11-2012_10_'!E2613,"AAAAAD/j0nk=")</f>
        <v>#VALUE!</v>
      </c>
      <c r="DS174" t="e">
        <f>AND('Planilla_General_29-11-2012_10_'!F2613,"AAAAAD/j0no=")</f>
        <v>#VALUE!</v>
      </c>
      <c r="DT174" t="e">
        <f>AND('Planilla_General_29-11-2012_10_'!G2613,"AAAAAD/j0ns=")</f>
        <v>#VALUE!</v>
      </c>
      <c r="DU174" t="e">
        <f>AND('Planilla_General_29-11-2012_10_'!H2613,"AAAAAD/j0nw=")</f>
        <v>#VALUE!</v>
      </c>
      <c r="DV174" t="e">
        <f>AND('Planilla_General_29-11-2012_10_'!I2613,"AAAAAD/j0n0=")</f>
        <v>#VALUE!</v>
      </c>
      <c r="DW174" t="e">
        <f>AND('Planilla_General_29-11-2012_10_'!J2613,"AAAAAD/j0n4=")</f>
        <v>#VALUE!</v>
      </c>
      <c r="DX174" t="e">
        <f>AND('Planilla_General_29-11-2012_10_'!K2613,"AAAAAD/j0n8=")</f>
        <v>#VALUE!</v>
      </c>
      <c r="DY174" t="e">
        <f>AND('Planilla_General_29-11-2012_10_'!L2613,"AAAAAD/j0oA=")</f>
        <v>#VALUE!</v>
      </c>
      <c r="DZ174" t="e">
        <f>AND('Planilla_General_29-11-2012_10_'!M2613,"AAAAAD/j0oE=")</f>
        <v>#VALUE!</v>
      </c>
      <c r="EA174" t="e">
        <f>AND('Planilla_General_29-11-2012_10_'!N2613,"AAAAAD/j0oI=")</f>
        <v>#VALUE!</v>
      </c>
      <c r="EB174" t="e">
        <f>AND('Planilla_General_29-11-2012_10_'!O2613,"AAAAAD/j0oM=")</f>
        <v>#VALUE!</v>
      </c>
      <c r="EC174" t="e">
        <f>AND('Planilla_General_29-11-2012_10_'!P2613,"AAAAAD/j0oQ=")</f>
        <v>#VALUE!</v>
      </c>
      <c r="ED174">
        <f>IF('Planilla_General_29-11-2012_10_'!2614:2614,"AAAAAD/j0oU=",0)</f>
        <v>0</v>
      </c>
      <c r="EE174" t="e">
        <f>AND('Planilla_General_29-11-2012_10_'!A2614,"AAAAAD/j0oY=")</f>
        <v>#VALUE!</v>
      </c>
      <c r="EF174" t="e">
        <f>AND('Planilla_General_29-11-2012_10_'!B2614,"AAAAAD/j0oc=")</f>
        <v>#VALUE!</v>
      </c>
      <c r="EG174" t="e">
        <f>AND('Planilla_General_29-11-2012_10_'!C2614,"AAAAAD/j0og=")</f>
        <v>#VALUE!</v>
      </c>
      <c r="EH174" t="e">
        <f>AND('Planilla_General_29-11-2012_10_'!D2614,"AAAAAD/j0ok=")</f>
        <v>#VALUE!</v>
      </c>
      <c r="EI174" t="e">
        <f>AND('Planilla_General_29-11-2012_10_'!E2614,"AAAAAD/j0oo=")</f>
        <v>#VALUE!</v>
      </c>
      <c r="EJ174" t="e">
        <f>AND('Planilla_General_29-11-2012_10_'!F2614,"AAAAAD/j0os=")</f>
        <v>#VALUE!</v>
      </c>
      <c r="EK174" t="e">
        <f>AND('Planilla_General_29-11-2012_10_'!G2614,"AAAAAD/j0ow=")</f>
        <v>#VALUE!</v>
      </c>
      <c r="EL174" t="e">
        <f>AND('Planilla_General_29-11-2012_10_'!H2614,"AAAAAD/j0o0=")</f>
        <v>#VALUE!</v>
      </c>
      <c r="EM174" t="e">
        <f>AND('Planilla_General_29-11-2012_10_'!I2614,"AAAAAD/j0o4=")</f>
        <v>#VALUE!</v>
      </c>
      <c r="EN174" t="e">
        <f>AND('Planilla_General_29-11-2012_10_'!J2614,"AAAAAD/j0o8=")</f>
        <v>#VALUE!</v>
      </c>
      <c r="EO174" t="e">
        <f>AND('Planilla_General_29-11-2012_10_'!K2614,"AAAAAD/j0pA=")</f>
        <v>#VALUE!</v>
      </c>
      <c r="EP174" t="e">
        <f>AND('Planilla_General_29-11-2012_10_'!L2614,"AAAAAD/j0pE=")</f>
        <v>#VALUE!</v>
      </c>
      <c r="EQ174" t="e">
        <f>AND('Planilla_General_29-11-2012_10_'!M2614,"AAAAAD/j0pI=")</f>
        <v>#VALUE!</v>
      </c>
      <c r="ER174" t="e">
        <f>AND('Planilla_General_29-11-2012_10_'!N2614,"AAAAAD/j0pM=")</f>
        <v>#VALUE!</v>
      </c>
      <c r="ES174" t="e">
        <f>AND('Planilla_General_29-11-2012_10_'!O2614,"AAAAAD/j0pQ=")</f>
        <v>#VALUE!</v>
      </c>
      <c r="ET174" t="e">
        <f>AND('Planilla_General_29-11-2012_10_'!P2614,"AAAAAD/j0pU=")</f>
        <v>#VALUE!</v>
      </c>
      <c r="EU174">
        <f>IF('Planilla_General_29-11-2012_10_'!2615:2615,"AAAAAD/j0pY=",0)</f>
        <v>0</v>
      </c>
      <c r="EV174" t="e">
        <f>AND('Planilla_General_29-11-2012_10_'!A2615,"AAAAAD/j0pc=")</f>
        <v>#VALUE!</v>
      </c>
      <c r="EW174" t="e">
        <f>AND('Planilla_General_29-11-2012_10_'!B2615,"AAAAAD/j0pg=")</f>
        <v>#VALUE!</v>
      </c>
      <c r="EX174" t="e">
        <f>AND('Planilla_General_29-11-2012_10_'!C2615,"AAAAAD/j0pk=")</f>
        <v>#VALUE!</v>
      </c>
      <c r="EY174" t="e">
        <f>AND('Planilla_General_29-11-2012_10_'!D2615,"AAAAAD/j0po=")</f>
        <v>#VALUE!</v>
      </c>
      <c r="EZ174" t="e">
        <f>AND('Planilla_General_29-11-2012_10_'!E2615,"AAAAAD/j0ps=")</f>
        <v>#VALUE!</v>
      </c>
      <c r="FA174" t="e">
        <f>AND('Planilla_General_29-11-2012_10_'!F2615,"AAAAAD/j0pw=")</f>
        <v>#VALUE!</v>
      </c>
      <c r="FB174" t="e">
        <f>AND('Planilla_General_29-11-2012_10_'!G2615,"AAAAAD/j0p0=")</f>
        <v>#VALUE!</v>
      </c>
      <c r="FC174" t="e">
        <f>AND('Planilla_General_29-11-2012_10_'!H2615,"AAAAAD/j0p4=")</f>
        <v>#VALUE!</v>
      </c>
      <c r="FD174" t="e">
        <f>AND('Planilla_General_29-11-2012_10_'!I2615,"AAAAAD/j0p8=")</f>
        <v>#VALUE!</v>
      </c>
      <c r="FE174" t="e">
        <f>AND('Planilla_General_29-11-2012_10_'!J2615,"AAAAAD/j0qA=")</f>
        <v>#VALUE!</v>
      </c>
      <c r="FF174" t="e">
        <f>AND('Planilla_General_29-11-2012_10_'!K2615,"AAAAAD/j0qE=")</f>
        <v>#VALUE!</v>
      </c>
      <c r="FG174" t="e">
        <f>AND('Planilla_General_29-11-2012_10_'!L2615,"AAAAAD/j0qI=")</f>
        <v>#VALUE!</v>
      </c>
      <c r="FH174" t="e">
        <f>AND('Planilla_General_29-11-2012_10_'!M2615,"AAAAAD/j0qM=")</f>
        <v>#VALUE!</v>
      </c>
      <c r="FI174" t="e">
        <f>AND('Planilla_General_29-11-2012_10_'!N2615,"AAAAAD/j0qQ=")</f>
        <v>#VALUE!</v>
      </c>
      <c r="FJ174" t="e">
        <f>AND('Planilla_General_29-11-2012_10_'!O2615,"AAAAAD/j0qU=")</f>
        <v>#VALUE!</v>
      </c>
      <c r="FK174" t="e">
        <f>AND('Planilla_General_29-11-2012_10_'!P2615,"AAAAAD/j0qY=")</f>
        <v>#VALUE!</v>
      </c>
      <c r="FL174">
        <f>IF('Planilla_General_29-11-2012_10_'!2616:2616,"AAAAAD/j0qc=",0)</f>
        <v>0</v>
      </c>
      <c r="FM174" t="e">
        <f>AND('Planilla_General_29-11-2012_10_'!A2616,"AAAAAD/j0qg=")</f>
        <v>#VALUE!</v>
      </c>
      <c r="FN174" t="e">
        <f>AND('Planilla_General_29-11-2012_10_'!B2616,"AAAAAD/j0qk=")</f>
        <v>#VALUE!</v>
      </c>
      <c r="FO174" t="e">
        <f>AND('Planilla_General_29-11-2012_10_'!C2616,"AAAAAD/j0qo=")</f>
        <v>#VALUE!</v>
      </c>
      <c r="FP174" t="e">
        <f>AND('Planilla_General_29-11-2012_10_'!D2616,"AAAAAD/j0qs=")</f>
        <v>#VALUE!</v>
      </c>
      <c r="FQ174" t="e">
        <f>AND('Planilla_General_29-11-2012_10_'!E2616,"AAAAAD/j0qw=")</f>
        <v>#VALUE!</v>
      </c>
      <c r="FR174" t="e">
        <f>AND('Planilla_General_29-11-2012_10_'!F2616,"AAAAAD/j0q0=")</f>
        <v>#VALUE!</v>
      </c>
      <c r="FS174" t="e">
        <f>AND('Planilla_General_29-11-2012_10_'!G2616,"AAAAAD/j0q4=")</f>
        <v>#VALUE!</v>
      </c>
      <c r="FT174" t="e">
        <f>AND('Planilla_General_29-11-2012_10_'!H2616,"AAAAAD/j0q8=")</f>
        <v>#VALUE!</v>
      </c>
      <c r="FU174" t="e">
        <f>AND('Planilla_General_29-11-2012_10_'!I2616,"AAAAAD/j0rA=")</f>
        <v>#VALUE!</v>
      </c>
      <c r="FV174" t="e">
        <f>AND('Planilla_General_29-11-2012_10_'!J2616,"AAAAAD/j0rE=")</f>
        <v>#VALUE!</v>
      </c>
      <c r="FW174" t="e">
        <f>AND('Planilla_General_29-11-2012_10_'!K2616,"AAAAAD/j0rI=")</f>
        <v>#VALUE!</v>
      </c>
      <c r="FX174" t="e">
        <f>AND('Planilla_General_29-11-2012_10_'!L2616,"AAAAAD/j0rM=")</f>
        <v>#VALUE!</v>
      </c>
      <c r="FY174" t="e">
        <f>AND('Planilla_General_29-11-2012_10_'!M2616,"AAAAAD/j0rQ=")</f>
        <v>#VALUE!</v>
      </c>
      <c r="FZ174" t="e">
        <f>AND('Planilla_General_29-11-2012_10_'!N2616,"AAAAAD/j0rU=")</f>
        <v>#VALUE!</v>
      </c>
      <c r="GA174" t="e">
        <f>AND('Planilla_General_29-11-2012_10_'!O2616,"AAAAAD/j0rY=")</f>
        <v>#VALUE!</v>
      </c>
      <c r="GB174" t="e">
        <f>AND('Planilla_General_29-11-2012_10_'!P2616,"AAAAAD/j0rc=")</f>
        <v>#VALUE!</v>
      </c>
      <c r="GC174">
        <f>IF('Planilla_General_29-11-2012_10_'!2617:2617,"AAAAAD/j0rg=",0)</f>
        <v>0</v>
      </c>
      <c r="GD174" t="e">
        <f>AND('Planilla_General_29-11-2012_10_'!A2617,"AAAAAD/j0rk=")</f>
        <v>#VALUE!</v>
      </c>
      <c r="GE174" t="e">
        <f>AND('Planilla_General_29-11-2012_10_'!B2617,"AAAAAD/j0ro=")</f>
        <v>#VALUE!</v>
      </c>
      <c r="GF174" t="e">
        <f>AND('Planilla_General_29-11-2012_10_'!C2617,"AAAAAD/j0rs=")</f>
        <v>#VALUE!</v>
      </c>
      <c r="GG174" t="e">
        <f>AND('Planilla_General_29-11-2012_10_'!D2617,"AAAAAD/j0rw=")</f>
        <v>#VALUE!</v>
      </c>
      <c r="GH174" t="e">
        <f>AND('Planilla_General_29-11-2012_10_'!E2617,"AAAAAD/j0r0=")</f>
        <v>#VALUE!</v>
      </c>
      <c r="GI174" t="e">
        <f>AND('Planilla_General_29-11-2012_10_'!F2617,"AAAAAD/j0r4=")</f>
        <v>#VALUE!</v>
      </c>
      <c r="GJ174" t="e">
        <f>AND('Planilla_General_29-11-2012_10_'!G2617,"AAAAAD/j0r8=")</f>
        <v>#VALUE!</v>
      </c>
      <c r="GK174" t="e">
        <f>AND('Planilla_General_29-11-2012_10_'!H2617,"AAAAAD/j0sA=")</f>
        <v>#VALUE!</v>
      </c>
      <c r="GL174" t="e">
        <f>AND('Planilla_General_29-11-2012_10_'!I2617,"AAAAAD/j0sE=")</f>
        <v>#VALUE!</v>
      </c>
      <c r="GM174" t="e">
        <f>AND('Planilla_General_29-11-2012_10_'!J2617,"AAAAAD/j0sI=")</f>
        <v>#VALUE!</v>
      </c>
      <c r="GN174" t="e">
        <f>AND('Planilla_General_29-11-2012_10_'!K2617,"AAAAAD/j0sM=")</f>
        <v>#VALUE!</v>
      </c>
      <c r="GO174" t="e">
        <f>AND('Planilla_General_29-11-2012_10_'!L2617,"AAAAAD/j0sQ=")</f>
        <v>#VALUE!</v>
      </c>
      <c r="GP174" t="e">
        <f>AND('Planilla_General_29-11-2012_10_'!M2617,"AAAAAD/j0sU=")</f>
        <v>#VALUE!</v>
      </c>
      <c r="GQ174" t="e">
        <f>AND('Planilla_General_29-11-2012_10_'!N2617,"AAAAAD/j0sY=")</f>
        <v>#VALUE!</v>
      </c>
      <c r="GR174" t="e">
        <f>AND('Planilla_General_29-11-2012_10_'!O2617,"AAAAAD/j0sc=")</f>
        <v>#VALUE!</v>
      </c>
      <c r="GS174" t="e">
        <f>AND('Planilla_General_29-11-2012_10_'!P2617,"AAAAAD/j0sg=")</f>
        <v>#VALUE!</v>
      </c>
      <c r="GT174">
        <f>IF('Planilla_General_29-11-2012_10_'!2618:2618,"AAAAAD/j0sk=",0)</f>
        <v>0</v>
      </c>
      <c r="GU174" t="e">
        <f>AND('Planilla_General_29-11-2012_10_'!A2618,"AAAAAD/j0so=")</f>
        <v>#VALUE!</v>
      </c>
      <c r="GV174" t="e">
        <f>AND('Planilla_General_29-11-2012_10_'!B2618,"AAAAAD/j0ss=")</f>
        <v>#VALUE!</v>
      </c>
      <c r="GW174" t="e">
        <f>AND('Planilla_General_29-11-2012_10_'!C2618,"AAAAAD/j0sw=")</f>
        <v>#VALUE!</v>
      </c>
      <c r="GX174" t="e">
        <f>AND('Planilla_General_29-11-2012_10_'!D2618,"AAAAAD/j0s0=")</f>
        <v>#VALUE!</v>
      </c>
      <c r="GY174" t="e">
        <f>AND('Planilla_General_29-11-2012_10_'!E2618,"AAAAAD/j0s4=")</f>
        <v>#VALUE!</v>
      </c>
      <c r="GZ174" t="e">
        <f>AND('Planilla_General_29-11-2012_10_'!F2618,"AAAAAD/j0s8=")</f>
        <v>#VALUE!</v>
      </c>
      <c r="HA174" t="e">
        <f>AND('Planilla_General_29-11-2012_10_'!G2618,"AAAAAD/j0tA=")</f>
        <v>#VALUE!</v>
      </c>
      <c r="HB174" t="e">
        <f>AND('Planilla_General_29-11-2012_10_'!H2618,"AAAAAD/j0tE=")</f>
        <v>#VALUE!</v>
      </c>
      <c r="HC174" t="e">
        <f>AND('Planilla_General_29-11-2012_10_'!I2618,"AAAAAD/j0tI=")</f>
        <v>#VALUE!</v>
      </c>
      <c r="HD174" t="e">
        <f>AND('Planilla_General_29-11-2012_10_'!J2618,"AAAAAD/j0tM=")</f>
        <v>#VALUE!</v>
      </c>
      <c r="HE174" t="e">
        <f>AND('Planilla_General_29-11-2012_10_'!K2618,"AAAAAD/j0tQ=")</f>
        <v>#VALUE!</v>
      </c>
      <c r="HF174" t="e">
        <f>AND('Planilla_General_29-11-2012_10_'!L2618,"AAAAAD/j0tU=")</f>
        <v>#VALUE!</v>
      </c>
      <c r="HG174" t="e">
        <f>AND('Planilla_General_29-11-2012_10_'!M2618,"AAAAAD/j0tY=")</f>
        <v>#VALUE!</v>
      </c>
      <c r="HH174" t="e">
        <f>AND('Planilla_General_29-11-2012_10_'!N2618,"AAAAAD/j0tc=")</f>
        <v>#VALUE!</v>
      </c>
      <c r="HI174" t="e">
        <f>AND('Planilla_General_29-11-2012_10_'!O2618,"AAAAAD/j0tg=")</f>
        <v>#VALUE!</v>
      </c>
      <c r="HJ174" t="e">
        <f>AND('Planilla_General_29-11-2012_10_'!P2618,"AAAAAD/j0tk=")</f>
        <v>#VALUE!</v>
      </c>
      <c r="HK174">
        <f>IF('Planilla_General_29-11-2012_10_'!2619:2619,"AAAAAD/j0to=",0)</f>
        <v>0</v>
      </c>
      <c r="HL174" t="e">
        <f>AND('Planilla_General_29-11-2012_10_'!A2619,"AAAAAD/j0ts=")</f>
        <v>#VALUE!</v>
      </c>
      <c r="HM174" t="e">
        <f>AND('Planilla_General_29-11-2012_10_'!B2619,"AAAAAD/j0tw=")</f>
        <v>#VALUE!</v>
      </c>
      <c r="HN174" t="e">
        <f>AND('Planilla_General_29-11-2012_10_'!C2619,"AAAAAD/j0t0=")</f>
        <v>#VALUE!</v>
      </c>
      <c r="HO174" t="e">
        <f>AND('Planilla_General_29-11-2012_10_'!D2619,"AAAAAD/j0t4=")</f>
        <v>#VALUE!</v>
      </c>
      <c r="HP174" t="e">
        <f>AND('Planilla_General_29-11-2012_10_'!E2619,"AAAAAD/j0t8=")</f>
        <v>#VALUE!</v>
      </c>
      <c r="HQ174" t="e">
        <f>AND('Planilla_General_29-11-2012_10_'!F2619,"AAAAAD/j0uA=")</f>
        <v>#VALUE!</v>
      </c>
      <c r="HR174" t="e">
        <f>AND('Planilla_General_29-11-2012_10_'!G2619,"AAAAAD/j0uE=")</f>
        <v>#VALUE!</v>
      </c>
      <c r="HS174" t="e">
        <f>AND('Planilla_General_29-11-2012_10_'!H2619,"AAAAAD/j0uI=")</f>
        <v>#VALUE!</v>
      </c>
      <c r="HT174" t="e">
        <f>AND('Planilla_General_29-11-2012_10_'!I2619,"AAAAAD/j0uM=")</f>
        <v>#VALUE!</v>
      </c>
      <c r="HU174" t="e">
        <f>AND('Planilla_General_29-11-2012_10_'!J2619,"AAAAAD/j0uQ=")</f>
        <v>#VALUE!</v>
      </c>
      <c r="HV174" t="e">
        <f>AND('Planilla_General_29-11-2012_10_'!K2619,"AAAAAD/j0uU=")</f>
        <v>#VALUE!</v>
      </c>
      <c r="HW174" t="e">
        <f>AND('Planilla_General_29-11-2012_10_'!L2619,"AAAAAD/j0uY=")</f>
        <v>#VALUE!</v>
      </c>
      <c r="HX174" t="e">
        <f>AND('Planilla_General_29-11-2012_10_'!M2619,"AAAAAD/j0uc=")</f>
        <v>#VALUE!</v>
      </c>
      <c r="HY174" t="e">
        <f>AND('Planilla_General_29-11-2012_10_'!N2619,"AAAAAD/j0ug=")</f>
        <v>#VALUE!</v>
      </c>
      <c r="HZ174" t="e">
        <f>AND('Planilla_General_29-11-2012_10_'!O2619,"AAAAAD/j0uk=")</f>
        <v>#VALUE!</v>
      </c>
      <c r="IA174" t="e">
        <f>AND('Planilla_General_29-11-2012_10_'!P2619,"AAAAAD/j0uo=")</f>
        <v>#VALUE!</v>
      </c>
      <c r="IB174">
        <f>IF('Planilla_General_29-11-2012_10_'!2620:2620,"AAAAAD/j0us=",0)</f>
        <v>0</v>
      </c>
      <c r="IC174" t="e">
        <f>AND('Planilla_General_29-11-2012_10_'!A2620,"AAAAAD/j0uw=")</f>
        <v>#VALUE!</v>
      </c>
      <c r="ID174" t="e">
        <f>AND('Planilla_General_29-11-2012_10_'!B2620,"AAAAAD/j0u0=")</f>
        <v>#VALUE!</v>
      </c>
      <c r="IE174" t="e">
        <f>AND('Planilla_General_29-11-2012_10_'!C2620,"AAAAAD/j0u4=")</f>
        <v>#VALUE!</v>
      </c>
      <c r="IF174" t="e">
        <f>AND('Planilla_General_29-11-2012_10_'!D2620,"AAAAAD/j0u8=")</f>
        <v>#VALUE!</v>
      </c>
      <c r="IG174" t="e">
        <f>AND('Planilla_General_29-11-2012_10_'!E2620,"AAAAAD/j0vA=")</f>
        <v>#VALUE!</v>
      </c>
      <c r="IH174" t="e">
        <f>AND('Planilla_General_29-11-2012_10_'!F2620,"AAAAAD/j0vE=")</f>
        <v>#VALUE!</v>
      </c>
      <c r="II174" t="e">
        <f>AND('Planilla_General_29-11-2012_10_'!G2620,"AAAAAD/j0vI=")</f>
        <v>#VALUE!</v>
      </c>
      <c r="IJ174" t="e">
        <f>AND('Planilla_General_29-11-2012_10_'!H2620,"AAAAAD/j0vM=")</f>
        <v>#VALUE!</v>
      </c>
      <c r="IK174" t="e">
        <f>AND('Planilla_General_29-11-2012_10_'!I2620,"AAAAAD/j0vQ=")</f>
        <v>#VALUE!</v>
      </c>
      <c r="IL174" t="e">
        <f>AND('Planilla_General_29-11-2012_10_'!J2620,"AAAAAD/j0vU=")</f>
        <v>#VALUE!</v>
      </c>
      <c r="IM174" t="e">
        <f>AND('Planilla_General_29-11-2012_10_'!K2620,"AAAAAD/j0vY=")</f>
        <v>#VALUE!</v>
      </c>
      <c r="IN174" t="e">
        <f>AND('Planilla_General_29-11-2012_10_'!L2620,"AAAAAD/j0vc=")</f>
        <v>#VALUE!</v>
      </c>
      <c r="IO174" t="e">
        <f>AND('Planilla_General_29-11-2012_10_'!M2620,"AAAAAD/j0vg=")</f>
        <v>#VALUE!</v>
      </c>
      <c r="IP174" t="e">
        <f>AND('Planilla_General_29-11-2012_10_'!N2620,"AAAAAD/j0vk=")</f>
        <v>#VALUE!</v>
      </c>
      <c r="IQ174" t="e">
        <f>AND('Planilla_General_29-11-2012_10_'!O2620,"AAAAAD/j0vo=")</f>
        <v>#VALUE!</v>
      </c>
      <c r="IR174" t="e">
        <f>AND('Planilla_General_29-11-2012_10_'!P2620,"AAAAAD/j0vs=")</f>
        <v>#VALUE!</v>
      </c>
      <c r="IS174">
        <f>IF('Planilla_General_29-11-2012_10_'!2621:2621,"AAAAAD/j0vw=",0)</f>
        <v>0</v>
      </c>
      <c r="IT174" t="e">
        <f>AND('Planilla_General_29-11-2012_10_'!A2621,"AAAAAD/j0v0=")</f>
        <v>#VALUE!</v>
      </c>
      <c r="IU174" t="e">
        <f>AND('Planilla_General_29-11-2012_10_'!B2621,"AAAAAD/j0v4=")</f>
        <v>#VALUE!</v>
      </c>
      <c r="IV174" t="e">
        <f>AND('Planilla_General_29-11-2012_10_'!C2621,"AAAAAD/j0v8=")</f>
        <v>#VALUE!</v>
      </c>
    </row>
    <row r="175" spans="1:256" x14ac:dyDescent="0.25">
      <c r="A175" t="e">
        <f>AND('Planilla_General_29-11-2012_10_'!D2621,"AAAAAHu37QA=")</f>
        <v>#VALUE!</v>
      </c>
      <c r="B175" t="e">
        <f>AND('Planilla_General_29-11-2012_10_'!E2621,"AAAAAHu37QE=")</f>
        <v>#VALUE!</v>
      </c>
      <c r="C175" t="e">
        <f>AND('Planilla_General_29-11-2012_10_'!F2621,"AAAAAHu37QI=")</f>
        <v>#VALUE!</v>
      </c>
      <c r="D175" t="e">
        <f>AND('Planilla_General_29-11-2012_10_'!G2621,"AAAAAHu37QM=")</f>
        <v>#VALUE!</v>
      </c>
      <c r="E175" t="e">
        <f>AND('Planilla_General_29-11-2012_10_'!H2621,"AAAAAHu37QQ=")</f>
        <v>#VALUE!</v>
      </c>
      <c r="F175" t="e">
        <f>AND('Planilla_General_29-11-2012_10_'!I2621,"AAAAAHu37QU=")</f>
        <v>#VALUE!</v>
      </c>
      <c r="G175" t="e">
        <f>AND('Planilla_General_29-11-2012_10_'!J2621,"AAAAAHu37QY=")</f>
        <v>#VALUE!</v>
      </c>
      <c r="H175" t="e">
        <f>AND('Planilla_General_29-11-2012_10_'!K2621,"AAAAAHu37Qc=")</f>
        <v>#VALUE!</v>
      </c>
      <c r="I175" t="e">
        <f>AND('Planilla_General_29-11-2012_10_'!L2621,"AAAAAHu37Qg=")</f>
        <v>#VALUE!</v>
      </c>
      <c r="J175" t="e">
        <f>AND('Planilla_General_29-11-2012_10_'!M2621,"AAAAAHu37Qk=")</f>
        <v>#VALUE!</v>
      </c>
      <c r="K175" t="e">
        <f>AND('Planilla_General_29-11-2012_10_'!N2621,"AAAAAHu37Qo=")</f>
        <v>#VALUE!</v>
      </c>
      <c r="L175" t="e">
        <f>AND('Planilla_General_29-11-2012_10_'!O2621,"AAAAAHu37Qs=")</f>
        <v>#VALUE!</v>
      </c>
      <c r="M175" t="e">
        <f>AND('Planilla_General_29-11-2012_10_'!P2621,"AAAAAHu37Qw=")</f>
        <v>#VALUE!</v>
      </c>
      <c r="N175" t="str">
        <f>IF('Planilla_General_29-11-2012_10_'!2622:2622,"AAAAAHu37Q0=",0)</f>
        <v>AAAAAHu37Q0=</v>
      </c>
      <c r="O175" t="e">
        <f>AND('Planilla_General_29-11-2012_10_'!A2622,"AAAAAHu37Q4=")</f>
        <v>#VALUE!</v>
      </c>
      <c r="P175" t="e">
        <f>AND('Planilla_General_29-11-2012_10_'!B2622,"AAAAAHu37Q8=")</f>
        <v>#VALUE!</v>
      </c>
      <c r="Q175" t="e">
        <f>AND('Planilla_General_29-11-2012_10_'!C2622,"AAAAAHu37RA=")</f>
        <v>#VALUE!</v>
      </c>
      <c r="R175" t="e">
        <f>AND('Planilla_General_29-11-2012_10_'!D2622,"AAAAAHu37RE=")</f>
        <v>#VALUE!</v>
      </c>
      <c r="S175" t="e">
        <f>AND('Planilla_General_29-11-2012_10_'!E2622,"AAAAAHu37RI=")</f>
        <v>#VALUE!</v>
      </c>
      <c r="T175" t="e">
        <f>AND('Planilla_General_29-11-2012_10_'!F2622,"AAAAAHu37RM=")</f>
        <v>#VALUE!</v>
      </c>
      <c r="U175" t="e">
        <f>AND('Planilla_General_29-11-2012_10_'!G2622,"AAAAAHu37RQ=")</f>
        <v>#VALUE!</v>
      </c>
      <c r="V175" t="e">
        <f>AND('Planilla_General_29-11-2012_10_'!H2622,"AAAAAHu37RU=")</f>
        <v>#VALUE!</v>
      </c>
      <c r="W175" t="e">
        <f>AND('Planilla_General_29-11-2012_10_'!I2622,"AAAAAHu37RY=")</f>
        <v>#VALUE!</v>
      </c>
      <c r="X175" t="e">
        <f>AND('Planilla_General_29-11-2012_10_'!J2622,"AAAAAHu37Rc=")</f>
        <v>#VALUE!</v>
      </c>
      <c r="Y175" t="e">
        <f>AND('Planilla_General_29-11-2012_10_'!K2622,"AAAAAHu37Rg=")</f>
        <v>#VALUE!</v>
      </c>
      <c r="Z175" t="e">
        <f>AND('Planilla_General_29-11-2012_10_'!L2622,"AAAAAHu37Rk=")</f>
        <v>#VALUE!</v>
      </c>
      <c r="AA175" t="e">
        <f>AND('Planilla_General_29-11-2012_10_'!M2622,"AAAAAHu37Ro=")</f>
        <v>#VALUE!</v>
      </c>
      <c r="AB175" t="e">
        <f>AND('Planilla_General_29-11-2012_10_'!N2622,"AAAAAHu37Rs=")</f>
        <v>#VALUE!</v>
      </c>
      <c r="AC175" t="e">
        <f>AND('Planilla_General_29-11-2012_10_'!O2622,"AAAAAHu37Rw=")</f>
        <v>#VALUE!</v>
      </c>
      <c r="AD175" t="e">
        <f>AND('Planilla_General_29-11-2012_10_'!P2622,"AAAAAHu37R0=")</f>
        <v>#VALUE!</v>
      </c>
      <c r="AE175">
        <f>IF('Planilla_General_29-11-2012_10_'!2623:2623,"AAAAAHu37R4=",0)</f>
        <v>0</v>
      </c>
      <c r="AF175" t="e">
        <f>AND('Planilla_General_29-11-2012_10_'!A2623,"AAAAAHu37R8=")</f>
        <v>#VALUE!</v>
      </c>
      <c r="AG175" t="e">
        <f>AND('Planilla_General_29-11-2012_10_'!B2623,"AAAAAHu37SA=")</f>
        <v>#VALUE!</v>
      </c>
      <c r="AH175" t="e">
        <f>AND('Planilla_General_29-11-2012_10_'!C2623,"AAAAAHu37SE=")</f>
        <v>#VALUE!</v>
      </c>
      <c r="AI175" t="e">
        <f>AND('Planilla_General_29-11-2012_10_'!D2623,"AAAAAHu37SI=")</f>
        <v>#VALUE!</v>
      </c>
      <c r="AJ175" t="e">
        <f>AND('Planilla_General_29-11-2012_10_'!E2623,"AAAAAHu37SM=")</f>
        <v>#VALUE!</v>
      </c>
      <c r="AK175" t="e">
        <f>AND('Planilla_General_29-11-2012_10_'!F2623,"AAAAAHu37SQ=")</f>
        <v>#VALUE!</v>
      </c>
      <c r="AL175" t="e">
        <f>AND('Planilla_General_29-11-2012_10_'!G2623,"AAAAAHu37SU=")</f>
        <v>#VALUE!</v>
      </c>
      <c r="AM175" t="e">
        <f>AND('Planilla_General_29-11-2012_10_'!H2623,"AAAAAHu37SY=")</f>
        <v>#VALUE!</v>
      </c>
      <c r="AN175" t="e">
        <f>AND('Planilla_General_29-11-2012_10_'!I2623,"AAAAAHu37Sc=")</f>
        <v>#VALUE!</v>
      </c>
      <c r="AO175" t="e">
        <f>AND('Planilla_General_29-11-2012_10_'!J2623,"AAAAAHu37Sg=")</f>
        <v>#VALUE!</v>
      </c>
      <c r="AP175" t="e">
        <f>AND('Planilla_General_29-11-2012_10_'!K2623,"AAAAAHu37Sk=")</f>
        <v>#VALUE!</v>
      </c>
      <c r="AQ175" t="e">
        <f>AND('Planilla_General_29-11-2012_10_'!L2623,"AAAAAHu37So=")</f>
        <v>#VALUE!</v>
      </c>
      <c r="AR175" t="e">
        <f>AND('Planilla_General_29-11-2012_10_'!M2623,"AAAAAHu37Ss=")</f>
        <v>#VALUE!</v>
      </c>
      <c r="AS175" t="e">
        <f>AND('Planilla_General_29-11-2012_10_'!N2623,"AAAAAHu37Sw=")</f>
        <v>#VALUE!</v>
      </c>
      <c r="AT175" t="e">
        <f>AND('Planilla_General_29-11-2012_10_'!O2623,"AAAAAHu37S0=")</f>
        <v>#VALUE!</v>
      </c>
      <c r="AU175" t="e">
        <f>AND('Planilla_General_29-11-2012_10_'!P2623,"AAAAAHu37S4=")</f>
        <v>#VALUE!</v>
      </c>
      <c r="AV175">
        <f>IF('Planilla_General_29-11-2012_10_'!2624:2624,"AAAAAHu37S8=",0)</f>
        <v>0</v>
      </c>
      <c r="AW175" t="e">
        <f>AND('Planilla_General_29-11-2012_10_'!A2624,"AAAAAHu37TA=")</f>
        <v>#VALUE!</v>
      </c>
      <c r="AX175" t="e">
        <f>AND('Planilla_General_29-11-2012_10_'!B2624,"AAAAAHu37TE=")</f>
        <v>#VALUE!</v>
      </c>
      <c r="AY175" t="e">
        <f>AND('Planilla_General_29-11-2012_10_'!C2624,"AAAAAHu37TI=")</f>
        <v>#VALUE!</v>
      </c>
      <c r="AZ175" t="e">
        <f>AND('Planilla_General_29-11-2012_10_'!D2624,"AAAAAHu37TM=")</f>
        <v>#VALUE!</v>
      </c>
      <c r="BA175" t="e">
        <f>AND('Planilla_General_29-11-2012_10_'!E2624,"AAAAAHu37TQ=")</f>
        <v>#VALUE!</v>
      </c>
      <c r="BB175" t="e">
        <f>AND('Planilla_General_29-11-2012_10_'!F2624,"AAAAAHu37TU=")</f>
        <v>#VALUE!</v>
      </c>
      <c r="BC175" t="e">
        <f>AND('Planilla_General_29-11-2012_10_'!G2624,"AAAAAHu37TY=")</f>
        <v>#VALUE!</v>
      </c>
      <c r="BD175" t="e">
        <f>AND('Planilla_General_29-11-2012_10_'!H2624,"AAAAAHu37Tc=")</f>
        <v>#VALUE!</v>
      </c>
      <c r="BE175" t="e">
        <f>AND('Planilla_General_29-11-2012_10_'!I2624,"AAAAAHu37Tg=")</f>
        <v>#VALUE!</v>
      </c>
      <c r="BF175" t="e">
        <f>AND('Planilla_General_29-11-2012_10_'!J2624,"AAAAAHu37Tk=")</f>
        <v>#VALUE!</v>
      </c>
      <c r="BG175" t="e">
        <f>AND('Planilla_General_29-11-2012_10_'!K2624,"AAAAAHu37To=")</f>
        <v>#VALUE!</v>
      </c>
      <c r="BH175" t="e">
        <f>AND('Planilla_General_29-11-2012_10_'!L2624,"AAAAAHu37Ts=")</f>
        <v>#VALUE!</v>
      </c>
      <c r="BI175" t="e">
        <f>AND('Planilla_General_29-11-2012_10_'!M2624,"AAAAAHu37Tw=")</f>
        <v>#VALUE!</v>
      </c>
      <c r="BJ175" t="e">
        <f>AND('Planilla_General_29-11-2012_10_'!N2624,"AAAAAHu37T0=")</f>
        <v>#VALUE!</v>
      </c>
      <c r="BK175" t="e">
        <f>AND('Planilla_General_29-11-2012_10_'!O2624,"AAAAAHu37T4=")</f>
        <v>#VALUE!</v>
      </c>
      <c r="BL175" t="e">
        <f>AND('Planilla_General_29-11-2012_10_'!P2624,"AAAAAHu37T8=")</f>
        <v>#VALUE!</v>
      </c>
      <c r="BM175">
        <f>IF('Planilla_General_29-11-2012_10_'!2625:2625,"AAAAAHu37UA=",0)</f>
        <v>0</v>
      </c>
      <c r="BN175" t="e">
        <f>AND('Planilla_General_29-11-2012_10_'!A2625,"AAAAAHu37UE=")</f>
        <v>#VALUE!</v>
      </c>
      <c r="BO175" t="e">
        <f>AND('Planilla_General_29-11-2012_10_'!B2625,"AAAAAHu37UI=")</f>
        <v>#VALUE!</v>
      </c>
      <c r="BP175" t="e">
        <f>AND('Planilla_General_29-11-2012_10_'!C2625,"AAAAAHu37UM=")</f>
        <v>#VALUE!</v>
      </c>
      <c r="BQ175" t="e">
        <f>AND('Planilla_General_29-11-2012_10_'!D2625,"AAAAAHu37UQ=")</f>
        <v>#VALUE!</v>
      </c>
      <c r="BR175" t="e">
        <f>AND('Planilla_General_29-11-2012_10_'!E2625,"AAAAAHu37UU=")</f>
        <v>#VALUE!</v>
      </c>
      <c r="BS175" t="e">
        <f>AND('Planilla_General_29-11-2012_10_'!F2625,"AAAAAHu37UY=")</f>
        <v>#VALUE!</v>
      </c>
      <c r="BT175" t="e">
        <f>AND('Planilla_General_29-11-2012_10_'!G2625,"AAAAAHu37Uc=")</f>
        <v>#VALUE!</v>
      </c>
      <c r="BU175" t="e">
        <f>AND('Planilla_General_29-11-2012_10_'!H2625,"AAAAAHu37Ug=")</f>
        <v>#VALUE!</v>
      </c>
      <c r="BV175" t="e">
        <f>AND('Planilla_General_29-11-2012_10_'!I2625,"AAAAAHu37Uk=")</f>
        <v>#VALUE!</v>
      </c>
      <c r="BW175" t="e">
        <f>AND('Planilla_General_29-11-2012_10_'!J2625,"AAAAAHu37Uo=")</f>
        <v>#VALUE!</v>
      </c>
      <c r="BX175" t="e">
        <f>AND('Planilla_General_29-11-2012_10_'!K2625,"AAAAAHu37Us=")</f>
        <v>#VALUE!</v>
      </c>
      <c r="BY175" t="e">
        <f>AND('Planilla_General_29-11-2012_10_'!L2625,"AAAAAHu37Uw=")</f>
        <v>#VALUE!</v>
      </c>
      <c r="BZ175" t="e">
        <f>AND('Planilla_General_29-11-2012_10_'!M2625,"AAAAAHu37U0=")</f>
        <v>#VALUE!</v>
      </c>
      <c r="CA175" t="e">
        <f>AND('Planilla_General_29-11-2012_10_'!N2625,"AAAAAHu37U4=")</f>
        <v>#VALUE!</v>
      </c>
      <c r="CB175" t="e">
        <f>AND('Planilla_General_29-11-2012_10_'!O2625,"AAAAAHu37U8=")</f>
        <v>#VALUE!</v>
      </c>
      <c r="CC175" t="e">
        <f>AND('Planilla_General_29-11-2012_10_'!P2625,"AAAAAHu37VA=")</f>
        <v>#VALUE!</v>
      </c>
      <c r="CD175">
        <f>IF('Planilla_General_29-11-2012_10_'!2626:2626,"AAAAAHu37VE=",0)</f>
        <v>0</v>
      </c>
      <c r="CE175" t="e">
        <f>AND('Planilla_General_29-11-2012_10_'!A2626,"AAAAAHu37VI=")</f>
        <v>#VALUE!</v>
      </c>
      <c r="CF175" t="e">
        <f>AND('Planilla_General_29-11-2012_10_'!B2626,"AAAAAHu37VM=")</f>
        <v>#VALUE!</v>
      </c>
      <c r="CG175" t="e">
        <f>AND('Planilla_General_29-11-2012_10_'!C2626,"AAAAAHu37VQ=")</f>
        <v>#VALUE!</v>
      </c>
      <c r="CH175" t="e">
        <f>AND('Planilla_General_29-11-2012_10_'!D2626,"AAAAAHu37VU=")</f>
        <v>#VALUE!</v>
      </c>
      <c r="CI175" t="e">
        <f>AND('Planilla_General_29-11-2012_10_'!E2626,"AAAAAHu37VY=")</f>
        <v>#VALUE!</v>
      </c>
      <c r="CJ175" t="e">
        <f>AND('Planilla_General_29-11-2012_10_'!F2626,"AAAAAHu37Vc=")</f>
        <v>#VALUE!</v>
      </c>
      <c r="CK175" t="e">
        <f>AND('Planilla_General_29-11-2012_10_'!G2626,"AAAAAHu37Vg=")</f>
        <v>#VALUE!</v>
      </c>
      <c r="CL175" t="e">
        <f>AND('Planilla_General_29-11-2012_10_'!H2626,"AAAAAHu37Vk=")</f>
        <v>#VALUE!</v>
      </c>
      <c r="CM175" t="e">
        <f>AND('Planilla_General_29-11-2012_10_'!I2626,"AAAAAHu37Vo=")</f>
        <v>#VALUE!</v>
      </c>
      <c r="CN175" t="e">
        <f>AND('Planilla_General_29-11-2012_10_'!J2626,"AAAAAHu37Vs=")</f>
        <v>#VALUE!</v>
      </c>
      <c r="CO175" t="e">
        <f>AND('Planilla_General_29-11-2012_10_'!K2626,"AAAAAHu37Vw=")</f>
        <v>#VALUE!</v>
      </c>
      <c r="CP175" t="e">
        <f>AND('Planilla_General_29-11-2012_10_'!L2626,"AAAAAHu37V0=")</f>
        <v>#VALUE!</v>
      </c>
      <c r="CQ175" t="e">
        <f>AND('Planilla_General_29-11-2012_10_'!M2626,"AAAAAHu37V4=")</f>
        <v>#VALUE!</v>
      </c>
      <c r="CR175" t="e">
        <f>AND('Planilla_General_29-11-2012_10_'!N2626,"AAAAAHu37V8=")</f>
        <v>#VALUE!</v>
      </c>
      <c r="CS175" t="e">
        <f>AND('Planilla_General_29-11-2012_10_'!O2626,"AAAAAHu37WA=")</f>
        <v>#VALUE!</v>
      </c>
      <c r="CT175" t="e">
        <f>AND('Planilla_General_29-11-2012_10_'!P2626,"AAAAAHu37WE=")</f>
        <v>#VALUE!</v>
      </c>
      <c r="CU175">
        <f>IF('Planilla_General_29-11-2012_10_'!2627:2627,"AAAAAHu37WI=",0)</f>
        <v>0</v>
      </c>
      <c r="CV175" t="e">
        <f>AND('Planilla_General_29-11-2012_10_'!A2627,"AAAAAHu37WM=")</f>
        <v>#VALUE!</v>
      </c>
      <c r="CW175" t="e">
        <f>AND('Planilla_General_29-11-2012_10_'!B2627,"AAAAAHu37WQ=")</f>
        <v>#VALUE!</v>
      </c>
      <c r="CX175" t="e">
        <f>AND('Planilla_General_29-11-2012_10_'!C2627,"AAAAAHu37WU=")</f>
        <v>#VALUE!</v>
      </c>
      <c r="CY175" t="e">
        <f>AND('Planilla_General_29-11-2012_10_'!D2627,"AAAAAHu37WY=")</f>
        <v>#VALUE!</v>
      </c>
      <c r="CZ175" t="e">
        <f>AND('Planilla_General_29-11-2012_10_'!E2627,"AAAAAHu37Wc=")</f>
        <v>#VALUE!</v>
      </c>
      <c r="DA175" t="e">
        <f>AND('Planilla_General_29-11-2012_10_'!F2627,"AAAAAHu37Wg=")</f>
        <v>#VALUE!</v>
      </c>
      <c r="DB175" t="e">
        <f>AND('Planilla_General_29-11-2012_10_'!G2627,"AAAAAHu37Wk=")</f>
        <v>#VALUE!</v>
      </c>
      <c r="DC175" t="e">
        <f>AND('Planilla_General_29-11-2012_10_'!H2627,"AAAAAHu37Wo=")</f>
        <v>#VALUE!</v>
      </c>
      <c r="DD175" t="e">
        <f>AND('Planilla_General_29-11-2012_10_'!I2627,"AAAAAHu37Ws=")</f>
        <v>#VALUE!</v>
      </c>
      <c r="DE175" t="e">
        <f>AND('Planilla_General_29-11-2012_10_'!J2627,"AAAAAHu37Ww=")</f>
        <v>#VALUE!</v>
      </c>
      <c r="DF175" t="e">
        <f>AND('Planilla_General_29-11-2012_10_'!K2627,"AAAAAHu37W0=")</f>
        <v>#VALUE!</v>
      </c>
      <c r="DG175" t="e">
        <f>AND('Planilla_General_29-11-2012_10_'!L2627,"AAAAAHu37W4=")</f>
        <v>#VALUE!</v>
      </c>
      <c r="DH175" t="e">
        <f>AND('Planilla_General_29-11-2012_10_'!M2627,"AAAAAHu37W8=")</f>
        <v>#VALUE!</v>
      </c>
      <c r="DI175" t="e">
        <f>AND('Planilla_General_29-11-2012_10_'!N2627,"AAAAAHu37XA=")</f>
        <v>#VALUE!</v>
      </c>
      <c r="DJ175" t="e">
        <f>AND('Planilla_General_29-11-2012_10_'!O2627,"AAAAAHu37XE=")</f>
        <v>#VALUE!</v>
      </c>
      <c r="DK175" t="e">
        <f>AND('Planilla_General_29-11-2012_10_'!P2627,"AAAAAHu37XI=")</f>
        <v>#VALUE!</v>
      </c>
      <c r="DL175">
        <f>IF('Planilla_General_29-11-2012_10_'!2628:2628,"AAAAAHu37XM=",0)</f>
        <v>0</v>
      </c>
      <c r="DM175" t="e">
        <f>AND('Planilla_General_29-11-2012_10_'!A2628,"AAAAAHu37XQ=")</f>
        <v>#VALUE!</v>
      </c>
      <c r="DN175" t="e">
        <f>AND('Planilla_General_29-11-2012_10_'!B2628,"AAAAAHu37XU=")</f>
        <v>#VALUE!</v>
      </c>
      <c r="DO175" t="e">
        <f>AND('Planilla_General_29-11-2012_10_'!C2628,"AAAAAHu37XY=")</f>
        <v>#VALUE!</v>
      </c>
      <c r="DP175" t="e">
        <f>AND('Planilla_General_29-11-2012_10_'!D2628,"AAAAAHu37Xc=")</f>
        <v>#VALUE!</v>
      </c>
      <c r="DQ175" t="e">
        <f>AND('Planilla_General_29-11-2012_10_'!E2628,"AAAAAHu37Xg=")</f>
        <v>#VALUE!</v>
      </c>
      <c r="DR175" t="e">
        <f>AND('Planilla_General_29-11-2012_10_'!F2628,"AAAAAHu37Xk=")</f>
        <v>#VALUE!</v>
      </c>
      <c r="DS175" t="e">
        <f>AND('Planilla_General_29-11-2012_10_'!G2628,"AAAAAHu37Xo=")</f>
        <v>#VALUE!</v>
      </c>
      <c r="DT175" t="e">
        <f>AND('Planilla_General_29-11-2012_10_'!H2628,"AAAAAHu37Xs=")</f>
        <v>#VALUE!</v>
      </c>
      <c r="DU175" t="e">
        <f>AND('Planilla_General_29-11-2012_10_'!I2628,"AAAAAHu37Xw=")</f>
        <v>#VALUE!</v>
      </c>
      <c r="DV175" t="e">
        <f>AND('Planilla_General_29-11-2012_10_'!J2628,"AAAAAHu37X0=")</f>
        <v>#VALUE!</v>
      </c>
      <c r="DW175" t="e">
        <f>AND('Planilla_General_29-11-2012_10_'!K2628,"AAAAAHu37X4=")</f>
        <v>#VALUE!</v>
      </c>
      <c r="DX175" t="e">
        <f>AND('Planilla_General_29-11-2012_10_'!L2628,"AAAAAHu37X8=")</f>
        <v>#VALUE!</v>
      </c>
      <c r="DY175" t="e">
        <f>AND('Planilla_General_29-11-2012_10_'!M2628,"AAAAAHu37YA=")</f>
        <v>#VALUE!</v>
      </c>
      <c r="DZ175" t="e">
        <f>AND('Planilla_General_29-11-2012_10_'!N2628,"AAAAAHu37YE=")</f>
        <v>#VALUE!</v>
      </c>
      <c r="EA175" t="e">
        <f>AND('Planilla_General_29-11-2012_10_'!O2628,"AAAAAHu37YI=")</f>
        <v>#VALUE!</v>
      </c>
      <c r="EB175" t="e">
        <f>AND('Planilla_General_29-11-2012_10_'!P2628,"AAAAAHu37YM=")</f>
        <v>#VALUE!</v>
      </c>
      <c r="EC175">
        <f>IF('Planilla_General_29-11-2012_10_'!2629:2629,"AAAAAHu37YQ=",0)</f>
        <v>0</v>
      </c>
      <c r="ED175" t="e">
        <f>AND('Planilla_General_29-11-2012_10_'!A2629,"AAAAAHu37YU=")</f>
        <v>#VALUE!</v>
      </c>
      <c r="EE175" t="e">
        <f>AND('Planilla_General_29-11-2012_10_'!B2629,"AAAAAHu37YY=")</f>
        <v>#VALUE!</v>
      </c>
      <c r="EF175" t="e">
        <f>AND('Planilla_General_29-11-2012_10_'!C2629,"AAAAAHu37Yc=")</f>
        <v>#VALUE!</v>
      </c>
      <c r="EG175" t="e">
        <f>AND('Planilla_General_29-11-2012_10_'!D2629,"AAAAAHu37Yg=")</f>
        <v>#VALUE!</v>
      </c>
      <c r="EH175" t="e">
        <f>AND('Planilla_General_29-11-2012_10_'!E2629,"AAAAAHu37Yk=")</f>
        <v>#VALUE!</v>
      </c>
      <c r="EI175" t="e">
        <f>AND('Planilla_General_29-11-2012_10_'!F2629,"AAAAAHu37Yo=")</f>
        <v>#VALUE!</v>
      </c>
      <c r="EJ175" t="e">
        <f>AND('Planilla_General_29-11-2012_10_'!G2629,"AAAAAHu37Ys=")</f>
        <v>#VALUE!</v>
      </c>
      <c r="EK175" t="e">
        <f>AND('Planilla_General_29-11-2012_10_'!H2629,"AAAAAHu37Yw=")</f>
        <v>#VALUE!</v>
      </c>
      <c r="EL175" t="e">
        <f>AND('Planilla_General_29-11-2012_10_'!I2629,"AAAAAHu37Y0=")</f>
        <v>#VALUE!</v>
      </c>
      <c r="EM175" t="e">
        <f>AND('Planilla_General_29-11-2012_10_'!J2629,"AAAAAHu37Y4=")</f>
        <v>#VALUE!</v>
      </c>
      <c r="EN175" t="e">
        <f>AND('Planilla_General_29-11-2012_10_'!K2629,"AAAAAHu37Y8=")</f>
        <v>#VALUE!</v>
      </c>
      <c r="EO175" t="e">
        <f>AND('Planilla_General_29-11-2012_10_'!L2629,"AAAAAHu37ZA=")</f>
        <v>#VALUE!</v>
      </c>
      <c r="EP175" t="e">
        <f>AND('Planilla_General_29-11-2012_10_'!M2629,"AAAAAHu37ZE=")</f>
        <v>#VALUE!</v>
      </c>
      <c r="EQ175" t="e">
        <f>AND('Planilla_General_29-11-2012_10_'!N2629,"AAAAAHu37ZI=")</f>
        <v>#VALUE!</v>
      </c>
      <c r="ER175" t="e">
        <f>AND('Planilla_General_29-11-2012_10_'!O2629,"AAAAAHu37ZM=")</f>
        <v>#VALUE!</v>
      </c>
      <c r="ES175" t="e">
        <f>AND('Planilla_General_29-11-2012_10_'!P2629,"AAAAAHu37ZQ=")</f>
        <v>#VALUE!</v>
      </c>
      <c r="ET175">
        <f>IF('Planilla_General_29-11-2012_10_'!2630:2630,"AAAAAHu37ZU=",0)</f>
        <v>0</v>
      </c>
      <c r="EU175" t="e">
        <f>AND('Planilla_General_29-11-2012_10_'!A2630,"AAAAAHu37ZY=")</f>
        <v>#VALUE!</v>
      </c>
      <c r="EV175" t="e">
        <f>AND('Planilla_General_29-11-2012_10_'!B2630,"AAAAAHu37Zc=")</f>
        <v>#VALUE!</v>
      </c>
      <c r="EW175" t="e">
        <f>AND('Planilla_General_29-11-2012_10_'!C2630,"AAAAAHu37Zg=")</f>
        <v>#VALUE!</v>
      </c>
      <c r="EX175" t="e">
        <f>AND('Planilla_General_29-11-2012_10_'!D2630,"AAAAAHu37Zk=")</f>
        <v>#VALUE!</v>
      </c>
      <c r="EY175" t="e">
        <f>AND('Planilla_General_29-11-2012_10_'!E2630,"AAAAAHu37Zo=")</f>
        <v>#VALUE!</v>
      </c>
      <c r="EZ175" t="e">
        <f>AND('Planilla_General_29-11-2012_10_'!F2630,"AAAAAHu37Zs=")</f>
        <v>#VALUE!</v>
      </c>
      <c r="FA175" t="e">
        <f>AND('Planilla_General_29-11-2012_10_'!G2630,"AAAAAHu37Zw=")</f>
        <v>#VALUE!</v>
      </c>
      <c r="FB175" t="e">
        <f>AND('Planilla_General_29-11-2012_10_'!H2630,"AAAAAHu37Z0=")</f>
        <v>#VALUE!</v>
      </c>
      <c r="FC175" t="e">
        <f>AND('Planilla_General_29-11-2012_10_'!I2630,"AAAAAHu37Z4=")</f>
        <v>#VALUE!</v>
      </c>
      <c r="FD175" t="e">
        <f>AND('Planilla_General_29-11-2012_10_'!J2630,"AAAAAHu37Z8=")</f>
        <v>#VALUE!</v>
      </c>
      <c r="FE175" t="e">
        <f>AND('Planilla_General_29-11-2012_10_'!K2630,"AAAAAHu37aA=")</f>
        <v>#VALUE!</v>
      </c>
      <c r="FF175" t="e">
        <f>AND('Planilla_General_29-11-2012_10_'!L2630,"AAAAAHu37aE=")</f>
        <v>#VALUE!</v>
      </c>
      <c r="FG175" t="e">
        <f>AND('Planilla_General_29-11-2012_10_'!M2630,"AAAAAHu37aI=")</f>
        <v>#VALUE!</v>
      </c>
      <c r="FH175" t="e">
        <f>AND('Planilla_General_29-11-2012_10_'!N2630,"AAAAAHu37aM=")</f>
        <v>#VALUE!</v>
      </c>
      <c r="FI175" t="e">
        <f>AND('Planilla_General_29-11-2012_10_'!O2630,"AAAAAHu37aQ=")</f>
        <v>#VALUE!</v>
      </c>
      <c r="FJ175" t="e">
        <f>AND('Planilla_General_29-11-2012_10_'!P2630,"AAAAAHu37aU=")</f>
        <v>#VALUE!</v>
      </c>
      <c r="FK175">
        <f>IF('Planilla_General_29-11-2012_10_'!2631:2631,"AAAAAHu37aY=",0)</f>
        <v>0</v>
      </c>
      <c r="FL175" t="e">
        <f>AND('Planilla_General_29-11-2012_10_'!A2631,"AAAAAHu37ac=")</f>
        <v>#VALUE!</v>
      </c>
      <c r="FM175" t="e">
        <f>AND('Planilla_General_29-11-2012_10_'!B2631,"AAAAAHu37ag=")</f>
        <v>#VALUE!</v>
      </c>
      <c r="FN175" t="e">
        <f>AND('Planilla_General_29-11-2012_10_'!C2631,"AAAAAHu37ak=")</f>
        <v>#VALUE!</v>
      </c>
      <c r="FO175" t="e">
        <f>AND('Planilla_General_29-11-2012_10_'!D2631,"AAAAAHu37ao=")</f>
        <v>#VALUE!</v>
      </c>
      <c r="FP175" t="e">
        <f>AND('Planilla_General_29-11-2012_10_'!E2631,"AAAAAHu37as=")</f>
        <v>#VALUE!</v>
      </c>
      <c r="FQ175" t="e">
        <f>AND('Planilla_General_29-11-2012_10_'!F2631,"AAAAAHu37aw=")</f>
        <v>#VALUE!</v>
      </c>
      <c r="FR175" t="e">
        <f>AND('Planilla_General_29-11-2012_10_'!G2631,"AAAAAHu37a0=")</f>
        <v>#VALUE!</v>
      </c>
      <c r="FS175" t="e">
        <f>AND('Planilla_General_29-11-2012_10_'!H2631,"AAAAAHu37a4=")</f>
        <v>#VALUE!</v>
      </c>
      <c r="FT175" t="e">
        <f>AND('Planilla_General_29-11-2012_10_'!I2631,"AAAAAHu37a8=")</f>
        <v>#VALUE!</v>
      </c>
      <c r="FU175" t="e">
        <f>AND('Planilla_General_29-11-2012_10_'!J2631,"AAAAAHu37bA=")</f>
        <v>#VALUE!</v>
      </c>
      <c r="FV175" t="e">
        <f>AND('Planilla_General_29-11-2012_10_'!K2631,"AAAAAHu37bE=")</f>
        <v>#VALUE!</v>
      </c>
      <c r="FW175" t="e">
        <f>AND('Planilla_General_29-11-2012_10_'!L2631,"AAAAAHu37bI=")</f>
        <v>#VALUE!</v>
      </c>
      <c r="FX175" t="e">
        <f>AND('Planilla_General_29-11-2012_10_'!M2631,"AAAAAHu37bM=")</f>
        <v>#VALUE!</v>
      </c>
      <c r="FY175" t="e">
        <f>AND('Planilla_General_29-11-2012_10_'!N2631,"AAAAAHu37bQ=")</f>
        <v>#VALUE!</v>
      </c>
      <c r="FZ175" t="e">
        <f>AND('Planilla_General_29-11-2012_10_'!O2631,"AAAAAHu37bU=")</f>
        <v>#VALUE!</v>
      </c>
      <c r="GA175" t="e">
        <f>AND('Planilla_General_29-11-2012_10_'!P2631,"AAAAAHu37bY=")</f>
        <v>#VALUE!</v>
      </c>
      <c r="GB175">
        <f>IF('Planilla_General_29-11-2012_10_'!2632:2632,"AAAAAHu37bc=",0)</f>
        <v>0</v>
      </c>
      <c r="GC175" t="e">
        <f>AND('Planilla_General_29-11-2012_10_'!A2632,"AAAAAHu37bg=")</f>
        <v>#VALUE!</v>
      </c>
      <c r="GD175" t="e">
        <f>AND('Planilla_General_29-11-2012_10_'!B2632,"AAAAAHu37bk=")</f>
        <v>#VALUE!</v>
      </c>
      <c r="GE175" t="e">
        <f>AND('Planilla_General_29-11-2012_10_'!C2632,"AAAAAHu37bo=")</f>
        <v>#VALUE!</v>
      </c>
      <c r="GF175" t="e">
        <f>AND('Planilla_General_29-11-2012_10_'!D2632,"AAAAAHu37bs=")</f>
        <v>#VALUE!</v>
      </c>
      <c r="GG175" t="e">
        <f>AND('Planilla_General_29-11-2012_10_'!E2632,"AAAAAHu37bw=")</f>
        <v>#VALUE!</v>
      </c>
      <c r="GH175" t="e">
        <f>AND('Planilla_General_29-11-2012_10_'!F2632,"AAAAAHu37b0=")</f>
        <v>#VALUE!</v>
      </c>
      <c r="GI175" t="e">
        <f>AND('Planilla_General_29-11-2012_10_'!G2632,"AAAAAHu37b4=")</f>
        <v>#VALUE!</v>
      </c>
      <c r="GJ175" t="e">
        <f>AND('Planilla_General_29-11-2012_10_'!H2632,"AAAAAHu37b8=")</f>
        <v>#VALUE!</v>
      </c>
      <c r="GK175" t="e">
        <f>AND('Planilla_General_29-11-2012_10_'!I2632,"AAAAAHu37cA=")</f>
        <v>#VALUE!</v>
      </c>
      <c r="GL175" t="e">
        <f>AND('Planilla_General_29-11-2012_10_'!J2632,"AAAAAHu37cE=")</f>
        <v>#VALUE!</v>
      </c>
      <c r="GM175" t="e">
        <f>AND('Planilla_General_29-11-2012_10_'!K2632,"AAAAAHu37cI=")</f>
        <v>#VALUE!</v>
      </c>
      <c r="GN175" t="e">
        <f>AND('Planilla_General_29-11-2012_10_'!L2632,"AAAAAHu37cM=")</f>
        <v>#VALUE!</v>
      </c>
      <c r="GO175" t="e">
        <f>AND('Planilla_General_29-11-2012_10_'!M2632,"AAAAAHu37cQ=")</f>
        <v>#VALUE!</v>
      </c>
      <c r="GP175" t="e">
        <f>AND('Planilla_General_29-11-2012_10_'!N2632,"AAAAAHu37cU=")</f>
        <v>#VALUE!</v>
      </c>
      <c r="GQ175" t="e">
        <f>AND('Planilla_General_29-11-2012_10_'!O2632,"AAAAAHu37cY=")</f>
        <v>#VALUE!</v>
      </c>
      <c r="GR175" t="e">
        <f>AND('Planilla_General_29-11-2012_10_'!P2632,"AAAAAHu37cc=")</f>
        <v>#VALUE!</v>
      </c>
      <c r="GS175">
        <f>IF('Planilla_General_29-11-2012_10_'!2633:2633,"AAAAAHu37cg=",0)</f>
        <v>0</v>
      </c>
      <c r="GT175" t="e">
        <f>AND('Planilla_General_29-11-2012_10_'!A2633,"AAAAAHu37ck=")</f>
        <v>#VALUE!</v>
      </c>
      <c r="GU175" t="e">
        <f>AND('Planilla_General_29-11-2012_10_'!B2633,"AAAAAHu37co=")</f>
        <v>#VALUE!</v>
      </c>
      <c r="GV175" t="e">
        <f>AND('Planilla_General_29-11-2012_10_'!C2633,"AAAAAHu37cs=")</f>
        <v>#VALUE!</v>
      </c>
      <c r="GW175" t="e">
        <f>AND('Planilla_General_29-11-2012_10_'!D2633,"AAAAAHu37cw=")</f>
        <v>#VALUE!</v>
      </c>
      <c r="GX175" t="e">
        <f>AND('Planilla_General_29-11-2012_10_'!E2633,"AAAAAHu37c0=")</f>
        <v>#VALUE!</v>
      </c>
      <c r="GY175" t="e">
        <f>AND('Planilla_General_29-11-2012_10_'!F2633,"AAAAAHu37c4=")</f>
        <v>#VALUE!</v>
      </c>
      <c r="GZ175" t="e">
        <f>AND('Planilla_General_29-11-2012_10_'!G2633,"AAAAAHu37c8=")</f>
        <v>#VALUE!</v>
      </c>
      <c r="HA175" t="e">
        <f>AND('Planilla_General_29-11-2012_10_'!H2633,"AAAAAHu37dA=")</f>
        <v>#VALUE!</v>
      </c>
      <c r="HB175" t="e">
        <f>AND('Planilla_General_29-11-2012_10_'!I2633,"AAAAAHu37dE=")</f>
        <v>#VALUE!</v>
      </c>
      <c r="HC175" t="e">
        <f>AND('Planilla_General_29-11-2012_10_'!J2633,"AAAAAHu37dI=")</f>
        <v>#VALUE!</v>
      </c>
      <c r="HD175" t="e">
        <f>AND('Planilla_General_29-11-2012_10_'!K2633,"AAAAAHu37dM=")</f>
        <v>#VALUE!</v>
      </c>
      <c r="HE175" t="e">
        <f>AND('Planilla_General_29-11-2012_10_'!L2633,"AAAAAHu37dQ=")</f>
        <v>#VALUE!</v>
      </c>
      <c r="HF175" t="e">
        <f>AND('Planilla_General_29-11-2012_10_'!M2633,"AAAAAHu37dU=")</f>
        <v>#VALUE!</v>
      </c>
      <c r="HG175" t="e">
        <f>AND('Planilla_General_29-11-2012_10_'!N2633,"AAAAAHu37dY=")</f>
        <v>#VALUE!</v>
      </c>
      <c r="HH175" t="e">
        <f>AND('Planilla_General_29-11-2012_10_'!O2633,"AAAAAHu37dc=")</f>
        <v>#VALUE!</v>
      </c>
      <c r="HI175" t="e">
        <f>AND('Planilla_General_29-11-2012_10_'!P2633,"AAAAAHu37dg=")</f>
        <v>#VALUE!</v>
      </c>
      <c r="HJ175">
        <f>IF('Planilla_General_29-11-2012_10_'!2634:2634,"AAAAAHu37dk=",0)</f>
        <v>0</v>
      </c>
      <c r="HK175" t="e">
        <f>AND('Planilla_General_29-11-2012_10_'!A2634,"AAAAAHu37do=")</f>
        <v>#VALUE!</v>
      </c>
      <c r="HL175" t="e">
        <f>AND('Planilla_General_29-11-2012_10_'!B2634,"AAAAAHu37ds=")</f>
        <v>#VALUE!</v>
      </c>
      <c r="HM175" t="e">
        <f>AND('Planilla_General_29-11-2012_10_'!C2634,"AAAAAHu37dw=")</f>
        <v>#VALUE!</v>
      </c>
      <c r="HN175" t="e">
        <f>AND('Planilla_General_29-11-2012_10_'!D2634,"AAAAAHu37d0=")</f>
        <v>#VALUE!</v>
      </c>
      <c r="HO175" t="e">
        <f>AND('Planilla_General_29-11-2012_10_'!E2634,"AAAAAHu37d4=")</f>
        <v>#VALUE!</v>
      </c>
      <c r="HP175" t="e">
        <f>AND('Planilla_General_29-11-2012_10_'!F2634,"AAAAAHu37d8=")</f>
        <v>#VALUE!</v>
      </c>
      <c r="HQ175" t="e">
        <f>AND('Planilla_General_29-11-2012_10_'!G2634,"AAAAAHu37eA=")</f>
        <v>#VALUE!</v>
      </c>
      <c r="HR175" t="e">
        <f>AND('Planilla_General_29-11-2012_10_'!H2634,"AAAAAHu37eE=")</f>
        <v>#VALUE!</v>
      </c>
      <c r="HS175" t="e">
        <f>AND('Planilla_General_29-11-2012_10_'!I2634,"AAAAAHu37eI=")</f>
        <v>#VALUE!</v>
      </c>
      <c r="HT175" t="e">
        <f>AND('Planilla_General_29-11-2012_10_'!J2634,"AAAAAHu37eM=")</f>
        <v>#VALUE!</v>
      </c>
      <c r="HU175" t="e">
        <f>AND('Planilla_General_29-11-2012_10_'!K2634,"AAAAAHu37eQ=")</f>
        <v>#VALUE!</v>
      </c>
      <c r="HV175" t="e">
        <f>AND('Planilla_General_29-11-2012_10_'!L2634,"AAAAAHu37eU=")</f>
        <v>#VALUE!</v>
      </c>
      <c r="HW175" t="e">
        <f>AND('Planilla_General_29-11-2012_10_'!M2634,"AAAAAHu37eY=")</f>
        <v>#VALUE!</v>
      </c>
      <c r="HX175" t="e">
        <f>AND('Planilla_General_29-11-2012_10_'!N2634,"AAAAAHu37ec=")</f>
        <v>#VALUE!</v>
      </c>
      <c r="HY175" t="e">
        <f>AND('Planilla_General_29-11-2012_10_'!O2634,"AAAAAHu37eg=")</f>
        <v>#VALUE!</v>
      </c>
      <c r="HZ175" t="e">
        <f>AND('Planilla_General_29-11-2012_10_'!P2634,"AAAAAHu37ek=")</f>
        <v>#VALUE!</v>
      </c>
      <c r="IA175">
        <f>IF('Planilla_General_29-11-2012_10_'!2635:2635,"AAAAAHu37eo=",0)</f>
        <v>0</v>
      </c>
      <c r="IB175" t="e">
        <f>AND('Planilla_General_29-11-2012_10_'!A2635,"AAAAAHu37es=")</f>
        <v>#VALUE!</v>
      </c>
      <c r="IC175" t="e">
        <f>AND('Planilla_General_29-11-2012_10_'!B2635,"AAAAAHu37ew=")</f>
        <v>#VALUE!</v>
      </c>
      <c r="ID175" t="e">
        <f>AND('Planilla_General_29-11-2012_10_'!C2635,"AAAAAHu37e0=")</f>
        <v>#VALUE!</v>
      </c>
      <c r="IE175" t="e">
        <f>AND('Planilla_General_29-11-2012_10_'!D2635,"AAAAAHu37e4=")</f>
        <v>#VALUE!</v>
      </c>
      <c r="IF175" t="e">
        <f>AND('Planilla_General_29-11-2012_10_'!E2635,"AAAAAHu37e8=")</f>
        <v>#VALUE!</v>
      </c>
      <c r="IG175" t="e">
        <f>AND('Planilla_General_29-11-2012_10_'!F2635,"AAAAAHu37fA=")</f>
        <v>#VALUE!</v>
      </c>
      <c r="IH175" t="e">
        <f>AND('Planilla_General_29-11-2012_10_'!G2635,"AAAAAHu37fE=")</f>
        <v>#VALUE!</v>
      </c>
      <c r="II175" t="e">
        <f>AND('Planilla_General_29-11-2012_10_'!H2635,"AAAAAHu37fI=")</f>
        <v>#VALUE!</v>
      </c>
      <c r="IJ175" t="e">
        <f>AND('Planilla_General_29-11-2012_10_'!I2635,"AAAAAHu37fM=")</f>
        <v>#VALUE!</v>
      </c>
      <c r="IK175" t="e">
        <f>AND('Planilla_General_29-11-2012_10_'!J2635,"AAAAAHu37fQ=")</f>
        <v>#VALUE!</v>
      </c>
      <c r="IL175" t="e">
        <f>AND('Planilla_General_29-11-2012_10_'!K2635,"AAAAAHu37fU=")</f>
        <v>#VALUE!</v>
      </c>
      <c r="IM175" t="e">
        <f>AND('Planilla_General_29-11-2012_10_'!L2635,"AAAAAHu37fY=")</f>
        <v>#VALUE!</v>
      </c>
      <c r="IN175" t="e">
        <f>AND('Planilla_General_29-11-2012_10_'!M2635,"AAAAAHu37fc=")</f>
        <v>#VALUE!</v>
      </c>
      <c r="IO175" t="e">
        <f>AND('Planilla_General_29-11-2012_10_'!N2635,"AAAAAHu37fg=")</f>
        <v>#VALUE!</v>
      </c>
      <c r="IP175" t="e">
        <f>AND('Planilla_General_29-11-2012_10_'!O2635,"AAAAAHu37fk=")</f>
        <v>#VALUE!</v>
      </c>
      <c r="IQ175" t="e">
        <f>AND('Planilla_General_29-11-2012_10_'!P2635,"AAAAAHu37fo=")</f>
        <v>#VALUE!</v>
      </c>
      <c r="IR175">
        <f>IF('Planilla_General_29-11-2012_10_'!2636:2636,"AAAAAHu37fs=",0)</f>
        <v>0</v>
      </c>
      <c r="IS175" t="e">
        <f>AND('Planilla_General_29-11-2012_10_'!A2636,"AAAAAHu37fw=")</f>
        <v>#VALUE!</v>
      </c>
      <c r="IT175" t="e">
        <f>AND('Planilla_General_29-11-2012_10_'!B2636,"AAAAAHu37f0=")</f>
        <v>#VALUE!</v>
      </c>
      <c r="IU175" t="e">
        <f>AND('Planilla_General_29-11-2012_10_'!C2636,"AAAAAHu37f4=")</f>
        <v>#VALUE!</v>
      </c>
      <c r="IV175" t="e">
        <f>AND('Planilla_General_29-11-2012_10_'!D2636,"AAAAAHu37f8=")</f>
        <v>#VALUE!</v>
      </c>
    </row>
    <row r="176" spans="1:256" x14ac:dyDescent="0.25">
      <c r="A176" t="e">
        <f>AND('Planilla_General_29-11-2012_10_'!E2636,"AAAAAGZ43wA=")</f>
        <v>#VALUE!</v>
      </c>
      <c r="B176" t="e">
        <f>AND('Planilla_General_29-11-2012_10_'!F2636,"AAAAAGZ43wE=")</f>
        <v>#VALUE!</v>
      </c>
      <c r="C176" t="e">
        <f>AND('Planilla_General_29-11-2012_10_'!G2636,"AAAAAGZ43wI=")</f>
        <v>#VALUE!</v>
      </c>
      <c r="D176" t="e">
        <f>AND('Planilla_General_29-11-2012_10_'!H2636,"AAAAAGZ43wM=")</f>
        <v>#VALUE!</v>
      </c>
      <c r="E176" t="e">
        <f>AND('Planilla_General_29-11-2012_10_'!I2636,"AAAAAGZ43wQ=")</f>
        <v>#VALUE!</v>
      </c>
      <c r="F176" t="e">
        <f>AND('Planilla_General_29-11-2012_10_'!J2636,"AAAAAGZ43wU=")</f>
        <v>#VALUE!</v>
      </c>
      <c r="G176" t="e">
        <f>AND('Planilla_General_29-11-2012_10_'!K2636,"AAAAAGZ43wY=")</f>
        <v>#VALUE!</v>
      </c>
      <c r="H176" t="e">
        <f>AND('Planilla_General_29-11-2012_10_'!L2636,"AAAAAGZ43wc=")</f>
        <v>#VALUE!</v>
      </c>
      <c r="I176" t="e">
        <f>AND('Planilla_General_29-11-2012_10_'!M2636,"AAAAAGZ43wg=")</f>
        <v>#VALUE!</v>
      </c>
      <c r="J176" t="e">
        <f>AND('Planilla_General_29-11-2012_10_'!N2636,"AAAAAGZ43wk=")</f>
        <v>#VALUE!</v>
      </c>
      <c r="K176" t="e">
        <f>AND('Planilla_General_29-11-2012_10_'!O2636,"AAAAAGZ43wo=")</f>
        <v>#VALUE!</v>
      </c>
      <c r="L176" t="e">
        <f>AND('Planilla_General_29-11-2012_10_'!P2636,"AAAAAGZ43ws=")</f>
        <v>#VALUE!</v>
      </c>
      <c r="M176" t="str">
        <f>IF('Planilla_General_29-11-2012_10_'!2637:2637,"AAAAAGZ43ww=",0)</f>
        <v>AAAAAGZ43ww=</v>
      </c>
      <c r="N176" t="e">
        <f>AND('Planilla_General_29-11-2012_10_'!A2637,"AAAAAGZ43w0=")</f>
        <v>#VALUE!</v>
      </c>
      <c r="O176" t="e">
        <f>AND('Planilla_General_29-11-2012_10_'!B2637,"AAAAAGZ43w4=")</f>
        <v>#VALUE!</v>
      </c>
      <c r="P176" t="e">
        <f>AND('Planilla_General_29-11-2012_10_'!C2637,"AAAAAGZ43w8=")</f>
        <v>#VALUE!</v>
      </c>
      <c r="Q176" t="e">
        <f>AND('Planilla_General_29-11-2012_10_'!D2637,"AAAAAGZ43xA=")</f>
        <v>#VALUE!</v>
      </c>
      <c r="R176" t="e">
        <f>AND('Planilla_General_29-11-2012_10_'!E2637,"AAAAAGZ43xE=")</f>
        <v>#VALUE!</v>
      </c>
      <c r="S176" t="e">
        <f>AND('Planilla_General_29-11-2012_10_'!F2637,"AAAAAGZ43xI=")</f>
        <v>#VALUE!</v>
      </c>
      <c r="T176" t="e">
        <f>AND('Planilla_General_29-11-2012_10_'!G2637,"AAAAAGZ43xM=")</f>
        <v>#VALUE!</v>
      </c>
      <c r="U176" t="e">
        <f>AND('Planilla_General_29-11-2012_10_'!H2637,"AAAAAGZ43xQ=")</f>
        <v>#VALUE!</v>
      </c>
      <c r="V176" t="e">
        <f>AND('Planilla_General_29-11-2012_10_'!I2637,"AAAAAGZ43xU=")</f>
        <v>#VALUE!</v>
      </c>
      <c r="W176" t="e">
        <f>AND('Planilla_General_29-11-2012_10_'!J2637,"AAAAAGZ43xY=")</f>
        <v>#VALUE!</v>
      </c>
      <c r="X176" t="e">
        <f>AND('Planilla_General_29-11-2012_10_'!K2637,"AAAAAGZ43xc=")</f>
        <v>#VALUE!</v>
      </c>
      <c r="Y176" t="e">
        <f>AND('Planilla_General_29-11-2012_10_'!L2637,"AAAAAGZ43xg=")</f>
        <v>#VALUE!</v>
      </c>
      <c r="Z176" t="e">
        <f>AND('Planilla_General_29-11-2012_10_'!M2637,"AAAAAGZ43xk=")</f>
        <v>#VALUE!</v>
      </c>
      <c r="AA176" t="e">
        <f>AND('Planilla_General_29-11-2012_10_'!N2637,"AAAAAGZ43xo=")</f>
        <v>#VALUE!</v>
      </c>
      <c r="AB176" t="e">
        <f>AND('Planilla_General_29-11-2012_10_'!O2637,"AAAAAGZ43xs=")</f>
        <v>#VALUE!</v>
      </c>
      <c r="AC176" t="e">
        <f>AND('Planilla_General_29-11-2012_10_'!P2637,"AAAAAGZ43xw=")</f>
        <v>#VALUE!</v>
      </c>
      <c r="AD176">
        <f>IF('Planilla_General_29-11-2012_10_'!2638:2638,"AAAAAGZ43x0=",0)</f>
        <v>0</v>
      </c>
      <c r="AE176" t="e">
        <f>AND('Planilla_General_29-11-2012_10_'!A2638,"AAAAAGZ43x4=")</f>
        <v>#VALUE!</v>
      </c>
      <c r="AF176" t="e">
        <f>AND('Planilla_General_29-11-2012_10_'!B2638,"AAAAAGZ43x8=")</f>
        <v>#VALUE!</v>
      </c>
      <c r="AG176" t="e">
        <f>AND('Planilla_General_29-11-2012_10_'!C2638,"AAAAAGZ43yA=")</f>
        <v>#VALUE!</v>
      </c>
      <c r="AH176" t="e">
        <f>AND('Planilla_General_29-11-2012_10_'!D2638,"AAAAAGZ43yE=")</f>
        <v>#VALUE!</v>
      </c>
      <c r="AI176" t="e">
        <f>AND('Planilla_General_29-11-2012_10_'!E2638,"AAAAAGZ43yI=")</f>
        <v>#VALUE!</v>
      </c>
      <c r="AJ176" t="e">
        <f>AND('Planilla_General_29-11-2012_10_'!F2638,"AAAAAGZ43yM=")</f>
        <v>#VALUE!</v>
      </c>
      <c r="AK176" t="e">
        <f>AND('Planilla_General_29-11-2012_10_'!G2638,"AAAAAGZ43yQ=")</f>
        <v>#VALUE!</v>
      </c>
      <c r="AL176" t="e">
        <f>AND('Planilla_General_29-11-2012_10_'!H2638,"AAAAAGZ43yU=")</f>
        <v>#VALUE!</v>
      </c>
      <c r="AM176" t="e">
        <f>AND('Planilla_General_29-11-2012_10_'!I2638,"AAAAAGZ43yY=")</f>
        <v>#VALUE!</v>
      </c>
      <c r="AN176" t="e">
        <f>AND('Planilla_General_29-11-2012_10_'!J2638,"AAAAAGZ43yc=")</f>
        <v>#VALUE!</v>
      </c>
      <c r="AO176" t="e">
        <f>AND('Planilla_General_29-11-2012_10_'!K2638,"AAAAAGZ43yg=")</f>
        <v>#VALUE!</v>
      </c>
      <c r="AP176" t="e">
        <f>AND('Planilla_General_29-11-2012_10_'!L2638,"AAAAAGZ43yk=")</f>
        <v>#VALUE!</v>
      </c>
      <c r="AQ176" t="e">
        <f>AND('Planilla_General_29-11-2012_10_'!M2638,"AAAAAGZ43yo=")</f>
        <v>#VALUE!</v>
      </c>
      <c r="AR176" t="e">
        <f>AND('Planilla_General_29-11-2012_10_'!N2638,"AAAAAGZ43ys=")</f>
        <v>#VALUE!</v>
      </c>
      <c r="AS176" t="e">
        <f>AND('Planilla_General_29-11-2012_10_'!O2638,"AAAAAGZ43yw=")</f>
        <v>#VALUE!</v>
      </c>
      <c r="AT176" t="e">
        <f>AND('Planilla_General_29-11-2012_10_'!P2638,"AAAAAGZ43y0=")</f>
        <v>#VALUE!</v>
      </c>
      <c r="AU176">
        <f>IF('Planilla_General_29-11-2012_10_'!2639:2639,"AAAAAGZ43y4=",0)</f>
        <v>0</v>
      </c>
      <c r="AV176" t="e">
        <f>AND('Planilla_General_29-11-2012_10_'!A2639,"AAAAAGZ43y8=")</f>
        <v>#VALUE!</v>
      </c>
      <c r="AW176" t="e">
        <f>AND('Planilla_General_29-11-2012_10_'!B2639,"AAAAAGZ43zA=")</f>
        <v>#VALUE!</v>
      </c>
      <c r="AX176" t="e">
        <f>AND('Planilla_General_29-11-2012_10_'!C2639,"AAAAAGZ43zE=")</f>
        <v>#VALUE!</v>
      </c>
      <c r="AY176" t="e">
        <f>AND('Planilla_General_29-11-2012_10_'!D2639,"AAAAAGZ43zI=")</f>
        <v>#VALUE!</v>
      </c>
      <c r="AZ176" t="e">
        <f>AND('Planilla_General_29-11-2012_10_'!E2639,"AAAAAGZ43zM=")</f>
        <v>#VALUE!</v>
      </c>
      <c r="BA176" t="e">
        <f>AND('Planilla_General_29-11-2012_10_'!F2639,"AAAAAGZ43zQ=")</f>
        <v>#VALUE!</v>
      </c>
      <c r="BB176" t="e">
        <f>AND('Planilla_General_29-11-2012_10_'!G2639,"AAAAAGZ43zU=")</f>
        <v>#VALUE!</v>
      </c>
      <c r="BC176" t="e">
        <f>AND('Planilla_General_29-11-2012_10_'!H2639,"AAAAAGZ43zY=")</f>
        <v>#VALUE!</v>
      </c>
      <c r="BD176" t="e">
        <f>AND('Planilla_General_29-11-2012_10_'!I2639,"AAAAAGZ43zc=")</f>
        <v>#VALUE!</v>
      </c>
      <c r="BE176" t="e">
        <f>AND('Planilla_General_29-11-2012_10_'!J2639,"AAAAAGZ43zg=")</f>
        <v>#VALUE!</v>
      </c>
      <c r="BF176" t="e">
        <f>AND('Planilla_General_29-11-2012_10_'!K2639,"AAAAAGZ43zk=")</f>
        <v>#VALUE!</v>
      </c>
      <c r="BG176" t="e">
        <f>AND('Planilla_General_29-11-2012_10_'!L2639,"AAAAAGZ43zo=")</f>
        <v>#VALUE!</v>
      </c>
      <c r="BH176" t="e">
        <f>AND('Planilla_General_29-11-2012_10_'!M2639,"AAAAAGZ43zs=")</f>
        <v>#VALUE!</v>
      </c>
      <c r="BI176" t="e">
        <f>AND('Planilla_General_29-11-2012_10_'!N2639,"AAAAAGZ43zw=")</f>
        <v>#VALUE!</v>
      </c>
      <c r="BJ176" t="e">
        <f>AND('Planilla_General_29-11-2012_10_'!O2639,"AAAAAGZ43z0=")</f>
        <v>#VALUE!</v>
      </c>
      <c r="BK176" t="e">
        <f>AND('Planilla_General_29-11-2012_10_'!P2639,"AAAAAGZ43z4=")</f>
        <v>#VALUE!</v>
      </c>
      <c r="BL176">
        <f>IF('Planilla_General_29-11-2012_10_'!2640:2640,"AAAAAGZ43z8=",0)</f>
        <v>0</v>
      </c>
      <c r="BM176" t="e">
        <f>AND('Planilla_General_29-11-2012_10_'!A2640,"AAAAAGZ430A=")</f>
        <v>#VALUE!</v>
      </c>
      <c r="BN176" t="e">
        <f>AND('Planilla_General_29-11-2012_10_'!B2640,"AAAAAGZ430E=")</f>
        <v>#VALUE!</v>
      </c>
      <c r="BO176" t="e">
        <f>AND('Planilla_General_29-11-2012_10_'!C2640,"AAAAAGZ430I=")</f>
        <v>#VALUE!</v>
      </c>
      <c r="BP176" t="e">
        <f>AND('Planilla_General_29-11-2012_10_'!D2640,"AAAAAGZ430M=")</f>
        <v>#VALUE!</v>
      </c>
      <c r="BQ176" t="e">
        <f>AND('Planilla_General_29-11-2012_10_'!E2640,"AAAAAGZ430Q=")</f>
        <v>#VALUE!</v>
      </c>
      <c r="BR176" t="e">
        <f>AND('Planilla_General_29-11-2012_10_'!F2640,"AAAAAGZ430U=")</f>
        <v>#VALUE!</v>
      </c>
      <c r="BS176" t="e">
        <f>AND('Planilla_General_29-11-2012_10_'!G2640,"AAAAAGZ430Y=")</f>
        <v>#VALUE!</v>
      </c>
      <c r="BT176" t="e">
        <f>AND('Planilla_General_29-11-2012_10_'!H2640,"AAAAAGZ430c=")</f>
        <v>#VALUE!</v>
      </c>
      <c r="BU176" t="e">
        <f>AND('Planilla_General_29-11-2012_10_'!I2640,"AAAAAGZ430g=")</f>
        <v>#VALUE!</v>
      </c>
      <c r="BV176" t="e">
        <f>AND('Planilla_General_29-11-2012_10_'!J2640,"AAAAAGZ430k=")</f>
        <v>#VALUE!</v>
      </c>
      <c r="BW176" t="e">
        <f>AND('Planilla_General_29-11-2012_10_'!K2640,"AAAAAGZ430o=")</f>
        <v>#VALUE!</v>
      </c>
      <c r="BX176" t="e">
        <f>AND('Planilla_General_29-11-2012_10_'!L2640,"AAAAAGZ430s=")</f>
        <v>#VALUE!</v>
      </c>
      <c r="BY176" t="e">
        <f>AND('Planilla_General_29-11-2012_10_'!M2640,"AAAAAGZ430w=")</f>
        <v>#VALUE!</v>
      </c>
      <c r="BZ176" t="e">
        <f>AND('Planilla_General_29-11-2012_10_'!N2640,"AAAAAGZ4300=")</f>
        <v>#VALUE!</v>
      </c>
      <c r="CA176" t="e">
        <f>AND('Planilla_General_29-11-2012_10_'!O2640,"AAAAAGZ4304=")</f>
        <v>#VALUE!</v>
      </c>
      <c r="CB176" t="e">
        <f>AND('Planilla_General_29-11-2012_10_'!P2640,"AAAAAGZ4308=")</f>
        <v>#VALUE!</v>
      </c>
      <c r="CC176">
        <f>IF('Planilla_General_29-11-2012_10_'!2641:2641,"AAAAAGZ431A=",0)</f>
        <v>0</v>
      </c>
      <c r="CD176" t="e">
        <f>AND('Planilla_General_29-11-2012_10_'!A2641,"AAAAAGZ431E=")</f>
        <v>#VALUE!</v>
      </c>
      <c r="CE176" t="e">
        <f>AND('Planilla_General_29-11-2012_10_'!B2641,"AAAAAGZ431I=")</f>
        <v>#VALUE!</v>
      </c>
      <c r="CF176" t="e">
        <f>AND('Planilla_General_29-11-2012_10_'!C2641,"AAAAAGZ431M=")</f>
        <v>#VALUE!</v>
      </c>
      <c r="CG176" t="e">
        <f>AND('Planilla_General_29-11-2012_10_'!D2641,"AAAAAGZ431Q=")</f>
        <v>#VALUE!</v>
      </c>
      <c r="CH176" t="e">
        <f>AND('Planilla_General_29-11-2012_10_'!E2641,"AAAAAGZ431U=")</f>
        <v>#VALUE!</v>
      </c>
      <c r="CI176" t="e">
        <f>AND('Planilla_General_29-11-2012_10_'!F2641,"AAAAAGZ431Y=")</f>
        <v>#VALUE!</v>
      </c>
      <c r="CJ176" t="e">
        <f>AND('Planilla_General_29-11-2012_10_'!G2641,"AAAAAGZ431c=")</f>
        <v>#VALUE!</v>
      </c>
      <c r="CK176" t="e">
        <f>AND('Planilla_General_29-11-2012_10_'!H2641,"AAAAAGZ431g=")</f>
        <v>#VALUE!</v>
      </c>
      <c r="CL176" t="e">
        <f>AND('Planilla_General_29-11-2012_10_'!I2641,"AAAAAGZ431k=")</f>
        <v>#VALUE!</v>
      </c>
      <c r="CM176" t="e">
        <f>AND('Planilla_General_29-11-2012_10_'!J2641,"AAAAAGZ431o=")</f>
        <v>#VALUE!</v>
      </c>
      <c r="CN176" t="e">
        <f>AND('Planilla_General_29-11-2012_10_'!K2641,"AAAAAGZ431s=")</f>
        <v>#VALUE!</v>
      </c>
      <c r="CO176" t="e">
        <f>AND('Planilla_General_29-11-2012_10_'!L2641,"AAAAAGZ431w=")</f>
        <v>#VALUE!</v>
      </c>
      <c r="CP176" t="e">
        <f>AND('Planilla_General_29-11-2012_10_'!M2641,"AAAAAGZ4310=")</f>
        <v>#VALUE!</v>
      </c>
      <c r="CQ176" t="e">
        <f>AND('Planilla_General_29-11-2012_10_'!N2641,"AAAAAGZ4314=")</f>
        <v>#VALUE!</v>
      </c>
      <c r="CR176" t="e">
        <f>AND('Planilla_General_29-11-2012_10_'!O2641,"AAAAAGZ4318=")</f>
        <v>#VALUE!</v>
      </c>
      <c r="CS176" t="e">
        <f>AND('Planilla_General_29-11-2012_10_'!P2641,"AAAAAGZ432A=")</f>
        <v>#VALUE!</v>
      </c>
      <c r="CT176">
        <f>IF('Planilla_General_29-11-2012_10_'!2642:2642,"AAAAAGZ432E=",0)</f>
        <v>0</v>
      </c>
      <c r="CU176" t="e">
        <f>AND('Planilla_General_29-11-2012_10_'!A2642,"AAAAAGZ432I=")</f>
        <v>#VALUE!</v>
      </c>
      <c r="CV176" t="e">
        <f>AND('Planilla_General_29-11-2012_10_'!B2642,"AAAAAGZ432M=")</f>
        <v>#VALUE!</v>
      </c>
      <c r="CW176" t="e">
        <f>AND('Planilla_General_29-11-2012_10_'!C2642,"AAAAAGZ432Q=")</f>
        <v>#VALUE!</v>
      </c>
      <c r="CX176" t="e">
        <f>AND('Planilla_General_29-11-2012_10_'!D2642,"AAAAAGZ432U=")</f>
        <v>#VALUE!</v>
      </c>
      <c r="CY176" t="e">
        <f>AND('Planilla_General_29-11-2012_10_'!E2642,"AAAAAGZ432Y=")</f>
        <v>#VALUE!</v>
      </c>
      <c r="CZ176" t="e">
        <f>AND('Planilla_General_29-11-2012_10_'!F2642,"AAAAAGZ432c=")</f>
        <v>#VALUE!</v>
      </c>
      <c r="DA176" t="e">
        <f>AND('Planilla_General_29-11-2012_10_'!G2642,"AAAAAGZ432g=")</f>
        <v>#VALUE!</v>
      </c>
      <c r="DB176" t="e">
        <f>AND('Planilla_General_29-11-2012_10_'!H2642,"AAAAAGZ432k=")</f>
        <v>#VALUE!</v>
      </c>
      <c r="DC176" t="e">
        <f>AND('Planilla_General_29-11-2012_10_'!I2642,"AAAAAGZ432o=")</f>
        <v>#VALUE!</v>
      </c>
      <c r="DD176" t="e">
        <f>AND('Planilla_General_29-11-2012_10_'!J2642,"AAAAAGZ432s=")</f>
        <v>#VALUE!</v>
      </c>
      <c r="DE176" t="e">
        <f>AND('Planilla_General_29-11-2012_10_'!K2642,"AAAAAGZ432w=")</f>
        <v>#VALUE!</v>
      </c>
      <c r="DF176" t="e">
        <f>AND('Planilla_General_29-11-2012_10_'!L2642,"AAAAAGZ4320=")</f>
        <v>#VALUE!</v>
      </c>
      <c r="DG176" t="e">
        <f>AND('Planilla_General_29-11-2012_10_'!M2642,"AAAAAGZ4324=")</f>
        <v>#VALUE!</v>
      </c>
      <c r="DH176" t="e">
        <f>AND('Planilla_General_29-11-2012_10_'!N2642,"AAAAAGZ4328=")</f>
        <v>#VALUE!</v>
      </c>
      <c r="DI176" t="e">
        <f>AND('Planilla_General_29-11-2012_10_'!O2642,"AAAAAGZ433A=")</f>
        <v>#VALUE!</v>
      </c>
      <c r="DJ176" t="e">
        <f>AND('Planilla_General_29-11-2012_10_'!P2642,"AAAAAGZ433E=")</f>
        <v>#VALUE!</v>
      </c>
      <c r="DK176">
        <f>IF('Planilla_General_29-11-2012_10_'!2643:2643,"AAAAAGZ433I=",0)</f>
        <v>0</v>
      </c>
      <c r="DL176" t="e">
        <f>AND('Planilla_General_29-11-2012_10_'!A2643,"AAAAAGZ433M=")</f>
        <v>#VALUE!</v>
      </c>
      <c r="DM176" t="e">
        <f>AND('Planilla_General_29-11-2012_10_'!B2643,"AAAAAGZ433Q=")</f>
        <v>#VALUE!</v>
      </c>
      <c r="DN176" t="e">
        <f>AND('Planilla_General_29-11-2012_10_'!C2643,"AAAAAGZ433U=")</f>
        <v>#VALUE!</v>
      </c>
      <c r="DO176" t="e">
        <f>AND('Planilla_General_29-11-2012_10_'!D2643,"AAAAAGZ433Y=")</f>
        <v>#VALUE!</v>
      </c>
      <c r="DP176" t="e">
        <f>AND('Planilla_General_29-11-2012_10_'!E2643,"AAAAAGZ433c=")</f>
        <v>#VALUE!</v>
      </c>
      <c r="DQ176" t="e">
        <f>AND('Planilla_General_29-11-2012_10_'!F2643,"AAAAAGZ433g=")</f>
        <v>#VALUE!</v>
      </c>
      <c r="DR176" t="e">
        <f>AND('Planilla_General_29-11-2012_10_'!G2643,"AAAAAGZ433k=")</f>
        <v>#VALUE!</v>
      </c>
      <c r="DS176" t="e">
        <f>AND('Planilla_General_29-11-2012_10_'!H2643,"AAAAAGZ433o=")</f>
        <v>#VALUE!</v>
      </c>
      <c r="DT176" t="e">
        <f>AND('Planilla_General_29-11-2012_10_'!I2643,"AAAAAGZ433s=")</f>
        <v>#VALUE!</v>
      </c>
      <c r="DU176" t="e">
        <f>AND('Planilla_General_29-11-2012_10_'!J2643,"AAAAAGZ433w=")</f>
        <v>#VALUE!</v>
      </c>
      <c r="DV176" t="e">
        <f>AND('Planilla_General_29-11-2012_10_'!K2643,"AAAAAGZ4330=")</f>
        <v>#VALUE!</v>
      </c>
      <c r="DW176" t="e">
        <f>AND('Planilla_General_29-11-2012_10_'!L2643,"AAAAAGZ4334=")</f>
        <v>#VALUE!</v>
      </c>
      <c r="DX176" t="e">
        <f>AND('Planilla_General_29-11-2012_10_'!M2643,"AAAAAGZ4338=")</f>
        <v>#VALUE!</v>
      </c>
      <c r="DY176" t="e">
        <f>AND('Planilla_General_29-11-2012_10_'!N2643,"AAAAAGZ434A=")</f>
        <v>#VALUE!</v>
      </c>
      <c r="DZ176" t="e">
        <f>AND('Planilla_General_29-11-2012_10_'!O2643,"AAAAAGZ434E=")</f>
        <v>#VALUE!</v>
      </c>
      <c r="EA176" t="e">
        <f>AND('Planilla_General_29-11-2012_10_'!P2643,"AAAAAGZ434I=")</f>
        <v>#VALUE!</v>
      </c>
      <c r="EB176">
        <f>IF('Planilla_General_29-11-2012_10_'!2644:2644,"AAAAAGZ434M=",0)</f>
        <v>0</v>
      </c>
      <c r="EC176" t="e">
        <f>AND('Planilla_General_29-11-2012_10_'!A2644,"AAAAAGZ434Q=")</f>
        <v>#VALUE!</v>
      </c>
      <c r="ED176" t="e">
        <f>AND('Planilla_General_29-11-2012_10_'!B2644,"AAAAAGZ434U=")</f>
        <v>#VALUE!</v>
      </c>
      <c r="EE176" t="e">
        <f>AND('Planilla_General_29-11-2012_10_'!C2644,"AAAAAGZ434Y=")</f>
        <v>#VALUE!</v>
      </c>
      <c r="EF176" t="e">
        <f>AND('Planilla_General_29-11-2012_10_'!D2644,"AAAAAGZ434c=")</f>
        <v>#VALUE!</v>
      </c>
      <c r="EG176" t="e">
        <f>AND('Planilla_General_29-11-2012_10_'!E2644,"AAAAAGZ434g=")</f>
        <v>#VALUE!</v>
      </c>
      <c r="EH176" t="e">
        <f>AND('Planilla_General_29-11-2012_10_'!F2644,"AAAAAGZ434k=")</f>
        <v>#VALUE!</v>
      </c>
      <c r="EI176" t="e">
        <f>AND('Planilla_General_29-11-2012_10_'!G2644,"AAAAAGZ434o=")</f>
        <v>#VALUE!</v>
      </c>
      <c r="EJ176" t="e">
        <f>AND('Planilla_General_29-11-2012_10_'!H2644,"AAAAAGZ434s=")</f>
        <v>#VALUE!</v>
      </c>
      <c r="EK176" t="e">
        <f>AND('Planilla_General_29-11-2012_10_'!I2644,"AAAAAGZ434w=")</f>
        <v>#VALUE!</v>
      </c>
      <c r="EL176" t="e">
        <f>AND('Planilla_General_29-11-2012_10_'!J2644,"AAAAAGZ4340=")</f>
        <v>#VALUE!</v>
      </c>
      <c r="EM176" t="e">
        <f>AND('Planilla_General_29-11-2012_10_'!K2644,"AAAAAGZ4344=")</f>
        <v>#VALUE!</v>
      </c>
      <c r="EN176" t="e">
        <f>AND('Planilla_General_29-11-2012_10_'!L2644,"AAAAAGZ4348=")</f>
        <v>#VALUE!</v>
      </c>
      <c r="EO176" t="e">
        <f>AND('Planilla_General_29-11-2012_10_'!M2644,"AAAAAGZ435A=")</f>
        <v>#VALUE!</v>
      </c>
      <c r="EP176" t="e">
        <f>AND('Planilla_General_29-11-2012_10_'!N2644,"AAAAAGZ435E=")</f>
        <v>#VALUE!</v>
      </c>
      <c r="EQ176" t="e">
        <f>AND('Planilla_General_29-11-2012_10_'!O2644,"AAAAAGZ435I=")</f>
        <v>#VALUE!</v>
      </c>
      <c r="ER176" t="e">
        <f>AND('Planilla_General_29-11-2012_10_'!P2644,"AAAAAGZ435M=")</f>
        <v>#VALUE!</v>
      </c>
      <c r="ES176">
        <f>IF('Planilla_General_29-11-2012_10_'!2645:2645,"AAAAAGZ435Q=",0)</f>
        <v>0</v>
      </c>
      <c r="ET176" t="e">
        <f>AND('Planilla_General_29-11-2012_10_'!A2645,"AAAAAGZ435U=")</f>
        <v>#VALUE!</v>
      </c>
      <c r="EU176" t="e">
        <f>AND('Planilla_General_29-11-2012_10_'!B2645,"AAAAAGZ435Y=")</f>
        <v>#VALUE!</v>
      </c>
      <c r="EV176" t="e">
        <f>AND('Planilla_General_29-11-2012_10_'!C2645,"AAAAAGZ435c=")</f>
        <v>#VALUE!</v>
      </c>
      <c r="EW176" t="e">
        <f>AND('Planilla_General_29-11-2012_10_'!D2645,"AAAAAGZ435g=")</f>
        <v>#VALUE!</v>
      </c>
      <c r="EX176" t="e">
        <f>AND('Planilla_General_29-11-2012_10_'!E2645,"AAAAAGZ435k=")</f>
        <v>#VALUE!</v>
      </c>
      <c r="EY176" t="e">
        <f>AND('Planilla_General_29-11-2012_10_'!F2645,"AAAAAGZ435o=")</f>
        <v>#VALUE!</v>
      </c>
      <c r="EZ176" t="e">
        <f>AND('Planilla_General_29-11-2012_10_'!G2645,"AAAAAGZ435s=")</f>
        <v>#VALUE!</v>
      </c>
      <c r="FA176" t="e">
        <f>AND('Planilla_General_29-11-2012_10_'!H2645,"AAAAAGZ435w=")</f>
        <v>#VALUE!</v>
      </c>
      <c r="FB176" t="e">
        <f>AND('Planilla_General_29-11-2012_10_'!I2645,"AAAAAGZ4350=")</f>
        <v>#VALUE!</v>
      </c>
      <c r="FC176" t="e">
        <f>AND('Planilla_General_29-11-2012_10_'!J2645,"AAAAAGZ4354=")</f>
        <v>#VALUE!</v>
      </c>
      <c r="FD176" t="e">
        <f>AND('Planilla_General_29-11-2012_10_'!K2645,"AAAAAGZ4358=")</f>
        <v>#VALUE!</v>
      </c>
      <c r="FE176" t="e">
        <f>AND('Planilla_General_29-11-2012_10_'!L2645,"AAAAAGZ436A=")</f>
        <v>#VALUE!</v>
      </c>
      <c r="FF176" t="e">
        <f>AND('Planilla_General_29-11-2012_10_'!M2645,"AAAAAGZ436E=")</f>
        <v>#VALUE!</v>
      </c>
      <c r="FG176" t="e">
        <f>AND('Planilla_General_29-11-2012_10_'!N2645,"AAAAAGZ436I=")</f>
        <v>#VALUE!</v>
      </c>
      <c r="FH176" t="e">
        <f>AND('Planilla_General_29-11-2012_10_'!O2645,"AAAAAGZ436M=")</f>
        <v>#VALUE!</v>
      </c>
      <c r="FI176" t="e">
        <f>AND('Planilla_General_29-11-2012_10_'!P2645,"AAAAAGZ436Q=")</f>
        <v>#VALUE!</v>
      </c>
      <c r="FJ176">
        <f>IF('Planilla_General_29-11-2012_10_'!2646:2646,"AAAAAGZ436U=",0)</f>
        <v>0</v>
      </c>
      <c r="FK176" t="e">
        <f>AND('Planilla_General_29-11-2012_10_'!A2646,"AAAAAGZ436Y=")</f>
        <v>#VALUE!</v>
      </c>
      <c r="FL176" t="e">
        <f>AND('Planilla_General_29-11-2012_10_'!B2646,"AAAAAGZ436c=")</f>
        <v>#VALUE!</v>
      </c>
      <c r="FM176" t="e">
        <f>AND('Planilla_General_29-11-2012_10_'!C2646,"AAAAAGZ436g=")</f>
        <v>#VALUE!</v>
      </c>
      <c r="FN176" t="e">
        <f>AND('Planilla_General_29-11-2012_10_'!D2646,"AAAAAGZ436k=")</f>
        <v>#VALUE!</v>
      </c>
      <c r="FO176" t="e">
        <f>AND('Planilla_General_29-11-2012_10_'!E2646,"AAAAAGZ436o=")</f>
        <v>#VALUE!</v>
      </c>
      <c r="FP176" t="e">
        <f>AND('Planilla_General_29-11-2012_10_'!F2646,"AAAAAGZ436s=")</f>
        <v>#VALUE!</v>
      </c>
      <c r="FQ176" t="e">
        <f>AND('Planilla_General_29-11-2012_10_'!G2646,"AAAAAGZ436w=")</f>
        <v>#VALUE!</v>
      </c>
      <c r="FR176" t="e">
        <f>AND('Planilla_General_29-11-2012_10_'!H2646,"AAAAAGZ4360=")</f>
        <v>#VALUE!</v>
      </c>
      <c r="FS176" t="e">
        <f>AND('Planilla_General_29-11-2012_10_'!I2646,"AAAAAGZ4364=")</f>
        <v>#VALUE!</v>
      </c>
      <c r="FT176" t="e">
        <f>AND('Planilla_General_29-11-2012_10_'!J2646,"AAAAAGZ4368=")</f>
        <v>#VALUE!</v>
      </c>
      <c r="FU176" t="e">
        <f>AND('Planilla_General_29-11-2012_10_'!K2646,"AAAAAGZ437A=")</f>
        <v>#VALUE!</v>
      </c>
      <c r="FV176" t="e">
        <f>AND('Planilla_General_29-11-2012_10_'!L2646,"AAAAAGZ437E=")</f>
        <v>#VALUE!</v>
      </c>
      <c r="FW176" t="e">
        <f>AND('Planilla_General_29-11-2012_10_'!M2646,"AAAAAGZ437I=")</f>
        <v>#VALUE!</v>
      </c>
      <c r="FX176" t="e">
        <f>AND('Planilla_General_29-11-2012_10_'!N2646,"AAAAAGZ437M=")</f>
        <v>#VALUE!</v>
      </c>
      <c r="FY176" t="e">
        <f>AND('Planilla_General_29-11-2012_10_'!O2646,"AAAAAGZ437Q=")</f>
        <v>#VALUE!</v>
      </c>
      <c r="FZ176" t="e">
        <f>AND('Planilla_General_29-11-2012_10_'!P2646,"AAAAAGZ437U=")</f>
        <v>#VALUE!</v>
      </c>
      <c r="GA176">
        <f>IF('Planilla_General_29-11-2012_10_'!2647:2647,"AAAAAGZ437Y=",0)</f>
        <v>0</v>
      </c>
      <c r="GB176" t="e">
        <f>AND('Planilla_General_29-11-2012_10_'!A2647,"AAAAAGZ437c=")</f>
        <v>#VALUE!</v>
      </c>
      <c r="GC176" t="e">
        <f>AND('Planilla_General_29-11-2012_10_'!B2647,"AAAAAGZ437g=")</f>
        <v>#VALUE!</v>
      </c>
      <c r="GD176" t="e">
        <f>AND('Planilla_General_29-11-2012_10_'!C2647,"AAAAAGZ437k=")</f>
        <v>#VALUE!</v>
      </c>
      <c r="GE176" t="e">
        <f>AND('Planilla_General_29-11-2012_10_'!D2647,"AAAAAGZ437o=")</f>
        <v>#VALUE!</v>
      </c>
      <c r="GF176" t="e">
        <f>AND('Planilla_General_29-11-2012_10_'!E2647,"AAAAAGZ437s=")</f>
        <v>#VALUE!</v>
      </c>
      <c r="GG176" t="e">
        <f>AND('Planilla_General_29-11-2012_10_'!F2647,"AAAAAGZ437w=")</f>
        <v>#VALUE!</v>
      </c>
      <c r="GH176" t="e">
        <f>AND('Planilla_General_29-11-2012_10_'!G2647,"AAAAAGZ4370=")</f>
        <v>#VALUE!</v>
      </c>
      <c r="GI176" t="e">
        <f>AND('Planilla_General_29-11-2012_10_'!H2647,"AAAAAGZ4374=")</f>
        <v>#VALUE!</v>
      </c>
      <c r="GJ176" t="e">
        <f>AND('Planilla_General_29-11-2012_10_'!I2647,"AAAAAGZ4378=")</f>
        <v>#VALUE!</v>
      </c>
      <c r="GK176" t="e">
        <f>AND('Planilla_General_29-11-2012_10_'!J2647,"AAAAAGZ438A=")</f>
        <v>#VALUE!</v>
      </c>
      <c r="GL176" t="e">
        <f>AND('Planilla_General_29-11-2012_10_'!K2647,"AAAAAGZ438E=")</f>
        <v>#VALUE!</v>
      </c>
      <c r="GM176" t="e">
        <f>AND('Planilla_General_29-11-2012_10_'!L2647,"AAAAAGZ438I=")</f>
        <v>#VALUE!</v>
      </c>
      <c r="GN176" t="e">
        <f>AND('Planilla_General_29-11-2012_10_'!M2647,"AAAAAGZ438M=")</f>
        <v>#VALUE!</v>
      </c>
      <c r="GO176" t="e">
        <f>AND('Planilla_General_29-11-2012_10_'!N2647,"AAAAAGZ438Q=")</f>
        <v>#VALUE!</v>
      </c>
      <c r="GP176" t="e">
        <f>AND('Planilla_General_29-11-2012_10_'!O2647,"AAAAAGZ438U=")</f>
        <v>#VALUE!</v>
      </c>
      <c r="GQ176" t="e">
        <f>AND('Planilla_General_29-11-2012_10_'!P2647,"AAAAAGZ438Y=")</f>
        <v>#VALUE!</v>
      </c>
      <c r="GR176">
        <f>IF('Planilla_General_29-11-2012_10_'!2648:2648,"AAAAAGZ438c=",0)</f>
        <v>0</v>
      </c>
      <c r="GS176" t="e">
        <f>AND('Planilla_General_29-11-2012_10_'!A2648,"AAAAAGZ438g=")</f>
        <v>#VALUE!</v>
      </c>
      <c r="GT176" t="e">
        <f>AND('Planilla_General_29-11-2012_10_'!B2648,"AAAAAGZ438k=")</f>
        <v>#VALUE!</v>
      </c>
      <c r="GU176" t="e">
        <f>AND('Planilla_General_29-11-2012_10_'!C2648,"AAAAAGZ438o=")</f>
        <v>#VALUE!</v>
      </c>
      <c r="GV176" t="e">
        <f>AND('Planilla_General_29-11-2012_10_'!D2648,"AAAAAGZ438s=")</f>
        <v>#VALUE!</v>
      </c>
      <c r="GW176" t="e">
        <f>AND('Planilla_General_29-11-2012_10_'!E2648,"AAAAAGZ438w=")</f>
        <v>#VALUE!</v>
      </c>
      <c r="GX176" t="e">
        <f>AND('Planilla_General_29-11-2012_10_'!F2648,"AAAAAGZ4380=")</f>
        <v>#VALUE!</v>
      </c>
      <c r="GY176" t="e">
        <f>AND('Planilla_General_29-11-2012_10_'!G2648,"AAAAAGZ4384=")</f>
        <v>#VALUE!</v>
      </c>
      <c r="GZ176" t="e">
        <f>AND('Planilla_General_29-11-2012_10_'!H2648,"AAAAAGZ4388=")</f>
        <v>#VALUE!</v>
      </c>
      <c r="HA176" t="e">
        <f>AND('Planilla_General_29-11-2012_10_'!I2648,"AAAAAGZ439A=")</f>
        <v>#VALUE!</v>
      </c>
      <c r="HB176" t="e">
        <f>AND('Planilla_General_29-11-2012_10_'!J2648,"AAAAAGZ439E=")</f>
        <v>#VALUE!</v>
      </c>
      <c r="HC176" t="e">
        <f>AND('Planilla_General_29-11-2012_10_'!K2648,"AAAAAGZ439I=")</f>
        <v>#VALUE!</v>
      </c>
      <c r="HD176" t="e">
        <f>AND('Planilla_General_29-11-2012_10_'!L2648,"AAAAAGZ439M=")</f>
        <v>#VALUE!</v>
      </c>
      <c r="HE176" t="e">
        <f>AND('Planilla_General_29-11-2012_10_'!M2648,"AAAAAGZ439Q=")</f>
        <v>#VALUE!</v>
      </c>
      <c r="HF176" t="e">
        <f>AND('Planilla_General_29-11-2012_10_'!N2648,"AAAAAGZ439U=")</f>
        <v>#VALUE!</v>
      </c>
      <c r="HG176" t="e">
        <f>AND('Planilla_General_29-11-2012_10_'!O2648,"AAAAAGZ439Y=")</f>
        <v>#VALUE!</v>
      </c>
      <c r="HH176" t="e">
        <f>AND('Planilla_General_29-11-2012_10_'!P2648,"AAAAAGZ439c=")</f>
        <v>#VALUE!</v>
      </c>
      <c r="HI176">
        <f>IF('Planilla_General_29-11-2012_10_'!2649:2649,"AAAAAGZ439g=",0)</f>
        <v>0</v>
      </c>
      <c r="HJ176" t="e">
        <f>AND('Planilla_General_29-11-2012_10_'!A2649,"AAAAAGZ439k=")</f>
        <v>#VALUE!</v>
      </c>
      <c r="HK176" t="e">
        <f>AND('Planilla_General_29-11-2012_10_'!B2649,"AAAAAGZ439o=")</f>
        <v>#VALUE!</v>
      </c>
      <c r="HL176" t="e">
        <f>AND('Planilla_General_29-11-2012_10_'!C2649,"AAAAAGZ439s=")</f>
        <v>#VALUE!</v>
      </c>
      <c r="HM176" t="e">
        <f>AND('Planilla_General_29-11-2012_10_'!D2649,"AAAAAGZ439w=")</f>
        <v>#VALUE!</v>
      </c>
      <c r="HN176" t="e">
        <f>AND('Planilla_General_29-11-2012_10_'!E2649,"AAAAAGZ4390=")</f>
        <v>#VALUE!</v>
      </c>
      <c r="HO176" t="e">
        <f>AND('Planilla_General_29-11-2012_10_'!F2649,"AAAAAGZ4394=")</f>
        <v>#VALUE!</v>
      </c>
      <c r="HP176" t="e">
        <f>AND('Planilla_General_29-11-2012_10_'!G2649,"AAAAAGZ4398=")</f>
        <v>#VALUE!</v>
      </c>
      <c r="HQ176" t="e">
        <f>AND('Planilla_General_29-11-2012_10_'!H2649,"AAAAAGZ43+A=")</f>
        <v>#VALUE!</v>
      </c>
      <c r="HR176" t="e">
        <f>AND('Planilla_General_29-11-2012_10_'!I2649,"AAAAAGZ43+E=")</f>
        <v>#VALUE!</v>
      </c>
      <c r="HS176" t="e">
        <f>AND('Planilla_General_29-11-2012_10_'!J2649,"AAAAAGZ43+I=")</f>
        <v>#VALUE!</v>
      </c>
      <c r="HT176" t="e">
        <f>AND('Planilla_General_29-11-2012_10_'!K2649,"AAAAAGZ43+M=")</f>
        <v>#VALUE!</v>
      </c>
      <c r="HU176" t="e">
        <f>AND('Planilla_General_29-11-2012_10_'!L2649,"AAAAAGZ43+Q=")</f>
        <v>#VALUE!</v>
      </c>
      <c r="HV176" t="e">
        <f>AND('Planilla_General_29-11-2012_10_'!M2649,"AAAAAGZ43+U=")</f>
        <v>#VALUE!</v>
      </c>
      <c r="HW176" t="e">
        <f>AND('Planilla_General_29-11-2012_10_'!N2649,"AAAAAGZ43+Y=")</f>
        <v>#VALUE!</v>
      </c>
      <c r="HX176" t="e">
        <f>AND('Planilla_General_29-11-2012_10_'!O2649,"AAAAAGZ43+c=")</f>
        <v>#VALUE!</v>
      </c>
      <c r="HY176" t="e">
        <f>AND('Planilla_General_29-11-2012_10_'!P2649,"AAAAAGZ43+g=")</f>
        <v>#VALUE!</v>
      </c>
      <c r="HZ176">
        <f>IF('Planilla_General_29-11-2012_10_'!2650:2650,"AAAAAGZ43+k=",0)</f>
        <v>0</v>
      </c>
      <c r="IA176" t="e">
        <f>AND('Planilla_General_29-11-2012_10_'!A2650,"AAAAAGZ43+o=")</f>
        <v>#VALUE!</v>
      </c>
      <c r="IB176" t="e">
        <f>AND('Planilla_General_29-11-2012_10_'!B2650,"AAAAAGZ43+s=")</f>
        <v>#VALUE!</v>
      </c>
      <c r="IC176" t="e">
        <f>AND('Planilla_General_29-11-2012_10_'!C2650,"AAAAAGZ43+w=")</f>
        <v>#VALUE!</v>
      </c>
      <c r="ID176" t="e">
        <f>AND('Planilla_General_29-11-2012_10_'!D2650,"AAAAAGZ43+0=")</f>
        <v>#VALUE!</v>
      </c>
      <c r="IE176" t="e">
        <f>AND('Planilla_General_29-11-2012_10_'!E2650,"AAAAAGZ43+4=")</f>
        <v>#VALUE!</v>
      </c>
      <c r="IF176" t="e">
        <f>AND('Planilla_General_29-11-2012_10_'!F2650,"AAAAAGZ43+8=")</f>
        <v>#VALUE!</v>
      </c>
      <c r="IG176" t="e">
        <f>AND('Planilla_General_29-11-2012_10_'!G2650,"AAAAAGZ43/A=")</f>
        <v>#VALUE!</v>
      </c>
      <c r="IH176" t="e">
        <f>AND('Planilla_General_29-11-2012_10_'!H2650,"AAAAAGZ43/E=")</f>
        <v>#VALUE!</v>
      </c>
      <c r="II176" t="e">
        <f>AND('Planilla_General_29-11-2012_10_'!I2650,"AAAAAGZ43/I=")</f>
        <v>#VALUE!</v>
      </c>
      <c r="IJ176" t="e">
        <f>AND('Planilla_General_29-11-2012_10_'!J2650,"AAAAAGZ43/M=")</f>
        <v>#VALUE!</v>
      </c>
      <c r="IK176" t="e">
        <f>AND('Planilla_General_29-11-2012_10_'!K2650,"AAAAAGZ43/Q=")</f>
        <v>#VALUE!</v>
      </c>
      <c r="IL176" t="e">
        <f>AND('Planilla_General_29-11-2012_10_'!L2650,"AAAAAGZ43/U=")</f>
        <v>#VALUE!</v>
      </c>
      <c r="IM176" t="e">
        <f>AND('Planilla_General_29-11-2012_10_'!M2650,"AAAAAGZ43/Y=")</f>
        <v>#VALUE!</v>
      </c>
      <c r="IN176" t="e">
        <f>AND('Planilla_General_29-11-2012_10_'!N2650,"AAAAAGZ43/c=")</f>
        <v>#VALUE!</v>
      </c>
      <c r="IO176" t="e">
        <f>AND('Planilla_General_29-11-2012_10_'!O2650,"AAAAAGZ43/g=")</f>
        <v>#VALUE!</v>
      </c>
      <c r="IP176" t="e">
        <f>AND('Planilla_General_29-11-2012_10_'!P2650,"AAAAAGZ43/k=")</f>
        <v>#VALUE!</v>
      </c>
      <c r="IQ176">
        <f>IF('Planilla_General_29-11-2012_10_'!2651:2651,"AAAAAGZ43/o=",0)</f>
        <v>0</v>
      </c>
      <c r="IR176" t="e">
        <f>AND('Planilla_General_29-11-2012_10_'!A2651,"AAAAAGZ43/s=")</f>
        <v>#VALUE!</v>
      </c>
      <c r="IS176" t="e">
        <f>AND('Planilla_General_29-11-2012_10_'!B2651,"AAAAAGZ43/w=")</f>
        <v>#VALUE!</v>
      </c>
      <c r="IT176" t="e">
        <f>AND('Planilla_General_29-11-2012_10_'!C2651,"AAAAAGZ43/0=")</f>
        <v>#VALUE!</v>
      </c>
      <c r="IU176" t="e">
        <f>AND('Planilla_General_29-11-2012_10_'!D2651,"AAAAAGZ43/4=")</f>
        <v>#VALUE!</v>
      </c>
      <c r="IV176" t="e">
        <f>AND('Planilla_General_29-11-2012_10_'!E2651,"AAAAAGZ43/8=")</f>
        <v>#VALUE!</v>
      </c>
    </row>
    <row r="177" spans="1:256" x14ac:dyDescent="0.25">
      <c r="A177" t="e">
        <f>AND('Planilla_General_29-11-2012_10_'!F2651,"AAAAAHv9vwA=")</f>
        <v>#VALUE!</v>
      </c>
      <c r="B177" t="e">
        <f>AND('Planilla_General_29-11-2012_10_'!G2651,"AAAAAHv9vwE=")</f>
        <v>#VALUE!</v>
      </c>
      <c r="C177" t="e">
        <f>AND('Planilla_General_29-11-2012_10_'!H2651,"AAAAAHv9vwI=")</f>
        <v>#VALUE!</v>
      </c>
      <c r="D177" t="e">
        <f>AND('Planilla_General_29-11-2012_10_'!I2651,"AAAAAHv9vwM=")</f>
        <v>#VALUE!</v>
      </c>
      <c r="E177" t="e">
        <f>AND('Planilla_General_29-11-2012_10_'!J2651,"AAAAAHv9vwQ=")</f>
        <v>#VALUE!</v>
      </c>
      <c r="F177" t="e">
        <f>AND('Planilla_General_29-11-2012_10_'!K2651,"AAAAAHv9vwU=")</f>
        <v>#VALUE!</v>
      </c>
      <c r="G177" t="e">
        <f>AND('Planilla_General_29-11-2012_10_'!L2651,"AAAAAHv9vwY=")</f>
        <v>#VALUE!</v>
      </c>
      <c r="H177" t="e">
        <f>AND('Planilla_General_29-11-2012_10_'!M2651,"AAAAAHv9vwc=")</f>
        <v>#VALUE!</v>
      </c>
      <c r="I177" t="e">
        <f>AND('Planilla_General_29-11-2012_10_'!N2651,"AAAAAHv9vwg=")</f>
        <v>#VALUE!</v>
      </c>
      <c r="J177" t="e">
        <f>AND('Planilla_General_29-11-2012_10_'!O2651,"AAAAAHv9vwk=")</f>
        <v>#VALUE!</v>
      </c>
      <c r="K177" t="e">
        <f>AND('Planilla_General_29-11-2012_10_'!P2651,"AAAAAHv9vwo=")</f>
        <v>#VALUE!</v>
      </c>
      <c r="L177" t="str">
        <f>IF('Planilla_General_29-11-2012_10_'!2652:2652,"AAAAAHv9vws=",0)</f>
        <v>AAAAAHv9vws=</v>
      </c>
      <c r="M177" t="e">
        <f>AND('Planilla_General_29-11-2012_10_'!A2652,"AAAAAHv9vww=")</f>
        <v>#VALUE!</v>
      </c>
      <c r="N177" t="e">
        <f>AND('Planilla_General_29-11-2012_10_'!B2652,"AAAAAHv9vw0=")</f>
        <v>#VALUE!</v>
      </c>
      <c r="O177" t="e">
        <f>AND('Planilla_General_29-11-2012_10_'!C2652,"AAAAAHv9vw4=")</f>
        <v>#VALUE!</v>
      </c>
      <c r="P177" t="e">
        <f>AND('Planilla_General_29-11-2012_10_'!D2652,"AAAAAHv9vw8=")</f>
        <v>#VALUE!</v>
      </c>
      <c r="Q177" t="e">
        <f>AND('Planilla_General_29-11-2012_10_'!E2652,"AAAAAHv9vxA=")</f>
        <v>#VALUE!</v>
      </c>
      <c r="R177" t="e">
        <f>AND('Planilla_General_29-11-2012_10_'!F2652,"AAAAAHv9vxE=")</f>
        <v>#VALUE!</v>
      </c>
      <c r="S177" t="e">
        <f>AND('Planilla_General_29-11-2012_10_'!G2652,"AAAAAHv9vxI=")</f>
        <v>#VALUE!</v>
      </c>
      <c r="T177" t="e">
        <f>AND('Planilla_General_29-11-2012_10_'!H2652,"AAAAAHv9vxM=")</f>
        <v>#VALUE!</v>
      </c>
      <c r="U177" t="e">
        <f>AND('Planilla_General_29-11-2012_10_'!I2652,"AAAAAHv9vxQ=")</f>
        <v>#VALUE!</v>
      </c>
      <c r="V177" t="e">
        <f>AND('Planilla_General_29-11-2012_10_'!J2652,"AAAAAHv9vxU=")</f>
        <v>#VALUE!</v>
      </c>
      <c r="W177" t="e">
        <f>AND('Planilla_General_29-11-2012_10_'!K2652,"AAAAAHv9vxY=")</f>
        <v>#VALUE!</v>
      </c>
      <c r="X177" t="e">
        <f>AND('Planilla_General_29-11-2012_10_'!L2652,"AAAAAHv9vxc=")</f>
        <v>#VALUE!</v>
      </c>
      <c r="Y177" t="e">
        <f>AND('Planilla_General_29-11-2012_10_'!M2652,"AAAAAHv9vxg=")</f>
        <v>#VALUE!</v>
      </c>
      <c r="Z177" t="e">
        <f>AND('Planilla_General_29-11-2012_10_'!N2652,"AAAAAHv9vxk=")</f>
        <v>#VALUE!</v>
      </c>
      <c r="AA177" t="e">
        <f>AND('Planilla_General_29-11-2012_10_'!O2652,"AAAAAHv9vxo=")</f>
        <v>#VALUE!</v>
      </c>
      <c r="AB177" t="e">
        <f>AND('Planilla_General_29-11-2012_10_'!P2652,"AAAAAHv9vxs=")</f>
        <v>#VALUE!</v>
      </c>
      <c r="AC177">
        <f>IF('Planilla_General_29-11-2012_10_'!2653:2653,"AAAAAHv9vxw=",0)</f>
        <v>0</v>
      </c>
      <c r="AD177" t="e">
        <f>AND('Planilla_General_29-11-2012_10_'!A2653,"AAAAAHv9vx0=")</f>
        <v>#VALUE!</v>
      </c>
      <c r="AE177" t="e">
        <f>AND('Planilla_General_29-11-2012_10_'!B2653,"AAAAAHv9vx4=")</f>
        <v>#VALUE!</v>
      </c>
      <c r="AF177" t="e">
        <f>AND('Planilla_General_29-11-2012_10_'!C2653,"AAAAAHv9vx8=")</f>
        <v>#VALUE!</v>
      </c>
      <c r="AG177" t="e">
        <f>AND('Planilla_General_29-11-2012_10_'!D2653,"AAAAAHv9vyA=")</f>
        <v>#VALUE!</v>
      </c>
      <c r="AH177" t="e">
        <f>AND('Planilla_General_29-11-2012_10_'!E2653,"AAAAAHv9vyE=")</f>
        <v>#VALUE!</v>
      </c>
      <c r="AI177" t="e">
        <f>AND('Planilla_General_29-11-2012_10_'!F2653,"AAAAAHv9vyI=")</f>
        <v>#VALUE!</v>
      </c>
      <c r="AJ177" t="e">
        <f>AND('Planilla_General_29-11-2012_10_'!G2653,"AAAAAHv9vyM=")</f>
        <v>#VALUE!</v>
      </c>
      <c r="AK177" t="e">
        <f>AND('Planilla_General_29-11-2012_10_'!H2653,"AAAAAHv9vyQ=")</f>
        <v>#VALUE!</v>
      </c>
      <c r="AL177" t="e">
        <f>AND('Planilla_General_29-11-2012_10_'!I2653,"AAAAAHv9vyU=")</f>
        <v>#VALUE!</v>
      </c>
      <c r="AM177" t="e">
        <f>AND('Planilla_General_29-11-2012_10_'!J2653,"AAAAAHv9vyY=")</f>
        <v>#VALUE!</v>
      </c>
      <c r="AN177" t="e">
        <f>AND('Planilla_General_29-11-2012_10_'!K2653,"AAAAAHv9vyc=")</f>
        <v>#VALUE!</v>
      </c>
      <c r="AO177" t="e">
        <f>AND('Planilla_General_29-11-2012_10_'!L2653,"AAAAAHv9vyg=")</f>
        <v>#VALUE!</v>
      </c>
      <c r="AP177" t="e">
        <f>AND('Planilla_General_29-11-2012_10_'!M2653,"AAAAAHv9vyk=")</f>
        <v>#VALUE!</v>
      </c>
      <c r="AQ177" t="e">
        <f>AND('Planilla_General_29-11-2012_10_'!N2653,"AAAAAHv9vyo=")</f>
        <v>#VALUE!</v>
      </c>
      <c r="AR177" t="e">
        <f>AND('Planilla_General_29-11-2012_10_'!O2653,"AAAAAHv9vys=")</f>
        <v>#VALUE!</v>
      </c>
      <c r="AS177" t="e">
        <f>AND('Planilla_General_29-11-2012_10_'!P2653,"AAAAAHv9vyw=")</f>
        <v>#VALUE!</v>
      </c>
      <c r="AT177">
        <f>IF('Planilla_General_29-11-2012_10_'!2654:2654,"AAAAAHv9vy0=",0)</f>
        <v>0</v>
      </c>
      <c r="AU177" t="e">
        <f>AND('Planilla_General_29-11-2012_10_'!A2654,"AAAAAHv9vy4=")</f>
        <v>#VALUE!</v>
      </c>
      <c r="AV177" t="e">
        <f>AND('Planilla_General_29-11-2012_10_'!B2654,"AAAAAHv9vy8=")</f>
        <v>#VALUE!</v>
      </c>
      <c r="AW177" t="e">
        <f>AND('Planilla_General_29-11-2012_10_'!C2654,"AAAAAHv9vzA=")</f>
        <v>#VALUE!</v>
      </c>
      <c r="AX177" t="e">
        <f>AND('Planilla_General_29-11-2012_10_'!D2654,"AAAAAHv9vzE=")</f>
        <v>#VALUE!</v>
      </c>
      <c r="AY177" t="e">
        <f>AND('Planilla_General_29-11-2012_10_'!E2654,"AAAAAHv9vzI=")</f>
        <v>#VALUE!</v>
      </c>
      <c r="AZ177" t="e">
        <f>AND('Planilla_General_29-11-2012_10_'!F2654,"AAAAAHv9vzM=")</f>
        <v>#VALUE!</v>
      </c>
      <c r="BA177" t="e">
        <f>AND('Planilla_General_29-11-2012_10_'!G2654,"AAAAAHv9vzQ=")</f>
        <v>#VALUE!</v>
      </c>
      <c r="BB177" t="e">
        <f>AND('Planilla_General_29-11-2012_10_'!H2654,"AAAAAHv9vzU=")</f>
        <v>#VALUE!</v>
      </c>
      <c r="BC177" t="e">
        <f>AND('Planilla_General_29-11-2012_10_'!I2654,"AAAAAHv9vzY=")</f>
        <v>#VALUE!</v>
      </c>
      <c r="BD177" t="e">
        <f>AND('Planilla_General_29-11-2012_10_'!J2654,"AAAAAHv9vzc=")</f>
        <v>#VALUE!</v>
      </c>
      <c r="BE177" t="e">
        <f>AND('Planilla_General_29-11-2012_10_'!K2654,"AAAAAHv9vzg=")</f>
        <v>#VALUE!</v>
      </c>
      <c r="BF177" t="e">
        <f>AND('Planilla_General_29-11-2012_10_'!L2654,"AAAAAHv9vzk=")</f>
        <v>#VALUE!</v>
      </c>
      <c r="BG177" t="e">
        <f>AND('Planilla_General_29-11-2012_10_'!M2654,"AAAAAHv9vzo=")</f>
        <v>#VALUE!</v>
      </c>
      <c r="BH177" t="e">
        <f>AND('Planilla_General_29-11-2012_10_'!N2654,"AAAAAHv9vzs=")</f>
        <v>#VALUE!</v>
      </c>
      <c r="BI177" t="e">
        <f>AND('Planilla_General_29-11-2012_10_'!O2654,"AAAAAHv9vzw=")</f>
        <v>#VALUE!</v>
      </c>
      <c r="BJ177" t="e">
        <f>AND('Planilla_General_29-11-2012_10_'!P2654,"AAAAAHv9vz0=")</f>
        <v>#VALUE!</v>
      </c>
      <c r="BK177">
        <f>IF('Planilla_General_29-11-2012_10_'!2655:2655,"AAAAAHv9vz4=",0)</f>
        <v>0</v>
      </c>
      <c r="BL177" t="e">
        <f>AND('Planilla_General_29-11-2012_10_'!A2655,"AAAAAHv9vz8=")</f>
        <v>#VALUE!</v>
      </c>
      <c r="BM177" t="e">
        <f>AND('Planilla_General_29-11-2012_10_'!B2655,"AAAAAHv9v0A=")</f>
        <v>#VALUE!</v>
      </c>
      <c r="BN177" t="e">
        <f>AND('Planilla_General_29-11-2012_10_'!C2655,"AAAAAHv9v0E=")</f>
        <v>#VALUE!</v>
      </c>
      <c r="BO177" t="e">
        <f>AND('Planilla_General_29-11-2012_10_'!D2655,"AAAAAHv9v0I=")</f>
        <v>#VALUE!</v>
      </c>
      <c r="BP177" t="e">
        <f>AND('Planilla_General_29-11-2012_10_'!E2655,"AAAAAHv9v0M=")</f>
        <v>#VALUE!</v>
      </c>
      <c r="BQ177" t="e">
        <f>AND('Planilla_General_29-11-2012_10_'!F2655,"AAAAAHv9v0Q=")</f>
        <v>#VALUE!</v>
      </c>
      <c r="BR177" t="e">
        <f>AND('Planilla_General_29-11-2012_10_'!G2655,"AAAAAHv9v0U=")</f>
        <v>#VALUE!</v>
      </c>
      <c r="BS177" t="e">
        <f>AND('Planilla_General_29-11-2012_10_'!H2655,"AAAAAHv9v0Y=")</f>
        <v>#VALUE!</v>
      </c>
      <c r="BT177" t="e">
        <f>AND('Planilla_General_29-11-2012_10_'!I2655,"AAAAAHv9v0c=")</f>
        <v>#VALUE!</v>
      </c>
      <c r="BU177" t="e">
        <f>AND('Planilla_General_29-11-2012_10_'!J2655,"AAAAAHv9v0g=")</f>
        <v>#VALUE!</v>
      </c>
      <c r="BV177" t="e">
        <f>AND('Planilla_General_29-11-2012_10_'!K2655,"AAAAAHv9v0k=")</f>
        <v>#VALUE!</v>
      </c>
      <c r="BW177" t="e">
        <f>AND('Planilla_General_29-11-2012_10_'!L2655,"AAAAAHv9v0o=")</f>
        <v>#VALUE!</v>
      </c>
      <c r="BX177" t="e">
        <f>AND('Planilla_General_29-11-2012_10_'!M2655,"AAAAAHv9v0s=")</f>
        <v>#VALUE!</v>
      </c>
      <c r="BY177" t="e">
        <f>AND('Planilla_General_29-11-2012_10_'!N2655,"AAAAAHv9v0w=")</f>
        <v>#VALUE!</v>
      </c>
      <c r="BZ177" t="e">
        <f>AND('Planilla_General_29-11-2012_10_'!O2655,"AAAAAHv9v00=")</f>
        <v>#VALUE!</v>
      </c>
      <c r="CA177" t="e">
        <f>AND('Planilla_General_29-11-2012_10_'!P2655,"AAAAAHv9v04=")</f>
        <v>#VALUE!</v>
      </c>
      <c r="CB177">
        <f>IF('Planilla_General_29-11-2012_10_'!2656:2656,"AAAAAHv9v08=",0)</f>
        <v>0</v>
      </c>
      <c r="CC177" t="e">
        <f>AND('Planilla_General_29-11-2012_10_'!A2656,"AAAAAHv9v1A=")</f>
        <v>#VALUE!</v>
      </c>
      <c r="CD177" t="e">
        <f>AND('Planilla_General_29-11-2012_10_'!B2656,"AAAAAHv9v1E=")</f>
        <v>#VALUE!</v>
      </c>
      <c r="CE177" t="e">
        <f>AND('Planilla_General_29-11-2012_10_'!C2656,"AAAAAHv9v1I=")</f>
        <v>#VALUE!</v>
      </c>
      <c r="CF177" t="e">
        <f>AND('Planilla_General_29-11-2012_10_'!D2656,"AAAAAHv9v1M=")</f>
        <v>#VALUE!</v>
      </c>
      <c r="CG177" t="e">
        <f>AND('Planilla_General_29-11-2012_10_'!E2656,"AAAAAHv9v1Q=")</f>
        <v>#VALUE!</v>
      </c>
      <c r="CH177" t="e">
        <f>AND('Planilla_General_29-11-2012_10_'!F2656,"AAAAAHv9v1U=")</f>
        <v>#VALUE!</v>
      </c>
      <c r="CI177" t="e">
        <f>AND('Planilla_General_29-11-2012_10_'!G2656,"AAAAAHv9v1Y=")</f>
        <v>#VALUE!</v>
      </c>
      <c r="CJ177" t="e">
        <f>AND('Planilla_General_29-11-2012_10_'!H2656,"AAAAAHv9v1c=")</f>
        <v>#VALUE!</v>
      </c>
      <c r="CK177" t="e">
        <f>AND('Planilla_General_29-11-2012_10_'!I2656,"AAAAAHv9v1g=")</f>
        <v>#VALUE!</v>
      </c>
      <c r="CL177" t="e">
        <f>AND('Planilla_General_29-11-2012_10_'!J2656,"AAAAAHv9v1k=")</f>
        <v>#VALUE!</v>
      </c>
      <c r="CM177" t="e">
        <f>AND('Planilla_General_29-11-2012_10_'!K2656,"AAAAAHv9v1o=")</f>
        <v>#VALUE!</v>
      </c>
      <c r="CN177" t="e">
        <f>AND('Planilla_General_29-11-2012_10_'!L2656,"AAAAAHv9v1s=")</f>
        <v>#VALUE!</v>
      </c>
      <c r="CO177" t="e">
        <f>AND('Planilla_General_29-11-2012_10_'!M2656,"AAAAAHv9v1w=")</f>
        <v>#VALUE!</v>
      </c>
      <c r="CP177" t="e">
        <f>AND('Planilla_General_29-11-2012_10_'!N2656,"AAAAAHv9v10=")</f>
        <v>#VALUE!</v>
      </c>
      <c r="CQ177" t="e">
        <f>AND('Planilla_General_29-11-2012_10_'!O2656,"AAAAAHv9v14=")</f>
        <v>#VALUE!</v>
      </c>
      <c r="CR177" t="e">
        <f>AND('Planilla_General_29-11-2012_10_'!P2656,"AAAAAHv9v18=")</f>
        <v>#VALUE!</v>
      </c>
      <c r="CS177">
        <f>IF('Planilla_General_29-11-2012_10_'!2657:2657,"AAAAAHv9v2A=",0)</f>
        <v>0</v>
      </c>
      <c r="CT177" t="e">
        <f>AND('Planilla_General_29-11-2012_10_'!A2657,"AAAAAHv9v2E=")</f>
        <v>#VALUE!</v>
      </c>
      <c r="CU177" t="e">
        <f>AND('Planilla_General_29-11-2012_10_'!B2657,"AAAAAHv9v2I=")</f>
        <v>#VALUE!</v>
      </c>
      <c r="CV177" t="e">
        <f>AND('Planilla_General_29-11-2012_10_'!C2657,"AAAAAHv9v2M=")</f>
        <v>#VALUE!</v>
      </c>
      <c r="CW177" t="e">
        <f>AND('Planilla_General_29-11-2012_10_'!D2657,"AAAAAHv9v2Q=")</f>
        <v>#VALUE!</v>
      </c>
      <c r="CX177" t="e">
        <f>AND('Planilla_General_29-11-2012_10_'!E2657,"AAAAAHv9v2U=")</f>
        <v>#VALUE!</v>
      </c>
      <c r="CY177" t="e">
        <f>AND('Planilla_General_29-11-2012_10_'!F2657,"AAAAAHv9v2Y=")</f>
        <v>#VALUE!</v>
      </c>
      <c r="CZ177" t="e">
        <f>AND('Planilla_General_29-11-2012_10_'!G2657,"AAAAAHv9v2c=")</f>
        <v>#VALUE!</v>
      </c>
      <c r="DA177" t="e">
        <f>AND('Planilla_General_29-11-2012_10_'!H2657,"AAAAAHv9v2g=")</f>
        <v>#VALUE!</v>
      </c>
      <c r="DB177" t="e">
        <f>AND('Planilla_General_29-11-2012_10_'!I2657,"AAAAAHv9v2k=")</f>
        <v>#VALUE!</v>
      </c>
      <c r="DC177" t="e">
        <f>AND('Planilla_General_29-11-2012_10_'!J2657,"AAAAAHv9v2o=")</f>
        <v>#VALUE!</v>
      </c>
      <c r="DD177" t="e">
        <f>AND('Planilla_General_29-11-2012_10_'!K2657,"AAAAAHv9v2s=")</f>
        <v>#VALUE!</v>
      </c>
      <c r="DE177" t="e">
        <f>AND('Planilla_General_29-11-2012_10_'!L2657,"AAAAAHv9v2w=")</f>
        <v>#VALUE!</v>
      </c>
      <c r="DF177" t="e">
        <f>AND('Planilla_General_29-11-2012_10_'!M2657,"AAAAAHv9v20=")</f>
        <v>#VALUE!</v>
      </c>
      <c r="DG177" t="e">
        <f>AND('Planilla_General_29-11-2012_10_'!N2657,"AAAAAHv9v24=")</f>
        <v>#VALUE!</v>
      </c>
      <c r="DH177" t="e">
        <f>AND('Planilla_General_29-11-2012_10_'!O2657,"AAAAAHv9v28=")</f>
        <v>#VALUE!</v>
      </c>
      <c r="DI177" t="e">
        <f>AND('Planilla_General_29-11-2012_10_'!P2657,"AAAAAHv9v3A=")</f>
        <v>#VALUE!</v>
      </c>
      <c r="DJ177">
        <f>IF('Planilla_General_29-11-2012_10_'!2658:2658,"AAAAAHv9v3E=",0)</f>
        <v>0</v>
      </c>
      <c r="DK177" t="e">
        <f>AND('Planilla_General_29-11-2012_10_'!A2658,"AAAAAHv9v3I=")</f>
        <v>#VALUE!</v>
      </c>
      <c r="DL177" t="e">
        <f>AND('Planilla_General_29-11-2012_10_'!B2658,"AAAAAHv9v3M=")</f>
        <v>#VALUE!</v>
      </c>
      <c r="DM177" t="e">
        <f>AND('Planilla_General_29-11-2012_10_'!C2658,"AAAAAHv9v3Q=")</f>
        <v>#VALUE!</v>
      </c>
      <c r="DN177" t="e">
        <f>AND('Planilla_General_29-11-2012_10_'!D2658,"AAAAAHv9v3U=")</f>
        <v>#VALUE!</v>
      </c>
      <c r="DO177" t="e">
        <f>AND('Planilla_General_29-11-2012_10_'!E2658,"AAAAAHv9v3Y=")</f>
        <v>#VALUE!</v>
      </c>
      <c r="DP177" t="e">
        <f>AND('Planilla_General_29-11-2012_10_'!F2658,"AAAAAHv9v3c=")</f>
        <v>#VALUE!</v>
      </c>
      <c r="DQ177" t="e">
        <f>AND('Planilla_General_29-11-2012_10_'!G2658,"AAAAAHv9v3g=")</f>
        <v>#VALUE!</v>
      </c>
      <c r="DR177" t="e">
        <f>AND('Planilla_General_29-11-2012_10_'!H2658,"AAAAAHv9v3k=")</f>
        <v>#VALUE!</v>
      </c>
      <c r="DS177" t="e">
        <f>AND('Planilla_General_29-11-2012_10_'!I2658,"AAAAAHv9v3o=")</f>
        <v>#VALUE!</v>
      </c>
      <c r="DT177" t="e">
        <f>AND('Planilla_General_29-11-2012_10_'!J2658,"AAAAAHv9v3s=")</f>
        <v>#VALUE!</v>
      </c>
      <c r="DU177" t="e">
        <f>AND('Planilla_General_29-11-2012_10_'!K2658,"AAAAAHv9v3w=")</f>
        <v>#VALUE!</v>
      </c>
      <c r="DV177" t="e">
        <f>AND('Planilla_General_29-11-2012_10_'!L2658,"AAAAAHv9v30=")</f>
        <v>#VALUE!</v>
      </c>
      <c r="DW177" t="e">
        <f>AND('Planilla_General_29-11-2012_10_'!M2658,"AAAAAHv9v34=")</f>
        <v>#VALUE!</v>
      </c>
      <c r="DX177" t="e">
        <f>AND('Planilla_General_29-11-2012_10_'!N2658,"AAAAAHv9v38=")</f>
        <v>#VALUE!</v>
      </c>
      <c r="DY177" t="e">
        <f>AND('Planilla_General_29-11-2012_10_'!O2658,"AAAAAHv9v4A=")</f>
        <v>#VALUE!</v>
      </c>
      <c r="DZ177" t="e">
        <f>AND('Planilla_General_29-11-2012_10_'!P2658,"AAAAAHv9v4E=")</f>
        <v>#VALUE!</v>
      </c>
      <c r="EA177">
        <f>IF('Planilla_General_29-11-2012_10_'!2659:2659,"AAAAAHv9v4I=",0)</f>
        <v>0</v>
      </c>
      <c r="EB177" t="e">
        <f>AND('Planilla_General_29-11-2012_10_'!A2659,"AAAAAHv9v4M=")</f>
        <v>#VALUE!</v>
      </c>
      <c r="EC177" t="e">
        <f>AND('Planilla_General_29-11-2012_10_'!B2659,"AAAAAHv9v4Q=")</f>
        <v>#VALUE!</v>
      </c>
      <c r="ED177" t="e">
        <f>AND('Planilla_General_29-11-2012_10_'!C2659,"AAAAAHv9v4U=")</f>
        <v>#VALUE!</v>
      </c>
      <c r="EE177" t="e">
        <f>AND('Planilla_General_29-11-2012_10_'!D2659,"AAAAAHv9v4Y=")</f>
        <v>#VALUE!</v>
      </c>
      <c r="EF177" t="e">
        <f>AND('Planilla_General_29-11-2012_10_'!E2659,"AAAAAHv9v4c=")</f>
        <v>#VALUE!</v>
      </c>
      <c r="EG177" t="e">
        <f>AND('Planilla_General_29-11-2012_10_'!F2659,"AAAAAHv9v4g=")</f>
        <v>#VALUE!</v>
      </c>
      <c r="EH177" t="e">
        <f>AND('Planilla_General_29-11-2012_10_'!G2659,"AAAAAHv9v4k=")</f>
        <v>#VALUE!</v>
      </c>
      <c r="EI177" t="e">
        <f>AND('Planilla_General_29-11-2012_10_'!H2659,"AAAAAHv9v4o=")</f>
        <v>#VALUE!</v>
      </c>
      <c r="EJ177" t="e">
        <f>AND('Planilla_General_29-11-2012_10_'!I2659,"AAAAAHv9v4s=")</f>
        <v>#VALUE!</v>
      </c>
      <c r="EK177" t="e">
        <f>AND('Planilla_General_29-11-2012_10_'!J2659,"AAAAAHv9v4w=")</f>
        <v>#VALUE!</v>
      </c>
      <c r="EL177" t="e">
        <f>AND('Planilla_General_29-11-2012_10_'!K2659,"AAAAAHv9v40=")</f>
        <v>#VALUE!</v>
      </c>
      <c r="EM177" t="e">
        <f>AND('Planilla_General_29-11-2012_10_'!L2659,"AAAAAHv9v44=")</f>
        <v>#VALUE!</v>
      </c>
      <c r="EN177" t="e">
        <f>AND('Planilla_General_29-11-2012_10_'!M2659,"AAAAAHv9v48=")</f>
        <v>#VALUE!</v>
      </c>
      <c r="EO177" t="e">
        <f>AND('Planilla_General_29-11-2012_10_'!N2659,"AAAAAHv9v5A=")</f>
        <v>#VALUE!</v>
      </c>
      <c r="EP177" t="e">
        <f>AND('Planilla_General_29-11-2012_10_'!O2659,"AAAAAHv9v5E=")</f>
        <v>#VALUE!</v>
      </c>
      <c r="EQ177" t="e">
        <f>AND('Planilla_General_29-11-2012_10_'!P2659,"AAAAAHv9v5I=")</f>
        <v>#VALUE!</v>
      </c>
      <c r="ER177">
        <f>IF('Planilla_General_29-11-2012_10_'!2660:2660,"AAAAAHv9v5M=",0)</f>
        <v>0</v>
      </c>
      <c r="ES177" t="e">
        <f>AND('Planilla_General_29-11-2012_10_'!A2660,"AAAAAHv9v5Q=")</f>
        <v>#VALUE!</v>
      </c>
      <c r="ET177" t="e">
        <f>AND('Planilla_General_29-11-2012_10_'!B2660,"AAAAAHv9v5U=")</f>
        <v>#VALUE!</v>
      </c>
      <c r="EU177" t="e">
        <f>AND('Planilla_General_29-11-2012_10_'!C2660,"AAAAAHv9v5Y=")</f>
        <v>#VALUE!</v>
      </c>
      <c r="EV177" t="e">
        <f>AND('Planilla_General_29-11-2012_10_'!D2660,"AAAAAHv9v5c=")</f>
        <v>#VALUE!</v>
      </c>
      <c r="EW177" t="e">
        <f>AND('Planilla_General_29-11-2012_10_'!E2660,"AAAAAHv9v5g=")</f>
        <v>#VALUE!</v>
      </c>
      <c r="EX177" t="e">
        <f>AND('Planilla_General_29-11-2012_10_'!F2660,"AAAAAHv9v5k=")</f>
        <v>#VALUE!</v>
      </c>
      <c r="EY177" t="e">
        <f>AND('Planilla_General_29-11-2012_10_'!G2660,"AAAAAHv9v5o=")</f>
        <v>#VALUE!</v>
      </c>
      <c r="EZ177" t="e">
        <f>AND('Planilla_General_29-11-2012_10_'!H2660,"AAAAAHv9v5s=")</f>
        <v>#VALUE!</v>
      </c>
      <c r="FA177" t="e">
        <f>AND('Planilla_General_29-11-2012_10_'!I2660,"AAAAAHv9v5w=")</f>
        <v>#VALUE!</v>
      </c>
      <c r="FB177" t="e">
        <f>AND('Planilla_General_29-11-2012_10_'!J2660,"AAAAAHv9v50=")</f>
        <v>#VALUE!</v>
      </c>
      <c r="FC177" t="e">
        <f>AND('Planilla_General_29-11-2012_10_'!K2660,"AAAAAHv9v54=")</f>
        <v>#VALUE!</v>
      </c>
      <c r="FD177" t="e">
        <f>AND('Planilla_General_29-11-2012_10_'!L2660,"AAAAAHv9v58=")</f>
        <v>#VALUE!</v>
      </c>
      <c r="FE177" t="e">
        <f>AND('Planilla_General_29-11-2012_10_'!M2660,"AAAAAHv9v6A=")</f>
        <v>#VALUE!</v>
      </c>
      <c r="FF177" t="e">
        <f>AND('Planilla_General_29-11-2012_10_'!N2660,"AAAAAHv9v6E=")</f>
        <v>#VALUE!</v>
      </c>
      <c r="FG177" t="e">
        <f>AND('Planilla_General_29-11-2012_10_'!O2660,"AAAAAHv9v6I=")</f>
        <v>#VALUE!</v>
      </c>
      <c r="FH177" t="e">
        <f>AND('Planilla_General_29-11-2012_10_'!P2660,"AAAAAHv9v6M=")</f>
        <v>#VALUE!</v>
      </c>
      <c r="FI177">
        <f>IF('Planilla_General_29-11-2012_10_'!2661:2661,"AAAAAHv9v6Q=",0)</f>
        <v>0</v>
      </c>
      <c r="FJ177" t="e">
        <f>AND('Planilla_General_29-11-2012_10_'!A2661,"AAAAAHv9v6U=")</f>
        <v>#VALUE!</v>
      </c>
      <c r="FK177" t="e">
        <f>AND('Planilla_General_29-11-2012_10_'!B2661,"AAAAAHv9v6Y=")</f>
        <v>#VALUE!</v>
      </c>
      <c r="FL177" t="e">
        <f>AND('Planilla_General_29-11-2012_10_'!C2661,"AAAAAHv9v6c=")</f>
        <v>#VALUE!</v>
      </c>
      <c r="FM177" t="e">
        <f>AND('Planilla_General_29-11-2012_10_'!D2661,"AAAAAHv9v6g=")</f>
        <v>#VALUE!</v>
      </c>
      <c r="FN177" t="e">
        <f>AND('Planilla_General_29-11-2012_10_'!E2661,"AAAAAHv9v6k=")</f>
        <v>#VALUE!</v>
      </c>
      <c r="FO177" t="e">
        <f>AND('Planilla_General_29-11-2012_10_'!F2661,"AAAAAHv9v6o=")</f>
        <v>#VALUE!</v>
      </c>
      <c r="FP177" t="e">
        <f>AND('Planilla_General_29-11-2012_10_'!G2661,"AAAAAHv9v6s=")</f>
        <v>#VALUE!</v>
      </c>
      <c r="FQ177" t="e">
        <f>AND('Planilla_General_29-11-2012_10_'!H2661,"AAAAAHv9v6w=")</f>
        <v>#VALUE!</v>
      </c>
      <c r="FR177" t="e">
        <f>AND('Planilla_General_29-11-2012_10_'!I2661,"AAAAAHv9v60=")</f>
        <v>#VALUE!</v>
      </c>
      <c r="FS177" t="e">
        <f>AND('Planilla_General_29-11-2012_10_'!J2661,"AAAAAHv9v64=")</f>
        <v>#VALUE!</v>
      </c>
      <c r="FT177" t="e">
        <f>AND('Planilla_General_29-11-2012_10_'!K2661,"AAAAAHv9v68=")</f>
        <v>#VALUE!</v>
      </c>
      <c r="FU177" t="e">
        <f>AND('Planilla_General_29-11-2012_10_'!L2661,"AAAAAHv9v7A=")</f>
        <v>#VALUE!</v>
      </c>
      <c r="FV177" t="e">
        <f>AND('Planilla_General_29-11-2012_10_'!M2661,"AAAAAHv9v7E=")</f>
        <v>#VALUE!</v>
      </c>
      <c r="FW177" t="e">
        <f>AND('Planilla_General_29-11-2012_10_'!N2661,"AAAAAHv9v7I=")</f>
        <v>#VALUE!</v>
      </c>
      <c r="FX177" t="e">
        <f>AND('Planilla_General_29-11-2012_10_'!O2661,"AAAAAHv9v7M=")</f>
        <v>#VALUE!</v>
      </c>
      <c r="FY177" t="e">
        <f>AND('Planilla_General_29-11-2012_10_'!P2661,"AAAAAHv9v7Q=")</f>
        <v>#VALUE!</v>
      </c>
      <c r="FZ177">
        <f>IF('Planilla_General_29-11-2012_10_'!2662:2662,"AAAAAHv9v7U=",0)</f>
        <v>0</v>
      </c>
      <c r="GA177" t="e">
        <f>AND('Planilla_General_29-11-2012_10_'!A2662,"AAAAAHv9v7Y=")</f>
        <v>#VALUE!</v>
      </c>
      <c r="GB177" t="e">
        <f>AND('Planilla_General_29-11-2012_10_'!B2662,"AAAAAHv9v7c=")</f>
        <v>#VALUE!</v>
      </c>
      <c r="GC177" t="e">
        <f>AND('Planilla_General_29-11-2012_10_'!C2662,"AAAAAHv9v7g=")</f>
        <v>#VALUE!</v>
      </c>
      <c r="GD177" t="e">
        <f>AND('Planilla_General_29-11-2012_10_'!D2662,"AAAAAHv9v7k=")</f>
        <v>#VALUE!</v>
      </c>
      <c r="GE177" t="e">
        <f>AND('Planilla_General_29-11-2012_10_'!E2662,"AAAAAHv9v7o=")</f>
        <v>#VALUE!</v>
      </c>
      <c r="GF177" t="e">
        <f>AND('Planilla_General_29-11-2012_10_'!F2662,"AAAAAHv9v7s=")</f>
        <v>#VALUE!</v>
      </c>
      <c r="GG177" t="e">
        <f>AND('Planilla_General_29-11-2012_10_'!G2662,"AAAAAHv9v7w=")</f>
        <v>#VALUE!</v>
      </c>
      <c r="GH177" t="e">
        <f>AND('Planilla_General_29-11-2012_10_'!H2662,"AAAAAHv9v70=")</f>
        <v>#VALUE!</v>
      </c>
      <c r="GI177" t="e">
        <f>AND('Planilla_General_29-11-2012_10_'!I2662,"AAAAAHv9v74=")</f>
        <v>#VALUE!</v>
      </c>
      <c r="GJ177" t="e">
        <f>AND('Planilla_General_29-11-2012_10_'!J2662,"AAAAAHv9v78=")</f>
        <v>#VALUE!</v>
      </c>
      <c r="GK177" t="e">
        <f>AND('Planilla_General_29-11-2012_10_'!K2662,"AAAAAHv9v8A=")</f>
        <v>#VALUE!</v>
      </c>
      <c r="GL177" t="e">
        <f>AND('Planilla_General_29-11-2012_10_'!L2662,"AAAAAHv9v8E=")</f>
        <v>#VALUE!</v>
      </c>
      <c r="GM177" t="e">
        <f>AND('Planilla_General_29-11-2012_10_'!M2662,"AAAAAHv9v8I=")</f>
        <v>#VALUE!</v>
      </c>
      <c r="GN177" t="e">
        <f>AND('Planilla_General_29-11-2012_10_'!N2662,"AAAAAHv9v8M=")</f>
        <v>#VALUE!</v>
      </c>
      <c r="GO177" t="e">
        <f>AND('Planilla_General_29-11-2012_10_'!O2662,"AAAAAHv9v8Q=")</f>
        <v>#VALUE!</v>
      </c>
      <c r="GP177" t="e">
        <f>AND('Planilla_General_29-11-2012_10_'!P2662,"AAAAAHv9v8U=")</f>
        <v>#VALUE!</v>
      </c>
      <c r="GQ177">
        <f>IF('Planilla_General_29-11-2012_10_'!2663:2663,"AAAAAHv9v8Y=",0)</f>
        <v>0</v>
      </c>
      <c r="GR177" t="e">
        <f>AND('Planilla_General_29-11-2012_10_'!A2663,"AAAAAHv9v8c=")</f>
        <v>#VALUE!</v>
      </c>
      <c r="GS177" t="e">
        <f>AND('Planilla_General_29-11-2012_10_'!B2663,"AAAAAHv9v8g=")</f>
        <v>#VALUE!</v>
      </c>
      <c r="GT177" t="e">
        <f>AND('Planilla_General_29-11-2012_10_'!C2663,"AAAAAHv9v8k=")</f>
        <v>#VALUE!</v>
      </c>
      <c r="GU177" t="e">
        <f>AND('Planilla_General_29-11-2012_10_'!D2663,"AAAAAHv9v8o=")</f>
        <v>#VALUE!</v>
      </c>
      <c r="GV177" t="e">
        <f>AND('Planilla_General_29-11-2012_10_'!E2663,"AAAAAHv9v8s=")</f>
        <v>#VALUE!</v>
      </c>
      <c r="GW177" t="e">
        <f>AND('Planilla_General_29-11-2012_10_'!F2663,"AAAAAHv9v8w=")</f>
        <v>#VALUE!</v>
      </c>
      <c r="GX177" t="e">
        <f>AND('Planilla_General_29-11-2012_10_'!G2663,"AAAAAHv9v80=")</f>
        <v>#VALUE!</v>
      </c>
      <c r="GY177" t="e">
        <f>AND('Planilla_General_29-11-2012_10_'!H2663,"AAAAAHv9v84=")</f>
        <v>#VALUE!</v>
      </c>
      <c r="GZ177" t="e">
        <f>AND('Planilla_General_29-11-2012_10_'!I2663,"AAAAAHv9v88=")</f>
        <v>#VALUE!</v>
      </c>
      <c r="HA177" t="e">
        <f>AND('Planilla_General_29-11-2012_10_'!J2663,"AAAAAHv9v9A=")</f>
        <v>#VALUE!</v>
      </c>
      <c r="HB177" t="e">
        <f>AND('Planilla_General_29-11-2012_10_'!K2663,"AAAAAHv9v9E=")</f>
        <v>#VALUE!</v>
      </c>
      <c r="HC177" t="e">
        <f>AND('Planilla_General_29-11-2012_10_'!L2663,"AAAAAHv9v9I=")</f>
        <v>#VALUE!</v>
      </c>
      <c r="HD177" t="e">
        <f>AND('Planilla_General_29-11-2012_10_'!M2663,"AAAAAHv9v9M=")</f>
        <v>#VALUE!</v>
      </c>
      <c r="HE177" t="e">
        <f>AND('Planilla_General_29-11-2012_10_'!N2663,"AAAAAHv9v9Q=")</f>
        <v>#VALUE!</v>
      </c>
      <c r="HF177" t="e">
        <f>AND('Planilla_General_29-11-2012_10_'!O2663,"AAAAAHv9v9U=")</f>
        <v>#VALUE!</v>
      </c>
      <c r="HG177" t="e">
        <f>AND('Planilla_General_29-11-2012_10_'!P2663,"AAAAAHv9v9Y=")</f>
        <v>#VALUE!</v>
      </c>
      <c r="HH177">
        <f>IF('Planilla_General_29-11-2012_10_'!2664:2664,"AAAAAHv9v9c=",0)</f>
        <v>0</v>
      </c>
      <c r="HI177" t="e">
        <f>AND('Planilla_General_29-11-2012_10_'!A2664,"AAAAAHv9v9g=")</f>
        <v>#VALUE!</v>
      </c>
      <c r="HJ177" t="e">
        <f>AND('Planilla_General_29-11-2012_10_'!B2664,"AAAAAHv9v9k=")</f>
        <v>#VALUE!</v>
      </c>
      <c r="HK177" t="e">
        <f>AND('Planilla_General_29-11-2012_10_'!C2664,"AAAAAHv9v9o=")</f>
        <v>#VALUE!</v>
      </c>
      <c r="HL177" t="e">
        <f>AND('Planilla_General_29-11-2012_10_'!D2664,"AAAAAHv9v9s=")</f>
        <v>#VALUE!</v>
      </c>
      <c r="HM177" t="e">
        <f>AND('Planilla_General_29-11-2012_10_'!E2664,"AAAAAHv9v9w=")</f>
        <v>#VALUE!</v>
      </c>
      <c r="HN177" t="e">
        <f>AND('Planilla_General_29-11-2012_10_'!F2664,"AAAAAHv9v90=")</f>
        <v>#VALUE!</v>
      </c>
      <c r="HO177" t="e">
        <f>AND('Planilla_General_29-11-2012_10_'!G2664,"AAAAAHv9v94=")</f>
        <v>#VALUE!</v>
      </c>
      <c r="HP177" t="e">
        <f>AND('Planilla_General_29-11-2012_10_'!H2664,"AAAAAHv9v98=")</f>
        <v>#VALUE!</v>
      </c>
      <c r="HQ177" t="e">
        <f>AND('Planilla_General_29-11-2012_10_'!I2664,"AAAAAHv9v+A=")</f>
        <v>#VALUE!</v>
      </c>
      <c r="HR177" t="e">
        <f>AND('Planilla_General_29-11-2012_10_'!J2664,"AAAAAHv9v+E=")</f>
        <v>#VALUE!</v>
      </c>
      <c r="HS177" t="e">
        <f>AND('Planilla_General_29-11-2012_10_'!K2664,"AAAAAHv9v+I=")</f>
        <v>#VALUE!</v>
      </c>
      <c r="HT177" t="e">
        <f>AND('Planilla_General_29-11-2012_10_'!L2664,"AAAAAHv9v+M=")</f>
        <v>#VALUE!</v>
      </c>
      <c r="HU177" t="e">
        <f>AND('Planilla_General_29-11-2012_10_'!M2664,"AAAAAHv9v+Q=")</f>
        <v>#VALUE!</v>
      </c>
      <c r="HV177" t="e">
        <f>AND('Planilla_General_29-11-2012_10_'!N2664,"AAAAAHv9v+U=")</f>
        <v>#VALUE!</v>
      </c>
      <c r="HW177" t="e">
        <f>AND('Planilla_General_29-11-2012_10_'!O2664,"AAAAAHv9v+Y=")</f>
        <v>#VALUE!</v>
      </c>
      <c r="HX177" t="e">
        <f>AND('Planilla_General_29-11-2012_10_'!P2664,"AAAAAHv9v+c=")</f>
        <v>#VALUE!</v>
      </c>
      <c r="HY177">
        <f>IF('Planilla_General_29-11-2012_10_'!2665:2665,"AAAAAHv9v+g=",0)</f>
        <v>0</v>
      </c>
      <c r="HZ177" t="e">
        <f>AND('Planilla_General_29-11-2012_10_'!A2665,"AAAAAHv9v+k=")</f>
        <v>#VALUE!</v>
      </c>
      <c r="IA177" t="e">
        <f>AND('Planilla_General_29-11-2012_10_'!B2665,"AAAAAHv9v+o=")</f>
        <v>#VALUE!</v>
      </c>
      <c r="IB177" t="e">
        <f>AND('Planilla_General_29-11-2012_10_'!C2665,"AAAAAHv9v+s=")</f>
        <v>#VALUE!</v>
      </c>
      <c r="IC177" t="e">
        <f>AND('Planilla_General_29-11-2012_10_'!D2665,"AAAAAHv9v+w=")</f>
        <v>#VALUE!</v>
      </c>
      <c r="ID177" t="e">
        <f>AND('Planilla_General_29-11-2012_10_'!E2665,"AAAAAHv9v+0=")</f>
        <v>#VALUE!</v>
      </c>
      <c r="IE177" t="e">
        <f>AND('Planilla_General_29-11-2012_10_'!F2665,"AAAAAHv9v+4=")</f>
        <v>#VALUE!</v>
      </c>
      <c r="IF177" t="e">
        <f>AND('Planilla_General_29-11-2012_10_'!G2665,"AAAAAHv9v+8=")</f>
        <v>#VALUE!</v>
      </c>
      <c r="IG177" t="e">
        <f>AND('Planilla_General_29-11-2012_10_'!H2665,"AAAAAHv9v/A=")</f>
        <v>#VALUE!</v>
      </c>
      <c r="IH177" t="e">
        <f>AND('Planilla_General_29-11-2012_10_'!I2665,"AAAAAHv9v/E=")</f>
        <v>#VALUE!</v>
      </c>
      <c r="II177" t="e">
        <f>AND('Planilla_General_29-11-2012_10_'!J2665,"AAAAAHv9v/I=")</f>
        <v>#VALUE!</v>
      </c>
      <c r="IJ177" t="e">
        <f>AND('Planilla_General_29-11-2012_10_'!K2665,"AAAAAHv9v/M=")</f>
        <v>#VALUE!</v>
      </c>
      <c r="IK177" t="e">
        <f>AND('Planilla_General_29-11-2012_10_'!L2665,"AAAAAHv9v/Q=")</f>
        <v>#VALUE!</v>
      </c>
      <c r="IL177" t="e">
        <f>AND('Planilla_General_29-11-2012_10_'!M2665,"AAAAAHv9v/U=")</f>
        <v>#VALUE!</v>
      </c>
      <c r="IM177" t="e">
        <f>AND('Planilla_General_29-11-2012_10_'!N2665,"AAAAAHv9v/Y=")</f>
        <v>#VALUE!</v>
      </c>
      <c r="IN177" t="e">
        <f>AND('Planilla_General_29-11-2012_10_'!O2665,"AAAAAHv9v/c=")</f>
        <v>#VALUE!</v>
      </c>
      <c r="IO177" t="e">
        <f>AND('Planilla_General_29-11-2012_10_'!P2665,"AAAAAHv9v/g=")</f>
        <v>#VALUE!</v>
      </c>
      <c r="IP177">
        <f>IF('Planilla_General_29-11-2012_10_'!2666:2666,"AAAAAHv9v/k=",0)</f>
        <v>0</v>
      </c>
      <c r="IQ177" t="e">
        <f>AND('Planilla_General_29-11-2012_10_'!A2666,"AAAAAHv9v/o=")</f>
        <v>#VALUE!</v>
      </c>
      <c r="IR177" t="e">
        <f>AND('Planilla_General_29-11-2012_10_'!B2666,"AAAAAHv9v/s=")</f>
        <v>#VALUE!</v>
      </c>
      <c r="IS177" t="e">
        <f>AND('Planilla_General_29-11-2012_10_'!C2666,"AAAAAHv9v/w=")</f>
        <v>#VALUE!</v>
      </c>
      <c r="IT177" t="e">
        <f>AND('Planilla_General_29-11-2012_10_'!D2666,"AAAAAHv9v/0=")</f>
        <v>#VALUE!</v>
      </c>
      <c r="IU177" t="e">
        <f>AND('Planilla_General_29-11-2012_10_'!E2666,"AAAAAHv9v/4=")</f>
        <v>#VALUE!</v>
      </c>
      <c r="IV177" t="e">
        <f>AND('Planilla_General_29-11-2012_10_'!F2666,"AAAAAHv9v/8=")</f>
        <v>#VALUE!</v>
      </c>
    </row>
    <row r="178" spans="1:256" x14ac:dyDescent="0.25">
      <c r="A178" t="e">
        <f>AND('Planilla_General_29-11-2012_10_'!G2666,"AAAAAHuH/gA=")</f>
        <v>#VALUE!</v>
      </c>
      <c r="B178" t="e">
        <f>AND('Planilla_General_29-11-2012_10_'!H2666,"AAAAAHuH/gE=")</f>
        <v>#VALUE!</v>
      </c>
      <c r="C178" t="e">
        <f>AND('Planilla_General_29-11-2012_10_'!I2666,"AAAAAHuH/gI=")</f>
        <v>#VALUE!</v>
      </c>
      <c r="D178" t="e">
        <f>AND('Planilla_General_29-11-2012_10_'!J2666,"AAAAAHuH/gM=")</f>
        <v>#VALUE!</v>
      </c>
      <c r="E178" t="e">
        <f>AND('Planilla_General_29-11-2012_10_'!K2666,"AAAAAHuH/gQ=")</f>
        <v>#VALUE!</v>
      </c>
      <c r="F178" t="e">
        <f>AND('Planilla_General_29-11-2012_10_'!L2666,"AAAAAHuH/gU=")</f>
        <v>#VALUE!</v>
      </c>
      <c r="G178" t="e">
        <f>AND('Planilla_General_29-11-2012_10_'!M2666,"AAAAAHuH/gY=")</f>
        <v>#VALUE!</v>
      </c>
      <c r="H178" t="e">
        <f>AND('Planilla_General_29-11-2012_10_'!N2666,"AAAAAHuH/gc=")</f>
        <v>#VALUE!</v>
      </c>
      <c r="I178" t="e">
        <f>AND('Planilla_General_29-11-2012_10_'!O2666,"AAAAAHuH/gg=")</f>
        <v>#VALUE!</v>
      </c>
      <c r="J178" t="e">
        <f>AND('Planilla_General_29-11-2012_10_'!P2666,"AAAAAHuH/gk=")</f>
        <v>#VALUE!</v>
      </c>
      <c r="K178" t="str">
        <f>IF('Planilla_General_29-11-2012_10_'!2667:2667,"AAAAAHuH/go=",0)</f>
        <v>AAAAAHuH/go=</v>
      </c>
      <c r="L178" t="e">
        <f>AND('Planilla_General_29-11-2012_10_'!A2667,"AAAAAHuH/gs=")</f>
        <v>#VALUE!</v>
      </c>
      <c r="M178" t="e">
        <f>AND('Planilla_General_29-11-2012_10_'!B2667,"AAAAAHuH/gw=")</f>
        <v>#VALUE!</v>
      </c>
      <c r="N178" t="e">
        <f>AND('Planilla_General_29-11-2012_10_'!C2667,"AAAAAHuH/g0=")</f>
        <v>#VALUE!</v>
      </c>
      <c r="O178" t="e">
        <f>AND('Planilla_General_29-11-2012_10_'!D2667,"AAAAAHuH/g4=")</f>
        <v>#VALUE!</v>
      </c>
      <c r="P178" t="e">
        <f>AND('Planilla_General_29-11-2012_10_'!E2667,"AAAAAHuH/g8=")</f>
        <v>#VALUE!</v>
      </c>
      <c r="Q178" t="e">
        <f>AND('Planilla_General_29-11-2012_10_'!F2667,"AAAAAHuH/hA=")</f>
        <v>#VALUE!</v>
      </c>
      <c r="R178" t="e">
        <f>AND('Planilla_General_29-11-2012_10_'!G2667,"AAAAAHuH/hE=")</f>
        <v>#VALUE!</v>
      </c>
      <c r="S178" t="e">
        <f>AND('Planilla_General_29-11-2012_10_'!H2667,"AAAAAHuH/hI=")</f>
        <v>#VALUE!</v>
      </c>
      <c r="T178" t="e">
        <f>AND('Planilla_General_29-11-2012_10_'!I2667,"AAAAAHuH/hM=")</f>
        <v>#VALUE!</v>
      </c>
      <c r="U178" t="e">
        <f>AND('Planilla_General_29-11-2012_10_'!J2667,"AAAAAHuH/hQ=")</f>
        <v>#VALUE!</v>
      </c>
      <c r="V178" t="e">
        <f>AND('Planilla_General_29-11-2012_10_'!K2667,"AAAAAHuH/hU=")</f>
        <v>#VALUE!</v>
      </c>
      <c r="W178" t="e">
        <f>AND('Planilla_General_29-11-2012_10_'!L2667,"AAAAAHuH/hY=")</f>
        <v>#VALUE!</v>
      </c>
      <c r="X178" t="e">
        <f>AND('Planilla_General_29-11-2012_10_'!M2667,"AAAAAHuH/hc=")</f>
        <v>#VALUE!</v>
      </c>
      <c r="Y178" t="e">
        <f>AND('Planilla_General_29-11-2012_10_'!N2667,"AAAAAHuH/hg=")</f>
        <v>#VALUE!</v>
      </c>
      <c r="Z178" t="e">
        <f>AND('Planilla_General_29-11-2012_10_'!O2667,"AAAAAHuH/hk=")</f>
        <v>#VALUE!</v>
      </c>
      <c r="AA178" t="e">
        <f>AND('Planilla_General_29-11-2012_10_'!P2667,"AAAAAHuH/ho=")</f>
        <v>#VALUE!</v>
      </c>
      <c r="AB178">
        <f>IF('Planilla_General_29-11-2012_10_'!2668:2668,"AAAAAHuH/hs=",0)</f>
        <v>0</v>
      </c>
      <c r="AC178" t="e">
        <f>AND('Planilla_General_29-11-2012_10_'!A2668,"AAAAAHuH/hw=")</f>
        <v>#VALUE!</v>
      </c>
      <c r="AD178" t="e">
        <f>AND('Planilla_General_29-11-2012_10_'!B2668,"AAAAAHuH/h0=")</f>
        <v>#VALUE!</v>
      </c>
      <c r="AE178" t="e">
        <f>AND('Planilla_General_29-11-2012_10_'!C2668,"AAAAAHuH/h4=")</f>
        <v>#VALUE!</v>
      </c>
      <c r="AF178" t="e">
        <f>AND('Planilla_General_29-11-2012_10_'!D2668,"AAAAAHuH/h8=")</f>
        <v>#VALUE!</v>
      </c>
      <c r="AG178" t="e">
        <f>AND('Planilla_General_29-11-2012_10_'!E2668,"AAAAAHuH/iA=")</f>
        <v>#VALUE!</v>
      </c>
      <c r="AH178" t="e">
        <f>AND('Planilla_General_29-11-2012_10_'!F2668,"AAAAAHuH/iE=")</f>
        <v>#VALUE!</v>
      </c>
      <c r="AI178" t="e">
        <f>AND('Planilla_General_29-11-2012_10_'!G2668,"AAAAAHuH/iI=")</f>
        <v>#VALUE!</v>
      </c>
      <c r="AJ178" t="e">
        <f>AND('Planilla_General_29-11-2012_10_'!H2668,"AAAAAHuH/iM=")</f>
        <v>#VALUE!</v>
      </c>
      <c r="AK178" t="e">
        <f>AND('Planilla_General_29-11-2012_10_'!I2668,"AAAAAHuH/iQ=")</f>
        <v>#VALUE!</v>
      </c>
      <c r="AL178" t="e">
        <f>AND('Planilla_General_29-11-2012_10_'!J2668,"AAAAAHuH/iU=")</f>
        <v>#VALUE!</v>
      </c>
      <c r="AM178" t="e">
        <f>AND('Planilla_General_29-11-2012_10_'!K2668,"AAAAAHuH/iY=")</f>
        <v>#VALUE!</v>
      </c>
      <c r="AN178" t="e">
        <f>AND('Planilla_General_29-11-2012_10_'!L2668,"AAAAAHuH/ic=")</f>
        <v>#VALUE!</v>
      </c>
      <c r="AO178" t="e">
        <f>AND('Planilla_General_29-11-2012_10_'!M2668,"AAAAAHuH/ig=")</f>
        <v>#VALUE!</v>
      </c>
      <c r="AP178" t="e">
        <f>AND('Planilla_General_29-11-2012_10_'!N2668,"AAAAAHuH/ik=")</f>
        <v>#VALUE!</v>
      </c>
      <c r="AQ178" t="e">
        <f>AND('Planilla_General_29-11-2012_10_'!O2668,"AAAAAHuH/io=")</f>
        <v>#VALUE!</v>
      </c>
      <c r="AR178" t="e">
        <f>AND('Planilla_General_29-11-2012_10_'!P2668,"AAAAAHuH/is=")</f>
        <v>#VALUE!</v>
      </c>
      <c r="AS178">
        <f>IF('Planilla_General_29-11-2012_10_'!2669:2669,"AAAAAHuH/iw=",0)</f>
        <v>0</v>
      </c>
      <c r="AT178" t="e">
        <f>AND('Planilla_General_29-11-2012_10_'!A2669,"AAAAAHuH/i0=")</f>
        <v>#VALUE!</v>
      </c>
      <c r="AU178" t="e">
        <f>AND('Planilla_General_29-11-2012_10_'!B2669,"AAAAAHuH/i4=")</f>
        <v>#VALUE!</v>
      </c>
      <c r="AV178" t="e">
        <f>AND('Planilla_General_29-11-2012_10_'!C2669,"AAAAAHuH/i8=")</f>
        <v>#VALUE!</v>
      </c>
      <c r="AW178" t="e">
        <f>AND('Planilla_General_29-11-2012_10_'!D2669,"AAAAAHuH/jA=")</f>
        <v>#VALUE!</v>
      </c>
      <c r="AX178" t="e">
        <f>AND('Planilla_General_29-11-2012_10_'!E2669,"AAAAAHuH/jE=")</f>
        <v>#VALUE!</v>
      </c>
      <c r="AY178" t="e">
        <f>AND('Planilla_General_29-11-2012_10_'!F2669,"AAAAAHuH/jI=")</f>
        <v>#VALUE!</v>
      </c>
      <c r="AZ178" t="e">
        <f>AND('Planilla_General_29-11-2012_10_'!G2669,"AAAAAHuH/jM=")</f>
        <v>#VALUE!</v>
      </c>
      <c r="BA178" t="e">
        <f>AND('Planilla_General_29-11-2012_10_'!H2669,"AAAAAHuH/jQ=")</f>
        <v>#VALUE!</v>
      </c>
      <c r="BB178" t="e">
        <f>AND('Planilla_General_29-11-2012_10_'!I2669,"AAAAAHuH/jU=")</f>
        <v>#VALUE!</v>
      </c>
      <c r="BC178" t="e">
        <f>AND('Planilla_General_29-11-2012_10_'!J2669,"AAAAAHuH/jY=")</f>
        <v>#VALUE!</v>
      </c>
      <c r="BD178" t="e">
        <f>AND('Planilla_General_29-11-2012_10_'!K2669,"AAAAAHuH/jc=")</f>
        <v>#VALUE!</v>
      </c>
      <c r="BE178" t="e">
        <f>AND('Planilla_General_29-11-2012_10_'!L2669,"AAAAAHuH/jg=")</f>
        <v>#VALUE!</v>
      </c>
      <c r="BF178" t="e">
        <f>AND('Planilla_General_29-11-2012_10_'!M2669,"AAAAAHuH/jk=")</f>
        <v>#VALUE!</v>
      </c>
      <c r="BG178" t="e">
        <f>AND('Planilla_General_29-11-2012_10_'!N2669,"AAAAAHuH/jo=")</f>
        <v>#VALUE!</v>
      </c>
      <c r="BH178" t="e">
        <f>AND('Planilla_General_29-11-2012_10_'!O2669,"AAAAAHuH/js=")</f>
        <v>#VALUE!</v>
      </c>
      <c r="BI178" t="e">
        <f>AND('Planilla_General_29-11-2012_10_'!P2669,"AAAAAHuH/jw=")</f>
        <v>#VALUE!</v>
      </c>
      <c r="BJ178">
        <f>IF('Planilla_General_29-11-2012_10_'!2670:2670,"AAAAAHuH/j0=",0)</f>
        <v>0</v>
      </c>
      <c r="BK178" t="e">
        <f>AND('Planilla_General_29-11-2012_10_'!A2670,"AAAAAHuH/j4=")</f>
        <v>#VALUE!</v>
      </c>
      <c r="BL178" t="e">
        <f>AND('Planilla_General_29-11-2012_10_'!B2670,"AAAAAHuH/j8=")</f>
        <v>#VALUE!</v>
      </c>
      <c r="BM178" t="e">
        <f>AND('Planilla_General_29-11-2012_10_'!C2670,"AAAAAHuH/kA=")</f>
        <v>#VALUE!</v>
      </c>
      <c r="BN178" t="e">
        <f>AND('Planilla_General_29-11-2012_10_'!D2670,"AAAAAHuH/kE=")</f>
        <v>#VALUE!</v>
      </c>
      <c r="BO178" t="e">
        <f>AND('Planilla_General_29-11-2012_10_'!E2670,"AAAAAHuH/kI=")</f>
        <v>#VALUE!</v>
      </c>
      <c r="BP178" t="e">
        <f>AND('Planilla_General_29-11-2012_10_'!F2670,"AAAAAHuH/kM=")</f>
        <v>#VALUE!</v>
      </c>
      <c r="BQ178" t="e">
        <f>AND('Planilla_General_29-11-2012_10_'!G2670,"AAAAAHuH/kQ=")</f>
        <v>#VALUE!</v>
      </c>
      <c r="BR178" t="e">
        <f>AND('Planilla_General_29-11-2012_10_'!H2670,"AAAAAHuH/kU=")</f>
        <v>#VALUE!</v>
      </c>
      <c r="BS178" t="e">
        <f>AND('Planilla_General_29-11-2012_10_'!I2670,"AAAAAHuH/kY=")</f>
        <v>#VALUE!</v>
      </c>
      <c r="BT178" t="e">
        <f>AND('Planilla_General_29-11-2012_10_'!J2670,"AAAAAHuH/kc=")</f>
        <v>#VALUE!</v>
      </c>
      <c r="BU178" t="e">
        <f>AND('Planilla_General_29-11-2012_10_'!K2670,"AAAAAHuH/kg=")</f>
        <v>#VALUE!</v>
      </c>
      <c r="BV178" t="e">
        <f>AND('Planilla_General_29-11-2012_10_'!L2670,"AAAAAHuH/kk=")</f>
        <v>#VALUE!</v>
      </c>
      <c r="BW178" t="e">
        <f>AND('Planilla_General_29-11-2012_10_'!M2670,"AAAAAHuH/ko=")</f>
        <v>#VALUE!</v>
      </c>
      <c r="BX178" t="e">
        <f>AND('Planilla_General_29-11-2012_10_'!N2670,"AAAAAHuH/ks=")</f>
        <v>#VALUE!</v>
      </c>
      <c r="BY178" t="e">
        <f>AND('Planilla_General_29-11-2012_10_'!O2670,"AAAAAHuH/kw=")</f>
        <v>#VALUE!</v>
      </c>
      <c r="BZ178" t="e">
        <f>AND('Planilla_General_29-11-2012_10_'!P2670,"AAAAAHuH/k0=")</f>
        <v>#VALUE!</v>
      </c>
      <c r="CA178">
        <f>IF('Planilla_General_29-11-2012_10_'!2671:2671,"AAAAAHuH/k4=",0)</f>
        <v>0</v>
      </c>
      <c r="CB178" t="e">
        <f>AND('Planilla_General_29-11-2012_10_'!A2671,"AAAAAHuH/k8=")</f>
        <v>#VALUE!</v>
      </c>
      <c r="CC178" t="e">
        <f>AND('Planilla_General_29-11-2012_10_'!B2671,"AAAAAHuH/lA=")</f>
        <v>#VALUE!</v>
      </c>
      <c r="CD178" t="e">
        <f>AND('Planilla_General_29-11-2012_10_'!C2671,"AAAAAHuH/lE=")</f>
        <v>#VALUE!</v>
      </c>
      <c r="CE178" t="e">
        <f>AND('Planilla_General_29-11-2012_10_'!D2671,"AAAAAHuH/lI=")</f>
        <v>#VALUE!</v>
      </c>
      <c r="CF178" t="e">
        <f>AND('Planilla_General_29-11-2012_10_'!E2671,"AAAAAHuH/lM=")</f>
        <v>#VALUE!</v>
      </c>
      <c r="CG178" t="e">
        <f>AND('Planilla_General_29-11-2012_10_'!F2671,"AAAAAHuH/lQ=")</f>
        <v>#VALUE!</v>
      </c>
      <c r="CH178" t="e">
        <f>AND('Planilla_General_29-11-2012_10_'!G2671,"AAAAAHuH/lU=")</f>
        <v>#VALUE!</v>
      </c>
      <c r="CI178" t="e">
        <f>AND('Planilla_General_29-11-2012_10_'!H2671,"AAAAAHuH/lY=")</f>
        <v>#VALUE!</v>
      </c>
      <c r="CJ178" t="e">
        <f>AND('Planilla_General_29-11-2012_10_'!I2671,"AAAAAHuH/lc=")</f>
        <v>#VALUE!</v>
      </c>
      <c r="CK178" t="e">
        <f>AND('Planilla_General_29-11-2012_10_'!J2671,"AAAAAHuH/lg=")</f>
        <v>#VALUE!</v>
      </c>
      <c r="CL178" t="e">
        <f>AND('Planilla_General_29-11-2012_10_'!K2671,"AAAAAHuH/lk=")</f>
        <v>#VALUE!</v>
      </c>
      <c r="CM178" t="e">
        <f>AND('Planilla_General_29-11-2012_10_'!L2671,"AAAAAHuH/lo=")</f>
        <v>#VALUE!</v>
      </c>
      <c r="CN178" t="e">
        <f>AND('Planilla_General_29-11-2012_10_'!M2671,"AAAAAHuH/ls=")</f>
        <v>#VALUE!</v>
      </c>
      <c r="CO178" t="e">
        <f>AND('Planilla_General_29-11-2012_10_'!N2671,"AAAAAHuH/lw=")</f>
        <v>#VALUE!</v>
      </c>
      <c r="CP178" t="e">
        <f>AND('Planilla_General_29-11-2012_10_'!O2671,"AAAAAHuH/l0=")</f>
        <v>#VALUE!</v>
      </c>
      <c r="CQ178" t="e">
        <f>AND('Planilla_General_29-11-2012_10_'!P2671,"AAAAAHuH/l4=")</f>
        <v>#VALUE!</v>
      </c>
      <c r="CR178">
        <f>IF('Planilla_General_29-11-2012_10_'!2672:2672,"AAAAAHuH/l8=",0)</f>
        <v>0</v>
      </c>
      <c r="CS178" t="e">
        <f>AND('Planilla_General_29-11-2012_10_'!A2672,"AAAAAHuH/mA=")</f>
        <v>#VALUE!</v>
      </c>
      <c r="CT178" t="e">
        <f>AND('Planilla_General_29-11-2012_10_'!B2672,"AAAAAHuH/mE=")</f>
        <v>#VALUE!</v>
      </c>
      <c r="CU178" t="e">
        <f>AND('Planilla_General_29-11-2012_10_'!C2672,"AAAAAHuH/mI=")</f>
        <v>#VALUE!</v>
      </c>
      <c r="CV178" t="e">
        <f>AND('Planilla_General_29-11-2012_10_'!D2672,"AAAAAHuH/mM=")</f>
        <v>#VALUE!</v>
      </c>
      <c r="CW178" t="e">
        <f>AND('Planilla_General_29-11-2012_10_'!E2672,"AAAAAHuH/mQ=")</f>
        <v>#VALUE!</v>
      </c>
      <c r="CX178" t="e">
        <f>AND('Planilla_General_29-11-2012_10_'!F2672,"AAAAAHuH/mU=")</f>
        <v>#VALUE!</v>
      </c>
      <c r="CY178" t="e">
        <f>AND('Planilla_General_29-11-2012_10_'!G2672,"AAAAAHuH/mY=")</f>
        <v>#VALUE!</v>
      </c>
      <c r="CZ178" t="e">
        <f>AND('Planilla_General_29-11-2012_10_'!H2672,"AAAAAHuH/mc=")</f>
        <v>#VALUE!</v>
      </c>
      <c r="DA178" t="e">
        <f>AND('Planilla_General_29-11-2012_10_'!I2672,"AAAAAHuH/mg=")</f>
        <v>#VALUE!</v>
      </c>
      <c r="DB178" t="e">
        <f>AND('Planilla_General_29-11-2012_10_'!J2672,"AAAAAHuH/mk=")</f>
        <v>#VALUE!</v>
      </c>
      <c r="DC178" t="e">
        <f>AND('Planilla_General_29-11-2012_10_'!K2672,"AAAAAHuH/mo=")</f>
        <v>#VALUE!</v>
      </c>
      <c r="DD178" t="e">
        <f>AND('Planilla_General_29-11-2012_10_'!L2672,"AAAAAHuH/ms=")</f>
        <v>#VALUE!</v>
      </c>
      <c r="DE178" t="e">
        <f>AND('Planilla_General_29-11-2012_10_'!M2672,"AAAAAHuH/mw=")</f>
        <v>#VALUE!</v>
      </c>
      <c r="DF178" t="e">
        <f>AND('Planilla_General_29-11-2012_10_'!N2672,"AAAAAHuH/m0=")</f>
        <v>#VALUE!</v>
      </c>
      <c r="DG178" t="e">
        <f>AND('Planilla_General_29-11-2012_10_'!O2672,"AAAAAHuH/m4=")</f>
        <v>#VALUE!</v>
      </c>
      <c r="DH178" t="e">
        <f>AND('Planilla_General_29-11-2012_10_'!P2672,"AAAAAHuH/m8=")</f>
        <v>#VALUE!</v>
      </c>
      <c r="DI178">
        <f>IF('Planilla_General_29-11-2012_10_'!2673:2673,"AAAAAHuH/nA=",0)</f>
        <v>0</v>
      </c>
      <c r="DJ178" t="e">
        <f>AND('Planilla_General_29-11-2012_10_'!A2673,"AAAAAHuH/nE=")</f>
        <v>#VALUE!</v>
      </c>
      <c r="DK178" t="e">
        <f>AND('Planilla_General_29-11-2012_10_'!B2673,"AAAAAHuH/nI=")</f>
        <v>#VALUE!</v>
      </c>
      <c r="DL178" t="e">
        <f>AND('Planilla_General_29-11-2012_10_'!C2673,"AAAAAHuH/nM=")</f>
        <v>#VALUE!</v>
      </c>
      <c r="DM178" t="e">
        <f>AND('Planilla_General_29-11-2012_10_'!D2673,"AAAAAHuH/nQ=")</f>
        <v>#VALUE!</v>
      </c>
      <c r="DN178" t="e">
        <f>AND('Planilla_General_29-11-2012_10_'!E2673,"AAAAAHuH/nU=")</f>
        <v>#VALUE!</v>
      </c>
      <c r="DO178" t="e">
        <f>AND('Planilla_General_29-11-2012_10_'!F2673,"AAAAAHuH/nY=")</f>
        <v>#VALUE!</v>
      </c>
      <c r="DP178" t="e">
        <f>AND('Planilla_General_29-11-2012_10_'!G2673,"AAAAAHuH/nc=")</f>
        <v>#VALUE!</v>
      </c>
      <c r="DQ178" t="e">
        <f>AND('Planilla_General_29-11-2012_10_'!H2673,"AAAAAHuH/ng=")</f>
        <v>#VALUE!</v>
      </c>
      <c r="DR178" t="e">
        <f>AND('Planilla_General_29-11-2012_10_'!I2673,"AAAAAHuH/nk=")</f>
        <v>#VALUE!</v>
      </c>
      <c r="DS178" t="e">
        <f>AND('Planilla_General_29-11-2012_10_'!J2673,"AAAAAHuH/no=")</f>
        <v>#VALUE!</v>
      </c>
      <c r="DT178" t="e">
        <f>AND('Planilla_General_29-11-2012_10_'!K2673,"AAAAAHuH/ns=")</f>
        <v>#VALUE!</v>
      </c>
      <c r="DU178" t="e">
        <f>AND('Planilla_General_29-11-2012_10_'!L2673,"AAAAAHuH/nw=")</f>
        <v>#VALUE!</v>
      </c>
      <c r="DV178" t="e">
        <f>AND('Planilla_General_29-11-2012_10_'!M2673,"AAAAAHuH/n0=")</f>
        <v>#VALUE!</v>
      </c>
      <c r="DW178" t="e">
        <f>AND('Planilla_General_29-11-2012_10_'!N2673,"AAAAAHuH/n4=")</f>
        <v>#VALUE!</v>
      </c>
      <c r="DX178" t="e">
        <f>AND('Planilla_General_29-11-2012_10_'!O2673,"AAAAAHuH/n8=")</f>
        <v>#VALUE!</v>
      </c>
      <c r="DY178" t="e">
        <f>AND('Planilla_General_29-11-2012_10_'!P2673,"AAAAAHuH/oA=")</f>
        <v>#VALUE!</v>
      </c>
      <c r="DZ178">
        <f>IF('Planilla_General_29-11-2012_10_'!2674:2674,"AAAAAHuH/oE=",0)</f>
        <v>0</v>
      </c>
      <c r="EA178" t="e">
        <f>AND('Planilla_General_29-11-2012_10_'!A2674,"AAAAAHuH/oI=")</f>
        <v>#VALUE!</v>
      </c>
      <c r="EB178" t="e">
        <f>AND('Planilla_General_29-11-2012_10_'!B2674,"AAAAAHuH/oM=")</f>
        <v>#VALUE!</v>
      </c>
      <c r="EC178" t="e">
        <f>AND('Planilla_General_29-11-2012_10_'!C2674,"AAAAAHuH/oQ=")</f>
        <v>#VALUE!</v>
      </c>
      <c r="ED178" t="e">
        <f>AND('Planilla_General_29-11-2012_10_'!D2674,"AAAAAHuH/oU=")</f>
        <v>#VALUE!</v>
      </c>
      <c r="EE178" t="e">
        <f>AND('Planilla_General_29-11-2012_10_'!E2674,"AAAAAHuH/oY=")</f>
        <v>#VALUE!</v>
      </c>
      <c r="EF178" t="e">
        <f>AND('Planilla_General_29-11-2012_10_'!F2674,"AAAAAHuH/oc=")</f>
        <v>#VALUE!</v>
      </c>
      <c r="EG178" t="e">
        <f>AND('Planilla_General_29-11-2012_10_'!G2674,"AAAAAHuH/og=")</f>
        <v>#VALUE!</v>
      </c>
      <c r="EH178" t="e">
        <f>AND('Planilla_General_29-11-2012_10_'!H2674,"AAAAAHuH/ok=")</f>
        <v>#VALUE!</v>
      </c>
      <c r="EI178" t="e">
        <f>AND('Planilla_General_29-11-2012_10_'!I2674,"AAAAAHuH/oo=")</f>
        <v>#VALUE!</v>
      </c>
      <c r="EJ178" t="e">
        <f>AND('Planilla_General_29-11-2012_10_'!J2674,"AAAAAHuH/os=")</f>
        <v>#VALUE!</v>
      </c>
      <c r="EK178" t="e">
        <f>AND('Planilla_General_29-11-2012_10_'!K2674,"AAAAAHuH/ow=")</f>
        <v>#VALUE!</v>
      </c>
      <c r="EL178" t="e">
        <f>AND('Planilla_General_29-11-2012_10_'!L2674,"AAAAAHuH/o0=")</f>
        <v>#VALUE!</v>
      </c>
      <c r="EM178" t="e">
        <f>AND('Planilla_General_29-11-2012_10_'!M2674,"AAAAAHuH/o4=")</f>
        <v>#VALUE!</v>
      </c>
      <c r="EN178" t="e">
        <f>AND('Planilla_General_29-11-2012_10_'!N2674,"AAAAAHuH/o8=")</f>
        <v>#VALUE!</v>
      </c>
      <c r="EO178" t="e">
        <f>AND('Planilla_General_29-11-2012_10_'!O2674,"AAAAAHuH/pA=")</f>
        <v>#VALUE!</v>
      </c>
      <c r="EP178" t="e">
        <f>AND('Planilla_General_29-11-2012_10_'!P2674,"AAAAAHuH/pE=")</f>
        <v>#VALUE!</v>
      </c>
      <c r="EQ178">
        <f>IF('Planilla_General_29-11-2012_10_'!2675:2675,"AAAAAHuH/pI=",0)</f>
        <v>0</v>
      </c>
      <c r="ER178" t="e">
        <f>AND('Planilla_General_29-11-2012_10_'!A2675,"AAAAAHuH/pM=")</f>
        <v>#VALUE!</v>
      </c>
      <c r="ES178" t="e">
        <f>AND('Planilla_General_29-11-2012_10_'!B2675,"AAAAAHuH/pQ=")</f>
        <v>#VALUE!</v>
      </c>
      <c r="ET178" t="e">
        <f>AND('Planilla_General_29-11-2012_10_'!C2675,"AAAAAHuH/pU=")</f>
        <v>#VALUE!</v>
      </c>
      <c r="EU178" t="e">
        <f>AND('Planilla_General_29-11-2012_10_'!D2675,"AAAAAHuH/pY=")</f>
        <v>#VALUE!</v>
      </c>
      <c r="EV178" t="e">
        <f>AND('Planilla_General_29-11-2012_10_'!E2675,"AAAAAHuH/pc=")</f>
        <v>#VALUE!</v>
      </c>
      <c r="EW178" t="e">
        <f>AND('Planilla_General_29-11-2012_10_'!F2675,"AAAAAHuH/pg=")</f>
        <v>#VALUE!</v>
      </c>
      <c r="EX178" t="e">
        <f>AND('Planilla_General_29-11-2012_10_'!G2675,"AAAAAHuH/pk=")</f>
        <v>#VALUE!</v>
      </c>
      <c r="EY178" t="e">
        <f>AND('Planilla_General_29-11-2012_10_'!H2675,"AAAAAHuH/po=")</f>
        <v>#VALUE!</v>
      </c>
      <c r="EZ178" t="e">
        <f>AND('Planilla_General_29-11-2012_10_'!I2675,"AAAAAHuH/ps=")</f>
        <v>#VALUE!</v>
      </c>
      <c r="FA178" t="e">
        <f>AND('Planilla_General_29-11-2012_10_'!J2675,"AAAAAHuH/pw=")</f>
        <v>#VALUE!</v>
      </c>
      <c r="FB178" t="e">
        <f>AND('Planilla_General_29-11-2012_10_'!K2675,"AAAAAHuH/p0=")</f>
        <v>#VALUE!</v>
      </c>
      <c r="FC178" t="e">
        <f>AND('Planilla_General_29-11-2012_10_'!L2675,"AAAAAHuH/p4=")</f>
        <v>#VALUE!</v>
      </c>
      <c r="FD178" t="e">
        <f>AND('Planilla_General_29-11-2012_10_'!M2675,"AAAAAHuH/p8=")</f>
        <v>#VALUE!</v>
      </c>
      <c r="FE178" t="e">
        <f>AND('Planilla_General_29-11-2012_10_'!N2675,"AAAAAHuH/qA=")</f>
        <v>#VALUE!</v>
      </c>
      <c r="FF178" t="e">
        <f>AND('Planilla_General_29-11-2012_10_'!O2675,"AAAAAHuH/qE=")</f>
        <v>#VALUE!</v>
      </c>
      <c r="FG178" t="e">
        <f>AND('Planilla_General_29-11-2012_10_'!P2675,"AAAAAHuH/qI=")</f>
        <v>#VALUE!</v>
      </c>
      <c r="FH178">
        <f>IF('Planilla_General_29-11-2012_10_'!2676:2676,"AAAAAHuH/qM=",0)</f>
        <v>0</v>
      </c>
      <c r="FI178" t="e">
        <f>AND('Planilla_General_29-11-2012_10_'!A2676,"AAAAAHuH/qQ=")</f>
        <v>#VALUE!</v>
      </c>
      <c r="FJ178" t="e">
        <f>AND('Planilla_General_29-11-2012_10_'!B2676,"AAAAAHuH/qU=")</f>
        <v>#VALUE!</v>
      </c>
      <c r="FK178" t="e">
        <f>AND('Planilla_General_29-11-2012_10_'!C2676,"AAAAAHuH/qY=")</f>
        <v>#VALUE!</v>
      </c>
      <c r="FL178" t="e">
        <f>AND('Planilla_General_29-11-2012_10_'!D2676,"AAAAAHuH/qc=")</f>
        <v>#VALUE!</v>
      </c>
      <c r="FM178" t="e">
        <f>AND('Planilla_General_29-11-2012_10_'!E2676,"AAAAAHuH/qg=")</f>
        <v>#VALUE!</v>
      </c>
      <c r="FN178" t="e">
        <f>AND('Planilla_General_29-11-2012_10_'!F2676,"AAAAAHuH/qk=")</f>
        <v>#VALUE!</v>
      </c>
      <c r="FO178" t="e">
        <f>AND('Planilla_General_29-11-2012_10_'!G2676,"AAAAAHuH/qo=")</f>
        <v>#VALUE!</v>
      </c>
      <c r="FP178" t="e">
        <f>AND('Planilla_General_29-11-2012_10_'!H2676,"AAAAAHuH/qs=")</f>
        <v>#VALUE!</v>
      </c>
      <c r="FQ178" t="e">
        <f>AND('Planilla_General_29-11-2012_10_'!I2676,"AAAAAHuH/qw=")</f>
        <v>#VALUE!</v>
      </c>
      <c r="FR178" t="e">
        <f>AND('Planilla_General_29-11-2012_10_'!J2676,"AAAAAHuH/q0=")</f>
        <v>#VALUE!</v>
      </c>
      <c r="FS178" t="e">
        <f>AND('Planilla_General_29-11-2012_10_'!K2676,"AAAAAHuH/q4=")</f>
        <v>#VALUE!</v>
      </c>
      <c r="FT178" t="e">
        <f>AND('Planilla_General_29-11-2012_10_'!L2676,"AAAAAHuH/q8=")</f>
        <v>#VALUE!</v>
      </c>
      <c r="FU178" t="e">
        <f>AND('Planilla_General_29-11-2012_10_'!M2676,"AAAAAHuH/rA=")</f>
        <v>#VALUE!</v>
      </c>
      <c r="FV178" t="e">
        <f>AND('Planilla_General_29-11-2012_10_'!N2676,"AAAAAHuH/rE=")</f>
        <v>#VALUE!</v>
      </c>
      <c r="FW178" t="e">
        <f>AND('Planilla_General_29-11-2012_10_'!O2676,"AAAAAHuH/rI=")</f>
        <v>#VALUE!</v>
      </c>
      <c r="FX178" t="e">
        <f>AND('Planilla_General_29-11-2012_10_'!P2676,"AAAAAHuH/rM=")</f>
        <v>#VALUE!</v>
      </c>
      <c r="FY178">
        <f>IF('Planilla_General_29-11-2012_10_'!2677:2677,"AAAAAHuH/rQ=",0)</f>
        <v>0</v>
      </c>
      <c r="FZ178" t="e">
        <f>AND('Planilla_General_29-11-2012_10_'!A2677,"AAAAAHuH/rU=")</f>
        <v>#VALUE!</v>
      </c>
      <c r="GA178" t="e">
        <f>AND('Planilla_General_29-11-2012_10_'!B2677,"AAAAAHuH/rY=")</f>
        <v>#VALUE!</v>
      </c>
      <c r="GB178" t="e">
        <f>AND('Planilla_General_29-11-2012_10_'!C2677,"AAAAAHuH/rc=")</f>
        <v>#VALUE!</v>
      </c>
      <c r="GC178" t="e">
        <f>AND('Planilla_General_29-11-2012_10_'!D2677,"AAAAAHuH/rg=")</f>
        <v>#VALUE!</v>
      </c>
      <c r="GD178" t="e">
        <f>AND('Planilla_General_29-11-2012_10_'!E2677,"AAAAAHuH/rk=")</f>
        <v>#VALUE!</v>
      </c>
      <c r="GE178" t="e">
        <f>AND('Planilla_General_29-11-2012_10_'!F2677,"AAAAAHuH/ro=")</f>
        <v>#VALUE!</v>
      </c>
      <c r="GF178" t="e">
        <f>AND('Planilla_General_29-11-2012_10_'!G2677,"AAAAAHuH/rs=")</f>
        <v>#VALUE!</v>
      </c>
      <c r="GG178" t="e">
        <f>AND('Planilla_General_29-11-2012_10_'!H2677,"AAAAAHuH/rw=")</f>
        <v>#VALUE!</v>
      </c>
      <c r="GH178" t="e">
        <f>AND('Planilla_General_29-11-2012_10_'!I2677,"AAAAAHuH/r0=")</f>
        <v>#VALUE!</v>
      </c>
      <c r="GI178" t="e">
        <f>AND('Planilla_General_29-11-2012_10_'!J2677,"AAAAAHuH/r4=")</f>
        <v>#VALUE!</v>
      </c>
      <c r="GJ178" t="e">
        <f>AND('Planilla_General_29-11-2012_10_'!K2677,"AAAAAHuH/r8=")</f>
        <v>#VALUE!</v>
      </c>
      <c r="GK178" t="e">
        <f>AND('Planilla_General_29-11-2012_10_'!L2677,"AAAAAHuH/sA=")</f>
        <v>#VALUE!</v>
      </c>
      <c r="GL178" t="e">
        <f>AND('Planilla_General_29-11-2012_10_'!M2677,"AAAAAHuH/sE=")</f>
        <v>#VALUE!</v>
      </c>
      <c r="GM178" t="e">
        <f>AND('Planilla_General_29-11-2012_10_'!N2677,"AAAAAHuH/sI=")</f>
        <v>#VALUE!</v>
      </c>
      <c r="GN178" t="e">
        <f>AND('Planilla_General_29-11-2012_10_'!O2677,"AAAAAHuH/sM=")</f>
        <v>#VALUE!</v>
      </c>
      <c r="GO178" t="e">
        <f>AND('Planilla_General_29-11-2012_10_'!P2677,"AAAAAHuH/sQ=")</f>
        <v>#VALUE!</v>
      </c>
      <c r="GP178">
        <f>IF('Planilla_General_29-11-2012_10_'!2678:2678,"AAAAAHuH/sU=",0)</f>
        <v>0</v>
      </c>
      <c r="GQ178" t="e">
        <f>AND('Planilla_General_29-11-2012_10_'!A2678,"AAAAAHuH/sY=")</f>
        <v>#VALUE!</v>
      </c>
      <c r="GR178" t="e">
        <f>AND('Planilla_General_29-11-2012_10_'!B2678,"AAAAAHuH/sc=")</f>
        <v>#VALUE!</v>
      </c>
      <c r="GS178" t="e">
        <f>AND('Planilla_General_29-11-2012_10_'!C2678,"AAAAAHuH/sg=")</f>
        <v>#VALUE!</v>
      </c>
      <c r="GT178" t="e">
        <f>AND('Planilla_General_29-11-2012_10_'!D2678,"AAAAAHuH/sk=")</f>
        <v>#VALUE!</v>
      </c>
      <c r="GU178" t="e">
        <f>AND('Planilla_General_29-11-2012_10_'!E2678,"AAAAAHuH/so=")</f>
        <v>#VALUE!</v>
      </c>
      <c r="GV178" t="e">
        <f>AND('Planilla_General_29-11-2012_10_'!F2678,"AAAAAHuH/ss=")</f>
        <v>#VALUE!</v>
      </c>
      <c r="GW178" t="e">
        <f>AND('Planilla_General_29-11-2012_10_'!G2678,"AAAAAHuH/sw=")</f>
        <v>#VALUE!</v>
      </c>
      <c r="GX178" t="e">
        <f>AND('Planilla_General_29-11-2012_10_'!H2678,"AAAAAHuH/s0=")</f>
        <v>#VALUE!</v>
      </c>
      <c r="GY178" t="e">
        <f>AND('Planilla_General_29-11-2012_10_'!I2678,"AAAAAHuH/s4=")</f>
        <v>#VALUE!</v>
      </c>
      <c r="GZ178" t="e">
        <f>AND('Planilla_General_29-11-2012_10_'!J2678,"AAAAAHuH/s8=")</f>
        <v>#VALUE!</v>
      </c>
      <c r="HA178" t="e">
        <f>AND('Planilla_General_29-11-2012_10_'!K2678,"AAAAAHuH/tA=")</f>
        <v>#VALUE!</v>
      </c>
      <c r="HB178" t="e">
        <f>AND('Planilla_General_29-11-2012_10_'!L2678,"AAAAAHuH/tE=")</f>
        <v>#VALUE!</v>
      </c>
      <c r="HC178" t="e">
        <f>AND('Planilla_General_29-11-2012_10_'!M2678,"AAAAAHuH/tI=")</f>
        <v>#VALUE!</v>
      </c>
      <c r="HD178" t="e">
        <f>AND('Planilla_General_29-11-2012_10_'!N2678,"AAAAAHuH/tM=")</f>
        <v>#VALUE!</v>
      </c>
      <c r="HE178" t="e">
        <f>AND('Planilla_General_29-11-2012_10_'!O2678,"AAAAAHuH/tQ=")</f>
        <v>#VALUE!</v>
      </c>
      <c r="HF178" t="e">
        <f>AND('Planilla_General_29-11-2012_10_'!P2678,"AAAAAHuH/tU=")</f>
        <v>#VALUE!</v>
      </c>
      <c r="HG178">
        <f>IF('Planilla_General_29-11-2012_10_'!2679:2679,"AAAAAHuH/tY=",0)</f>
        <v>0</v>
      </c>
      <c r="HH178" t="e">
        <f>AND('Planilla_General_29-11-2012_10_'!A2679,"AAAAAHuH/tc=")</f>
        <v>#VALUE!</v>
      </c>
      <c r="HI178" t="e">
        <f>AND('Planilla_General_29-11-2012_10_'!B2679,"AAAAAHuH/tg=")</f>
        <v>#VALUE!</v>
      </c>
      <c r="HJ178" t="e">
        <f>AND('Planilla_General_29-11-2012_10_'!C2679,"AAAAAHuH/tk=")</f>
        <v>#VALUE!</v>
      </c>
      <c r="HK178" t="e">
        <f>AND('Planilla_General_29-11-2012_10_'!D2679,"AAAAAHuH/to=")</f>
        <v>#VALUE!</v>
      </c>
      <c r="HL178" t="e">
        <f>AND('Planilla_General_29-11-2012_10_'!E2679,"AAAAAHuH/ts=")</f>
        <v>#VALUE!</v>
      </c>
      <c r="HM178" t="e">
        <f>AND('Planilla_General_29-11-2012_10_'!F2679,"AAAAAHuH/tw=")</f>
        <v>#VALUE!</v>
      </c>
      <c r="HN178" t="e">
        <f>AND('Planilla_General_29-11-2012_10_'!G2679,"AAAAAHuH/t0=")</f>
        <v>#VALUE!</v>
      </c>
      <c r="HO178" t="e">
        <f>AND('Planilla_General_29-11-2012_10_'!H2679,"AAAAAHuH/t4=")</f>
        <v>#VALUE!</v>
      </c>
      <c r="HP178" t="e">
        <f>AND('Planilla_General_29-11-2012_10_'!I2679,"AAAAAHuH/t8=")</f>
        <v>#VALUE!</v>
      </c>
      <c r="HQ178" t="e">
        <f>AND('Planilla_General_29-11-2012_10_'!J2679,"AAAAAHuH/uA=")</f>
        <v>#VALUE!</v>
      </c>
      <c r="HR178" t="e">
        <f>AND('Planilla_General_29-11-2012_10_'!K2679,"AAAAAHuH/uE=")</f>
        <v>#VALUE!</v>
      </c>
      <c r="HS178" t="e">
        <f>AND('Planilla_General_29-11-2012_10_'!L2679,"AAAAAHuH/uI=")</f>
        <v>#VALUE!</v>
      </c>
      <c r="HT178" t="e">
        <f>AND('Planilla_General_29-11-2012_10_'!M2679,"AAAAAHuH/uM=")</f>
        <v>#VALUE!</v>
      </c>
      <c r="HU178" t="e">
        <f>AND('Planilla_General_29-11-2012_10_'!N2679,"AAAAAHuH/uQ=")</f>
        <v>#VALUE!</v>
      </c>
      <c r="HV178" t="e">
        <f>AND('Planilla_General_29-11-2012_10_'!O2679,"AAAAAHuH/uU=")</f>
        <v>#VALUE!</v>
      </c>
      <c r="HW178" t="e">
        <f>AND('Planilla_General_29-11-2012_10_'!P2679,"AAAAAHuH/uY=")</f>
        <v>#VALUE!</v>
      </c>
      <c r="HX178">
        <f>IF('Planilla_General_29-11-2012_10_'!2680:2680,"AAAAAHuH/uc=",0)</f>
        <v>0</v>
      </c>
      <c r="HY178" t="e">
        <f>AND('Planilla_General_29-11-2012_10_'!A2680,"AAAAAHuH/ug=")</f>
        <v>#VALUE!</v>
      </c>
      <c r="HZ178" t="e">
        <f>AND('Planilla_General_29-11-2012_10_'!B2680,"AAAAAHuH/uk=")</f>
        <v>#VALUE!</v>
      </c>
      <c r="IA178" t="e">
        <f>AND('Planilla_General_29-11-2012_10_'!C2680,"AAAAAHuH/uo=")</f>
        <v>#VALUE!</v>
      </c>
      <c r="IB178" t="e">
        <f>AND('Planilla_General_29-11-2012_10_'!D2680,"AAAAAHuH/us=")</f>
        <v>#VALUE!</v>
      </c>
      <c r="IC178" t="e">
        <f>AND('Planilla_General_29-11-2012_10_'!E2680,"AAAAAHuH/uw=")</f>
        <v>#VALUE!</v>
      </c>
      <c r="ID178" t="e">
        <f>AND('Planilla_General_29-11-2012_10_'!F2680,"AAAAAHuH/u0=")</f>
        <v>#VALUE!</v>
      </c>
      <c r="IE178" t="e">
        <f>AND('Planilla_General_29-11-2012_10_'!G2680,"AAAAAHuH/u4=")</f>
        <v>#VALUE!</v>
      </c>
      <c r="IF178" t="e">
        <f>AND('Planilla_General_29-11-2012_10_'!H2680,"AAAAAHuH/u8=")</f>
        <v>#VALUE!</v>
      </c>
      <c r="IG178" t="e">
        <f>AND('Planilla_General_29-11-2012_10_'!I2680,"AAAAAHuH/vA=")</f>
        <v>#VALUE!</v>
      </c>
      <c r="IH178" t="e">
        <f>AND('Planilla_General_29-11-2012_10_'!J2680,"AAAAAHuH/vE=")</f>
        <v>#VALUE!</v>
      </c>
      <c r="II178" t="e">
        <f>AND('Planilla_General_29-11-2012_10_'!K2680,"AAAAAHuH/vI=")</f>
        <v>#VALUE!</v>
      </c>
      <c r="IJ178" t="e">
        <f>AND('Planilla_General_29-11-2012_10_'!L2680,"AAAAAHuH/vM=")</f>
        <v>#VALUE!</v>
      </c>
      <c r="IK178" t="e">
        <f>AND('Planilla_General_29-11-2012_10_'!M2680,"AAAAAHuH/vQ=")</f>
        <v>#VALUE!</v>
      </c>
      <c r="IL178" t="e">
        <f>AND('Planilla_General_29-11-2012_10_'!N2680,"AAAAAHuH/vU=")</f>
        <v>#VALUE!</v>
      </c>
      <c r="IM178" t="e">
        <f>AND('Planilla_General_29-11-2012_10_'!O2680,"AAAAAHuH/vY=")</f>
        <v>#VALUE!</v>
      </c>
      <c r="IN178" t="e">
        <f>AND('Planilla_General_29-11-2012_10_'!P2680,"AAAAAHuH/vc=")</f>
        <v>#VALUE!</v>
      </c>
      <c r="IO178">
        <f>IF('Planilla_General_29-11-2012_10_'!2681:2681,"AAAAAHuH/vg=",0)</f>
        <v>0</v>
      </c>
      <c r="IP178" t="e">
        <f>AND('Planilla_General_29-11-2012_10_'!A2681,"AAAAAHuH/vk=")</f>
        <v>#VALUE!</v>
      </c>
      <c r="IQ178" t="e">
        <f>AND('Planilla_General_29-11-2012_10_'!B2681,"AAAAAHuH/vo=")</f>
        <v>#VALUE!</v>
      </c>
      <c r="IR178" t="e">
        <f>AND('Planilla_General_29-11-2012_10_'!C2681,"AAAAAHuH/vs=")</f>
        <v>#VALUE!</v>
      </c>
      <c r="IS178" t="e">
        <f>AND('Planilla_General_29-11-2012_10_'!D2681,"AAAAAHuH/vw=")</f>
        <v>#VALUE!</v>
      </c>
      <c r="IT178" t="e">
        <f>AND('Planilla_General_29-11-2012_10_'!E2681,"AAAAAHuH/v0=")</f>
        <v>#VALUE!</v>
      </c>
      <c r="IU178" t="e">
        <f>AND('Planilla_General_29-11-2012_10_'!F2681,"AAAAAHuH/v4=")</f>
        <v>#VALUE!</v>
      </c>
      <c r="IV178" t="e">
        <f>AND('Planilla_General_29-11-2012_10_'!G2681,"AAAAAHuH/v8=")</f>
        <v>#VALUE!</v>
      </c>
    </row>
    <row r="179" spans="1:256" x14ac:dyDescent="0.25">
      <c r="A179" t="e">
        <f>AND('Planilla_General_29-11-2012_10_'!H2681,"AAAAAD//9wA=")</f>
        <v>#VALUE!</v>
      </c>
      <c r="B179" t="e">
        <f>AND('Planilla_General_29-11-2012_10_'!I2681,"AAAAAD//9wE=")</f>
        <v>#VALUE!</v>
      </c>
      <c r="C179" t="e">
        <f>AND('Planilla_General_29-11-2012_10_'!J2681,"AAAAAD//9wI=")</f>
        <v>#VALUE!</v>
      </c>
      <c r="D179" t="e">
        <f>AND('Planilla_General_29-11-2012_10_'!K2681,"AAAAAD//9wM=")</f>
        <v>#VALUE!</v>
      </c>
      <c r="E179" t="e">
        <f>AND('Planilla_General_29-11-2012_10_'!L2681,"AAAAAD//9wQ=")</f>
        <v>#VALUE!</v>
      </c>
      <c r="F179" t="e">
        <f>AND('Planilla_General_29-11-2012_10_'!M2681,"AAAAAD//9wU=")</f>
        <v>#VALUE!</v>
      </c>
      <c r="G179" t="e">
        <f>AND('Planilla_General_29-11-2012_10_'!N2681,"AAAAAD//9wY=")</f>
        <v>#VALUE!</v>
      </c>
      <c r="H179" t="e">
        <f>AND('Planilla_General_29-11-2012_10_'!O2681,"AAAAAD//9wc=")</f>
        <v>#VALUE!</v>
      </c>
      <c r="I179" t="e">
        <f>AND('Planilla_General_29-11-2012_10_'!P2681,"AAAAAD//9wg=")</f>
        <v>#VALUE!</v>
      </c>
      <c r="J179" t="e">
        <f>IF('Planilla_General_29-11-2012_10_'!2682:2682,"AAAAAD//9wk=",0)</f>
        <v>#VALUE!</v>
      </c>
      <c r="K179" t="e">
        <f>AND('Planilla_General_29-11-2012_10_'!A2682,"AAAAAD//9wo=")</f>
        <v>#VALUE!</v>
      </c>
      <c r="L179" t="e">
        <f>AND('Planilla_General_29-11-2012_10_'!B2682,"AAAAAD//9ws=")</f>
        <v>#VALUE!</v>
      </c>
      <c r="M179" t="e">
        <f>AND('Planilla_General_29-11-2012_10_'!C2682,"AAAAAD//9ww=")</f>
        <v>#VALUE!</v>
      </c>
      <c r="N179" t="e">
        <f>AND('Planilla_General_29-11-2012_10_'!D2682,"AAAAAD//9w0=")</f>
        <v>#VALUE!</v>
      </c>
      <c r="O179" t="e">
        <f>AND('Planilla_General_29-11-2012_10_'!E2682,"AAAAAD//9w4=")</f>
        <v>#VALUE!</v>
      </c>
      <c r="P179" t="e">
        <f>AND('Planilla_General_29-11-2012_10_'!F2682,"AAAAAD//9w8=")</f>
        <v>#VALUE!</v>
      </c>
      <c r="Q179" t="e">
        <f>AND('Planilla_General_29-11-2012_10_'!G2682,"AAAAAD//9xA=")</f>
        <v>#VALUE!</v>
      </c>
      <c r="R179" t="e">
        <f>AND('Planilla_General_29-11-2012_10_'!H2682,"AAAAAD//9xE=")</f>
        <v>#VALUE!</v>
      </c>
      <c r="S179" t="e">
        <f>AND('Planilla_General_29-11-2012_10_'!I2682,"AAAAAD//9xI=")</f>
        <v>#VALUE!</v>
      </c>
      <c r="T179" t="e">
        <f>AND('Planilla_General_29-11-2012_10_'!J2682,"AAAAAD//9xM=")</f>
        <v>#VALUE!</v>
      </c>
      <c r="U179" t="e">
        <f>AND('Planilla_General_29-11-2012_10_'!K2682,"AAAAAD//9xQ=")</f>
        <v>#VALUE!</v>
      </c>
      <c r="V179" t="e">
        <f>AND('Planilla_General_29-11-2012_10_'!L2682,"AAAAAD//9xU=")</f>
        <v>#VALUE!</v>
      </c>
      <c r="W179" t="e">
        <f>AND('Planilla_General_29-11-2012_10_'!M2682,"AAAAAD//9xY=")</f>
        <v>#VALUE!</v>
      </c>
      <c r="X179" t="e">
        <f>AND('Planilla_General_29-11-2012_10_'!N2682,"AAAAAD//9xc=")</f>
        <v>#VALUE!</v>
      </c>
      <c r="Y179" t="e">
        <f>AND('Planilla_General_29-11-2012_10_'!O2682,"AAAAAD//9xg=")</f>
        <v>#VALUE!</v>
      </c>
      <c r="Z179" t="e">
        <f>AND('Planilla_General_29-11-2012_10_'!P2682,"AAAAAD//9xk=")</f>
        <v>#VALUE!</v>
      </c>
      <c r="AA179">
        <f>IF('Planilla_General_29-11-2012_10_'!2683:2683,"AAAAAD//9xo=",0)</f>
        <v>0</v>
      </c>
      <c r="AB179" t="e">
        <f>AND('Planilla_General_29-11-2012_10_'!A2683,"AAAAAD//9xs=")</f>
        <v>#VALUE!</v>
      </c>
      <c r="AC179" t="e">
        <f>AND('Planilla_General_29-11-2012_10_'!B2683,"AAAAAD//9xw=")</f>
        <v>#VALUE!</v>
      </c>
      <c r="AD179" t="e">
        <f>AND('Planilla_General_29-11-2012_10_'!C2683,"AAAAAD//9x0=")</f>
        <v>#VALUE!</v>
      </c>
      <c r="AE179" t="e">
        <f>AND('Planilla_General_29-11-2012_10_'!D2683,"AAAAAD//9x4=")</f>
        <v>#VALUE!</v>
      </c>
      <c r="AF179" t="e">
        <f>AND('Planilla_General_29-11-2012_10_'!E2683,"AAAAAD//9x8=")</f>
        <v>#VALUE!</v>
      </c>
      <c r="AG179" t="e">
        <f>AND('Planilla_General_29-11-2012_10_'!F2683,"AAAAAD//9yA=")</f>
        <v>#VALUE!</v>
      </c>
      <c r="AH179" t="e">
        <f>AND('Planilla_General_29-11-2012_10_'!G2683,"AAAAAD//9yE=")</f>
        <v>#VALUE!</v>
      </c>
      <c r="AI179" t="e">
        <f>AND('Planilla_General_29-11-2012_10_'!H2683,"AAAAAD//9yI=")</f>
        <v>#VALUE!</v>
      </c>
      <c r="AJ179" t="e">
        <f>AND('Planilla_General_29-11-2012_10_'!I2683,"AAAAAD//9yM=")</f>
        <v>#VALUE!</v>
      </c>
      <c r="AK179" t="e">
        <f>AND('Planilla_General_29-11-2012_10_'!J2683,"AAAAAD//9yQ=")</f>
        <v>#VALUE!</v>
      </c>
      <c r="AL179" t="e">
        <f>AND('Planilla_General_29-11-2012_10_'!K2683,"AAAAAD//9yU=")</f>
        <v>#VALUE!</v>
      </c>
      <c r="AM179" t="e">
        <f>AND('Planilla_General_29-11-2012_10_'!L2683,"AAAAAD//9yY=")</f>
        <v>#VALUE!</v>
      </c>
      <c r="AN179" t="e">
        <f>AND('Planilla_General_29-11-2012_10_'!M2683,"AAAAAD//9yc=")</f>
        <v>#VALUE!</v>
      </c>
      <c r="AO179" t="e">
        <f>AND('Planilla_General_29-11-2012_10_'!N2683,"AAAAAD//9yg=")</f>
        <v>#VALUE!</v>
      </c>
      <c r="AP179" t="e">
        <f>AND('Planilla_General_29-11-2012_10_'!O2683,"AAAAAD//9yk=")</f>
        <v>#VALUE!</v>
      </c>
      <c r="AQ179" t="e">
        <f>AND('Planilla_General_29-11-2012_10_'!P2683,"AAAAAD//9yo=")</f>
        <v>#VALUE!</v>
      </c>
      <c r="AR179">
        <f>IF('Planilla_General_29-11-2012_10_'!2684:2684,"AAAAAD//9ys=",0)</f>
        <v>0</v>
      </c>
      <c r="AS179" t="e">
        <f>AND('Planilla_General_29-11-2012_10_'!A2684,"AAAAAD//9yw=")</f>
        <v>#VALUE!</v>
      </c>
      <c r="AT179" t="e">
        <f>AND('Planilla_General_29-11-2012_10_'!B2684,"AAAAAD//9y0=")</f>
        <v>#VALUE!</v>
      </c>
      <c r="AU179" t="e">
        <f>AND('Planilla_General_29-11-2012_10_'!C2684,"AAAAAD//9y4=")</f>
        <v>#VALUE!</v>
      </c>
      <c r="AV179" t="e">
        <f>AND('Planilla_General_29-11-2012_10_'!D2684,"AAAAAD//9y8=")</f>
        <v>#VALUE!</v>
      </c>
      <c r="AW179" t="e">
        <f>AND('Planilla_General_29-11-2012_10_'!E2684,"AAAAAD//9zA=")</f>
        <v>#VALUE!</v>
      </c>
      <c r="AX179" t="e">
        <f>AND('Planilla_General_29-11-2012_10_'!F2684,"AAAAAD//9zE=")</f>
        <v>#VALUE!</v>
      </c>
      <c r="AY179" t="e">
        <f>AND('Planilla_General_29-11-2012_10_'!G2684,"AAAAAD//9zI=")</f>
        <v>#VALUE!</v>
      </c>
      <c r="AZ179" t="e">
        <f>AND('Planilla_General_29-11-2012_10_'!H2684,"AAAAAD//9zM=")</f>
        <v>#VALUE!</v>
      </c>
      <c r="BA179" t="e">
        <f>AND('Planilla_General_29-11-2012_10_'!I2684,"AAAAAD//9zQ=")</f>
        <v>#VALUE!</v>
      </c>
      <c r="BB179" t="e">
        <f>AND('Planilla_General_29-11-2012_10_'!J2684,"AAAAAD//9zU=")</f>
        <v>#VALUE!</v>
      </c>
      <c r="BC179" t="e">
        <f>AND('Planilla_General_29-11-2012_10_'!K2684,"AAAAAD//9zY=")</f>
        <v>#VALUE!</v>
      </c>
      <c r="BD179" t="e">
        <f>AND('Planilla_General_29-11-2012_10_'!L2684,"AAAAAD//9zc=")</f>
        <v>#VALUE!</v>
      </c>
      <c r="BE179" t="e">
        <f>AND('Planilla_General_29-11-2012_10_'!M2684,"AAAAAD//9zg=")</f>
        <v>#VALUE!</v>
      </c>
      <c r="BF179" t="e">
        <f>AND('Planilla_General_29-11-2012_10_'!N2684,"AAAAAD//9zk=")</f>
        <v>#VALUE!</v>
      </c>
      <c r="BG179" t="e">
        <f>AND('Planilla_General_29-11-2012_10_'!O2684,"AAAAAD//9zo=")</f>
        <v>#VALUE!</v>
      </c>
      <c r="BH179" t="e">
        <f>AND('Planilla_General_29-11-2012_10_'!P2684,"AAAAAD//9zs=")</f>
        <v>#VALUE!</v>
      </c>
      <c r="BI179">
        <f>IF('Planilla_General_29-11-2012_10_'!2685:2685,"AAAAAD//9zw=",0)</f>
        <v>0</v>
      </c>
      <c r="BJ179" t="e">
        <f>AND('Planilla_General_29-11-2012_10_'!A2685,"AAAAAD//9z0=")</f>
        <v>#VALUE!</v>
      </c>
      <c r="BK179" t="e">
        <f>AND('Planilla_General_29-11-2012_10_'!B2685,"AAAAAD//9z4=")</f>
        <v>#VALUE!</v>
      </c>
      <c r="BL179" t="e">
        <f>AND('Planilla_General_29-11-2012_10_'!C2685,"AAAAAD//9z8=")</f>
        <v>#VALUE!</v>
      </c>
      <c r="BM179" t="e">
        <f>AND('Planilla_General_29-11-2012_10_'!D2685,"AAAAAD//90A=")</f>
        <v>#VALUE!</v>
      </c>
      <c r="BN179" t="e">
        <f>AND('Planilla_General_29-11-2012_10_'!E2685,"AAAAAD//90E=")</f>
        <v>#VALUE!</v>
      </c>
      <c r="BO179" t="e">
        <f>AND('Planilla_General_29-11-2012_10_'!F2685,"AAAAAD//90I=")</f>
        <v>#VALUE!</v>
      </c>
      <c r="BP179" t="e">
        <f>AND('Planilla_General_29-11-2012_10_'!G2685,"AAAAAD//90M=")</f>
        <v>#VALUE!</v>
      </c>
      <c r="BQ179" t="e">
        <f>AND('Planilla_General_29-11-2012_10_'!H2685,"AAAAAD//90Q=")</f>
        <v>#VALUE!</v>
      </c>
      <c r="BR179" t="e">
        <f>AND('Planilla_General_29-11-2012_10_'!I2685,"AAAAAD//90U=")</f>
        <v>#VALUE!</v>
      </c>
      <c r="BS179" t="e">
        <f>AND('Planilla_General_29-11-2012_10_'!J2685,"AAAAAD//90Y=")</f>
        <v>#VALUE!</v>
      </c>
      <c r="BT179" t="e">
        <f>AND('Planilla_General_29-11-2012_10_'!K2685,"AAAAAD//90c=")</f>
        <v>#VALUE!</v>
      </c>
      <c r="BU179" t="e">
        <f>AND('Planilla_General_29-11-2012_10_'!L2685,"AAAAAD//90g=")</f>
        <v>#VALUE!</v>
      </c>
      <c r="BV179" t="e">
        <f>AND('Planilla_General_29-11-2012_10_'!M2685,"AAAAAD//90k=")</f>
        <v>#VALUE!</v>
      </c>
      <c r="BW179" t="e">
        <f>AND('Planilla_General_29-11-2012_10_'!N2685,"AAAAAD//90o=")</f>
        <v>#VALUE!</v>
      </c>
      <c r="BX179" t="e">
        <f>AND('Planilla_General_29-11-2012_10_'!O2685,"AAAAAD//90s=")</f>
        <v>#VALUE!</v>
      </c>
      <c r="BY179" t="e">
        <f>AND('Planilla_General_29-11-2012_10_'!P2685,"AAAAAD//90w=")</f>
        <v>#VALUE!</v>
      </c>
      <c r="BZ179">
        <f>IF('Planilla_General_29-11-2012_10_'!2686:2686,"AAAAAD//900=",0)</f>
        <v>0</v>
      </c>
      <c r="CA179" t="e">
        <f>AND('Planilla_General_29-11-2012_10_'!A2686,"AAAAAD//904=")</f>
        <v>#VALUE!</v>
      </c>
      <c r="CB179" t="e">
        <f>AND('Planilla_General_29-11-2012_10_'!B2686,"AAAAAD//908=")</f>
        <v>#VALUE!</v>
      </c>
      <c r="CC179" t="e">
        <f>AND('Planilla_General_29-11-2012_10_'!C2686,"AAAAAD//91A=")</f>
        <v>#VALUE!</v>
      </c>
      <c r="CD179" t="e">
        <f>AND('Planilla_General_29-11-2012_10_'!D2686,"AAAAAD//91E=")</f>
        <v>#VALUE!</v>
      </c>
      <c r="CE179" t="e">
        <f>AND('Planilla_General_29-11-2012_10_'!E2686,"AAAAAD//91I=")</f>
        <v>#VALUE!</v>
      </c>
      <c r="CF179" t="e">
        <f>AND('Planilla_General_29-11-2012_10_'!F2686,"AAAAAD//91M=")</f>
        <v>#VALUE!</v>
      </c>
      <c r="CG179" t="e">
        <f>AND('Planilla_General_29-11-2012_10_'!G2686,"AAAAAD//91Q=")</f>
        <v>#VALUE!</v>
      </c>
      <c r="CH179" t="e">
        <f>AND('Planilla_General_29-11-2012_10_'!H2686,"AAAAAD//91U=")</f>
        <v>#VALUE!</v>
      </c>
      <c r="CI179" t="e">
        <f>AND('Planilla_General_29-11-2012_10_'!I2686,"AAAAAD//91Y=")</f>
        <v>#VALUE!</v>
      </c>
      <c r="CJ179" t="e">
        <f>AND('Planilla_General_29-11-2012_10_'!J2686,"AAAAAD//91c=")</f>
        <v>#VALUE!</v>
      </c>
      <c r="CK179" t="e">
        <f>AND('Planilla_General_29-11-2012_10_'!K2686,"AAAAAD//91g=")</f>
        <v>#VALUE!</v>
      </c>
      <c r="CL179" t="e">
        <f>AND('Planilla_General_29-11-2012_10_'!L2686,"AAAAAD//91k=")</f>
        <v>#VALUE!</v>
      </c>
      <c r="CM179" t="e">
        <f>AND('Planilla_General_29-11-2012_10_'!M2686,"AAAAAD//91o=")</f>
        <v>#VALUE!</v>
      </c>
      <c r="CN179" t="e">
        <f>AND('Planilla_General_29-11-2012_10_'!N2686,"AAAAAD//91s=")</f>
        <v>#VALUE!</v>
      </c>
      <c r="CO179" t="e">
        <f>AND('Planilla_General_29-11-2012_10_'!O2686,"AAAAAD//91w=")</f>
        <v>#VALUE!</v>
      </c>
      <c r="CP179" t="e">
        <f>AND('Planilla_General_29-11-2012_10_'!P2686,"AAAAAD//910=")</f>
        <v>#VALUE!</v>
      </c>
      <c r="CQ179">
        <f>IF('Planilla_General_29-11-2012_10_'!2687:2687,"AAAAAD//914=",0)</f>
        <v>0</v>
      </c>
      <c r="CR179" t="e">
        <f>AND('Planilla_General_29-11-2012_10_'!A2687,"AAAAAD//918=")</f>
        <v>#VALUE!</v>
      </c>
      <c r="CS179" t="e">
        <f>AND('Planilla_General_29-11-2012_10_'!B2687,"AAAAAD//92A=")</f>
        <v>#VALUE!</v>
      </c>
      <c r="CT179" t="e">
        <f>AND('Planilla_General_29-11-2012_10_'!C2687,"AAAAAD//92E=")</f>
        <v>#VALUE!</v>
      </c>
      <c r="CU179" t="e">
        <f>AND('Planilla_General_29-11-2012_10_'!D2687,"AAAAAD//92I=")</f>
        <v>#VALUE!</v>
      </c>
      <c r="CV179" t="e">
        <f>AND('Planilla_General_29-11-2012_10_'!E2687,"AAAAAD//92M=")</f>
        <v>#VALUE!</v>
      </c>
      <c r="CW179" t="e">
        <f>AND('Planilla_General_29-11-2012_10_'!F2687,"AAAAAD//92Q=")</f>
        <v>#VALUE!</v>
      </c>
      <c r="CX179" t="e">
        <f>AND('Planilla_General_29-11-2012_10_'!G2687,"AAAAAD//92U=")</f>
        <v>#VALUE!</v>
      </c>
      <c r="CY179" t="e">
        <f>AND('Planilla_General_29-11-2012_10_'!H2687,"AAAAAD//92Y=")</f>
        <v>#VALUE!</v>
      </c>
      <c r="CZ179" t="e">
        <f>AND('Planilla_General_29-11-2012_10_'!I2687,"AAAAAD//92c=")</f>
        <v>#VALUE!</v>
      </c>
      <c r="DA179" t="e">
        <f>AND('Planilla_General_29-11-2012_10_'!J2687,"AAAAAD//92g=")</f>
        <v>#VALUE!</v>
      </c>
      <c r="DB179" t="e">
        <f>AND('Planilla_General_29-11-2012_10_'!K2687,"AAAAAD//92k=")</f>
        <v>#VALUE!</v>
      </c>
      <c r="DC179" t="e">
        <f>AND('Planilla_General_29-11-2012_10_'!L2687,"AAAAAD//92o=")</f>
        <v>#VALUE!</v>
      </c>
      <c r="DD179" t="e">
        <f>AND('Planilla_General_29-11-2012_10_'!M2687,"AAAAAD//92s=")</f>
        <v>#VALUE!</v>
      </c>
      <c r="DE179" t="e">
        <f>AND('Planilla_General_29-11-2012_10_'!N2687,"AAAAAD//92w=")</f>
        <v>#VALUE!</v>
      </c>
      <c r="DF179" t="e">
        <f>AND('Planilla_General_29-11-2012_10_'!O2687,"AAAAAD//920=")</f>
        <v>#VALUE!</v>
      </c>
      <c r="DG179" t="e">
        <f>AND('Planilla_General_29-11-2012_10_'!P2687,"AAAAAD//924=")</f>
        <v>#VALUE!</v>
      </c>
      <c r="DH179">
        <f>IF('Planilla_General_29-11-2012_10_'!2688:2688,"AAAAAD//928=",0)</f>
        <v>0</v>
      </c>
      <c r="DI179" t="e">
        <f>AND('Planilla_General_29-11-2012_10_'!A2688,"AAAAAD//93A=")</f>
        <v>#VALUE!</v>
      </c>
      <c r="DJ179" t="e">
        <f>AND('Planilla_General_29-11-2012_10_'!B2688,"AAAAAD//93E=")</f>
        <v>#VALUE!</v>
      </c>
      <c r="DK179" t="e">
        <f>AND('Planilla_General_29-11-2012_10_'!C2688,"AAAAAD//93I=")</f>
        <v>#VALUE!</v>
      </c>
      <c r="DL179" t="e">
        <f>AND('Planilla_General_29-11-2012_10_'!D2688,"AAAAAD//93M=")</f>
        <v>#VALUE!</v>
      </c>
      <c r="DM179" t="e">
        <f>AND('Planilla_General_29-11-2012_10_'!E2688,"AAAAAD//93Q=")</f>
        <v>#VALUE!</v>
      </c>
      <c r="DN179" t="e">
        <f>AND('Planilla_General_29-11-2012_10_'!F2688,"AAAAAD//93U=")</f>
        <v>#VALUE!</v>
      </c>
      <c r="DO179" t="e">
        <f>AND('Planilla_General_29-11-2012_10_'!G2688,"AAAAAD//93Y=")</f>
        <v>#VALUE!</v>
      </c>
      <c r="DP179" t="e">
        <f>AND('Planilla_General_29-11-2012_10_'!H2688,"AAAAAD//93c=")</f>
        <v>#VALUE!</v>
      </c>
      <c r="DQ179" t="e">
        <f>AND('Planilla_General_29-11-2012_10_'!I2688,"AAAAAD//93g=")</f>
        <v>#VALUE!</v>
      </c>
      <c r="DR179" t="e">
        <f>AND('Planilla_General_29-11-2012_10_'!J2688,"AAAAAD//93k=")</f>
        <v>#VALUE!</v>
      </c>
      <c r="DS179" t="e">
        <f>AND('Planilla_General_29-11-2012_10_'!K2688,"AAAAAD//93o=")</f>
        <v>#VALUE!</v>
      </c>
      <c r="DT179" t="e">
        <f>AND('Planilla_General_29-11-2012_10_'!L2688,"AAAAAD//93s=")</f>
        <v>#VALUE!</v>
      </c>
      <c r="DU179" t="e">
        <f>AND('Planilla_General_29-11-2012_10_'!M2688,"AAAAAD//93w=")</f>
        <v>#VALUE!</v>
      </c>
      <c r="DV179" t="e">
        <f>AND('Planilla_General_29-11-2012_10_'!N2688,"AAAAAD//930=")</f>
        <v>#VALUE!</v>
      </c>
      <c r="DW179" t="e">
        <f>AND('Planilla_General_29-11-2012_10_'!O2688,"AAAAAD//934=")</f>
        <v>#VALUE!</v>
      </c>
      <c r="DX179" t="e">
        <f>AND('Planilla_General_29-11-2012_10_'!P2688,"AAAAAD//938=")</f>
        <v>#VALUE!</v>
      </c>
      <c r="DY179">
        <f>IF('Planilla_General_29-11-2012_10_'!2689:2689,"AAAAAD//94A=",0)</f>
        <v>0</v>
      </c>
      <c r="DZ179" t="e">
        <f>AND('Planilla_General_29-11-2012_10_'!A2689,"AAAAAD//94E=")</f>
        <v>#VALUE!</v>
      </c>
      <c r="EA179" t="e">
        <f>AND('Planilla_General_29-11-2012_10_'!B2689,"AAAAAD//94I=")</f>
        <v>#VALUE!</v>
      </c>
      <c r="EB179" t="e">
        <f>AND('Planilla_General_29-11-2012_10_'!C2689,"AAAAAD//94M=")</f>
        <v>#VALUE!</v>
      </c>
      <c r="EC179" t="e">
        <f>AND('Planilla_General_29-11-2012_10_'!D2689,"AAAAAD//94Q=")</f>
        <v>#VALUE!</v>
      </c>
      <c r="ED179" t="e">
        <f>AND('Planilla_General_29-11-2012_10_'!E2689,"AAAAAD//94U=")</f>
        <v>#VALUE!</v>
      </c>
      <c r="EE179" t="e">
        <f>AND('Planilla_General_29-11-2012_10_'!F2689,"AAAAAD//94Y=")</f>
        <v>#VALUE!</v>
      </c>
      <c r="EF179" t="e">
        <f>AND('Planilla_General_29-11-2012_10_'!G2689,"AAAAAD//94c=")</f>
        <v>#VALUE!</v>
      </c>
      <c r="EG179" t="e">
        <f>AND('Planilla_General_29-11-2012_10_'!H2689,"AAAAAD//94g=")</f>
        <v>#VALUE!</v>
      </c>
      <c r="EH179" t="e">
        <f>AND('Planilla_General_29-11-2012_10_'!I2689,"AAAAAD//94k=")</f>
        <v>#VALUE!</v>
      </c>
      <c r="EI179" t="e">
        <f>AND('Planilla_General_29-11-2012_10_'!J2689,"AAAAAD//94o=")</f>
        <v>#VALUE!</v>
      </c>
      <c r="EJ179" t="e">
        <f>AND('Planilla_General_29-11-2012_10_'!K2689,"AAAAAD//94s=")</f>
        <v>#VALUE!</v>
      </c>
      <c r="EK179" t="e">
        <f>AND('Planilla_General_29-11-2012_10_'!L2689,"AAAAAD//94w=")</f>
        <v>#VALUE!</v>
      </c>
      <c r="EL179" t="e">
        <f>AND('Planilla_General_29-11-2012_10_'!M2689,"AAAAAD//940=")</f>
        <v>#VALUE!</v>
      </c>
      <c r="EM179" t="e">
        <f>AND('Planilla_General_29-11-2012_10_'!N2689,"AAAAAD//944=")</f>
        <v>#VALUE!</v>
      </c>
      <c r="EN179" t="e">
        <f>AND('Planilla_General_29-11-2012_10_'!O2689,"AAAAAD//948=")</f>
        <v>#VALUE!</v>
      </c>
      <c r="EO179" t="e">
        <f>AND('Planilla_General_29-11-2012_10_'!P2689,"AAAAAD//95A=")</f>
        <v>#VALUE!</v>
      </c>
      <c r="EP179">
        <f>IF('Planilla_General_29-11-2012_10_'!2690:2690,"AAAAAD//95E=",0)</f>
        <v>0</v>
      </c>
      <c r="EQ179" t="e">
        <f>AND('Planilla_General_29-11-2012_10_'!A2690,"AAAAAD//95I=")</f>
        <v>#VALUE!</v>
      </c>
      <c r="ER179" t="e">
        <f>AND('Planilla_General_29-11-2012_10_'!B2690,"AAAAAD//95M=")</f>
        <v>#VALUE!</v>
      </c>
      <c r="ES179" t="e">
        <f>AND('Planilla_General_29-11-2012_10_'!C2690,"AAAAAD//95Q=")</f>
        <v>#VALUE!</v>
      </c>
      <c r="ET179" t="e">
        <f>AND('Planilla_General_29-11-2012_10_'!D2690,"AAAAAD//95U=")</f>
        <v>#VALUE!</v>
      </c>
      <c r="EU179" t="e">
        <f>AND('Planilla_General_29-11-2012_10_'!E2690,"AAAAAD//95Y=")</f>
        <v>#VALUE!</v>
      </c>
      <c r="EV179" t="e">
        <f>AND('Planilla_General_29-11-2012_10_'!F2690,"AAAAAD//95c=")</f>
        <v>#VALUE!</v>
      </c>
      <c r="EW179" t="e">
        <f>AND('Planilla_General_29-11-2012_10_'!G2690,"AAAAAD//95g=")</f>
        <v>#VALUE!</v>
      </c>
      <c r="EX179" t="e">
        <f>AND('Planilla_General_29-11-2012_10_'!H2690,"AAAAAD//95k=")</f>
        <v>#VALUE!</v>
      </c>
      <c r="EY179" t="e">
        <f>AND('Planilla_General_29-11-2012_10_'!I2690,"AAAAAD//95o=")</f>
        <v>#VALUE!</v>
      </c>
      <c r="EZ179" t="e">
        <f>AND('Planilla_General_29-11-2012_10_'!J2690,"AAAAAD//95s=")</f>
        <v>#VALUE!</v>
      </c>
      <c r="FA179" t="e">
        <f>AND('Planilla_General_29-11-2012_10_'!K2690,"AAAAAD//95w=")</f>
        <v>#VALUE!</v>
      </c>
      <c r="FB179" t="e">
        <f>AND('Planilla_General_29-11-2012_10_'!L2690,"AAAAAD//950=")</f>
        <v>#VALUE!</v>
      </c>
      <c r="FC179" t="e">
        <f>AND('Planilla_General_29-11-2012_10_'!M2690,"AAAAAD//954=")</f>
        <v>#VALUE!</v>
      </c>
      <c r="FD179" t="e">
        <f>AND('Planilla_General_29-11-2012_10_'!N2690,"AAAAAD//958=")</f>
        <v>#VALUE!</v>
      </c>
      <c r="FE179" t="e">
        <f>AND('Planilla_General_29-11-2012_10_'!O2690,"AAAAAD//96A=")</f>
        <v>#VALUE!</v>
      </c>
      <c r="FF179" t="e">
        <f>AND('Planilla_General_29-11-2012_10_'!P2690,"AAAAAD//96E=")</f>
        <v>#VALUE!</v>
      </c>
      <c r="FG179">
        <f>IF('Planilla_General_29-11-2012_10_'!2691:2691,"AAAAAD//96I=",0)</f>
        <v>0</v>
      </c>
      <c r="FH179" t="e">
        <f>AND('Planilla_General_29-11-2012_10_'!A2691,"AAAAAD//96M=")</f>
        <v>#VALUE!</v>
      </c>
      <c r="FI179" t="e">
        <f>AND('Planilla_General_29-11-2012_10_'!B2691,"AAAAAD//96Q=")</f>
        <v>#VALUE!</v>
      </c>
      <c r="FJ179" t="e">
        <f>AND('Planilla_General_29-11-2012_10_'!C2691,"AAAAAD//96U=")</f>
        <v>#VALUE!</v>
      </c>
      <c r="FK179" t="e">
        <f>AND('Planilla_General_29-11-2012_10_'!D2691,"AAAAAD//96Y=")</f>
        <v>#VALUE!</v>
      </c>
      <c r="FL179" t="e">
        <f>AND('Planilla_General_29-11-2012_10_'!E2691,"AAAAAD//96c=")</f>
        <v>#VALUE!</v>
      </c>
      <c r="FM179" t="e">
        <f>AND('Planilla_General_29-11-2012_10_'!F2691,"AAAAAD//96g=")</f>
        <v>#VALUE!</v>
      </c>
      <c r="FN179" t="e">
        <f>AND('Planilla_General_29-11-2012_10_'!G2691,"AAAAAD//96k=")</f>
        <v>#VALUE!</v>
      </c>
      <c r="FO179" t="e">
        <f>AND('Planilla_General_29-11-2012_10_'!H2691,"AAAAAD//96o=")</f>
        <v>#VALUE!</v>
      </c>
      <c r="FP179" t="e">
        <f>AND('Planilla_General_29-11-2012_10_'!I2691,"AAAAAD//96s=")</f>
        <v>#VALUE!</v>
      </c>
      <c r="FQ179" t="e">
        <f>AND('Planilla_General_29-11-2012_10_'!J2691,"AAAAAD//96w=")</f>
        <v>#VALUE!</v>
      </c>
      <c r="FR179" t="e">
        <f>AND('Planilla_General_29-11-2012_10_'!K2691,"AAAAAD//960=")</f>
        <v>#VALUE!</v>
      </c>
      <c r="FS179" t="e">
        <f>AND('Planilla_General_29-11-2012_10_'!L2691,"AAAAAD//964=")</f>
        <v>#VALUE!</v>
      </c>
      <c r="FT179" t="e">
        <f>AND('Planilla_General_29-11-2012_10_'!M2691,"AAAAAD//968=")</f>
        <v>#VALUE!</v>
      </c>
      <c r="FU179" t="e">
        <f>AND('Planilla_General_29-11-2012_10_'!N2691,"AAAAAD//97A=")</f>
        <v>#VALUE!</v>
      </c>
      <c r="FV179" t="e">
        <f>AND('Planilla_General_29-11-2012_10_'!O2691,"AAAAAD//97E=")</f>
        <v>#VALUE!</v>
      </c>
      <c r="FW179" t="e">
        <f>AND('Planilla_General_29-11-2012_10_'!P2691,"AAAAAD//97I=")</f>
        <v>#VALUE!</v>
      </c>
      <c r="FX179">
        <f>IF('Planilla_General_29-11-2012_10_'!2692:2692,"AAAAAD//97M=",0)</f>
        <v>0</v>
      </c>
      <c r="FY179" t="e">
        <f>AND('Planilla_General_29-11-2012_10_'!A2692,"AAAAAD//97Q=")</f>
        <v>#VALUE!</v>
      </c>
      <c r="FZ179" t="e">
        <f>AND('Planilla_General_29-11-2012_10_'!B2692,"AAAAAD//97U=")</f>
        <v>#VALUE!</v>
      </c>
      <c r="GA179" t="e">
        <f>AND('Planilla_General_29-11-2012_10_'!C2692,"AAAAAD//97Y=")</f>
        <v>#VALUE!</v>
      </c>
      <c r="GB179" t="e">
        <f>AND('Planilla_General_29-11-2012_10_'!D2692,"AAAAAD//97c=")</f>
        <v>#VALUE!</v>
      </c>
      <c r="GC179" t="e">
        <f>AND('Planilla_General_29-11-2012_10_'!E2692,"AAAAAD//97g=")</f>
        <v>#VALUE!</v>
      </c>
      <c r="GD179" t="e">
        <f>AND('Planilla_General_29-11-2012_10_'!F2692,"AAAAAD//97k=")</f>
        <v>#VALUE!</v>
      </c>
      <c r="GE179" t="e">
        <f>AND('Planilla_General_29-11-2012_10_'!G2692,"AAAAAD//97o=")</f>
        <v>#VALUE!</v>
      </c>
      <c r="GF179" t="e">
        <f>AND('Planilla_General_29-11-2012_10_'!H2692,"AAAAAD//97s=")</f>
        <v>#VALUE!</v>
      </c>
      <c r="GG179" t="e">
        <f>AND('Planilla_General_29-11-2012_10_'!I2692,"AAAAAD//97w=")</f>
        <v>#VALUE!</v>
      </c>
      <c r="GH179" t="e">
        <f>AND('Planilla_General_29-11-2012_10_'!J2692,"AAAAAD//970=")</f>
        <v>#VALUE!</v>
      </c>
      <c r="GI179" t="e">
        <f>AND('Planilla_General_29-11-2012_10_'!K2692,"AAAAAD//974=")</f>
        <v>#VALUE!</v>
      </c>
      <c r="GJ179" t="e">
        <f>AND('Planilla_General_29-11-2012_10_'!L2692,"AAAAAD//978=")</f>
        <v>#VALUE!</v>
      </c>
      <c r="GK179" t="e">
        <f>AND('Planilla_General_29-11-2012_10_'!M2692,"AAAAAD//98A=")</f>
        <v>#VALUE!</v>
      </c>
      <c r="GL179" t="e">
        <f>AND('Planilla_General_29-11-2012_10_'!N2692,"AAAAAD//98E=")</f>
        <v>#VALUE!</v>
      </c>
      <c r="GM179" t="e">
        <f>AND('Planilla_General_29-11-2012_10_'!O2692,"AAAAAD//98I=")</f>
        <v>#VALUE!</v>
      </c>
      <c r="GN179" t="e">
        <f>AND('Planilla_General_29-11-2012_10_'!P2692,"AAAAAD//98M=")</f>
        <v>#VALUE!</v>
      </c>
      <c r="GO179">
        <f>IF('Planilla_General_29-11-2012_10_'!2693:2693,"AAAAAD//98Q=",0)</f>
        <v>0</v>
      </c>
      <c r="GP179" t="e">
        <f>AND('Planilla_General_29-11-2012_10_'!A2693,"AAAAAD//98U=")</f>
        <v>#VALUE!</v>
      </c>
      <c r="GQ179" t="e">
        <f>AND('Planilla_General_29-11-2012_10_'!B2693,"AAAAAD//98Y=")</f>
        <v>#VALUE!</v>
      </c>
      <c r="GR179" t="e">
        <f>AND('Planilla_General_29-11-2012_10_'!C2693,"AAAAAD//98c=")</f>
        <v>#VALUE!</v>
      </c>
      <c r="GS179" t="e">
        <f>AND('Planilla_General_29-11-2012_10_'!D2693,"AAAAAD//98g=")</f>
        <v>#VALUE!</v>
      </c>
      <c r="GT179" t="e">
        <f>AND('Planilla_General_29-11-2012_10_'!E2693,"AAAAAD//98k=")</f>
        <v>#VALUE!</v>
      </c>
      <c r="GU179" t="e">
        <f>AND('Planilla_General_29-11-2012_10_'!F2693,"AAAAAD//98o=")</f>
        <v>#VALUE!</v>
      </c>
      <c r="GV179" t="e">
        <f>AND('Planilla_General_29-11-2012_10_'!G2693,"AAAAAD//98s=")</f>
        <v>#VALUE!</v>
      </c>
      <c r="GW179" t="e">
        <f>AND('Planilla_General_29-11-2012_10_'!H2693,"AAAAAD//98w=")</f>
        <v>#VALUE!</v>
      </c>
      <c r="GX179" t="e">
        <f>AND('Planilla_General_29-11-2012_10_'!I2693,"AAAAAD//980=")</f>
        <v>#VALUE!</v>
      </c>
      <c r="GY179" t="e">
        <f>AND('Planilla_General_29-11-2012_10_'!J2693,"AAAAAD//984=")</f>
        <v>#VALUE!</v>
      </c>
      <c r="GZ179" t="e">
        <f>AND('Planilla_General_29-11-2012_10_'!K2693,"AAAAAD//988=")</f>
        <v>#VALUE!</v>
      </c>
      <c r="HA179" t="e">
        <f>AND('Planilla_General_29-11-2012_10_'!L2693,"AAAAAD//99A=")</f>
        <v>#VALUE!</v>
      </c>
      <c r="HB179" t="e">
        <f>AND('Planilla_General_29-11-2012_10_'!M2693,"AAAAAD//99E=")</f>
        <v>#VALUE!</v>
      </c>
      <c r="HC179" t="e">
        <f>AND('Planilla_General_29-11-2012_10_'!N2693,"AAAAAD//99I=")</f>
        <v>#VALUE!</v>
      </c>
      <c r="HD179" t="e">
        <f>AND('Planilla_General_29-11-2012_10_'!O2693,"AAAAAD//99M=")</f>
        <v>#VALUE!</v>
      </c>
      <c r="HE179" t="e">
        <f>AND('Planilla_General_29-11-2012_10_'!P2693,"AAAAAD//99Q=")</f>
        <v>#VALUE!</v>
      </c>
      <c r="HF179">
        <f>IF('Planilla_General_29-11-2012_10_'!2694:2694,"AAAAAD//99U=",0)</f>
        <v>0</v>
      </c>
      <c r="HG179" t="e">
        <f>AND('Planilla_General_29-11-2012_10_'!A2694,"AAAAAD//99Y=")</f>
        <v>#VALUE!</v>
      </c>
      <c r="HH179" t="e">
        <f>AND('Planilla_General_29-11-2012_10_'!B2694,"AAAAAD//99c=")</f>
        <v>#VALUE!</v>
      </c>
      <c r="HI179" t="e">
        <f>AND('Planilla_General_29-11-2012_10_'!C2694,"AAAAAD//99g=")</f>
        <v>#VALUE!</v>
      </c>
      <c r="HJ179" t="e">
        <f>AND('Planilla_General_29-11-2012_10_'!D2694,"AAAAAD//99k=")</f>
        <v>#VALUE!</v>
      </c>
      <c r="HK179" t="e">
        <f>AND('Planilla_General_29-11-2012_10_'!E2694,"AAAAAD//99o=")</f>
        <v>#VALUE!</v>
      </c>
      <c r="HL179" t="e">
        <f>AND('Planilla_General_29-11-2012_10_'!F2694,"AAAAAD//99s=")</f>
        <v>#VALUE!</v>
      </c>
      <c r="HM179" t="e">
        <f>AND('Planilla_General_29-11-2012_10_'!G2694,"AAAAAD//99w=")</f>
        <v>#VALUE!</v>
      </c>
      <c r="HN179" t="e">
        <f>AND('Planilla_General_29-11-2012_10_'!H2694,"AAAAAD//990=")</f>
        <v>#VALUE!</v>
      </c>
      <c r="HO179" t="e">
        <f>AND('Planilla_General_29-11-2012_10_'!I2694,"AAAAAD//994=")</f>
        <v>#VALUE!</v>
      </c>
      <c r="HP179" t="e">
        <f>AND('Planilla_General_29-11-2012_10_'!J2694,"AAAAAD//998=")</f>
        <v>#VALUE!</v>
      </c>
      <c r="HQ179" t="e">
        <f>AND('Planilla_General_29-11-2012_10_'!K2694,"AAAAAD//9+A=")</f>
        <v>#VALUE!</v>
      </c>
      <c r="HR179" t="e">
        <f>AND('Planilla_General_29-11-2012_10_'!L2694,"AAAAAD//9+E=")</f>
        <v>#VALUE!</v>
      </c>
      <c r="HS179" t="e">
        <f>AND('Planilla_General_29-11-2012_10_'!M2694,"AAAAAD//9+I=")</f>
        <v>#VALUE!</v>
      </c>
      <c r="HT179" t="e">
        <f>AND('Planilla_General_29-11-2012_10_'!N2694,"AAAAAD//9+M=")</f>
        <v>#VALUE!</v>
      </c>
      <c r="HU179" t="e">
        <f>AND('Planilla_General_29-11-2012_10_'!O2694,"AAAAAD//9+Q=")</f>
        <v>#VALUE!</v>
      </c>
      <c r="HV179" t="e">
        <f>AND('Planilla_General_29-11-2012_10_'!P2694,"AAAAAD//9+U=")</f>
        <v>#VALUE!</v>
      </c>
      <c r="HW179">
        <f>IF('Planilla_General_29-11-2012_10_'!2695:2695,"AAAAAD//9+Y=",0)</f>
        <v>0</v>
      </c>
      <c r="HX179" t="e">
        <f>AND('Planilla_General_29-11-2012_10_'!A2695,"AAAAAD//9+c=")</f>
        <v>#VALUE!</v>
      </c>
      <c r="HY179" t="e">
        <f>AND('Planilla_General_29-11-2012_10_'!B2695,"AAAAAD//9+g=")</f>
        <v>#VALUE!</v>
      </c>
      <c r="HZ179" t="e">
        <f>AND('Planilla_General_29-11-2012_10_'!C2695,"AAAAAD//9+k=")</f>
        <v>#VALUE!</v>
      </c>
      <c r="IA179" t="e">
        <f>AND('Planilla_General_29-11-2012_10_'!D2695,"AAAAAD//9+o=")</f>
        <v>#VALUE!</v>
      </c>
      <c r="IB179" t="e">
        <f>AND('Planilla_General_29-11-2012_10_'!E2695,"AAAAAD//9+s=")</f>
        <v>#VALUE!</v>
      </c>
      <c r="IC179" t="e">
        <f>AND('Planilla_General_29-11-2012_10_'!F2695,"AAAAAD//9+w=")</f>
        <v>#VALUE!</v>
      </c>
      <c r="ID179" t="e">
        <f>AND('Planilla_General_29-11-2012_10_'!G2695,"AAAAAD//9+0=")</f>
        <v>#VALUE!</v>
      </c>
      <c r="IE179" t="e">
        <f>AND('Planilla_General_29-11-2012_10_'!H2695,"AAAAAD//9+4=")</f>
        <v>#VALUE!</v>
      </c>
      <c r="IF179" t="e">
        <f>AND('Planilla_General_29-11-2012_10_'!I2695,"AAAAAD//9+8=")</f>
        <v>#VALUE!</v>
      </c>
      <c r="IG179" t="e">
        <f>AND('Planilla_General_29-11-2012_10_'!J2695,"AAAAAD//9/A=")</f>
        <v>#VALUE!</v>
      </c>
      <c r="IH179" t="e">
        <f>AND('Planilla_General_29-11-2012_10_'!K2695,"AAAAAD//9/E=")</f>
        <v>#VALUE!</v>
      </c>
      <c r="II179" t="e">
        <f>AND('Planilla_General_29-11-2012_10_'!L2695,"AAAAAD//9/I=")</f>
        <v>#VALUE!</v>
      </c>
      <c r="IJ179" t="e">
        <f>AND('Planilla_General_29-11-2012_10_'!M2695,"AAAAAD//9/M=")</f>
        <v>#VALUE!</v>
      </c>
      <c r="IK179" t="e">
        <f>AND('Planilla_General_29-11-2012_10_'!N2695,"AAAAAD//9/Q=")</f>
        <v>#VALUE!</v>
      </c>
      <c r="IL179" t="e">
        <f>AND('Planilla_General_29-11-2012_10_'!O2695,"AAAAAD//9/U=")</f>
        <v>#VALUE!</v>
      </c>
      <c r="IM179" t="e">
        <f>AND('Planilla_General_29-11-2012_10_'!P2695,"AAAAAD//9/Y=")</f>
        <v>#VALUE!</v>
      </c>
      <c r="IN179">
        <f>IF('Planilla_General_29-11-2012_10_'!2696:2696,"AAAAAD//9/c=",0)</f>
        <v>0</v>
      </c>
      <c r="IO179" t="e">
        <f>AND('Planilla_General_29-11-2012_10_'!A2696,"AAAAAD//9/g=")</f>
        <v>#VALUE!</v>
      </c>
      <c r="IP179" t="e">
        <f>AND('Planilla_General_29-11-2012_10_'!B2696,"AAAAAD//9/k=")</f>
        <v>#VALUE!</v>
      </c>
      <c r="IQ179" t="e">
        <f>AND('Planilla_General_29-11-2012_10_'!C2696,"AAAAAD//9/o=")</f>
        <v>#VALUE!</v>
      </c>
      <c r="IR179" t="e">
        <f>AND('Planilla_General_29-11-2012_10_'!D2696,"AAAAAD//9/s=")</f>
        <v>#VALUE!</v>
      </c>
      <c r="IS179" t="e">
        <f>AND('Planilla_General_29-11-2012_10_'!E2696,"AAAAAD//9/w=")</f>
        <v>#VALUE!</v>
      </c>
      <c r="IT179" t="e">
        <f>AND('Planilla_General_29-11-2012_10_'!F2696,"AAAAAD//9/0=")</f>
        <v>#VALUE!</v>
      </c>
      <c r="IU179" t="e">
        <f>AND('Planilla_General_29-11-2012_10_'!G2696,"AAAAAD//9/4=")</f>
        <v>#VALUE!</v>
      </c>
      <c r="IV179" t="e">
        <f>AND('Planilla_General_29-11-2012_10_'!H2696,"AAAAAD//9/8=")</f>
        <v>#VALUE!</v>
      </c>
    </row>
    <row r="180" spans="1:256" x14ac:dyDescent="0.25">
      <c r="A180" t="e">
        <f>AND('Planilla_General_29-11-2012_10_'!I2696,"AAAAAF9r/gA=")</f>
        <v>#VALUE!</v>
      </c>
      <c r="B180" t="e">
        <f>AND('Planilla_General_29-11-2012_10_'!J2696,"AAAAAF9r/gE=")</f>
        <v>#VALUE!</v>
      </c>
      <c r="C180" t="e">
        <f>AND('Planilla_General_29-11-2012_10_'!K2696,"AAAAAF9r/gI=")</f>
        <v>#VALUE!</v>
      </c>
      <c r="D180" t="e">
        <f>AND('Planilla_General_29-11-2012_10_'!L2696,"AAAAAF9r/gM=")</f>
        <v>#VALUE!</v>
      </c>
      <c r="E180" t="e">
        <f>AND('Planilla_General_29-11-2012_10_'!M2696,"AAAAAF9r/gQ=")</f>
        <v>#VALUE!</v>
      </c>
      <c r="F180" t="e">
        <f>AND('Planilla_General_29-11-2012_10_'!N2696,"AAAAAF9r/gU=")</f>
        <v>#VALUE!</v>
      </c>
      <c r="G180" t="e">
        <f>AND('Planilla_General_29-11-2012_10_'!O2696,"AAAAAF9r/gY=")</f>
        <v>#VALUE!</v>
      </c>
      <c r="H180" t="e">
        <f>AND('Planilla_General_29-11-2012_10_'!P2696,"AAAAAF9r/gc=")</f>
        <v>#VALUE!</v>
      </c>
      <c r="I180" t="e">
        <f>IF('Planilla_General_29-11-2012_10_'!2697:2697,"AAAAAF9r/gg=",0)</f>
        <v>#VALUE!</v>
      </c>
      <c r="J180" t="e">
        <f>AND('Planilla_General_29-11-2012_10_'!A2697,"AAAAAF9r/gk=")</f>
        <v>#VALUE!</v>
      </c>
      <c r="K180" t="e">
        <f>AND('Planilla_General_29-11-2012_10_'!B2697,"AAAAAF9r/go=")</f>
        <v>#VALUE!</v>
      </c>
      <c r="L180" t="e">
        <f>AND('Planilla_General_29-11-2012_10_'!C2697,"AAAAAF9r/gs=")</f>
        <v>#VALUE!</v>
      </c>
      <c r="M180" t="e">
        <f>AND('Planilla_General_29-11-2012_10_'!D2697,"AAAAAF9r/gw=")</f>
        <v>#VALUE!</v>
      </c>
      <c r="N180" t="e">
        <f>AND('Planilla_General_29-11-2012_10_'!E2697,"AAAAAF9r/g0=")</f>
        <v>#VALUE!</v>
      </c>
      <c r="O180" t="e">
        <f>AND('Planilla_General_29-11-2012_10_'!F2697,"AAAAAF9r/g4=")</f>
        <v>#VALUE!</v>
      </c>
      <c r="P180" t="e">
        <f>AND('Planilla_General_29-11-2012_10_'!G2697,"AAAAAF9r/g8=")</f>
        <v>#VALUE!</v>
      </c>
      <c r="Q180" t="e">
        <f>AND('Planilla_General_29-11-2012_10_'!H2697,"AAAAAF9r/hA=")</f>
        <v>#VALUE!</v>
      </c>
      <c r="R180" t="e">
        <f>AND('Planilla_General_29-11-2012_10_'!I2697,"AAAAAF9r/hE=")</f>
        <v>#VALUE!</v>
      </c>
      <c r="S180" t="e">
        <f>AND('Planilla_General_29-11-2012_10_'!J2697,"AAAAAF9r/hI=")</f>
        <v>#VALUE!</v>
      </c>
      <c r="T180" t="e">
        <f>AND('Planilla_General_29-11-2012_10_'!K2697,"AAAAAF9r/hM=")</f>
        <v>#VALUE!</v>
      </c>
      <c r="U180" t="e">
        <f>AND('Planilla_General_29-11-2012_10_'!L2697,"AAAAAF9r/hQ=")</f>
        <v>#VALUE!</v>
      </c>
      <c r="V180" t="e">
        <f>AND('Planilla_General_29-11-2012_10_'!M2697,"AAAAAF9r/hU=")</f>
        <v>#VALUE!</v>
      </c>
      <c r="W180" t="e">
        <f>AND('Planilla_General_29-11-2012_10_'!N2697,"AAAAAF9r/hY=")</f>
        <v>#VALUE!</v>
      </c>
      <c r="X180" t="e">
        <f>AND('Planilla_General_29-11-2012_10_'!O2697,"AAAAAF9r/hc=")</f>
        <v>#VALUE!</v>
      </c>
      <c r="Y180" t="e">
        <f>AND('Planilla_General_29-11-2012_10_'!P2697,"AAAAAF9r/hg=")</f>
        <v>#VALUE!</v>
      </c>
      <c r="Z180">
        <f>IF('Planilla_General_29-11-2012_10_'!2698:2698,"AAAAAF9r/hk=",0)</f>
        <v>0</v>
      </c>
      <c r="AA180" t="e">
        <f>AND('Planilla_General_29-11-2012_10_'!A2698,"AAAAAF9r/ho=")</f>
        <v>#VALUE!</v>
      </c>
      <c r="AB180" t="e">
        <f>AND('Planilla_General_29-11-2012_10_'!B2698,"AAAAAF9r/hs=")</f>
        <v>#VALUE!</v>
      </c>
      <c r="AC180" t="e">
        <f>AND('Planilla_General_29-11-2012_10_'!C2698,"AAAAAF9r/hw=")</f>
        <v>#VALUE!</v>
      </c>
      <c r="AD180" t="e">
        <f>AND('Planilla_General_29-11-2012_10_'!D2698,"AAAAAF9r/h0=")</f>
        <v>#VALUE!</v>
      </c>
      <c r="AE180" t="e">
        <f>AND('Planilla_General_29-11-2012_10_'!E2698,"AAAAAF9r/h4=")</f>
        <v>#VALUE!</v>
      </c>
      <c r="AF180" t="e">
        <f>AND('Planilla_General_29-11-2012_10_'!F2698,"AAAAAF9r/h8=")</f>
        <v>#VALUE!</v>
      </c>
      <c r="AG180" t="e">
        <f>AND('Planilla_General_29-11-2012_10_'!G2698,"AAAAAF9r/iA=")</f>
        <v>#VALUE!</v>
      </c>
      <c r="AH180" t="e">
        <f>AND('Planilla_General_29-11-2012_10_'!H2698,"AAAAAF9r/iE=")</f>
        <v>#VALUE!</v>
      </c>
      <c r="AI180" t="e">
        <f>AND('Planilla_General_29-11-2012_10_'!I2698,"AAAAAF9r/iI=")</f>
        <v>#VALUE!</v>
      </c>
      <c r="AJ180" t="e">
        <f>AND('Planilla_General_29-11-2012_10_'!J2698,"AAAAAF9r/iM=")</f>
        <v>#VALUE!</v>
      </c>
      <c r="AK180" t="e">
        <f>AND('Planilla_General_29-11-2012_10_'!K2698,"AAAAAF9r/iQ=")</f>
        <v>#VALUE!</v>
      </c>
      <c r="AL180" t="e">
        <f>AND('Planilla_General_29-11-2012_10_'!L2698,"AAAAAF9r/iU=")</f>
        <v>#VALUE!</v>
      </c>
      <c r="AM180" t="e">
        <f>AND('Planilla_General_29-11-2012_10_'!M2698,"AAAAAF9r/iY=")</f>
        <v>#VALUE!</v>
      </c>
      <c r="AN180" t="e">
        <f>AND('Planilla_General_29-11-2012_10_'!N2698,"AAAAAF9r/ic=")</f>
        <v>#VALUE!</v>
      </c>
      <c r="AO180" t="e">
        <f>AND('Planilla_General_29-11-2012_10_'!O2698,"AAAAAF9r/ig=")</f>
        <v>#VALUE!</v>
      </c>
      <c r="AP180" t="e">
        <f>AND('Planilla_General_29-11-2012_10_'!P2698,"AAAAAF9r/ik=")</f>
        <v>#VALUE!</v>
      </c>
      <c r="AQ180">
        <f>IF('Planilla_General_29-11-2012_10_'!2699:2699,"AAAAAF9r/io=",0)</f>
        <v>0</v>
      </c>
      <c r="AR180" t="e">
        <f>AND('Planilla_General_29-11-2012_10_'!A2699,"AAAAAF9r/is=")</f>
        <v>#VALUE!</v>
      </c>
      <c r="AS180" t="e">
        <f>AND('Planilla_General_29-11-2012_10_'!B2699,"AAAAAF9r/iw=")</f>
        <v>#VALUE!</v>
      </c>
      <c r="AT180" t="e">
        <f>AND('Planilla_General_29-11-2012_10_'!C2699,"AAAAAF9r/i0=")</f>
        <v>#VALUE!</v>
      </c>
      <c r="AU180" t="e">
        <f>AND('Planilla_General_29-11-2012_10_'!D2699,"AAAAAF9r/i4=")</f>
        <v>#VALUE!</v>
      </c>
      <c r="AV180" t="e">
        <f>AND('Planilla_General_29-11-2012_10_'!E2699,"AAAAAF9r/i8=")</f>
        <v>#VALUE!</v>
      </c>
      <c r="AW180" t="e">
        <f>AND('Planilla_General_29-11-2012_10_'!F2699,"AAAAAF9r/jA=")</f>
        <v>#VALUE!</v>
      </c>
      <c r="AX180" t="e">
        <f>AND('Planilla_General_29-11-2012_10_'!G2699,"AAAAAF9r/jE=")</f>
        <v>#VALUE!</v>
      </c>
      <c r="AY180" t="e">
        <f>AND('Planilla_General_29-11-2012_10_'!H2699,"AAAAAF9r/jI=")</f>
        <v>#VALUE!</v>
      </c>
      <c r="AZ180" t="e">
        <f>AND('Planilla_General_29-11-2012_10_'!I2699,"AAAAAF9r/jM=")</f>
        <v>#VALUE!</v>
      </c>
      <c r="BA180" t="e">
        <f>AND('Planilla_General_29-11-2012_10_'!J2699,"AAAAAF9r/jQ=")</f>
        <v>#VALUE!</v>
      </c>
      <c r="BB180" t="e">
        <f>AND('Planilla_General_29-11-2012_10_'!K2699,"AAAAAF9r/jU=")</f>
        <v>#VALUE!</v>
      </c>
      <c r="BC180" t="e">
        <f>AND('Planilla_General_29-11-2012_10_'!L2699,"AAAAAF9r/jY=")</f>
        <v>#VALUE!</v>
      </c>
      <c r="BD180" t="e">
        <f>AND('Planilla_General_29-11-2012_10_'!M2699,"AAAAAF9r/jc=")</f>
        <v>#VALUE!</v>
      </c>
      <c r="BE180" t="e">
        <f>AND('Planilla_General_29-11-2012_10_'!N2699,"AAAAAF9r/jg=")</f>
        <v>#VALUE!</v>
      </c>
      <c r="BF180" t="e">
        <f>AND('Planilla_General_29-11-2012_10_'!O2699,"AAAAAF9r/jk=")</f>
        <v>#VALUE!</v>
      </c>
      <c r="BG180" t="e">
        <f>AND('Planilla_General_29-11-2012_10_'!P2699,"AAAAAF9r/jo=")</f>
        <v>#VALUE!</v>
      </c>
      <c r="BH180">
        <f>IF('Planilla_General_29-11-2012_10_'!2700:2700,"AAAAAF9r/js=",0)</f>
        <v>0</v>
      </c>
      <c r="BI180" t="e">
        <f>AND('Planilla_General_29-11-2012_10_'!A2700,"AAAAAF9r/jw=")</f>
        <v>#VALUE!</v>
      </c>
      <c r="BJ180" t="e">
        <f>AND('Planilla_General_29-11-2012_10_'!B2700,"AAAAAF9r/j0=")</f>
        <v>#VALUE!</v>
      </c>
      <c r="BK180" t="e">
        <f>AND('Planilla_General_29-11-2012_10_'!C2700,"AAAAAF9r/j4=")</f>
        <v>#VALUE!</v>
      </c>
      <c r="BL180" t="e">
        <f>AND('Planilla_General_29-11-2012_10_'!D2700,"AAAAAF9r/j8=")</f>
        <v>#VALUE!</v>
      </c>
      <c r="BM180" t="e">
        <f>AND('Planilla_General_29-11-2012_10_'!E2700,"AAAAAF9r/kA=")</f>
        <v>#VALUE!</v>
      </c>
      <c r="BN180" t="e">
        <f>AND('Planilla_General_29-11-2012_10_'!F2700,"AAAAAF9r/kE=")</f>
        <v>#VALUE!</v>
      </c>
      <c r="BO180" t="e">
        <f>AND('Planilla_General_29-11-2012_10_'!G2700,"AAAAAF9r/kI=")</f>
        <v>#VALUE!</v>
      </c>
      <c r="BP180" t="e">
        <f>AND('Planilla_General_29-11-2012_10_'!H2700,"AAAAAF9r/kM=")</f>
        <v>#VALUE!</v>
      </c>
      <c r="BQ180" t="e">
        <f>AND('Planilla_General_29-11-2012_10_'!I2700,"AAAAAF9r/kQ=")</f>
        <v>#VALUE!</v>
      </c>
      <c r="BR180" t="e">
        <f>AND('Planilla_General_29-11-2012_10_'!J2700,"AAAAAF9r/kU=")</f>
        <v>#VALUE!</v>
      </c>
      <c r="BS180" t="e">
        <f>AND('Planilla_General_29-11-2012_10_'!K2700,"AAAAAF9r/kY=")</f>
        <v>#VALUE!</v>
      </c>
      <c r="BT180" t="e">
        <f>AND('Planilla_General_29-11-2012_10_'!L2700,"AAAAAF9r/kc=")</f>
        <v>#VALUE!</v>
      </c>
      <c r="BU180" t="e">
        <f>AND('Planilla_General_29-11-2012_10_'!M2700,"AAAAAF9r/kg=")</f>
        <v>#VALUE!</v>
      </c>
      <c r="BV180" t="e">
        <f>AND('Planilla_General_29-11-2012_10_'!N2700,"AAAAAF9r/kk=")</f>
        <v>#VALUE!</v>
      </c>
      <c r="BW180" t="e">
        <f>AND('Planilla_General_29-11-2012_10_'!O2700,"AAAAAF9r/ko=")</f>
        <v>#VALUE!</v>
      </c>
      <c r="BX180" t="e">
        <f>AND('Planilla_General_29-11-2012_10_'!P2700,"AAAAAF9r/ks=")</f>
        <v>#VALUE!</v>
      </c>
      <c r="BY180">
        <f>IF('Planilla_General_29-11-2012_10_'!2701:2701,"AAAAAF9r/kw=",0)</f>
        <v>0</v>
      </c>
      <c r="BZ180" t="e">
        <f>AND('Planilla_General_29-11-2012_10_'!A2701,"AAAAAF9r/k0=")</f>
        <v>#VALUE!</v>
      </c>
      <c r="CA180" t="e">
        <f>AND('Planilla_General_29-11-2012_10_'!B2701,"AAAAAF9r/k4=")</f>
        <v>#VALUE!</v>
      </c>
      <c r="CB180" t="e">
        <f>AND('Planilla_General_29-11-2012_10_'!C2701,"AAAAAF9r/k8=")</f>
        <v>#VALUE!</v>
      </c>
      <c r="CC180" t="e">
        <f>AND('Planilla_General_29-11-2012_10_'!D2701,"AAAAAF9r/lA=")</f>
        <v>#VALUE!</v>
      </c>
      <c r="CD180" t="e">
        <f>AND('Planilla_General_29-11-2012_10_'!E2701,"AAAAAF9r/lE=")</f>
        <v>#VALUE!</v>
      </c>
      <c r="CE180" t="e">
        <f>AND('Planilla_General_29-11-2012_10_'!F2701,"AAAAAF9r/lI=")</f>
        <v>#VALUE!</v>
      </c>
      <c r="CF180" t="e">
        <f>AND('Planilla_General_29-11-2012_10_'!G2701,"AAAAAF9r/lM=")</f>
        <v>#VALUE!</v>
      </c>
      <c r="CG180" t="e">
        <f>AND('Planilla_General_29-11-2012_10_'!H2701,"AAAAAF9r/lQ=")</f>
        <v>#VALUE!</v>
      </c>
      <c r="CH180" t="e">
        <f>AND('Planilla_General_29-11-2012_10_'!I2701,"AAAAAF9r/lU=")</f>
        <v>#VALUE!</v>
      </c>
      <c r="CI180" t="e">
        <f>AND('Planilla_General_29-11-2012_10_'!J2701,"AAAAAF9r/lY=")</f>
        <v>#VALUE!</v>
      </c>
      <c r="CJ180" t="e">
        <f>AND('Planilla_General_29-11-2012_10_'!K2701,"AAAAAF9r/lc=")</f>
        <v>#VALUE!</v>
      </c>
      <c r="CK180" t="e">
        <f>AND('Planilla_General_29-11-2012_10_'!L2701,"AAAAAF9r/lg=")</f>
        <v>#VALUE!</v>
      </c>
      <c r="CL180" t="e">
        <f>AND('Planilla_General_29-11-2012_10_'!M2701,"AAAAAF9r/lk=")</f>
        <v>#VALUE!</v>
      </c>
      <c r="CM180" t="e">
        <f>AND('Planilla_General_29-11-2012_10_'!N2701,"AAAAAF9r/lo=")</f>
        <v>#VALUE!</v>
      </c>
      <c r="CN180" t="e">
        <f>AND('Planilla_General_29-11-2012_10_'!O2701,"AAAAAF9r/ls=")</f>
        <v>#VALUE!</v>
      </c>
      <c r="CO180" t="e">
        <f>AND('Planilla_General_29-11-2012_10_'!P2701,"AAAAAF9r/lw=")</f>
        <v>#VALUE!</v>
      </c>
      <c r="CP180">
        <f>IF('Planilla_General_29-11-2012_10_'!2702:2702,"AAAAAF9r/l0=",0)</f>
        <v>0</v>
      </c>
      <c r="CQ180" t="e">
        <f>AND('Planilla_General_29-11-2012_10_'!A2702,"AAAAAF9r/l4=")</f>
        <v>#VALUE!</v>
      </c>
      <c r="CR180" t="e">
        <f>AND('Planilla_General_29-11-2012_10_'!B2702,"AAAAAF9r/l8=")</f>
        <v>#VALUE!</v>
      </c>
      <c r="CS180" t="e">
        <f>AND('Planilla_General_29-11-2012_10_'!C2702,"AAAAAF9r/mA=")</f>
        <v>#VALUE!</v>
      </c>
      <c r="CT180" t="e">
        <f>AND('Planilla_General_29-11-2012_10_'!D2702,"AAAAAF9r/mE=")</f>
        <v>#VALUE!</v>
      </c>
      <c r="CU180" t="e">
        <f>AND('Planilla_General_29-11-2012_10_'!E2702,"AAAAAF9r/mI=")</f>
        <v>#VALUE!</v>
      </c>
      <c r="CV180" t="e">
        <f>AND('Planilla_General_29-11-2012_10_'!F2702,"AAAAAF9r/mM=")</f>
        <v>#VALUE!</v>
      </c>
      <c r="CW180" t="e">
        <f>AND('Planilla_General_29-11-2012_10_'!G2702,"AAAAAF9r/mQ=")</f>
        <v>#VALUE!</v>
      </c>
      <c r="CX180" t="e">
        <f>AND('Planilla_General_29-11-2012_10_'!H2702,"AAAAAF9r/mU=")</f>
        <v>#VALUE!</v>
      </c>
      <c r="CY180" t="e">
        <f>AND('Planilla_General_29-11-2012_10_'!I2702,"AAAAAF9r/mY=")</f>
        <v>#VALUE!</v>
      </c>
      <c r="CZ180" t="e">
        <f>AND('Planilla_General_29-11-2012_10_'!J2702,"AAAAAF9r/mc=")</f>
        <v>#VALUE!</v>
      </c>
      <c r="DA180" t="e">
        <f>AND('Planilla_General_29-11-2012_10_'!K2702,"AAAAAF9r/mg=")</f>
        <v>#VALUE!</v>
      </c>
      <c r="DB180" t="e">
        <f>AND('Planilla_General_29-11-2012_10_'!L2702,"AAAAAF9r/mk=")</f>
        <v>#VALUE!</v>
      </c>
      <c r="DC180" t="e">
        <f>AND('Planilla_General_29-11-2012_10_'!M2702,"AAAAAF9r/mo=")</f>
        <v>#VALUE!</v>
      </c>
      <c r="DD180" t="e">
        <f>AND('Planilla_General_29-11-2012_10_'!N2702,"AAAAAF9r/ms=")</f>
        <v>#VALUE!</v>
      </c>
      <c r="DE180" t="e">
        <f>AND('Planilla_General_29-11-2012_10_'!O2702,"AAAAAF9r/mw=")</f>
        <v>#VALUE!</v>
      </c>
      <c r="DF180" t="e">
        <f>AND('Planilla_General_29-11-2012_10_'!P2702,"AAAAAF9r/m0=")</f>
        <v>#VALUE!</v>
      </c>
      <c r="DG180">
        <f>IF('Planilla_General_29-11-2012_10_'!2703:2703,"AAAAAF9r/m4=",0)</f>
        <v>0</v>
      </c>
      <c r="DH180" t="e">
        <f>AND('Planilla_General_29-11-2012_10_'!A2703,"AAAAAF9r/m8=")</f>
        <v>#VALUE!</v>
      </c>
      <c r="DI180" t="e">
        <f>AND('Planilla_General_29-11-2012_10_'!B2703,"AAAAAF9r/nA=")</f>
        <v>#VALUE!</v>
      </c>
      <c r="DJ180" t="e">
        <f>AND('Planilla_General_29-11-2012_10_'!C2703,"AAAAAF9r/nE=")</f>
        <v>#VALUE!</v>
      </c>
      <c r="DK180" t="e">
        <f>AND('Planilla_General_29-11-2012_10_'!D2703,"AAAAAF9r/nI=")</f>
        <v>#VALUE!</v>
      </c>
      <c r="DL180" t="e">
        <f>AND('Planilla_General_29-11-2012_10_'!E2703,"AAAAAF9r/nM=")</f>
        <v>#VALUE!</v>
      </c>
      <c r="DM180" t="e">
        <f>AND('Planilla_General_29-11-2012_10_'!F2703,"AAAAAF9r/nQ=")</f>
        <v>#VALUE!</v>
      </c>
      <c r="DN180" t="e">
        <f>AND('Planilla_General_29-11-2012_10_'!G2703,"AAAAAF9r/nU=")</f>
        <v>#VALUE!</v>
      </c>
      <c r="DO180" t="e">
        <f>AND('Planilla_General_29-11-2012_10_'!H2703,"AAAAAF9r/nY=")</f>
        <v>#VALUE!</v>
      </c>
      <c r="DP180" t="e">
        <f>AND('Planilla_General_29-11-2012_10_'!I2703,"AAAAAF9r/nc=")</f>
        <v>#VALUE!</v>
      </c>
      <c r="DQ180" t="e">
        <f>AND('Planilla_General_29-11-2012_10_'!J2703,"AAAAAF9r/ng=")</f>
        <v>#VALUE!</v>
      </c>
      <c r="DR180" t="e">
        <f>AND('Planilla_General_29-11-2012_10_'!K2703,"AAAAAF9r/nk=")</f>
        <v>#VALUE!</v>
      </c>
      <c r="DS180" t="e">
        <f>AND('Planilla_General_29-11-2012_10_'!L2703,"AAAAAF9r/no=")</f>
        <v>#VALUE!</v>
      </c>
      <c r="DT180" t="e">
        <f>AND('Planilla_General_29-11-2012_10_'!M2703,"AAAAAF9r/ns=")</f>
        <v>#VALUE!</v>
      </c>
      <c r="DU180" t="e">
        <f>AND('Planilla_General_29-11-2012_10_'!N2703,"AAAAAF9r/nw=")</f>
        <v>#VALUE!</v>
      </c>
      <c r="DV180" t="e">
        <f>AND('Planilla_General_29-11-2012_10_'!O2703,"AAAAAF9r/n0=")</f>
        <v>#VALUE!</v>
      </c>
      <c r="DW180" t="e">
        <f>AND('Planilla_General_29-11-2012_10_'!P2703,"AAAAAF9r/n4=")</f>
        <v>#VALUE!</v>
      </c>
      <c r="DX180">
        <f>IF('Planilla_General_29-11-2012_10_'!2704:2704,"AAAAAF9r/n8=",0)</f>
        <v>0</v>
      </c>
      <c r="DY180" t="e">
        <f>AND('Planilla_General_29-11-2012_10_'!A2704,"AAAAAF9r/oA=")</f>
        <v>#VALUE!</v>
      </c>
      <c r="DZ180" t="e">
        <f>AND('Planilla_General_29-11-2012_10_'!B2704,"AAAAAF9r/oE=")</f>
        <v>#VALUE!</v>
      </c>
      <c r="EA180" t="e">
        <f>AND('Planilla_General_29-11-2012_10_'!C2704,"AAAAAF9r/oI=")</f>
        <v>#VALUE!</v>
      </c>
      <c r="EB180" t="e">
        <f>AND('Planilla_General_29-11-2012_10_'!D2704,"AAAAAF9r/oM=")</f>
        <v>#VALUE!</v>
      </c>
      <c r="EC180" t="e">
        <f>AND('Planilla_General_29-11-2012_10_'!E2704,"AAAAAF9r/oQ=")</f>
        <v>#VALUE!</v>
      </c>
      <c r="ED180" t="e">
        <f>AND('Planilla_General_29-11-2012_10_'!F2704,"AAAAAF9r/oU=")</f>
        <v>#VALUE!</v>
      </c>
      <c r="EE180" t="e">
        <f>AND('Planilla_General_29-11-2012_10_'!G2704,"AAAAAF9r/oY=")</f>
        <v>#VALUE!</v>
      </c>
      <c r="EF180" t="e">
        <f>AND('Planilla_General_29-11-2012_10_'!H2704,"AAAAAF9r/oc=")</f>
        <v>#VALUE!</v>
      </c>
      <c r="EG180" t="e">
        <f>AND('Planilla_General_29-11-2012_10_'!I2704,"AAAAAF9r/og=")</f>
        <v>#VALUE!</v>
      </c>
      <c r="EH180" t="e">
        <f>AND('Planilla_General_29-11-2012_10_'!J2704,"AAAAAF9r/ok=")</f>
        <v>#VALUE!</v>
      </c>
      <c r="EI180" t="e">
        <f>AND('Planilla_General_29-11-2012_10_'!K2704,"AAAAAF9r/oo=")</f>
        <v>#VALUE!</v>
      </c>
      <c r="EJ180" t="e">
        <f>AND('Planilla_General_29-11-2012_10_'!L2704,"AAAAAF9r/os=")</f>
        <v>#VALUE!</v>
      </c>
      <c r="EK180" t="e">
        <f>AND('Planilla_General_29-11-2012_10_'!M2704,"AAAAAF9r/ow=")</f>
        <v>#VALUE!</v>
      </c>
      <c r="EL180" t="e">
        <f>AND('Planilla_General_29-11-2012_10_'!N2704,"AAAAAF9r/o0=")</f>
        <v>#VALUE!</v>
      </c>
      <c r="EM180" t="e">
        <f>AND('Planilla_General_29-11-2012_10_'!O2704,"AAAAAF9r/o4=")</f>
        <v>#VALUE!</v>
      </c>
      <c r="EN180" t="e">
        <f>AND('Planilla_General_29-11-2012_10_'!P2704,"AAAAAF9r/o8=")</f>
        <v>#VALUE!</v>
      </c>
      <c r="EO180">
        <f>IF('Planilla_General_29-11-2012_10_'!2705:2705,"AAAAAF9r/pA=",0)</f>
        <v>0</v>
      </c>
      <c r="EP180" t="e">
        <f>AND('Planilla_General_29-11-2012_10_'!A2705,"AAAAAF9r/pE=")</f>
        <v>#VALUE!</v>
      </c>
      <c r="EQ180" t="e">
        <f>AND('Planilla_General_29-11-2012_10_'!B2705,"AAAAAF9r/pI=")</f>
        <v>#VALUE!</v>
      </c>
      <c r="ER180" t="e">
        <f>AND('Planilla_General_29-11-2012_10_'!C2705,"AAAAAF9r/pM=")</f>
        <v>#VALUE!</v>
      </c>
      <c r="ES180" t="e">
        <f>AND('Planilla_General_29-11-2012_10_'!D2705,"AAAAAF9r/pQ=")</f>
        <v>#VALUE!</v>
      </c>
      <c r="ET180" t="e">
        <f>AND('Planilla_General_29-11-2012_10_'!E2705,"AAAAAF9r/pU=")</f>
        <v>#VALUE!</v>
      </c>
      <c r="EU180" t="e">
        <f>AND('Planilla_General_29-11-2012_10_'!F2705,"AAAAAF9r/pY=")</f>
        <v>#VALUE!</v>
      </c>
      <c r="EV180" t="e">
        <f>AND('Planilla_General_29-11-2012_10_'!G2705,"AAAAAF9r/pc=")</f>
        <v>#VALUE!</v>
      </c>
      <c r="EW180" t="e">
        <f>AND('Planilla_General_29-11-2012_10_'!H2705,"AAAAAF9r/pg=")</f>
        <v>#VALUE!</v>
      </c>
      <c r="EX180" t="e">
        <f>AND('Planilla_General_29-11-2012_10_'!I2705,"AAAAAF9r/pk=")</f>
        <v>#VALUE!</v>
      </c>
      <c r="EY180" t="e">
        <f>AND('Planilla_General_29-11-2012_10_'!J2705,"AAAAAF9r/po=")</f>
        <v>#VALUE!</v>
      </c>
      <c r="EZ180" t="e">
        <f>AND('Planilla_General_29-11-2012_10_'!K2705,"AAAAAF9r/ps=")</f>
        <v>#VALUE!</v>
      </c>
      <c r="FA180" t="e">
        <f>AND('Planilla_General_29-11-2012_10_'!L2705,"AAAAAF9r/pw=")</f>
        <v>#VALUE!</v>
      </c>
      <c r="FB180" t="e">
        <f>AND('Planilla_General_29-11-2012_10_'!M2705,"AAAAAF9r/p0=")</f>
        <v>#VALUE!</v>
      </c>
      <c r="FC180" t="e">
        <f>AND('Planilla_General_29-11-2012_10_'!N2705,"AAAAAF9r/p4=")</f>
        <v>#VALUE!</v>
      </c>
      <c r="FD180" t="e">
        <f>AND('Planilla_General_29-11-2012_10_'!O2705,"AAAAAF9r/p8=")</f>
        <v>#VALUE!</v>
      </c>
      <c r="FE180" t="e">
        <f>AND('Planilla_General_29-11-2012_10_'!P2705,"AAAAAF9r/qA=")</f>
        <v>#VALUE!</v>
      </c>
      <c r="FF180">
        <f>IF('Planilla_General_29-11-2012_10_'!2706:2706,"AAAAAF9r/qE=",0)</f>
        <v>0</v>
      </c>
      <c r="FG180" t="e">
        <f>AND('Planilla_General_29-11-2012_10_'!A2706,"AAAAAF9r/qI=")</f>
        <v>#VALUE!</v>
      </c>
      <c r="FH180" t="e">
        <f>AND('Planilla_General_29-11-2012_10_'!B2706,"AAAAAF9r/qM=")</f>
        <v>#VALUE!</v>
      </c>
      <c r="FI180" t="e">
        <f>AND('Planilla_General_29-11-2012_10_'!C2706,"AAAAAF9r/qQ=")</f>
        <v>#VALUE!</v>
      </c>
      <c r="FJ180" t="e">
        <f>AND('Planilla_General_29-11-2012_10_'!D2706,"AAAAAF9r/qU=")</f>
        <v>#VALUE!</v>
      </c>
      <c r="FK180" t="e">
        <f>AND('Planilla_General_29-11-2012_10_'!E2706,"AAAAAF9r/qY=")</f>
        <v>#VALUE!</v>
      </c>
      <c r="FL180" t="e">
        <f>AND('Planilla_General_29-11-2012_10_'!F2706,"AAAAAF9r/qc=")</f>
        <v>#VALUE!</v>
      </c>
      <c r="FM180" t="e">
        <f>AND('Planilla_General_29-11-2012_10_'!G2706,"AAAAAF9r/qg=")</f>
        <v>#VALUE!</v>
      </c>
      <c r="FN180" t="e">
        <f>AND('Planilla_General_29-11-2012_10_'!H2706,"AAAAAF9r/qk=")</f>
        <v>#VALUE!</v>
      </c>
      <c r="FO180" t="e">
        <f>AND('Planilla_General_29-11-2012_10_'!I2706,"AAAAAF9r/qo=")</f>
        <v>#VALUE!</v>
      </c>
      <c r="FP180" t="e">
        <f>AND('Planilla_General_29-11-2012_10_'!J2706,"AAAAAF9r/qs=")</f>
        <v>#VALUE!</v>
      </c>
      <c r="FQ180" t="e">
        <f>AND('Planilla_General_29-11-2012_10_'!K2706,"AAAAAF9r/qw=")</f>
        <v>#VALUE!</v>
      </c>
      <c r="FR180" t="e">
        <f>AND('Planilla_General_29-11-2012_10_'!L2706,"AAAAAF9r/q0=")</f>
        <v>#VALUE!</v>
      </c>
      <c r="FS180" t="e">
        <f>AND('Planilla_General_29-11-2012_10_'!M2706,"AAAAAF9r/q4=")</f>
        <v>#VALUE!</v>
      </c>
      <c r="FT180" t="e">
        <f>AND('Planilla_General_29-11-2012_10_'!N2706,"AAAAAF9r/q8=")</f>
        <v>#VALUE!</v>
      </c>
      <c r="FU180" t="e">
        <f>AND('Planilla_General_29-11-2012_10_'!O2706,"AAAAAF9r/rA=")</f>
        <v>#VALUE!</v>
      </c>
      <c r="FV180" t="e">
        <f>AND('Planilla_General_29-11-2012_10_'!P2706,"AAAAAF9r/rE=")</f>
        <v>#VALUE!</v>
      </c>
      <c r="FW180">
        <f>IF('Planilla_General_29-11-2012_10_'!2707:2707,"AAAAAF9r/rI=",0)</f>
        <v>0</v>
      </c>
      <c r="FX180" t="e">
        <f>AND('Planilla_General_29-11-2012_10_'!A2707,"AAAAAF9r/rM=")</f>
        <v>#VALUE!</v>
      </c>
      <c r="FY180" t="e">
        <f>AND('Planilla_General_29-11-2012_10_'!B2707,"AAAAAF9r/rQ=")</f>
        <v>#VALUE!</v>
      </c>
      <c r="FZ180" t="e">
        <f>AND('Planilla_General_29-11-2012_10_'!C2707,"AAAAAF9r/rU=")</f>
        <v>#VALUE!</v>
      </c>
      <c r="GA180" t="e">
        <f>AND('Planilla_General_29-11-2012_10_'!D2707,"AAAAAF9r/rY=")</f>
        <v>#VALUE!</v>
      </c>
      <c r="GB180" t="e">
        <f>AND('Planilla_General_29-11-2012_10_'!E2707,"AAAAAF9r/rc=")</f>
        <v>#VALUE!</v>
      </c>
      <c r="GC180" t="e">
        <f>AND('Planilla_General_29-11-2012_10_'!F2707,"AAAAAF9r/rg=")</f>
        <v>#VALUE!</v>
      </c>
      <c r="GD180" t="e">
        <f>AND('Planilla_General_29-11-2012_10_'!G2707,"AAAAAF9r/rk=")</f>
        <v>#VALUE!</v>
      </c>
      <c r="GE180" t="e">
        <f>AND('Planilla_General_29-11-2012_10_'!H2707,"AAAAAF9r/ro=")</f>
        <v>#VALUE!</v>
      </c>
      <c r="GF180" t="e">
        <f>AND('Planilla_General_29-11-2012_10_'!I2707,"AAAAAF9r/rs=")</f>
        <v>#VALUE!</v>
      </c>
      <c r="GG180" t="e">
        <f>AND('Planilla_General_29-11-2012_10_'!J2707,"AAAAAF9r/rw=")</f>
        <v>#VALUE!</v>
      </c>
      <c r="GH180" t="e">
        <f>AND('Planilla_General_29-11-2012_10_'!K2707,"AAAAAF9r/r0=")</f>
        <v>#VALUE!</v>
      </c>
      <c r="GI180" t="e">
        <f>AND('Planilla_General_29-11-2012_10_'!L2707,"AAAAAF9r/r4=")</f>
        <v>#VALUE!</v>
      </c>
      <c r="GJ180" t="e">
        <f>AND('Planilla_General_29-11-2012_10_'!M2707,"AAAAAF9r/r8=")</f>
        <v>#VALUE!</v>
      </c>
      <c r="GK180" t="e">
        <f>AND('Planilla_General_29-11-2012_10_'!N2707,"AAAAAF9r/sA=")</f>
        <v>#VALUE!</v>
      </c>
      <c r="GL180" t="e">
        <f>AND('Planilla_General_29-11-2012_10_'!O2707,"AAAAAF9r/sE=")</f>
        <v>#VALUE!</v>
      </c>
      <c r="GM180" t="e">
        <f>AND('Planilla_General_29-11-2012_10_'!P2707,"AAAAAF9r/sI=")</f>
        <v>#VALUE!</v>
      </c>
      <c r="GN180">
        <f>IF('Planilla_General_29-11-2012_10_'!2708:2708,"AAAAAF9r/sM=",0)</f>
        <v>0</v>
      </c>
      <c r="GO180" t="e">
        <f>AND('Planilla_General_29-11-2012_10_'!A2708,"AAAAAF9r/sQ=")</f>
        <v>#VALUE!</v>
      </c>
      <c r="GP180" t="e">
        <f>AND('Planilla_General_29-11-2012_10_'!B2708,"AAAAAF9r/sU=")</f>
        <v>#VALUE!</v>
      </c>
      <c r="GQ180" t="e">
        <f>AND('Planilla_General_29-11-2012_10_'!C2708,"AAAAAF9r/sY=")</f>
        <v>#VALUE!</v>
      </c>
      <c r="GR180" t="e">
        <f>AND('Planilla_General_29-11-2012_10_'!D2708,"AAAAAF9r/sc=")</f>
        <v>#VALUE!</v>
      </c>
      <c r="GS180" t="e">
        <f>AND('Planilla_General_29-11-2012_10_'!E2708,"AAAAAF9r/sg=")</f>
        <v>#VALUE!</v>
      </c>
      <c r="GT180" t="e">
        <f>AND('Planilla_General_29-11-2012_10_'!F2708,"AAAAAF9r/sk=")</f>
        <v>#VALUE!</v>
      </c>
      <c r="GU180" t="e">
        <f>AND('Planilla_General_29-11-2012_10_'!G2708,"AAAAAF9r/so=")</f>
        <v>#VALUE!</v>
      </c>
      <c r="GV180" t="e">
        <f>AND('Planilla_General_29-11-2012_10_'!H2708,"AAAAAF9r/ss=")</f>
        <v>#VALUE!</v>
      </c>
      <c r="GW180" t="e">
        <f>AND('Planilla_General_29-11-2012_10_'!I2708,"AAAAAF9r/sw=")</f>
        <v>#VALUE!</v>
      </c>
      <c r="GX180" t="e">
        <f>AND('Planilla_General_29-11-2012_10_'!J2708,"AAAAAF9r/s0=")</f>
        <v>#VALUE!</v>
      </c>
      <c r="GY180" t="e">
        <f>AND('Planilla_General_29-11-2012_10_'!K2708,"AAAAAF9r/s4=")</f>
        <v>#VALUE!</v>
      </c>
      <c r="GZ180" t="e">
        <f>AND('Planilla_General_29-11-2012_10_'!L2708,"AAAAAF9r/s8=")</f>
        <v>#VALUE!</v>
      </c>
      <c r="HA180" t="e">
        <f>AND('Planilla_General_29-11-2012_10_'!M2708,"AAAAAF9r/tA=")</f>
        <v>#VALUE!</v>
      </c>
      <c r="HB180" t="e">
        <f>AND('Planilla_General_29-11-2012_10_'!N2708,"AAAAAF9r/tE=")</f>
        <v>#VALUE!</v>
      </c>
      <c r="HC180" t="e">
        <f>AND('Planilla_General_29-11-2012_10_'!O2708,"AAAAAF9r/tI=")</f>
        <v>#VALUE!</v>
      </c>
      <c r="HD180" t="e">
        <f>AND('Planilla_General_29-11-2012_10_'!P2708,"AAAAAF9r/tM=")</f>
        <v>#VALUE!</v>
      </c>
      <c r="HE180">
        <f>IF('Planilla_General_29-11-2012_10_'!2709:2709,"AAAAAF9r/tQ=",0)</f>
        <v>0</v>
      </c>
      <c r="HF180" t="e">
        <f>AND('Planilla_General_29-11-2012_10_'!A2709,"AAAAAF9r/tU=")</f>
        <v>#VALUE!</v>
      </c>
      <c r="HG180" t="e">
        <f>AND('Planilla_General_29-11-2012_10_'!B2709,"AAAAAF9r/tY=")</f>
        <v>#VALUE!</v>
      </c>
      <c r="HH180" t="e">
        <f>AND('Planilla_General_29-11-2012_10_'!C2709,"AAAAAF9r/tc=")</f>
        <v>#VALUE!</v>
      </c>
      <c r="HI180" t="e">
        <f>AND('Planilla_General_29-11-2012_10_'!D2709,"AAAAAF9r/tg=")</f>
        <v>#VALUE!</v>
      </c>
      <c r="HJ180" t="e">
        <f>AND('Planilla_General_29-11-2012_10_'!E2709,"AAAAAF9r/tk=")</f>
        <v>#VALUE!</v>
      </c>
      <c r="HK180" t="e">
        <f>AND('Planilla_General_29-11-2012_10_'!F2709,"AAAAAF9r/to=")</f>
        <v>#VALUE!</v>
      </c>
      <c r="HL180" t="e">
        <f>AND('Planilla_General_29-11-2012_10_'!G2709,"AAAAAF9r/ts=")</f>
        <v>#VALUE!</v>
      </c>
      <c r="HM180" t="e">
        <f>AND('Planilla_General_29-11-2012_10_'!H2709,"AAAAAF9r/tw=")</f>
        <v>#VALUE!</v>
      </c>
      <c r="HN180" t="e">
        <f>AND('Planilla_General_29-11-2012_10_'!I2709,"AAAAAF9r/t0=")</f>
        <v>#VALUE!</v>
      </c>
      <c r="HO180" t="e">
        <f>AND('Planilla_General_29-11-2012_10_'!J2709,"AAAAAF9r/t4=")</f>
        <v>#VALUE!</v>
      </c>
      <c r="HP180" t="e">
        <f>AND('Planilla_General_29-11-2012_10_'!K2709,"AAAAAF9r/t8=")</f>
        <v>#VALUE!</v>
      </c>
      <c r="HQ180" t="e">
        <f>AND('Planilla_General_29-11-2012_10_'!L2709,"AAAAAF9r/uA=")</f>
        <v>#VALUE!</v>
      </c>
      <c r="HR180" t="e">
        <f>AND('Planilla_General_29-11-2012_10_'!M2709,"AAAAAF9r/uE=")</f>
        <v>#VALUE!</v>
      </c>
      <c r="HS180" t="e">
        <f>AND('Planilla_General_29-11-2012_10_'!N2709,"AAAAAF9r/uI=")</f>
        <v>#VALUE!</v>
      </c>
      <c r="HT180" t="e">
        <f>AND('Planilla_General_29-11-2012_10_'!O2709,"AAAAAF9r/uM=")</f>
        <v>#VALUE!</v>
      </c>
      <c r="HU180" t="e">
        <f>AND('Planilla_General_29-11-2012_10_'!P2709,"AAAAAF9r/uQ=")</f>
        <v>#VALUE!</v>
      </c>
      <c r="HV180">
        <f>IF('Planilla_General_29-11-2012_10_'!2710:2710,"AAAAAF9r/uU=",0)</f>
        <v>0</v>
      </c>
      <c r="HW180" t="e">
        <f>AND('Planilla_General_29-11-2012_10_'!A2710,"AAAAAF9r/uY=")</f>
        <v>#VALUE!</v>
      </c>
      <c r="HX180" t="e">
        <f>AND('Planilla_General_29-11-2012_10_'!B2710,"AAAAAF9r/uc=")</f>
        <v>#VALUE!</v>
      </c>
      <c r="HY180" t="e">
        <f>AND('Planilla_General_29-11-2012_10_'!C2710,"AAAAAF9r/ug=")</f>
        <v>#VALUE!</v>
      </c>
      <c r="HZ180" t="e">
        <f>AND('Planilla_General_29-11-2012_10_'!D2710,"AAAAAF9r/uk=")</f>
        <v>#VALUE!</v>
      </c>
      <c r="IA180" t="e">
        <f>AND('Planilla_General_29-11-2012_10_'!E2710,"AAAAAF9r/uo=")</f>
        <v>#VALUE!</v>
      </c>
      <c r="IB180" t="e">
        <f>AND('Planilla_General_29-11-2012_10_'!F2710,"AAAAAF9r/us=")</f>
        <v>#VALUE!</v>
      </c>
      <c r="IC180" t="e">
        <f>AND('Planilla_General_29-11-2012_10_'!G2710,"AAAAAF9r/uw=")</f>
        <v>#VALUE!</v>
      </c>
      <c r="ID180" t="e">
        <f>AND('Planilla_General_29-11-2012_10_'!H2710,"AAAAAF9r/u0=")</f>
        <v>#VALUE!</v>
      </c>
      <c r="IE180" t="e">
        <f>AND('Planilla_General_29-11-2012_10_'!I2710,"AAAAAF9r/u4=")</f>
        <v>#VALUE!</v>
      </c>
      <c r="IF180" t="e">
        <f>AND('Planilla_General_29-11-2012_10_'!J2710,"AAAAAF9r/u8=")</f>
        <v>#VALUE!</v>
      </c>
      <c r="IG180" t="e">
        <f>AND('Planilla_General_29-11-2012_10_'!K2710,"AAAAAF9r/vA=")</f>
        <v>#VALUE!</v>
      </c>
      <c r="IH180" t="e">
        <f>AND('Planilla_General_29-11-2012_10_'!L2710,"AAAAAF9r/vE=")</f>
        <v>#VALUE!</v>
      </c>
      <c r="II180" t="e">
        <f>AND('Planilla_General_29-11-2012_10_'!M2710,"AAAAAF9r/vI=")</f>
        <v>#VALUE!</v>
      </c>
      <c r="IJ180" t="e">
        <f>AND('Planilla_General_29-11-2012_10_'!N2710,"AAAAAF9r/vM=")</f>
        <v>#VALUE!</v>
      </c>
      <c r="IK180" t="e">
        <f>AND('Planilla_General_29-11-2012_10_'!O2710,"AAAAAF9r/vQ=")</f>
        <v>#VALUE!</v>
      </c>
      <c r="IL180" t="e">
        <f>AND('Planilla_General_29-11-2012_10_'!P2710,"AAAAAF9r/vU=")</f>
        <v>#VALUE!</v>
      </c>
      <c r="IM180">
        <f>IF('Planilla_General_29-11-2012_10_'!2711:2711,"AAAAAF9r/vY=",0)</f>
        <v>0</v>
      </c>
      <c r="IN180" t="e">
        <f>AND('Planilla_General_29-11-2012_10_'!A2711,"AAAAAF9r/vc=")</f>
        <v>#VALUE!</v>
      </c>
      <c r="IO180" t="e">
        <f>AND('Planilla_General_29-11-2012_10_'!B2711,"AAAAAF9r/vg=")</f>
        <v>#VALUE!</v>
      </c>
      <c r="IP180" t="e">
        <f>AND('Planilla_General_29-11-2012_10_'!C2711,"AAAAAF9r/vk=")</f>
        <v>#VALUE!</v>
      </c>
      <c r="IQ180" t="e">
        <f>AND('Planilla_General_29-11-2012_10_'!D2711,"AAAAAF9r/vo=")</f>
        <v>#VALUE!</v>
      </c>
      <c r="IR180" t="e">
        <f>AND('Planilla_General_29-11-2012_10_'!E2711,"AAAAAF9r/vs=")</f>
        <v>#VALUE!</v>
      </c>
      <c r="IS180" t="e">
        <f>AND('Planilla_General_29-11-2012_10_'!F2711,"AAAAAF9r/vw=")</f>
        <v>#VALUE!</v>
      </c>
      <c r="IT180" t="e">
        <f>AND('Planilla_General_29-11-2012_10_'!G2711,"AAAAAF9r/v0=")</f>
        <v>#VALUE!</v>
      </c>
      <c r="IU180" t="e">
        <f>AND('Planilla_General_29-11-2012_10_'!H2711,"AAAAAF9r/v4=")</f>
        <v>#VALUE!</v>
      </c>
      <c r="IV180" t="e">
        <f>AND('Planilla_General_29-11-2012_10_'!I2711,"AAAAAF9r/v8=")</f>
        <v>#VALUE!</v>
      </c>
    </row>
    <row r="181" spans="1:256" x14ac:dyDescent="0.25">
      <c r="A181" t="e">
        <f>AND('Planilla_General_29-11-2012_10_'!J2711,"AAAAAD3P7gA=")</f>
        <v>#VALUE!</v>
      </c>
      <c r="B181" t="e">
        <f>AND('Planilla_General_29-11-2012_10_'!K2711,"AAAAAD3P7gE=")</f>
        <v>#VALUE!</v>
      </c>
      <c r="C181" t="e">
        <f>AND('Planilla_General_29-11-2012_10_'!L2711,"AAAAAD3P7gI=")</f>
        <v>#VALUE!</v>
      </c>
      <c r="D181" t="e">
        <f>AND('Planilla_General_29-11-2012_10_'!M2711,"AAAAAD3P7gM=")</f>
        <v>#VALUE!</v>
      </c>
      <c r="E181" t="e">
        <f>AND('Planilla_General_29-11-2012_10_'!N2711,"AAAAAD3P7gQ=")</f>
        <v>#VALUE!</v>
      </c>
      <c r="F181" t="e">
        <f>AND('Planilla_General_29-11-2012_10_'!O2711,"AAAAAD3P7gU=")</f>
        <v>#VALUE!</v>
      </c>
      <c r="G181" t="e">
        <f>AND('Planilla_General_29-11-2012_10_'!P2711,"AAAAAD3P7gY=")</f>
        <v>#VALUE!</v>
      </c>
      <c r="H181" t="e">
        <f>IF('Planilla_General_29-11-2012_10_'!2712:2712,"AAAAAD3P7gc=",0)</f>
        <v>#VALUE!</v>
      </c>
      <c r="I181" t="e">
        <f>AND('Planilla_General_29-11-2012_10_'!A2712,"AAAAAD3P7gg=")</f>
        <v>#VALUE!</v>
      </c>
      <c r="J181" t="e">
        <f>AND('Planilla_General_29-11-2012_10_'!B2712,"AAAAAD3P7gk=")</f>
        <v>#VALUE!</v>
      </c>
      <c r="K181" t="e">
        <f>AND('Planilla_General_29-11-2012_10_'!C2712,"AAAAAD3P7go=")</f>
        <v>#VALUE!</v>
      </c>
      <c r="L181" t="e">
        <f>AND('Planilla_General_29-11-2012_10_'!D2712,"AAAAAD3P7gs=")</f>
        <v>#VALUE!</v>
      </c>
      <c r="M181" t="e">
        <f>AND('Planilla_General_29-11-2012_10_'!E2712,"AAAAAD3P7gw=")</f>
        <v>#VALUE!</v>
      </c>
      <c r="N181" t="e">
        <f>AND('Planilla_General_29-11-2012_10_'!F2712,"AAAAAD3P7g0=")</f>
        <v>#VALUE!</v>
      </c>
      <c r="O181" t="e">
        <f>AND('Planilla_General_29-11-2012_10_'!G2712,"AAAAAD3P7g4=")</f>
        <v>#VALUE!</v>
      </c>
      <c r="P181" t="e">
        <f>AND('Planilla_General_29-11-2012_10_'!H2712,"AAAAAD3P7g8=")</f>
        <v>#VALUE!</v>
      </c>
      <c r="Q181" t="e">
        <f>AND('Planilla_General_29-11-2012_10_'!I2712,"AAAAAD3P7hA=")</f>
        <v>#VALUE!</v>
      </c>
      <c r="R181" t="e">
        <f>AND('Planilla_General_29-11-2012_10_'!J2712,"AAAAAD3P7hE=")</f>
        <v>#VALUE!</v>
      </c>
      <c r="S181" t="e">
        <f>AND('Planilla_General_29-11-2012_10_'!K2712,"AAAAAD3P7hI=")</f>
        <v>#VALUE!</v>
      </c>
      <c r="T181" t="e">
        <f>AND('Planilla_General_29-11-2012_10_'!L2712,"AAAAAD3P7hM=")</f>
        <v>#VALUE!</v>
      </c>
      <c r="U181" t="e">
        <f>AND('Planilla_General_29-11-2012_10_'!M2712,"AAAAAD3P7hQ=")</f>
        <v>#VALUE!</v>
      </c>
      <c r="V181" t="e">
        <f>AND('Planilla_General_29-11-2012_10_'!N2712,"AAAAAD3P7hU=")</f>
        <v>#VALUE!</v>
      </c>
      <c r="W181" t="e">
        <f>AND('Planilla_General_29-11-2012_10_'!O2712,"AAAAAD3P7hY=")</f>
        <v>#VALUE!</v>
      </c>
      <c r="X181" t="e">
        <f>AND('Planilla_General_29-11-2012_10_'!P2712,"AAAAAD3P7hc=")</f>
        <v>#VALUE!</v>
      </c>
      <c r="Y181">
        <f>IF('Planilla_General_29-11-2012_10_'!2713:2713,"AAAAAD3P7hg=",0)</f>
        <v>0</v>
      </c>
      <c r="Z181" t="e">
        <f>AND('Planilla_General_29-11-2012_10_'!A2713,"AAAAAD3P7hk=")</f>
        <v>#VALUE!</v>
      </c>
      <c r="AA181" t="e">
        <f>AND('Planilla_General_29-11-2012_10_'!B2713,"AAAAAD3P7ho=")</f>
        <v>#VALUE!</v>
      </c>
      <c r="AB181" t="e">
        <f>AND('Planilla_General_29-11-2012_10_'!C2713,"AAAAAD3P7hs=")</f>
        <v>#VALUE!</v>
      </c>
      <c r="AC181" t="e">
        <f>AND('Planilla_General_29-11-2012_10_'!D2713,"AAAAAD3P7hw=")</f>
        <v>#VALUE!</v>
      </c>
      <c r="AD181" t="e">
        <f>AND('Planilla_General_29-11-2012_10_'!E2713,"AAAAAD3P7h0=")</f>
        <v>#VALUE!</v>
      </c>
      <c r="AE181" t="e">
        <f>AND('Planilla_General_29-11-2012_10_'!F2713,"AAAAAD3P7h4=")</f>
        <v>#VALUE!</v>
      </c>
      <c r="AF181" t="e">
        <f>AND('Planilla_General_29-11-2012_10_'!G2713,"AAAAAD3P7h8=")</f>
        <v>#VALUE!</v>
      </c>
      <c r="AG181" t="e">
        <f>AND('Planilla_General_29-11-2012_10_'!H2713,"AAAAAD3P7iA=")</f>
        <v>#VALUE!</v>
      </c>
      <c r="AH181" t="e">
        <f>AND('Planilla_General_29-11-2012_10_'!I2713,"AAAAAD3P7iE=")</f>
        <v>#VALUE!</v>
      </c>
      <c r="AI181" t="e">
        <f>AND('Planilla_General_29-11-2012_10_'!J2713,"AAAAAD3P7iI=")</f>
        <v>#VALUE!</v>
      </c>
      <c r="AJ181" t="e">
        <f>AND('Planilla_General_29-11-2012_10_'!K2713,"AAAAAD3P7iM=")</f>
        <v>#VALUE!</v>
      </c>
      <c r="AK181" t="e">
        <f>AND('Planilla_General_29-11-2012_10_'!L2713,"AAAAAD3P7iQ=")</f>
        <v>#VALUE!</v>
      </c>
      <c r="AL181" t="e">
        <f>AND('Planilla_General_29-11-2012_10_'!M2713,"AAAAAD3P7iU=")</f>
        <v>#VALUE!</v>
      </c>
      <c r="AM181" t="e">
        <f>AND('Planilla_General_29-11-2012_10_'!N2713,"AAAAAD3P7iY=")</f>
        <v>#VALUE!</v>
      </c>
      <c r="AN181" t="e">
        <f>AND('Planilla_General_29-11-2012_10_'!O2713,"AAAAAD3P7ic=")</f>
        <v>#VALUE!</v>
      </c>
      <c r="AO181" t="e">
        <f>AND('Planilla_General_29-11-2012_10_'!P2713,"AAAAAD3P7ig=")</f>
        <v>#VALUE!</v>
      </c>
      <c r="AP181">
        <f>IF('Planilla_General_29-11-2012_10_'!2714:2714,"AAAAAD3P7ik=",0)</f>
        <v>0</v>
      </c>
      <c r="AQ181" t="e">
        <f>AND('Planilla_General_29-11-2012_10_'!A2714,"AAAAAD3P7io=")</f>
        <v>#VALUE!</v>
      </c>
      <c r="AR181" t="e">
        <f>AND('Planilla_General_29-11-2012_10_'!B2714,"AAAAAD3P7is=")</f>
        <v>#VALUE!</v>
      </c>
      <c r="AS181" t="e">
        <f>AND('Planilla_General_29-11-2012_10_'!C2714,"AAAAAD3P7iw=")</f>
        <v>#VALUE!</v>
      </c>
      <c r="AT181" t="e">
        <f>AND('Planilla_General_29-11-2012_10_'!D2714,"AAAAAD3P7i0=")</f>
        <v>#VALUE!</v>
      </c>
      <c r="AU181" t="e">
        <f>AND('Planilla_General_29-11-2012_10_'!E2714,"AAAAAD3P7i4=")</f>
        <v>#VALUE!</v>
      </c>
      <c r="AV181" t="e">
        <f>AND('Planilla_General_29-11-2012_10_'!F2714,"AAAAAD3P7i8=")</f>
        <v>#VALUE!</v>
      </c>
      <c r="AW181" t="e">
        <f>AND('Planilla_General_29-11-2012_10_'!G2714,"AAAAAD3P7jA=")</f>
        <v>#VALUE!</v>
      </c>
      <c r="AX181" t="e">
        <f>AND('Planilla_General_29-11-2012_10_'!H2714,"AAAAAD3P7jE=")</f>
        <v>#VALUE!</v>
      </c>
      <c r="AY181" t="e">
        <f>AND('Planilla_General_29-11-2012_10_'!I2714,"AAAAAD3P7jI=")</f>
        <v>#VALUE!</v>
      </c>
      <c r="AZ181" t="e">
        <f>AND('Planilla_General_29-11-2012_10_'!J2714,"AAAAAD3P7jM=")</f>
        <v>#VALUE!</v>
      </c>
      <c r="BA181" t="e">
        <f>AND('Planilla_General_29-11-2012_10_'!K2714,"AAAAAD3P7jQ=")</f>
        <v>#VALUE!</v>
      </c>
      <c r="BB181" t="e">
        <f>AND('Planilla_General_29-11-2012_10_'!L2714,"AAAAAD3P7jU=")</f>
        <v>#VALUE!</v>
      </c>
      <c r="BC181" t="e">
        <f>AND('Planilla_General_29-11-2012_10_'!M2714,"AAAAAD3P7jY=")</f>
        <v>#VALUE!</v>
      </c>
      <c r="BD181" t="e">
        <f>AND('Planilla_General_29-11-2012_10_'!N2714,"AAAAAD3P7jc=")</f>
        <v>#VALUE!</v>
      </c>
      <c r="BE181" t="e">
        <f>AND('Planilla_General_29-11-2012_10_'!O2714,"AAAAAD3P7jg=")</f>
        <v>#VALUE!</v>
      </c>
      <c r="BF181" t="e">
        <f>AND('Planilla_General_29-11-2012_10_'!P2714,"AAAAAD3P7jk=")</f>
        <v>#VALUE!</v>
      </c>
      <c r="BG181">
        <f>IF('Planilla_General_29-11-2012_10_'!2715:2715,"AAAAAD3P7jo=",0)</f>
        <v>0</v>
      </c>
      <c r="BH181" t="e">
        <f>AND('Planilla_General_29-11-2012_10_'!A2715,"AAAAAD3P7js=")</f>
        <v>#VALUE!</v>
      </c>
      <c r="BI181" t="e">
        <f>AND('Planilla_General_29-11-2012_10_'!B2715,"AAAAAD3P7jw=")</f>
        <v>#VALUE!</v>
      </c>
      <c r="BJ181" t="e">
        <f>AND('Planilla_General_29-11-2012_10_'!C2715,"AAAAAD3P7j0=")</f>
        <v>#VALUE!</v>
      </c>
      <c r="BK181" t="e">
        <f>AND('Planilla_General_29-11-2012_10_'!D2715,"AAAAAD3P7j4=")</f>
        <v>#VALUE!</v>
      </c>
      <c r="BL181" t="e">
        <f>AND('Planilla_General_29-11-2012_10_'!E2715,"AAAAAD3P7j8=")</f>
        <v>#VALUE!</v>
      </c>
      <c r="BM181" t="e">
        <f>AND('Planilla_General_29-11-2012_10_'!F2715,"AAAAAD3P7kA=")</f>
        <v>#VALUE!</v>
      </c>
      <c r="BN181" t="e">
        <f>AND('Planilla_General_29-11-2012_10_'!G2715,"AAAAAD3P7kE=")</f>
        <v>#VALUE!</v>
      </c>
      <c r="BO181" t="e">
        <f>AND('Planilla_General_29-11-2012_10_'!H2715,"AAAAAD3P7kI=")</f>
        <v>#VALUE!</v>
      </c>
      <c r="BP181" t="e">
        <f>AND('Planilla_General_29-11-2012_10_'!I2715,"AAAAAD3P7kM=")</f>
        <v>#VALUE!</v>
      </c>
      <c r="BQ181" t="e">
        <f>AND('Planilla_General_29-11-2012_10_'!J2715,"AAAAAD3P7kQ=")</f>
        <v>#VALUE!</v>
      </c>
      <c r="BR181" t="e">
        <f>AND('Planilla_General_29-11-2012_10_'!K2715,"AAAAAD3P7kU=")</f>
        <v>#VALUE!</v>
      </c>
      <c r="BS181" t="e">
        <f>AND('Planilla_General_29-11-2012_10_'!L2715,"AAAAAD3P7kY=")</f>
        <v>#VALUE!</v>
      </c>
      <c r="BT181" t="e">
        <f>AND('Planilla_General_29-11-2012_10_'!M2715,"AAAAAD3P7kc=")</f>
        <v>#VALUE!</v>
      </c>
      <c r="BU181" t="e">
        <f>AND('Planilla_General_29-11-2012_10_'!N2715,"AAAAAD3P7kg=")</f>
        <v>#VALUE!</v>
      </c>
      <c r="BV181" t="e">
        <f>AND('Planilla_General_29-11-2012_10_'!O2715,"AAAAAD3P7kk=")</f>
        <v>#VALUE!</v>
      </c>
      <c r="BW181" t="e">
        <f>AND('Planilla_General_29-11-2012_10_'!P2715,"AAAAAD3P7ko=")</f>
        <v>#VALUE!</v>
      </c>
      <c r="BX181">
        <f>IF('Planilla_General_29-11-2012_10_'!2716:2716,"AAAAAD3P7ks=",0)</f>
        <v>0</v>
      </c>
      <c r="BY181" t="e">
        <f>AND('Planilla_General_29-11-2012_10_'!A2716,"AAAAAD3P7kw=")</f>
        <v>#VALUE!</v>
      </c>
      <c r="BZ181" t="e">
        <f>AND('Planilla_General_29-11-2012_10_'!B2716,"AAAAAD3P7k0=")</f>
        <v>#VALUE!</v>
      </c>
      <c r="CA181" t="e">
        <f>AND('Planilla_General_29-11-2012_10_'!C2716,"AAAAAD3P7k4=")</f>
        <v>#VALUE!</v>
      </c>
      <c r="CB181" t="e">
        <f>AND('Planilla_General_29-11-2012_10_'!D2716,"AAAAAD3P7k8=")</f>
        <v>#VALUE!</v>
      </c>
      <c r="CC181" t="e">
        <f>AND('Planilla_General_29-11-2012_10_'!E2716,"AAAAAD3P7lA=")</f>
        <v>#VALUE!</v>
      </c>
      <c r="CD181" t="e">
        <f>AND('Planilla_General_29-11-2012_10_'!F2716,"AAAAAD3P7lE=")</f>
        <v>#VALUE!</v>
      </c>
      <c r="CE181" t="e">
        <f>AND('Planilla_General_29-11-2012_10_'!G2716,"AAAAAD3P7lI=")</f>
        <v>#VALUE!</v>
      </c>
      <c r="CF181" t="e">
        <f>AND('Planilla_General_29-11-2012_10_'!H2716,"AAAAAD3P7lM=")</f>
        <v>#VALUE!</v>
      </c>
      <c r="CG181" t="e">
        <f>AND('Planilla_General_29-11-2012_10_'!I2716,"AAAAAD3P7lQ=")</f>
        <v>#VALUE!</v>
      </c>
      <c r="CH181" t="e">
        <f>AND('Planilla_General_29-11-2012_10_'!J2716,"AAAAAD3P7lU=")</f>
        <v>#VALUE!</v>
      </c>
      <c r="CI181" t="e">
        <f>AND('Planilla_General_29-11-2012_10_'!K2716,"AAAAAD3P7lY=")</f>
        <v>#VALUE!</v>
      </c>
      <c r="CJ181" t="e">
        <f>AND('Planilla_General_29-11-2012_10_'!L2716,"AAAAAD3P7lc=")</f>
        <v>#VALUE!</v>
      </c>
      <c r="CK181" t="e">
        <f>AND('Planilla_General_29-11-2012_10_'!M2716,"AAAAAD3P7lg=")</f>
        <v>#VALUE!</v>
      </c>
      <c r="CL181" t="e">
        <f>AND('Planilla_General_29-11-2012_10_'!N2716,"AAAAAD3P7lk=")</f>
        <v>#VALUE!</v>
      </c>
      <c r="CM181" t="e">
        <f>AND('Planilla_General_29-11-2012_10_'!O2716,"AAAAAD3P7lo=")</f>
        <v>#VALUE!</v>
      </c>
      <c r="CN181" t="e">
        <f>AND('Planilla_General_29-11-2012_10_'!P2716,"AAAAAD3P7ls=")</f>
        <v>#VALUE!</v>
      </c>
      <c r="CO181">
        <f>IF('Planilla_General_29-11-2012_10_'!2717:2717,"AAAAAD3P7lw=",0)</f>
        <v>0</v>
      </c>
      <c r="CP181" t="e">
        <f>AND('Planilla_General_29-11-2012_10_'!A2717,"AAAAAD3P7l0=")</f>
        <v>#VALUE!</v>
      </c>
      <c r="CQ181" t="e">
        <f>AND('Planilla_General_29-11-2012_10_'!B2717,"AAAAAD3P7l4=")</f>
        <v>#VALUE!</v>
      </c>
      <c r="CR181" t="e">
        <f>AND('Planilla_General_29-11-2012_10_'!C2717,"AAAAAD3P7l8=")</f>
        <v>#VALUE!</v>
      </c>
      <c r="CS181" t="e">
        <f>AND('Planilla_General_29-11-2012_10_'!D2717,"AAAAAD3P7mA=")</f>
        <v>#VALUE!</v>
      </c>
      <c r="CT181" t="e">
        <f>AND('Planilla_General_29-11-2012_10_'!E2717,"AAAAAD3P7mE=")</f>
        <v>#VALUE!</v>
      </c>
      <c r="CU181" t="e">
        <f>AND('Planilla_General_29-11-2012_10_'!F2717,"AAAAAD3P7mI=")</f>
        <v>#VALUE!</v>
      </c>
      <c r="CV181" t="e">
        <f>AND('Planilla_General_29-11-2012_10_'!G2717,"AAAAAD3P7mM=")</f>
        <v>#VALUE!</v>
      </c>
      <c r="CW181" t="e">
        <f>AND('Planilla_General_29-11-2012_10_'!H2717,"AAAAAD3P7mQ=")</f>
        <v>#VALUE!</v>
      </c>
      <c r="CX181" t="e">
        <f>AND('Planilla_General_29-11-2012_10_'!I2717,"AAAAAD3P7mU=")</f>
        <v>#VALUE!</v>
      </c>
      <c r="CY181" t="e">
        <f>AND('Planilla_General_29-11-2012_10_'!J2717,"AAAAAD3P7mY=")</f>
        <v>#VALUE!</v>
      </c>
      <c r="CZ181" t="e">
        <f>AND('Planilla_General_29-11-2012_10_'!K2717,"AAAAAD3P7mc=")</f>
        <v>#VALUE!</v>
      </c>
      <c r="DA181" t="e">
        <f>AND('Planilla_General_29-11-2012_10_'!L2717,"AAAAAD3P7mg=")</f>
        <v>#VALUE!</v>
      </c>
      <c r="DB181" t="e">
        <f>AND('Planilla_General_29-11-2012_10_'!M2717,"AAAAAD3P7mk=")</f>
        <v>#VALUE!</v>
      </c>
      <c r="DC181" t="e">
        <f>AND('Planilla_General_29-11-2012_10_'!N2717,"AAAAAD3P7mo=")</f>
        <v>#VALUE!</v>
      </c>
      <c r="DD181" t="e">
        <f>AND('Planilla_General_29-11-2012_10_'!O2717,"AAAAAD3P7ms=")</f>
        <v>#VALUE!</v>
      </c>
      <c r="DE181" t="e">
        <f>AND('Planilla_General_29-11-2012_10_'!P2717,"AAAAAD3P7mw=")</f>
        <v>#VALUE!</v>
      </c>
      <c r="DF181">
        <f>IF('Planilla_General_29-11-2012_10_'!2718:2718,"AAAAAD3P7m0=",0)</f>
        <v>0</v>
      </c>
      <c r="DG181" t="e">
        <f>AND('Planilla_General_29-11-2012_10_'!A2718,"AAAAAD3P7m4=")</f>
        <v>#VALUE!</v>
      </c>
      <c r="DH181" t="e">
        <f>AND('Planilla_General_29-11-2012_10_'!B2718,"AAAAAD3P7m8=")</f>
        <v>#VALUE!</v>
      </c>
      <c r="DI181" t="e">
        <f>AND('Planilla_General_29-11-2012_10_'!C2718,"AAAAAD3P7nA=")</f>
        <v>#VALUE!</v>
      </c>
      <c r="DJ181" t="e">
        <f>AND('Planilla_General_29-11-2012_10_'!D2718,"AAAAAD3P7nE=")</f>
        <v>#VALUE!</v>
      </c>
      <c r="DK181" t="e">
        <f>AND('Planilla_General_29-11-2012_10_'!E2718,"AAAAAD3P7nI=")</f>
        <v>#VALUE!</v>
      </c>
      <c r="DL181" t="e">
        <f>AND('Planilla_General_29-11-2012_10_'!F2718,"AAAAAD3P7nM=")</f>
        <v>#VALUE!</v>
      </c>
      <c r="DM181" t="e">
        <f>AND('Planilla_General_29-11-2012_10_'!G2718,"AAAAAD3P7nQ=")</f>
        <v>#VALUE!</v>
      </c>
      <c r="DN181" t="e">
        <f>AND('Planilla_General_29-11-2012_10_'!H2718,"AAAAAD3P7nU=")</f>
        <v>#VALUE!</v>
      </c>
      <c r="DO181" t="e">
        <f>AND('Planilla_General_29-11-2012_10_'!I2718,"AAAAAD3P7nY=")</f>
        <v>#VALUE!</v>
      </c>
      <c r="DP181" t="e">
        <f>AND('Planilla_General_29-11-2012_10_'!J2718,"AAAAAD3P7nc=")</f>
        <v>#VALUE!</v>
      </c>
      <c r="DQ181" t="e">
        <f>AND('Planilla_General_29-11-2012_10_'!K2718,"AAAAAD3P7ng=")</f>
        <v>#VALUE!</v>
      </c>
      <c r="DR181" t="e">
        <f>AND('Planilla_General_29-11-2012_10_'!L2718,"AAAAAD3P7nk=")</f>
        <v>#VALUE!</v>
      </c>
      <c r="DS181" t="e">
        <f>AND('Planilla_General_29-11-2012_10_'!M2718,"AAAAAD3P7no=")</f>
        <v>#VALUE!</v>
      </c>
      <c r="DT181" t="e">
        <f>AND('Planilla_General_29-11-2012_10_'!N2718,"AAAAAD3P7ns=")</f>
        <v>#VALUE!</v>
      </c>
      <c r="DU181" t="e">
        <f>AND('Planilla_General_29-11-2012_10_'!O2718,"AAAAAD3P7nw=")</f>
        <v>#VALUE!</v>
      </c>
      <c r="DV181" t="e">
        <f>AND('Planilla_General_29-11-2012_10_'!P2718,"AAAAAD3P7n0=")</f>
        <v>#VALUE!</v>
      </c>
      <c r="DW181">
        <f>IF('Planilla_General_29-11-2012_10_'!2719:2719,"AAAAAD3P7n4=",0)</f>
        <v>0</v>
      </c>
      <c r="DX181" t="e">
        <f>AND('Planilla_General_29-11-2012_10_'!A2719,"AAAAAD3P7n8=")</f>
        <v>#VALUE!</v>
      </c>
      <c r="DY181" t="e">
        <f>AND('Planilla_General_29-11-2012_10_'!B2719,"AAAAAD3P7oA=")</f>
        <v>#VALUE!</v>
      </c>
      <c r="DZ181" t="e">
        <f>AND('Planilla_General_29-11-2012_10_'!C2719,"AAAAAD3P7oE=")</f>
        <v>#VALUE!</v>
      </c>
      <c r="EA181" t="e">
        <f>AND('Planilla_General_29-11-2012_10_'!D2719,"AAAAAD3P7oI=")</f>
        <v>#VALUE!</v>
      </c>
      <c r="EB181" t="e">
        <f>AND('Planilla_General_29-11-2012_10_'!E2719,"AAAAAD3P7oM=")</f>
        <v>#VALUE!</v>
      </c>
      <c r="EC181" t="e">
        <f>AND('Planilla_General_29-11-2012_10_'!F2719,"AAAAAD3P7oQ=")</f>
        <v>#VALUE!</v>
      </c>
      <c r="ED181" t="e">
        <f>AND('Planilla_General_29-11-2012_10_'!G2719,"AAAAAD3P7oU=")</f>
        <v>#VALUE!</v>
      </c>
      <c r="EE181" t="e">
        <f>AND('Planilla_General_29-11-2012_10_'!H2719,"AAAAAD3P7oY=")</f>
        <v>#VALUE!</v>
      </c>
      <c r="EF181" t="e">
        <f>AND('Planilla_General_29-11-2012_10_'!I2719,"AAAAAD3P7oc=")</f>
        <v>#VALUE!</v>
      </c>
      <c r="EG181" t="e">
        <f>AND('Planilla_General_29-11-2012_10_'!J2719,"AAAAAD3P7og=")</f>
        <v>#VALUE!</v>
      </c>
      <c r="EH181" t="e">
        <f>AND('Planilla_General_29-11-2012_10_'!K2719,"AAAAAD3P7ok=")</f>
        <v>#VALUE!</v>
      </c>
      <c r="EI181" t="e">
        <f>AND('Planilla_General_29-11-2012_10_'!L2719,"AAAAAD3P7oo=")</f>
        <v>#VALUE!</v>
      </c>
      <c r="EJ181" t="e">
        <f>AND('Planilla_General_29-11-2012_10_'!M2719,"AAAAAD3P7os=")</f>
        <v>#VALUE!</v>
      </c>
      <c r="EK181" t="e">
        <f>AND('Planilla_General_29-11-2012_10_'!N2719,"AAAAAD3P7ow=")</f>
        <v>#VALUE!</v>
      </c>
      <c r="EL181" t="e">
        <f>AND('Planilla_General_29-11-2012_10_'!O2719,"AAAAAD3P7o0=")</f>
        <v>#VALUE!</v>
      </c>
      <c r="EM181" t="e">
        <f>AND('Planilla_General_29-11-2012_10_'!P2719,"AAAAAD3P7o4=")</f>
        <v>#VALUE!</v>
      </c>
      <c r="EN181">
        <f>IF('Planilla_General_29-11-2012_10_'!2720:2720,"AAAAAD3P7o8=",0)</f>
        <v>0</v>
      </c>
      <c r="EO181" t="e">
        <f>AND('Planilla_General_29-11-2012_10_'!A2720,"AAAAAD3P7pA=")</f>
        <v>#VALUE!</v>
      </c>
      <c r="EP181" t="e">
        <f>AND('Planilla_General_29-11-2012_10_'!B2720,"AAAAAD3P7pE=")</f>
        <v>#VALUE!</v>
      </c>
      <c r="EQ181" t="e">
        <f>AND('Planilla_General_29-11-2012_10_'!C2720,"AAAAAD3P7pI=")</f>
        <v>#VALUE!</v>
      </c>
      <c r="ER181" t="e">
        <f>AND('Planilla_General_29-11-2012_10_'!D2720,"AAAAAD3P7pM=")</f>
        <v>#VALUE!</v>
      </c>
      <c r="ES181" t="e">
        <f>AND('Planilla_General_29-11-2012_10_'!E2720,"AAAAAD3P7pQ=")</f>
        <v>#VALUE!</v>
      </c>
      <c r="ET181" t="e">
        <f>AND('Planilla_General_29-11-2012_10_'!F2720,"AAAAAD3P7pU=")</f>
        <v>#VALUE!</v>
      </c>
      <c r="EU181" t="e">
        <f>AND('Planilla_General_29-11-2012_10_'!G2720,"AAAAAD3P7pY=")</f>
        <v>#VALUE!</v>
      </c>
      <c r="EV181" t="e">
        <f>AND('Planilla_General_29-11-2012_10_'!H2720,"AAAAAD3P7pc=")</f>
        <v>#VALUE!</v>
      </c>
      <c r="EW181" t="e">
        <f>AND('Planilla_General_29-11-2012_10_'!I2720,"AAAAAD3P7pg=")</f>
        <v>#VALUE!</v>
      </c>
      <c r="EX181" t="e">
        <f>AND('Planilla_General_29-11-2012_10_'!J2720,"AAAAAD3P7pk=")</f>
        <v>#VALUE!</v>
      </c>
      <c r="EY181" t="e">
        <f>AND('Planilla_General_29-11-2012_10_'!K2720,"AAAAAD3P7po=")</f>
        <v>#VALUE!</v>
      </c>
      <c r="EZ181" t="e">
        <f>AND('Planilla_General_29-11-2012_10_'!L2720,"AAAAAD3P7ps=")</f>
        <v>#VALUE!</v>
      </c>
      <c r="FA181" t="e">
        <f>AND('Planilla_General_29-11-2012_10_'!M2720,"AAAAAD3P7pw=")</f>
        <v>#VALUE!</v>
      </c>
      <c r="FB181" t="e">
        <f>AND('Planilla_General_29-11-2012_10_'!N2720,"AAAAAD3P7p0=")</f>
        <v>#VALUE!</v>
      </c>
      <c r="FC181" t="e">
        <f>AND('Planilla_General_29-11-2012_10_'!O2720,"AAAAAD3P7p4=")</f>
        <v>#VALUE!</v>
      </c>
      <c r="FD181" t="e">
        <f>AND('Planilla_General_29-11-2012_10_'!P2720,"AAAAAD3P7p8=")</f>
        <v>#VALUE!</v>
      </c>
      <c r="FE181">
        <f>IF('Planilla_General_29-11-2012_10_'!2721:2721,"AAAAAD3P7qA=",0)</f>
        <v>0</v>
      </c>
      <c r="FF181" t="e">
        <f>AND('Planilla_General_29-11-2012_10_'!A2721,"AAAAAD3P7qE=")</f>
        <v>#VALUE!</v>
      </c>
      <c r="FG181" t="e">
        <f>AND('Planilla_General_29-11-2012_10_'!B2721,"AAAAAD3P7qI=")</f>
        <v>#VALUE!</v>
      </c>
      <c r="FH181" t="e">
        <f>AND('Planilla_General_29-11-2012_10_'!C2721,"AAAAAD3P7qM=")</f>
        <v>#VALUE!</v>
      </c>
      <c r="FI181" t="e">
        <f>AND('Planilla_General_29-11-2012_10_'!D2721,"AAAAAD3P7qQ=")</f>
        <v>#VALUE!</v>
      </c>
      <c r="FJ181" t="e">
        <f>AND('Planilla_General_29-11-2012_10_'!E2721,"AAAAAD3P7qU=")</f>
        <v>#VALUE!</v>
      </c>
      <c r="FK181" t="e">
        <f>AND('Planilla_General_29-11-2012_10_'!F2721,"AAAAAD3P7qY=")</f>
        <v>#VALUE!</v>
      </c>
      <c r="FL181" t="e">
        <f>AND('Planilla_General_29-11-2012_10_'!G2721,"AAAAAD3P7qc=")</f>
        <v>#VALUE!</v>
      </c>
      <c r="FM181" t="e">
        <f>AND('Planilla_General_29-11-2012_10_'!H2721,"AAAAAD3P7qg=")</f>
        <v>#VALUE!</v>
      </c>
      <c r="FN181" t="e">
        <f>AND('Planilla_General_29-11-2012_10_'!I2721,"AAAAAD3P7qk=")</f>
        <v>#VALUE!</v>
      </c>
      <c r="FO181" t="e">
        <f>AND('Planilla_General_29-11-2012_10_'!J2721,"AAAAAD3P7qo=")</f>
        <v>#VALUE!</v>
      </c>
      <c r="FP181" t="e">
        <f>AND('Planilla_General_29-11-2012_10_'!K2721,"AAAAAD3P7qs=")</f>
        <v>#VALUE!</v>
      </c>
      <c r="FQ181" t="e">
        <f>AND('Planilla_General_29-11-2012_10_'!L2721,"AAAAAD3P7qw=")</f>
        <v>#VALUE!</v>
      </c>
      <c r="FR181" t="e">
        <f>AND('Planilla_General_29-11-2012_10_'!M2721,"AAAAAD3P7q0=")</f>
        <v>#VALUE!</v>
      </c>
      <c r="FS181" t="e">
        <f>AND('Planilla_General_29-11-2012_10_'!N2721,"AAAAAD3P7q4=")</f>
        <v>#VALUE!</v>
      </c>
      <c r="FT181" t="e">
        <f>AND('Planilla_General_29-11-2012_10_'!O2721,"AAAAAD3P7q8=")</f>
        <v>#VALUE!</v>
      </c>
      <c r="FU181" t="e">
        <f>AND('Planilla_General_29-11-2012_10_'!P2721,"AAAAAD3P7rA=")</f>
        <v>#VALUE!</v>
      </c>
      <c r="FV181">
        <f>IF('Planilla_General_29-11-2012_10_'!2722:2722,"AAAAAD3P7rE=",0)</f>
        <v>0</v>
      </c>
      <c r="FW181" t="e">
        <f>AND('Planilla_General_29-11-2012_10_'!A2722,"AAAAAD3P7rI=")</f>
        <v>#VALUE!</v>
      </c>
      <c r="FX181" t="e">
        <f>AND('Planilla_General_29-11-2012_10_'!B2722,"AAAAAD3P7rM=")</f>
        <v>#VALUE!</v>
      </c>
      <c r="FY181" t="e">
        <f>AND('Planilla_General_29-11-2012_10_'!C2722,"AAAAAD3P7rQ=")</f>
        <v>#VALUE!</v>
      </c>
      <c r="FZ181" t="e">
        <f>AND('Planilla_General_29-11-2012_10_'!D2722,"AAAAAD3P7rU=")</f>
        <v>#VALUE!</v>
      </c>
      <c r="GA181" t="e">
        <f>AND('Planilla_General_29-11-2012_10_'!E2722,"AAAAAD3P7rY=")</f>
        <v>#VALUE!</v>
      </c>
      <c r="GB181" t="e">
        <f>AND('Planilla_General_29-11-2012_10_'!F2722,"AAAAAD3P7rc=")</f>
        <v>#VALUE!</v>
      </c>
      <c r="GC181" t="e">
        <f>AND('Planilla_General_29-11-2012_10_'!G2722,"AAAAAD3P7rg=")</f>
        <v>#VALUE!</v>
      </c>
      <c r="GD181" t="e">
        <f>AND('Planilla_General_29-11-2012_10_'!H2722,"AAAAAD3P7rk=")</f>
        <v>#VALUE!</v>
      </c>
      <c r="GE181" t="e">
        <f>AND('Planilla_General_29-11-2012_10_'!I2722,"AAAAAD3P7ro=")</f>
        <v>#VALUE!</v>
      </c>
      <c r="GF181" t="e">
        <f>AND('Planilla_General_29-11-2012_10_'!J2722,"AAAAAD3P7rs=")</f>
        <v>#VALUE!</v>
      </c>
      <c r="GG181" t="e">
        <f>AND('Planilla_General_29-11-2012_10_'!K2722,"AAAAAD3P7rw=")</f>
        <v>#VALUE!</v>
      </c>
      <c r="GH181" t="e">
        <f>AND('Planilla_General_29-11-2012_10_'!L2722,"AAAAAD3P7r0=")</f>
        <v>#VALUE!</v>
      </c>
      <c r="GI181" t="e">
        <f>AND('Planilla_General_29-11-2012_10_'!M2722,"AAAAAD3P7r4=")</f>
        <v>#VALUE!</v>
      </c>
      <c r="GJ181" t="e">
        <f>AND('Planilla_General_29-11-2012_10_'!N2722,"AAAAAD3P7r8=")</f>
        <v>#VALUE!</v>
      </c>
      <c r="GK181" t="e">
        <f>AND('Planilla_General_29-11-2012_10_'!O2722,"AAAAAD3P7sA=")</f>
        <v>#VALUE!</v>
      </c>
      <c r="GL181" t="e">
        <f>AND('Planilla_General_29-11-2012_10_'!P2722,"AAAAAD3P7sE=")</f>
        <v>#VALUE!</v>
      </c>
      <c r="GM181">
        <f>IF('Planilla_General_29-11-2012_10_'!2723:2723,"AAAAAD3P7sI=",0)</f>
        <v>0</v>
      </c>
      <c r="GN181" t="e">
        <f>AND('Planilla_General_29-11-2012_10_'!A2723,"AAAAAD3P7sM=")</f>
        <v>#VALUE!</v>
      </c>
      <c r="GO181" t="e">
        <f>AND('Planilla_General_29-11-2012_10_'!B2723,"AAAAAD3P7sQ=")</f>
        <v>#VALUE!</v>
      </c>
      <c r="GP181" t="e">
        <f>AND('Planilla_General_29-11-2012_10_'!C2723,"AAAAAD3P7sU=")</f>
        <v>#VALUE!</v>
      </c>
      <c r="GQ181" t="e">
        <f>AND('Planilla_General_29-11-2012_10_'!D2723,"AAAAAD3P7sY=")</f>
        <v>#VALUE!</v>
      </c>
      <c r="GR181" t="e">
        <f>AND('Planilla_General_29-11-2012_10_'!E2723,"AAAAAD3P7sc=")</f>
        <v>#VALUE!</v>
      </c>
      <c r="GS181" t="e">
        <f>AND('Planilla_General_29-11-2012_10_'!F2723,"AAAAAD3P7sg=")</f>
        <v>#VALUE!</v>
      </c>
      <c r="GT181" t="e">
        <f>AND('Planilla_General_29-11-2012_10_'!G2723,"AAAAAD3P7sk=")</f>
        <v>#VALUE!</v>
      </c>
      <c r="GU181" t="e">
        <f>AND('Planilla_General_29-11-2012_10_'!H2723,"AAAAAD3P7so=")</f>
        <v>#VALUE!</v>
      </c>
      <c r="GV181" t="e">
        <f>AND('Planilla_General_29-11-2012_10_'!I2723,"AAAAAD3P7ss=")</f>
        <v>#VALUE!</v>
      </c>
      <c r="GW181" t="e">
        <f>AND('Planilla_General_29-11-2012_10_'!J2723,"AAAAAD3P7sw=")</f>
        <v>#VALUE!</v>
      </c>
      <c r="GX181" t="e">
        <f>AND('Planilla_General_29-11-2012_10_'!K2723,"AAAAAD3P7s0=")</f>
        <v>#VALUE!</v>
      </c>
      <c r="GY181" t="e">
        <f>AND('Planilla_General_29-11-2012_10_'!L2723,"AAAAAD3P7s4=")</f>
        <v>#VALUE!</v>
      </c>
      <c r="GZ181" t="e">
        <f>AND('Planilla_General_29-11-2012_10_'!M2723,"AAAAAD3P7s8=")</f>
        <v>#VALUE!</v>
      </c>
      <c r="HA181" t="e">
        <f>AND('Planilla_General_29-11-2012_10_'!N2723,"AAAAAD3P7tA=")</f>
        <v>#VALUE!</v>
      </c>
      <c r="HB181" t="e">
        <f>AND('Planilla_General_29-11-2012_10_'!O2723,"AAAAAD3P7tE=")</f>
        <v>#VALUE!</v>
      </c>
      <c r="HC181" t="e">
        <f>AND('Planilla_General_29-11-2012_10_'!P2723,"AAAAAD3P7tI=")</f>
        <v>#VALUE!</v>
      </c>
      <c r="HD181">
        <f>IF('Planilla_General_29-11-2012_10_'!2724:2724,"AAAAAD3P7tM=",0)</f>
        <v>0</v>
      </c>
      <c r="HE181" t="e">
        <f>AND('Planilla_General_29-11-2012_10_'!A2724,"AAAAAD3P7tQ=")</f>
        <v>#VALUE!</v>
      </c>
      <c r="HF181" t="e">
        <f>AND('Planilla_General_29-11-2012_10_'!B2724,"AAAAAD3P7tU=")</f>
        <v>#VALUE!</v>
      </c>
      <c r="HG181" t="e">
        <f>AND('Planilla_General_29-11-2012_10_'!C2724,"AAAAAD3P7tY=")</f>
        <v>#VALUE!</v>
      </c>
      <c r="HH181" t="e">
        <f>AND('Planilla_General_29-11-2012_10_'!D2724,"AAAAAD3P7tc=")</f>
        <v>#VALUE!</v>
      </c>
      <c r="HI181" t="e">
        <f>AND('Planilla_General_29-11-2012_10_'!E2724,"AAAAAD3P7tg=")</f>
        <v>#VALUE!</v>
      </c>
      <c r="HJ181" t="e">
        <f>AND('Planilla_General_29-11-2012_10_'!F2724,"AAAAAD3P7tk=")</f>
        <v>#VALUE!</v>
      </c>
      <c r="HK181" t="e">
        <f>AND('Planilla_General_29-11-2012_10_'!G2724,"AAAAAD3P7to=")</f>
        <v>#VALUE!</v>
      </c>
      <c r="HL181" t="e">
        <f>AND('Planilla_General_29-11-2012_10_'!H2724,"AAAAAD3P7ts=")</f>
        <v>#VALUE!</v>
      </c>
      <c r="HM181" t="e">
        <f>AND('Planilla_General_29-11-2012_10_'!I2724,"AAAAAD3P7tw=")</f>
        <v>#VALUE!</v>
      </c>
      <c r="HN181" t="e">
        <f>AND('Planilla_General_29-11-2012_10_'!J2724,"AAAAAD3P7t0=")</f>
        <v>#VALUE!</v>
      </c>
      <c r="HO181" t="e">
        <f>AND('Planilla_General_29-11-2012_10_'!K2724,"AAAAAD3P7t4=")</f>
        <v>#VALUE!</v>
      </c>
      <c r="HP181" t="e">
        <f>AND('Planilla_General_29-11-2012_10_'!L2724,"AAAAAD3P7t8=")</f>
        <v>#VALUE!</v>
      </c>
      <c r="HQ181" t="e">
        <f>AND('Planilla_General_29-11-2012_10_'!M2724,"AAAAAD3P7uA=")</f>
        <v>#VALUE!</v>
      </c>
      <c r="HR181" t="e">
        <f>AND('Planilla_General_29-11-2012_10_'!N2724,"AAAAAD3P7uE=")</f>
        <v>#VALUE!</v>
      </c>
      <c r="HS181" t="e">
        <f>AND('Planilla_General_29-11-2012_10_'!O2724,"AAAAAD3P7uI=")</f>
        <v>#VALUE!</v>
      </c>
      <c r="HT181" t="e">
        <f>AND('Planilla_General_29-11-2012_10_'!P2724,"AAAAAD3P7uM=")</f>
        <v>#VALUE!</v>
      </c>
      <c r="HU181">
        <f>IF('Planilla_General_29-11-2012_10_'!2725:2725,"AAAAAD3P7uQ=",0)</f>
        <v>0</v>
      </c>
      <c r="HV181" t="e">
        <f>AND('Planilla_General_29-11-2012_10_'!A2725,"AAAAAD3P7uU=")</f>
        <v>#VALUE!</v>
      </c>
      <c r="HW181" t="e">
        <f>AND('Planilla_General_29-11-2012_10_'!B2725,"AAAAAD3P7uY=")</f>
        <v>#VALUE!</v>
      </c>
      <c r="HX181" t="e">
        <f>AND('Planilla_General_29-11-2012_10_'!C2725,"AAAAAD3P7uc=")</f>
        <v>#VALUE!</v>
      </c>
      <c r="HY181" t="e">
        <f>AND('Planilla_General_29-11-2012_10_'!D2725,"AAAAAD3P7ug=")</f>
        <v>#VALUE!</v>
      </c>
      <c r="HZ181" t="e">
        <f>AND('Planilla_General_29-11-2012_10_'!E2725,"AAAAAD3P7uk=")</f>
        <v>#VALUE!</v>
      </c>
      <c r="IA181" t="e">
        <f>AND('Planilla_General_29-11-2012_10_'!F2725,"AAAAAD3P7uo=")</f>
        <v>#VALUE!</v>
      </c>
      <c r="IB181" t="e">
        <f>AND('Planilla_General_29-11-2012_10_'!G2725,"AAAAAD3P7us=")</f>
        <v>#VALUE!</v>
      </c>
      <c r="IC181" t="e">
        <f>AND('Planilla_General_29-11-2012_10_'!H2725,"AAAAAD3P7uw=")</f>
        <v>#VALUE!</v>
      </c>
      <c r="ID181" t="e">
        <f>AND('Planilla_General_29-11-2012_10_'!I2725,"AAAAAD3P7u0=")</f>
        <v>#VALUE!</v>
      </c>
      <c r="IE181" t="e">
        <f>AND('Planilla_General_29-11-2012_10_'!J2725,"AAAAAD3P7u4=")</f>
        <v>#VALUE!</v>
      </c>
      <c r="IF181" t="e">
        <f>AND('Planilla_General_29-11-2012_10_'!K2725,"AAAAAD3P7u8=")</f>
        <v>#VALUE!</v>
      </c>
      <c r="IG181" t="e">
        <f>AND('Planilla_General_29-11-2012_10_'!L2725,"AAAAAD3P7vA=")</f>
        <v>#VALUE!</v>
      </c>
      <c r="IH181" t="e">
        <f>AND('Planilla_General_29-11-2012_10_'!M2725,"AAAAAD3P7vE=")</f>
        <v>#VALUE!</v>
      </c>
      <c r="II181" t="e">
        <f>AND('Planilla_General_29-11-2012_10_'!N2725,"AAAAAD3P7vI=")</f>
        <v>#VALUE!</v>
      </c>
      <c r="IJ181" t="e">
        <f>AND('Planilla_General_29-11-2012_10_'!O2725,"AAAAAD3P7vM=")</f>
        <v>#VALUE!</v>
      </c>
      <c r="IK181" t="e">
        <f>AND('Planilla_General_29-11-2012_10_'!P2725,"AAAAAD3P7vQ=")</f>
        <v>#VALUE!</v>
      </c>
      <c r="IL181">
        <f>IF('Planilla_General_29-11-2012_10_'!2726:2726,"AAAAAD3P7vU=",0)</f>
        <v>0</v>
      </c>
      <c r="IM181" t="e">
        <f>AND('Planilla_General_29-11-2012_10_'!A2726,"AAAAAD3P7vY=")</f>
        <v>#VALUE!</v>
      </c>
      <c r="IN181" t="e">
        <f>AND('Planilla_General_29-11-2012_10_'!B2726,"AAAAAD3P7vc=")</f>
        <v>#VALUE!</v>
      </c>
      <c r="IO181" t="e">
        <f>AND('Planilla_General_29-11-2012_10_'!C2726,"AAAAAD3P7vg=")</f>
        <v>#VALUE!</v>
      </c>
      <c r="IP181" t="e">
        <f>AND('Planilla_General_29-11-2012_10_'!D2726,"AAAAAD3P7vk=")</f>
        <v>#VALUE!</v>
      </c>
      <c r="IQ181" t="e">
        <f>AND('Planilla_General_29-11-2012_10_'!E2726,"AAAAAD3P7vo=")</f>
        <v>#VALUE!</v>
      </c>
      <c r="IR181" t="e">
        <f>AND('Planilla_General_29-11-2012_10_'!F2726,"AAAAAD3P7vs=")</f>
        <v>#VALUE!</v>
      </c>
      <c r="IS181" t="e">
        <f>AND('Planilla_General_29-11-2012_10_'!G2726,"AAAAAD3P7vw=")</f>
        <v>#VALUE!</v>
      </c>
      <c r="IT181" t="e">
        <f>AND('Planilla_General_29-11-2012_10_'!H2726,"AAAAAD3P7v0=")</f>
        <v>#VALUE!</v>
      </c>
      <c r="IU181" t="e">
        <f>AND('Planilla_General_29-11-2012_10_'!I2726,"AAAAAD3P7v4=")</f>
        <v>#VALUE!</v>
      </c>
      <c r="IV181" t="e">
        <f>AND('Planilla_General_29-11-2012_10_'!J2726,"AAAAAD3P7v8=")</f>
        <v>#VALUE!</v>
      </c>
    </row>
    <row r="182" spans="1:256" x14ac:dyDescent="0.25">
      <c r="A182" t="e">
        <f>AND('Planilla_General_29-11-2012_10_'!K2726,"AAAAADl0/wA=")</f>
        <v>#VALUE!</v>
      </c>
      <c r="B182" t="e">
        <f>AND('Planilla_General_29-11-2012_10_'!L2726,"AAAAADl0/wE=")</f>
        <v>#VALUE!</v>
      </c>
      <c r="C182" t="e">
        <f>AND('Planilla_General_29-11-2012_10_'!M2726,"AAAAADl0/wI=")</f>
        <v>#VALUE!</v>
      </c>
      <c r="D182" t="e">
        <f>AND('Planilla_General_29-11-2012_10_'!N2726,"AAAAADl0/wM=")</f>
        <v>#VALUE!</v>
      </c>
      <c r="E182" t="e">
        <f>AND('Planilla_General_29-11-2012_10_'!O2726,"AAAAADl0/wQ=")</f>
        <v>#VALUE!</v>
      </c>
      <c r="F182" t="e">
        <f>AND('Planilla_General_29-11-2012_10_'!P2726,"AAAAADl0/wU=")</f>
        <v>#VALUE!</v>
      </c>
      <c r="G182" t="e">
        <f>IF('Planilla_General_29-11-2012_10_'!2727:2727,"AAAAADl0/wY=",0)</f>
        <v>#VALUE!</v>
      </c>
      <c r="H182" t="e">
        <f>AND('Planilla_General_29-11-2012_10_'!A2727,"AAAAADl0/wc=")</f>
        <v>#VALUE!</v>
      </c>
      <c r="I182" t="e">
        <f>AND('Planilla_General_29-11-2012_10_'!B2727,"AAAAADl0/wg=")</f>
        <v>#VALUE!</v>
      </c>
      <c r="J182" t="e">
        <f>AND('Planilla_General_29-11-2012_10_'!C2727,"AAAAADl0/wk=")</f>
        <v>#VALUE!</v>
      </c>
      <c r="K182" t="e">
        <f>AND('Planilla_General_29-11-2012_10_'!D2727,"AAAAADl0/wo=")</f>
        <v>#VALUE!</v>
      </c>
      <c r="L182" t="e">
        <f>AND('Planilla_General_29-11-2012_10_'!E2727,"AAAAADl0/ws=")</f>
        <v>#VALUE!</v>
      </c>
      <c r="M182" t="e">
        <f>AND('Planilla_General_29-11-2012_10_'!F2727,"AAAAADl0/ww=")</f>
        <v>#VALUE!</v>
      </c>
      <c r="N182" t="e">
        <f>AND('Planilla_General_29-11-2012_10_'!G2727,"AAAAADl0/w0=")</f>
        <v>#VALUE!</v>
      </c>
      <c r="O182" t="e">
        <f>AND('Planilla_General_29-11-2012_10_'!H2727,"AAAAADl0/w4=")</f>
        <v>#VALUE!</v>
      </c>
      <c r="P182" t="e">
        <f>AND('Planilla_General_29-11-2012_10_'!I2727,"AAAAADl0/w8=")</f>
        <v>#VALUE!</v>
      </c>
      <c r="Q182" t="e">
        <f>AND('Planilla_General_29-11-2012_10_'!J2727,"AAAAADl0/xA=")</f>
        <v>#VALUE!</v>
      </c>
      <c r="R182" t="e">
        <f>AND('Planilla_General_29-11-2012_10_'!K2727,"AAAAADl0/xE=")</f>
        <v>#VALUE!</v>
      </c>
      <c r="S182" t="e">
        <f>AND('Planilla_General_29-11-2012_10_'!L2727,"AAAAADl0/xI=")</f>
        <v>#VALUE!</v>
      </c>
      <c r="T182" t="e">
        <f>AND('Planilla_General_29-11-2012_10_'!M2727,"AAAAADl0/xM=")</f>
        <v>#VALUE!</v>
      </c>
      <c r="U182" t="e">
        <f>AND('Planilla_General_29-11-2012_10_'!N2727,"AAAAADl0/xQ=")</f>
        <v>#VALUE!</v>
      </c>
      <c r="V182" t="e">
        <f>AND('Planilla_General_29-11-2012_10_'!O2727,"AAAAADl0/xU=")</f>
        <v>#VALUE!</v>
      </c>
      <c r="W182" t="e">
        <f>AND('Planilla_General_29-11-2012_10_'!P2727,"AAAAADl0/xY=")</f>
        <v>#VALUE!</v>
      </c>
      <c r="X182">
        <f>IF('Planilla_General_29-11-2012_10_'!2728:2728,"AAAAADl0/xc=",0)</f>
        <v>0</v>
      </c>
      <c r="Y182" t="e">
        <f>AND('Planilla_General_29-11-2012_10_'!A2728,"AAAAADl0/xg=")</f>
        <v>#VALUE!</v>
      </c>
      <c r="Z182" t="e">
        <f>AND('Planilla_General_29-11-2012_10_'!B2728,"AAAAADl0/xk=")</f>
        <v>#VALUE!</v>
      </c>
      <c r="AA182" t="e">
        <f>AND('Planilla_General_29-11-2012_10_'!C2728,"AAAAADl0/xo=")</f>
        <v>#VALUE!</v>
      </c>
      <c r="AB182" t="e">
        <f>AND('Planilla_General_29-11-2012_10_'!D2728,"AAAAADl0/xs=")</f>
        <v>#VALUE!</v>
      </c>
      <c r="AC182" t="e">
        <f>AND('Planilla_General_29-11-2012_10_'!E2728,"AAAAADl0/xw=")</f>
        <v>#VALUE!</v>
      </c>
      <c r="AD182" t="e">
        <f>AND('Planilla_General_29-11-2012_10_'!F2728,"AAAAADl0/x0=")</f>
        <v>#VALUE!</v>
      </c>
      <c r="AE182" t="e">
        <f>AND('Planilla_General_29-11-2012_10_'!G2728,"AAAAADl0/x4=")</f>
        <v>#VALUE!</v>
      </c>
      <c r="AF182" t="e">
        <f>AND('Planilla_General_29-11-2012_10_'!H2728,"AAAAADl0/x8=")</f>
        <v>#VALUE!</v>
      </c>
      <c r="AG182" t="e">
        <f>AND('Planilla_General_29-11-2012_10_'!I2728,"AAAAADl0/yA=")</f>
        <v>#VALUE!</v>
      </c>
      <c r="AH182" t="e">
        <f>AND('Planilla_General_29-11-2012_10_'!J2728,"AAAAADl0/yE=")</f>
        <v>#VALUE!</v>
      </c>
      <c r="AI182" t="e">
        <f>AND('Planilla_General_29-11-2012_10_'!K2728,"AAAAADl0/yI=")</f>
        <v>#VALUE!</v>
      </c>
      <c r="AJ182" t="e">
        <f>AND('Planilla_General_29-11-2012_10_'!L2728,"AAAAADl0/yM=")</f>
        <v>#VALUE!</v>
      </c>
      <c r="AK182" t="e">
        <f>AND('Planilla_General_29-11-2012_10_'!M2728,"AAAAADl0/yQ=")</f>
        <v>#VALUE!</v>
      </c>
      <c r="AL182" t="e">
        <f>AND('Planilla_General_29-11-2012_10_'!N2728,"AAAAADl0/yU=")</f>
        <v>#VALUE!</v>
      </c>
      <c r="AM182" t="e">
        <f>AND('Planilla_General_29-11-2012_10_'!O2728,"AAAAADl0/yY=")</f>
        <v>#VALUE!</v>
      </c>
      <c r="AN182" t="e">
        <f>AND('Planilla_General_29-11-2012_10_'!P2728,"AAAAADl0/yc=")</f>
        <v>#VALUE!</v>
      </c>
      <c r="AO182">
        <f>IF('Planilla_General_29-11-2012_10_'!2729:2729,"AAAAADl0/yg=",0)</f>
        <v>0</v>
      </c>
      <c r="AP182" t="e">
        <f>AND('Planilla_General_29-11-2012_10_'!A2729,"AAAAADl0/yk=")</f>
        <v>#VALUE!</v>
      </c>
      <c r="AQ182" t="e">
        <f>AND('Planilla_General_29-11-2012_10_'!B2729,"AAAAADl0/yo=")</f>
        <v>#VALUE!</v>
      </c>
      <c r="AR182" t="e">
        <f>AND('Planilla_General_29-11-2012_10_'!C2729,"AAAAADl0/ys=")</f>
        <v>#VALUE!</v>
      </c>
      <c r="AS182" t="e">
        <f>AND('Planilla_General_29-11-2012_10_'!D2729,"AAAAADl0/yw=")</f>
        <v>#VALUE!</v>
      </c>
      <c r="AT182" t="e">
        <f>AND('Planilla_General_29-11-2012_10_'!E2729,"AAAAADl0/y0=")</f>
        <v>#VALUE!</v>
      </c>
      <c r="AU182" t="e">
        <f>AND('Planilla_General_29-11-2012_10_'!F2729,"AAAAADl0/y4=")</f>
        <v>#VALUE!</v>
      </c>
      <c r="AV182" t="e">
        <f>AND('Planilla_General_29-11-2012_10_'!G2729,"AAAAADl0/y8=")</f>
        <v>#VALUE!</v>
      </c>
      <c r="AW182" t="e">
        <f>AND('Planilla_General_29-11-2012_10_'!H2729,"AAAAADl0/zA=")</f>
        <v>#VALUE!</v>
      </c>
      <c r="AX182" t="e">
        <f>AND('Planilla_General_29-11-2012_10_'!I2729,"AAAAADl0/zE=")</f>
        <v>#VALUE!</v>
      </c>
      <c r="AY182" t="e">
        <f>AND('Planilla_General_29-11-2012_10_'!J2729,"AAAAADl0/zI=")</f>
        <v>#VALUE!</v>
      </c>
      <c r="AZ182" t="e">
        <f>AND('Planilla_General_29-11-2012_10_'!K2729,"AAAAADl0/zM=")</f>
        <v>#VALUE!</v>
      </c>
      <c r="BA182" t="e">
        <f>AND('Planilla_General_29-11-2012_10_'!L2729,"AAAAADl0/zQ=")</f>
        <v>#VALUE!</v>
      </c>
      <c r="BB182" t="e">
        <f>AND('Planilla_General_29-11-2012_10_'!M2729,"AAAAADl0/zU=")</f>
        <v>#VALUE!</v>
      </c>
      <c r="BC182" t="e">
        <f>AND('Planilla_General_29-11-2012_10_'!N2729,"AAAAADl0/zY=")</f>
        <v>#VALUE!</v>
      </c>
      <c r="BD182" t="e">
        <f>AND('Planilla_General_29-11-2012_10_'!O2729,"AAAAADl0/zc=")</f>
        <v>#VALUE!</v>
      </c>
      <c r="BE182" t="e">
        <f>AND('Planilla_General_29-11-2012_10_'!P2729,"AAAAADl0/zg=")</f>
        <v>#VALUE!</v>
      </c>
      <c r="BF182">
        <f>IF('Planilla_General_29-11-2012_10_'!2730:2730,"AAAAADl0/zk=",0)</f>
        <v>0</v>
      </c>
      <c r="BG182" t="e">
        <f>AND('Planilla_General_29-11-2012_10_'!A2730,"AAAAADl0/zo=")</f>
        <v>#VALUE!</v>
      </c>
      <c r="BH182" t="e">
        <f>AND('Planilla_General_29-11-2012_10_'!B2730,"AAAAADl0/zs=")</f>
        <v>#VALUE!</v>
      </c>
      <c r="BI182" t="e">
        <f>AND('Planilla_General_29-11-2012_10_'!C2730,"AAAAADl0/zw=")</f>
        <v>#VALUE!</v>
      </c>
      <c r="BJ182" t="e">
        <f>AND('Planilla_General_29-11-2012_10_'!D2730,"AAAAADl0/z0=")</f>
        <v>#VALUE!</v>
      </c>
      <c r="BK182" t="e">
        <f>AND('Planilla_General_29-11-2012_10_'!E2730,"AAAAADl0/z4=")</f>
        <v>#VALUE!</v>
      </c>
      <c r="BL182" t="e">
        <f>AND('Planilla_General_29-11-2012_10_'!F2730,"AAAAADl0/z8=")</f>
        <v>#VALUE!</v>
      </c>
      <c r="BM182" t="e">
        <f>AND('Planilla_General_29-11-2012_10_'!G2730,"AAAAADl0/0A=")</f>
        <v>#VALUE!</v>
      </c>
      <c r="BN182" t="e">
        <f>AND('Planilla_General_29-11-2012_10_'!H2730,"AAAAADl0/0E=")</f>
        <v>#VALUE!</v>
      </c>
      <c r="BO182" t="e">
        <f>AND('Planilla_General_29-11-2012_10_'!I2730,"AAAAADl0/0I=")</f>
        <v>#VALUE!</v>
      </c>
      <c r="BP182" t="e">
        <f>AND('Planilla_General_29-11-2012_10_'!J2730,"AAAAADl0/0M=")</f>
        <v>#VALUE!</v>
      </c>
      <c r="BQ182" t="e">
        <f>AND('Planilla_General_29-11-2012_10_'!K2730,"AAAAADl0/0Q=")</f>
        <v>#VALUE!</v>
      </c>
      <c r="BR182" t="e">
        <f>AND('Planilla_General_29-11-2012_10_'!L2730,"AAAAADl0/0U=")</f>
        <v>#VALUE!</v>
      </c>
      <c r="BS182" t="e">
        <f>AND('Planilla_General_29-11-2012_10_'!M2730,"AAAAADl0/0Y=")</f>
        <v>#VALUE!</v>
      </c>
      <c r="BT182" t="e">
        <f>AND('Planilla_General_29-11-2012_10_'!N2730,"AAAAADl0/0c=")</f>
        <v>#VALUE!</v>
      </c>
      <c r="BU182" t="e">
        <f>AND('Planilla_General_29-11-2012_10_'!O2730,"AAAAADl0/0g=")</f>
        <v>#VALUE!</v>
      </c>
      <c r="BV182" t="e">
        <f>AND('Planilla_General_29-11-2012_10_'!P2730,"AAAAADl0/0k=")</f>
        <v>#VALUE!</v>
      </c>
      <c r="BW182">
        <f>IF('Planilla_General_29-11-2012_10_'!2731:2731,"AAAAADl0/0o=",0)</f>
        <v>0</v>
      </c>
      <c r="BX182" t="e">
        <f>AND('Planilla_General_29-11-2012_10_'!A2731,"AAAAADl0/0s=")</f>
        <v>#VALUE!</v>
      </c>
      <c r="BY182" t="e">
        <f>AND('Planilla_General_29-11-2012_10_'!B2731,"AAAAADl0/0w=")</f>
        <v>#VALUE!</v>
      </c>
      <c r="BZ182" t="e">
        <f>AND('Planilla_General_29-11-2012_10_'!C2731,"AAAAADl0/00=")</f>
        <v>#VALUE!</v>
      </c>
      <c r="CA182" t="e">
        <f>AND('Planilla_General_29-11-2012_10_'!D2731,"AAAAADl0/04=")</f>
        <v>#VALUE!</v>
      </c>
      <c r="CB182" t="e">
        <f>AND('Planilla_General_29-11-2012_10_'!E2731,"AAAAADl0/08=")</f>
        <v>#VALUE!</v>
      </c>
      <c r="CC182" t="e">
        <f>AND('Planilla_General_29-11-2012_10_'!F2731,"AAAAADl0/1A=")</f>
        <v>#VALUE!</v>
      </c>
      <c r="CD182" t="e">
        <f>AND('Planilla_General_29-11-2012_10_'!G2731,"AAAAADl0/1E=")</f>
        <v>#VALUE!</v>
      </c>
      <c r="CE182" t="e">
        <f>AND('Planilla_General_29-11-2012_10_'!H2731,"AAAAADl0/1I=")</f>
        <v>#VALUE!</v>
      </c>
      <c r="CF182" t="e">
        <f>AND('Planilla_General_29-11-2012_10_'!I2731,"AAAAADl0/1M=")</f>
        <v>#VALUE!</v>
      </c>
      <c r="CG182" t="e">
        <f>AND('Planilla_General_29-11-2012_10_'!J2731,"AAAAADl0/1Q=")</f>
        <v>#VALUE!</v>
      </c>
      <c r="CH182" t="e">
        <f>AND('Planilla_General_29-11-2012_10_'!K2731,"AAAAADl0/1U=")</f>
        <v>#VALUE!</v>
      </c>
      <c r="CI182" t="e">
        <f>AND('Planilla_General_29-11-2012_10_'!L2731,"AAAAADl0/1Y=")</f>
        <v>#VALUE!</v>
      </c>
      <c r="CJ182" t="e">
        <f>AND('Planilla_General_29-11-2012_10_'!M2731,"AAAAADl0/1c=")</f>
        <v>#VALUE!</v>
      </c>
      <c r="CK182" t="e">
        <f>AND('Planilla_General_29-11-2012_10_'!N2731,"AAAAADl0/1g=")</f>
        <v>#VALUE!</v>
      </c>
      <c r="CL182" t="e">
        <f>AND('Planilla_General_29-11-2012_10_'!O2731,"AAAAADl0/1k=")</f>
        <v>#VALUE!</v>
      </c>
      <c r="CM182" t="e">
        <f>AND('Planilla_General_29-11-2012_10_'!P2731,"AAAAADl0/1o=")</f>
        <v>#VALUE!</v>
      </c>
      <c r="CN182">
        <f>IF('Planilla_General_29-11-2012_10_'!2732:2732,"AAAAADl0/1s=",0)</f>
        <v>0</v>
      </c>
      <c r="CO182" t="e">
        <f>AND('Planilla_General_29-11-2012_10_'!A2732,"AAAAADl0/1w=")</f>
        <v>#VALUE!</v>
      </c>
      <c r="CP182" t="e">
        <f>AND('Planilla_General_29-11-2012_10_'!B2732,"AAAAADl0/10=")</f>
        <v>#VALUE!</v>
      </c>
      <c r="CQ182" t="e">
        <f>AND('Planilla_General_29-11-2012_10_'!C2732,"AAAAADl0/14=")</f>
        <v>#VALUE!</v>
      </c>
      <c r="CR182" t="e">
        <f>AND('Planilla_General_29-11-2012_10_'!D2732,"AAAAADl0/18=")</f>
        <v>#VALUE!</v>
      </c>
      <c r="CS182" t="e">
        <f>AND('Planilla_General_29-11-2012_10_'!E2732,"AAAAADl0/2A=")</f>
        <v>#VALUE!</v>
      </c>
      <c r="CT182" t="e">
        <f>AND('Planilla_General_29-11-2012_10_'!F2732,"AAAAADl0/2E=")</f>
        <v>#VALUE!</v>
      </c>
      <c r="CU182" t="e">
        <f>AND('Planilla_General_29-11-2012_10_'!G2732,"AAAAADl0/2I=")</f>
        <v>#VALUE!</v>
      </c>
      <c r="CV182" t="e">
        <f>AND('Planilla_General_29-11-2012_10_'!H2732,"AAAAADl0/2M=")</f>
        <v>#VALUE!</v>
      </c>
      <c r="CW182" t="e">
        <f>AND('Planilla_General_29-11-2012_10_'!I2732,"AAAAADl0/2Q=")</f>
        <v>#VALUE!</v>
      </c>
      <c r="CX182" t="e">
        <f>AND('Planilla_General_29-11-2012_10_'!J2732,"AAAAADl0/2U=")</f>
        <v>#VALUE!</v>
      </c>
      <c r="CY182" t="e">
        <f>AND('Planilla_General_29-11-2012_10_'!K2732,"AAAAADl0/2Y=")</f>
        <v>#VALUE!</v>
      </c>
      <c r="CZ182" t="e">
        <f>AND('Planilla_General_29-11-2012_10_'!L2732,"AAAAADl0/2c=")</f>
        <v>#VALUE!</v>
      </c>
      <c r="DA182" t="e">
        <f>AND('Planilla_General_29-11-2012_10_'!M2732,"AAAAADl0/2g=")</f>
        <v>#VALUE!</v>
      </c>
      <c r="DB182" t="e">
        <f>AND('Planilla_General_29-11-2012_10_'!N2732,"AAAAADl0/2k=")</f>
        <v>#VALUE!</v>
      </c>
      <c r="DC182" t="e">
        <f>AND('Planilla_General_29-11-2012_10_'!O2732,"AAAAADl0/2o=")</f>
        <v>#VALUE!</v>
      </c>
      <c r="DD182" t="e">
        <f>AND('Planilla_General_29-11-2012_10_'!P2732,"AAAAADl0/2s=")</f>
        <v>#VALUE!</v>
      </c>
      <c r="DE182">
        <f>IF('Planilla_General_29-11-2012_10_'!2733:2733,"AAAAADl0/2w=",0)</f>
        <v>0</v>
      </c>
      <c r="DF182" t="e">
        <f>AND('Planilla_General_29-11-2012_10_'!A2733,"AAAAADl0/20=")</f>
        <v>#VALUE!</v>
      </c>
      <c r="DG182" t="e">
        <f>AND('Planilla_General_29-11-2012_10_'!B2733,"AAAAADl0/24=")</f>
        <v>#VALUE!</v>
      </c>
      <c r="DH182" t="e">
        <f>AND('Planilla_General_29-11-2012_10_'!C2733,"AAAAADl0/28=")</f>
        <v>#VALUE!</v>
      </c>
      <c r="DI182" t="e">
        <f>AND('Planilla_General_29-11-2012_10_'!D2733,"AAAAADl0/3A=")</f>
        <v>#VALUE!</v>
      </c>
      <c r="DJ182" t="e">
        <f>AND('Planilla_General_29-11-2012_10_'!E2733,"AAAAADl0/3E=")</f>
        <v>#VALUE!</v>
      </c>
      <c r="DK182" t="e">
        <f>AND('Planilla_General_29-11-2012_10_'!F2733,"AAAAADl0/3I=")</f>
        <v>#VALUE!</v>
      </c>
      <c r="DL182" t="e">
        <f>AND('Planilla_General_29-11-2012_10_'!G2733,"AAAAADl0/3M=")</f>
        <v>#VALUE!</v>
      </c>
      <c r="DM182" t="e">
        <f>AND('Planilla_General_29-11-2012_10_'!H2733,"AAAAADl0/3Q=")</f>
        <v>#VALUE!</v>
      </c>
      <c r="DN182" t="e">
        <f>AND('Planilla_General_29-11-2012_10_'!I2733,"AAAAADl0/3U=")</f>
        <v>#VALUE!</v>
      </c>
      <c r="DO182" t="e">
        <f>AND('Planilla_General_29-11-2012_10_'!J2733,"AAAAADl0/3Y=")</f>
        <v>#VALUE!</v>
      </c>
      <c r="DP182" t="e">
        <f>AND('Planilla_General_29-11-2012_10_'!K2733,"AAAAADl0/3c=")</f>
        <v>#VALUE!</v>
      </c>
      <c r="DQ182" t="e">
        <f>AND('Planilla_General_29-11-2012_10_'!L2733,"AAAAADl0/3g=")</f>
        <v>#VALUE!</v>
      </c>
      <c r="DR182" t="e">
        <f>AND('Planilla_General_29-11-2012_10_'!M2733,"AAAAADl0/3k=")</f>
        <v>#VALUE!</v>
      </c>
      <c r="DS182" t="e">
        <f>AND('Planilla_General_29-11-2012_10_'!N2733,"AAAAADl0/3o=")</f>
        <v>#VALUE!</v>
      </c>
      <c r="DT182" t="e">
        <f>AND('Planilla_General_29-11-2012_10_'!O2733,"AAAAADl0/3s=")</f>
        <v>#VALUE!</v>
      </c>
      <c r="DU182" t="e">
        <f>AND('Planilla_General_29-11-2012_10_'!P2733,"AAAAADl0/3w=")</f>
        <v>#VALUE!</v>
      </c>
      <c r="DV182">
        <f>IF('Planilla_General_29-11-2012_10_'!2734:2734,"AAAAADl0/30=",0)</f>
        <v>0</v>
      </c>
      <c r="DW182" t="e">
        <f>AND('Planilla_General_29-11-2012_10_'!A2734,"AAAAADl0/34=")</f>
        <v>#VALUE!</v>
      </c>
      <c r="DX182" t="e">
        <f>AND('Planilla_General_29-11-2012_10_'!B2734,"AAAAADl0/38=")</f>
        <v>#VALUE!</v>
      </c>
      <c r="DY182" t="e">
        <f>AND('Planilla_General_29-11-2012_10_'!C2734,"AAAAADl0/4A=")</f>
        <v>#VALUE!</v>
      </c>
      <c r="DZ182" t="e">
        <f>AND('Planilla_General_29-11-2012_10_'!D2734,"AAAAADl0/4E=")</f>
        <v>#VALUE!</v>
      </c>
      <c r="EA182" t="e">
        <f>AND('Planilla_General_29-11-2012_10_'!E2734,"AAAAADl0/4I=")</f>
        <v>#VALUE!</v>
      </c>
      <c r="EB182" t="e">
        <f>AND('Planilla_General_29-11-2012_10_'!F2734,"AAAAADl0/4M=")</f>
        <v>#VALUE!</v>
      </c>
      <c r="EC182" t="e">
        <f>AND('Planilla_General_29-11-2012_10_'!G2734,"AAAAADl0/4Q=")</f>
        <v>#VALUE!</v>
      </c>
      <c r="ED182" t="e">
        <f>AND('Planilla_General_29-11-2012_10_'!H2734,"AAAAADl0/4U=")</f>
        <v>#VALUE!</v>
      </c>
      <c r="EE182" t="e">
        <f>AND('Planilla_General_29-11-2012_10_'!I2734,"AAAAADl0/4Y=")</f>
        <v>#VALUE!</v>
      </c>
      <c r="EF182" t="e">
        <f>AND('Planilla_General_29-11-2012_10_'!J2734,"AAAAADl0/4c=")</f>
        <v>#VALUE!</v>
      </c>
      <c r="EG182" t="e">
        <f>AND('Planilla_General_29-11-2012_10_'!K2734,"AAAAADl0/4g=")</f>
        <v>#VALUE!</v>
      </c>
      <c r="EH182" t="e">
        <f>AND('Planilla_General_29-11-2012_10_'!L2734,"AAAAADl0/4k=")</f>
        <v>#VALUE!</v>
      </c>
      <c r="EI182" t="e">
        <f>AND('Planilla_General_29-11-2012_10_'!M2734,"AAAAADl0/4o=")</f>
        <v>#VALUE!</v>
      </c>
      <c r="EJ182" t="e">
        <f>AND('Planilla_General_29-11-2012_10_'!N2734,"AAAAADl0/4s=")</f>
        <v>#VALUE!</v>
      </c>
      <c r="EK182" t="e">
        <f>AND('Planilla_General_29-11-2012_10_'!O2734,"AAAAADl0/4w=")</f>
        <v>#VALUE!</v>
      </c>
      <c r="EL182" t="e">
        <f>AND('Planilla_General_29-11-2012_10_'!P2734,"AAAAADl0/40=")</f>
        <v>#VALUE!</v>
      </c>
      <c r="EM182">
        <f>IF('Planilla_General_29-11-2012_10_'!2735:2735,"AAAAADl0/44=",0)</f>
        <v>0</v>
      </c>
      <c r="EN182" t="e">
        <f>AND('Planilla_General_29-11-2012_10_'!A2735,"AAAAADl0/48=")</f>
        <v>#VALUE!</v>
      </c>
      <c r="EO182" t="e">
        <f>AND('Planilla_General_29-11-2012_10_'!B2735,"AAAAADl0/5A=")</f>
        <v>#VALUE!</v>
      </c>
      <c r="EP182" t="e">
        <f>AND('Planilla_General_29-11-2012_10_'!C2735,"AAAAADl0/5E=")</f>
        <v>#VALUE!</v>
      </c>
      <c r="EQ182" t="e">
        <f>AND('Planilla_General_29-11-2012_10_'!D2735,"AAAAADl0/5I=")</f>
        <v>#VALUE!</v>
      </c>
      <c r="ER182" t="e">
        <f>AND('Planilla_General_29-11-2012_10_'!E2735,"AAAAADl0/5M=")</f>
        <v>#VALUE!</v>
      </c>
      <c r="ES182" t="e">
        <f>AND('Planilla_General_29-11-2012_10_'!F2735,"AAAAADl0/5Q=")</f>
        <v>#VALUE!</v>
      </c>
      <c r="ET182" t="e">
        <f>AND('Planilla_General_29-11-2012_10_'!G2735,"AAAAADl0/5U=")</f>
        <v>#VALUE!</v>
      </c>
      <c r="EU182" t="e">
        <f>AND('Planilla_General_29-11-2012_10_'!H2735,"AAAAADl0/5Y=")</f>
        <v>#VALUE!</v>
      </c>
      <c r="EV182" t="e">
        <f>AND('Planilla_General_29-11-2012_10_'!I2735,"AAAAADl0/5c=")</f>
        <v>#VALUE!</v>
      </c>
      <c r="EW182" t="e">
        <f>AND('Planilla_General_29-11-2012_10_'!J2735,"AAAAADl0/5g=")</f>
        <v>#VALUE!</v>
      </c>
      <c r="EX182" t="e">
        <f>AND('Planilla_General_29-11-2012_10_'!K2735,"AAAAADl0/5k=")</f>
        <v>#VALUE!</v>
      </c>
      <c r="EY182" t="e">
        <f>AND('Planilla_General_29-11-2012_10_'!L2735,"AAAAADl0/5o=")</f>
        <v>#VALUE!</v>
      </c>
      <c r="EZ182" t="e">
        <f>AND('Planilla_General_29-11-2012_10_'!M2735,"AAAAADl0/5s=")</f>
        <v>#VALUE!</v>
      </c>
      <c r="FA182" t="e">
        <f>AND('Planilla_General_29-11-2012_10_'!N2735,"AAAAADl0/5w=")</f>
        <v>#VALUE!</v>
      </c>
      <c r="FB182" t="e">
        <f>AND('Planilla_General_29-11-2012_10_'!O2735,"AAAAADl0/50=")</f>
        <v>#VALUE!</v>
      </c>
      <c r="FC182" t="e">
        <f>AND('Planilla_General_29-11-2012_10_'!P2735,"AAAAADl0/54=")</f>
        <v>#VALUE!</v>
      </c>
      <c r="FD182">
        <f>IF('Planilla_General_29-11-2012_10_'!2736:2736,"AAAAADl0/58=",0)</f>
        <v>0</v>
      </c>
      <c r="FE182" t="e">
        <f>AND('Planilla_General_29-11-2012_10_'!A2736,"AAAAADl0/6A=")</f>
        <v>#VALUE!</v>
      </c>
      <c r="FF182" t="e">
        <f>AND('Planilla_General_29-11-2012_10_'!B2736,"AAAAADl0/6E=")</f>
        <v>#VALUE!</v>
      </c>
      <c r="FG182" t="e">
        <f>AND('Planilla_General_29-11-2012_10_'!C2736,"AAAAADl0/6I=")</f>
        <v>#VALUE!</v>
      </c>
      <c r="FH182" t="e">
        <f>AND('Planilla_General_29-11-2012_10_'!D2736,"AAAAADl0/6M=")</f>
        <v>#VALUE!</v>
      </c>
      <c r="FI182" t="e">
        <f>AND('Planilla_General_29-11-2012_10_'!E2736,"AAAAADl0/6Q=")</f>
        <v>#VALUE!</v>
      </c>
      <c r="FJ182" t="e">
        <f>AND('Planilla_General_29-11-2012_10_'!F2736,"AAAAADl0/6U=")</f>
        <v>#VALUE!</v>
      </c>
      <c r="FK182" t="e">
        <f>AND('Planilla_General_29-11-2012_10_'!G2736,"AAAAADl0/6Y=")</f>
        <v>#VALUE!</v>
      </c>
      <c r="FL182" t="e">
        <f>AND('Planilla_General_29-11-2012_10_'!H2736,"AAAAADl0/6c=")</f>
        <v>#VALUE!</v>
      </c>
      <c r="FM182" t="e">
        <f>AND('Planilla_General_29-11-2012_10_'!I2736,"AAAAADl0/6g=")</f>
        <v>#VALUE!</v>
      </c>
      <c r="FN182" t="e">
        <f>AND('Planilla_General_29-11-2012_10_'!J2736,"AAAAADl0/6k=")</f>
        <v>#VALUE!</v>
      </c>
      <c r="FO182" t="e">
        <f>AND('Planilla_General_29-11-2012_10_'!K2736,"AAAAADl0/6o=")</f>
        <v>#VALUE!</v>
      </c>
      <c r="FP182" t="e">
        <f>AND('Planilla_General_29-11-2012_10_'!L2736,"AAAAADl0/6s=")</f>
        <v>#VALUE!</v>
      </c>
      <c r="FQ182" t="e">
        <f>AND('Planilla_General_29-11-2012_10_'!M2736,"AAAAADl0/6w=")</f>
        <v>#VALUE!</v>
      </c>
      <c r="FR182" t="e">
        <f>AND('Planilla_General_29-11-2012_10_'!N2736,"AAAAADl0/60=")</f>
        <v>#VALUE!</v>
      </c>
      <c r="FS182" t="e">
        <f>AND('Planilla_General_29-11-2012_10_'!O2736,"AAAAADl0/64=")</f>
        <v>#VALUE!</v>
      </c>
      <c r="FT182" t="e">
        <f>AND('Planilla_General_29-11-2012_10_'!P2736,"AAAAADl0/68=")</f>
        <v>#VALUE!</v>
      </c>
      <c r="FU182">
        <f>IF('Planilla_General_29-11-2012_10_'!2737:2737,"AAAAADl0/7A=",0)</f>
        <v>0</v>
      </c>
      <c r="FV182" t="e">
        <f>AND('Planilla_General_29-11-2012_10_'!A2737,"AAAAADl0/7E=")</f>
        <v>#VALUE!</v>
      </c>
      <c r="FW182" t="e">
        <f>AND('Planilla_General_29-11-2012_10_'!B2737,"AAAAADl0/7I=")</f>
        <v>#VALUE!</v>
      </c>
      <c r="FX182" t="e">
        <f>AND('Planilla_General_29-11-2012_10_'!C2737,"AAAAADl0/7M=")</f>
        <v>#VALUE!</v>
      </c>
      <c r="FY182" t="e">
        <f>AND('Planilla_General_29-11-2012_10_'!D2737,"AAAAADl0/7Q=")</f>
        <v>#VALUE!</v>
      </c>
      <c r="FZ182" t="e">
        <f>AND('Planilla_General_29-11-2012_10_'!E2737,"AAAAADl0/7U=")</f>
        <v>#VALUE!</v>
      </c>
      <c r="GA182" t="e">
        <f>AND('Planilla_General_29-11-2012_10_'!F2737,"AAAAADl0/7Y=")</f>
        <v>#VALUE!</v>
      </c>
      <c r="GB182" t="e">
        <f>AND('Planilla_General_29-11-2012_10_'!G2737,"AAAAADl0/7c=")</f>
        <v>#VALUE!</v>
      </c>
      <c r="GC182" t="e">
        <f>AND('Planilla_General_29-11-2012_10_'!H2737,"AAAAADl0/7g=")</f>
        <v>#VALUE!</v>
      </c>
      <c r="GD182" t="e">
        <f>AND('Planilla_General_29-11-2012_10_'!I2737,"AAAAADl0/7k=")</f>
        <v>#VALUE!</v>
      </c>
      <c r="GE182" t="e">
        <f>AND('Planilla_General_29-11-2012_10_'!J2737,"AAAAADl0/7o=")</f>
        <v>#VALUE!</v>
      </c>
      <c r="GF182" t="e">
        <f>AND('Planilla_General_29-11-2012_10_'!K2737,"AAAAADl0/7s=")</f>
        <v>#VALUE!</v>
      </c>
      <c r="GG182" t="e">
        <f>AND('Planilla_General_29-11-2012_10_'!L2737,"AAAAADl0/7w=")</f>
        <v>#VALUE!</v>
      </c>
      <c r="GH182" t="e">
        <f>AND('Planilla_General_29-11-2012_10_'!M2737,"AAAAADl0/70=")</f>
        <v>#VALUE!</v>
      </c>
      <c r="GI182" t="e">
        <f>AND('Planilla_General_29-11-2012_10_'!N2737,"AAAAADl0/74=")</f>
        <v>#VALUE!</v>
      </c>
      <c r="GJ182" t="e">
        <f>AND('Planilla_General_29-11-2012_10_'!O2737,"AAAAADl0/78=")</f>
        <v>#VALUE!</v>
      </c>
      <c r="GK182" t="e">
        <f>AND('Planilla_General_29-11-2012_10_'!P2737,"AAAAADl0/8A=")</f>
        <v>#VALUE!</v>
      </c>
      <c r="GL182">
        <f>IF('Planilla_General_29-11-2012_10_'!2738:2738,"AAAAADl0/8E=",0)</f>
        <v>0</v>
      </c>
      <c r="GM182" t="e">
        <f>AND('Planilla_General_29-11-2012_10_'!A2738,"AAAAADl0/8I=")</f>
        <v>#VALUE!</v>
      </c>
      <c r="GN182" t="e">
        <f>AND('Planilla_General_29-11-2012_10_'!B2738,"AAAAADl0/8M=")</f>
        <v>#VALUE!</v>
      </c>
      <c r="GO182" t="e">
        <f>AND('Planilla_General_29-11-2012_10_'!C2738,"AAAAADl0/8Q=")</f>
        <v>#VALUE!</v>
      </c>
      <c r="GP182" t="e">
        <f>AND('Planilla_General_29-11-2012_10_'!D2738,"AAAAADl0/8U=")</f>
        <v>#VALUE!</v>
      </c>
      <c r="GQ182" t="e">
        <f>AND('Planilla_General_29-11-2012_10_'!E2738,"AAAAADl0/8Y=")</f>
        <v>#VALUE!</v>
      </c>
      <c r="GR182" t="e">
        <f>AND('Planilla_General_29-11-2012_10_'!F2738,"AAAAADl0/8c=")</f>
        <v>#VALUE!</v>
      </c>
      <c r="GS182" t="e">
        <f>AND('Planilla_General_29-11-2012_10_'!G2738,"AAAAADl0/8g=")</f>
        <v>#VALUE!</v>
      </c>
      <c r="GT182" t="e">
        <f>AND('Planilla_General_29-11-2012_10_'!H2738,"AAAAADl0/8k=")</f>
        <v>#VALUE!</v>
      </c>
      <c r="GU182" t="e">
        <f>AND('Planilla_General_29-11-2012_10_'!I2738,"AAAAADl0/8o=")</f>
        <v>#VALUE!</v>
      </c>
      <c r="GV182" t="e">
        <f>AND('Planilla_General_29-11-2012_10_'!J2738,"AAAAADl0/8s=")</f>
        <v>#VALUE!</v>
      </c>
      <c r="GW182" t="e">
        <f>AND('Planilla_General_29-11-2012_10_'!K2738,"AAAAADl0/8w=")</f>
        <v>#VALUE!</v>
      </c>
      <c r="GX182" t="e">
        <f>AND('Planilla_General_29-11-2012_10_'!L2738,"AAAAADl0/80=")</f>
        <v>#VALUE!</v>
      </c>
      <c r="GY182" t="e">
        <f>AND('Planilla_General_29-11-2012_10_'!M2738,"AAAAADl0/84=")</f>
        <v>#VALUE!</v>
      </c>
      <c r="GZ182" t="e">
        <f>AND('Planilla_General_29-11-2012_10_'!N2738,"AAAAADl0/88=")</f>
        <v>#VALUE!</v>
      </c>
      <c r="HA182" t="e">
        <f>AND('Planilla_General_29-11-2012_10_'!O2738,"AAAAADl0/9A=")</f>
        <v>#VALUE!</v>
      </c>
      <c r="HB182" t="e">
        <f>AND('Planilla_General_29-11-2012_10_'!P2738,"AAAAADl0/9E=")</f>
        <v>#VALUE!</v>
      </c>
      <c r="HC182">
        <f>IF('Planilla_General_29-11-2012_10_'!2739:2739,"AAAAADl0/9I=",0)</f>
        <v>0</v>
      </c>
      <c r="HD182" t="e">
        <f>AND('Planilla_General_29-11-2012_10_'!A2739,"AAAAADl0/9M=")</f>
        <v>#VALUE!</v>
      </c>
      <c r="HE182" t="e">
        <f>AND('Planilla_General_29-11-2012_10_'!B2739,"AAAAADl0/9Q=")</f>
        <v>#VALUE!</v>
      </c>
      <c r="HF182" t="e">
        <f>AND('Planilla_General_29-11-2012_10_'!C2739,"AAAAADl0/9U=")</f>
        <v>#VALUE!</v>
      </c>
      <c r="HG182" t="e">
        <f>AND('Planilla_General_29-11-2012_10_'!D2739,"AAAAADl0/9Y=")</f>
        <v>#VALUE!</v>
      </c>
      <c r="HH182" t="e">
        <f>AND('Planilla_General_29-11-2012_10_'!E2739,"AAAAADl0/9c=")</f>
        <v>#VALUE!</v>
      </c>
      <c r="HI182" t="e">
        <f>AND('Planilla_General_29-11-2012_10_'!F2739,"AAAAADl0/9g=")</f>
        <v>#VALUE!</v>
      </c>
      <c r="HJ182" t="e">
        <f>AND('Planilla_General_29-11-2012_10_'!G2739,"AAAAADl0/9k=")</f>
        <v>#VALUE!</v>
      </c>
      <c r="HK182" t="e">
        <f>AND('Planilla_General_29-11-2012_10_'!H2739,"AAAAADl0/9o=")</f>
        <v>#VALUE!</v>
      </c>
      <c r="HL182" t="e">
        <f>AND('Planilla_General_29-11-2012_10_'!I2739,"AAAAADl0/9s=")</f>
        <v>#VALUE!</v>
      </c>
      <c r="HM182" t="e">
        <f>AND('Planilla_General_29-11-2012_10_'!J2739,"AAAAADl0/9w=")</f>
        <v>#VALUE!</v>
      </c>
      <c r="HN182" t="e">
        <f>AND('Planilla_General_29-11-2012_10_'!K2739,"AAAAADl0/90=")</f>
        <v>#VALUE!</v>
      </c>
      <c r="HO182" t="e">
        <f>AND('Planilla_General_29-11-2012_10_'!L2739,"AAAAADl0/94=")</f>
        <v>#VALUE!</v>
      </c>
      <c r="HP182" t="e">
        <f>AND('Planilla_General_29-11-2012_10_'!M2739,"AAAAADl0/98=")</f>
        <v>#VALUE!</v>
      </c>
      <c r="HQ182" t="e">
        <f>AND('Planilla_General_29-11-2012_10_'!N2739,"AAAAADl0/+A=")</f>
        <v>#VALUE!</v>
      </c>
      <c r="HR182" t="e">
        <f>AND('Planilla_General_29-11-2012_10_'!O2739,"AAAAADl0/+E=")</f>
        <v>#VALUE!</v>
      </c>
      <c r="HS182" t="e">
        <f>AND('Planilla_General_29-11-2012_10_'!P2739,"AAAAADl0/+I=")</f>
        <v>#VALUE!</v>
      </c>
      <c r="HT182">
        <f>IF('Planilla_General_29-11-2012_10_'!2740:2740,"AAAAADl0/+M=",0)</f>
        <v>0</v>
      </c>
      <c r="HU182" t="e">
        <f>AND('Planilla_General_29-11-2012_10_'!A2740,"AAAAADl0/+Q=")</f>
        <v>#VALUE!</v>
      </c>
      <c r="HV182" t="e">
        <f>AND('Planilla_General_29-11-2012_10_'!B2740,"AAAAADl0/+U=")</f>
        <v>#VALUE!</v>
      </c>
      <c r="HW182" t="e">
        <f>AND('Planilla_General_29-11-2012_10_'!C2740,"AAAAADl0/+Y=")</f>
        <v>#VALUE!</v>
      </c>
      <c r="HX182" t="e">
        <f>AND('Planilla_General_29-11-2012_10_'!D2740,"AAAAADl0/+c=")</f>
        <v>#VALUE!</v>
      </c>
      <c r="HY182" t="e">
        <f>AND('Planilla_General_29-11-2012_10_'!E2740,"AAAAADl0/+g=")</f>
        <v>#VALUE!</v>
      </c>
      <c r="HZ182" t="e">
        <f>AND('Planilla_General_29-11-2012_10_'!F2740,"AAAAADl0/+k=")</f>
        <v>#VALUE!</v>
      </c>
      <c r="IA182" t="e">
        <f>AND('Planilla_General_29-11-2012_10_'!G2740,"AAAAADl0/+o=")</f>
        <v>#VALUE!</v>
      </c>
      <c r="IB182" t="e">
        <f>AND('Planilla_General_29-11-2012_10_'!H2740,"AAAAADl0/+s=")</f>
        <v>#VALUE!</v>
      </c>
      <c r="IC182" t="e">
        <f>AND('Planilla_General_29-11-2012_10_'!I2740,"AAAAADl0/+w=")</f>
        <v>#VALUE!</v>
      </c>
      <c r="ID182" t="e">
        <f>AND('Planilla_General_29-11-2012_10_'!J2740,"AAAAADl0/+0=")</f>
        <v>#VALUE!</v>
      </c>
      <c r="IE182" t="e">
        <f>AND('Planilla_General_29-11-2012_10_'!K2740,"AAAAADl0/+4=")</f>
        <v>#VALUE!</v>
      </c>
      <c r="IF182" t="e">
        <f>AND('Planilla_General_29-11-2012_10_'!L2740,"AAAAADl0/+8=")</f>
        <v>#VALUE!</v>
      </c>
      <c r="IG182" t="e">
        <f>AND('Planilla_General_29-11-2012_10_'!M2740,"AAAAADl0//A=")</f>
        <v>#VALUE!</v>
      </c>
      <c r="IH182" t="e">
        <f>AND('Planilla_General_29-11-2012_10_'!N2740,"AAAAADl0//E=")</f>
        <v>#VALUE!</v>
      </c>
      <c r="II182" t="e">
        <f>AND('Planilla_General_29-11-2012_10_'!O2740,"AAAAADl0//I=")</f>
        <v>#VALUE!</v>
      </c>
      <c r="IJ182" t="e">
        <f>AND('Planilla_General_29-11-2012_10_'!P2740,"AAAAADl0//M=")</f>
        <v>#VALUE!</v>
      </c>
      <c r="IK182">
        <f>IF('Planilla_General_29-11-2012_10_'!2741:2741,"AAAAADl0//Q=",0)</f>
        <v>0</v>
      </c>
      <c r="IL182" t="e">
        <f>AND('Planilla_General_29-11-2012_10_'!A2741,"AAAAADl0//U=")</f>
        <v>#VALUE!</v>
      </c>
      <c r="IM182" t="e">
        <f>AND('Planilla_General_29-11-2012_10_'!B2741,"AAAAADl0//Y=")</f>
        <v>#VALUE!</v>
      </c>
      <c r="IN182" t="e">
        <f>AND('Planilla_General_29-11-2012_10_'!C2741,"AAAAADl0//c=")</f>
        <v>#VALUE!</v>
      </c>
      <c r="IO182" t="e">
        <f>AND('Planilla_General_29-11-2012_10_'!D2741,"AAAAADl0//g=")</f>
        <v>#VALUE!</v>
      </c>
      <c r="IP182" t="e">
        <f>AND('Planilla_General_29-11-2012_10_'!E2741,"AAAAADl0//k=")</f>
        <v>#VALUE!</v>
      </c>
      <c r="IQ182" t="e">
        <f>AND('Planilla_General_29-11-2012_10_'!F2741,"AAAAADl0//o=")</f>
        <v>#VALUE!</v>
      </c>
      <c r="IR182" t="e">
        <f>AND('Planilla_General_29-11-2012_10_'!G2741,"AAAAADl0//s=")</f>
        <v>#VALUE!</v>
      </c>
      <c r="IS182" t="e">
        <f>AND('Planilla_General_29-11-2012_10_'!H2741,"AAAAADl0//w=")</f>
        <v>#VALUE!</v>
      </c>
      <c r="IT182" t="e">
        <f>AND('Planilla_General_29-11-2012_10_'!I2741,"AAAAADl0//0=")</f>
        <v>#VALUE!</v>
      </c>
      <c r="IU182" t="e">
        <f>AND('Planilla_General_29-11-2012_10_'!J2741,"AAAAADl0//4=")</f>
        <v>#VALUE!</v>
      </c>
      <c r="IV182" t="e">
        <f>AND('Planilla_General_29-11-2012_10_'!K2741,"AAAAADl0//8=")</f>
        <v>#VALUE!</v>
      </c>
    </row>
    <row r="183" spans="1:256" x14ac:dyDescent="0.25">
      <c r="A183" t="e">
        <f>AND('Planilla_General_29-11-2012_10_'!L2741,"AAAAAFRp+gA=")</f>
        <v>#VALUE!</v>
      </c>
      <c r="B183" t="e">
        <f>AND('Planilla_General_29-11-2012_10_'!M2741,"AAAAAFRp+gE=")</f>
        <v>#VALUE!</v>
      </c>
      <c r="C183" t="e">
        <f>AND('Planilla_General_29-11-2012_10_'!N2741,"AAAAAFRp+gI=")</f>
        <v>#VALUE!</v>
      </c>
      <c r="D183" t="e">
        <f>AND('Planilla_General_29-11-2012_10_'!O2741,"AAAAAFRp+gM=")</f>
        <v>#VALUE!</v>
      </c>
      <c r="E183" t="e">
        <f>AND('Planilla_General_29-11-2012_10_'!P2741,"AAAAAFRp+gQ=")</f>
        <v>#VALUE!</v>
      </c>
      <c r="F183" t="e">
        <f>IF('Planilla_General_29-11-2012_10_'!2742:2742,"AAAAAFRp+gU=",0)</f>
        <v>#VALUE!</v>
      </c>
      <c r="G183" t="e">
        <f>AND('Planilla_General_29-11-2012_10_'!A2742,"AAAAAFRp+gY=")</f>
        <v>#VALUE!</v>
      </c>
      <c r="H183" t="e">
        <f>AND('Planilla_General_29-11-2012_10_'!B2742,"AAAAAFRp+gc=")</f>
        <v>#VALUE!</v>
      </c>
      <c r="I183" t="e">
        <f>AND('Planilla_General_29-11-2012_10_'!C2742,"AAAAAFRp+gg=")</f>
        <v>#VALUE!</v>
      </c>
      <c r="J183" t="e">
        <f>AND('Planilla_General_29-11-2012_10_'!D2742,"AAAAAFRp+gk=")</f>
        <v>#VALUE!</v>
      </c>
      <c r="K183" t="e">
        <f>AND('Planilla_General_29-11-2012_10_'!E2742,"AAAAAFRp+go=")</f>
        <v>#VALUE!</v>
      </c>
      <c r="L183" t="e">
        <f>AND('Planilla_General_29-11-2012_10_'!F2742,"AAAAAFRp+gs=")</f>
        <v>#VALUE!</v>
      </c>
      <c r="M183" t="e">
        <f>AND('Planilla_General_29-11-2012_10_'!G2742,"AAAAAFRp+gw=")</f>
        <v>#VALUE!</v>
      </c>
      <c r="N183" t="e">
        <f>AND('Planilla_General_29-11-2012_10_'!H2742,"AAAAAFRp+g0=")</f>
        <v>#VALUE!</v>
      </c>
      <c r="O183" t="e">
        <f>AND('Planilla_General_29-11-2012_10_'!I2742,"AAAAAFRp+g4=")</f>
        <v>#VALUE!</v>
      </c>
      <c r="P183" t="e">
        <f>AND('Planilla_General_29-11-2012_10_'!J2742,"AAAAAFRp+g8=")</f>
        <v>#VALUE!</v>
      </c>
      <c r="Q183" t="e">
        <f>AND('Planilla_General_29-11-2012_10_'!K2742,"AAAAAFRp+hA=")</f>
        <v>#VALUE!</v>
      </c>
      <c r="R183" t="e">
        <f>AND('Planilla_General_29-11-2012_10_'!L2742,"AAAAAFRp+hE=")</f>
        <v>#VALUE!</v>
      </c>
      <c r="S183" t="e">
        <f>AND('Planilla_General_29-11-2012_10_'!M2742,"AAAAAFRp+hI=")</f>
        <v>#VALUE!</v>
      </c>
      <c r="T183" t="e">
        <f>AND('Planilla_General_29-11-2012_10_'!N2742,"AAAAAFRp+hM=")</f>
        <v>#VALUE!</v>
      </c>
      <c r="U183" t="e">
        <f>AND('Planilla_General_29-11-2012_10_'!O2742,"AAAAAFRp+hQ=")</f>
        <v>#VALUE!</v>
      </c>
      <c r="V183" t="e">
        <f>AND('Planilla_General_29-11-2012_10_'!P2742,"AAAAAFRp+hU=")</f>
        <v>#VALUE!</v>
      </c>
      <c r="W183">
        <f>IF('Planilla_General_29-11-2012_10_'!2743:2743,"AAAAAFRp+hY=",0)</f>
        <v>0</v>
      </c>
      <c r="X183" t="e">
        <f>AND('Planilla_General_29-11-2012_10_'!A2743,"AAAAAFRp+hc=")</f>
        <v>#VALUE!</v>
      </c>
      <c r="Y183" t="e">
        <f>AND('Planilla_General_29-11-2012_10_'!B2743,"AAAAAFRp+hg=")</f>
        <v>#VALUE!</v>
      </c>
      <c r="Z183" t="e">
        <f>AND('Planilla_General_29-11-2012_10_'!C2743,"AAAAAFRp+hk=")</f>
        <v>#VALUE!</v>
      </c>
      <c r="AA183" t="e">
        <f>AND('Planilla_General_29-11-2012_10_'!D2743,"AAAAAFRp+ho=")</f>
        <v>#VALUE!</v>
      </c>
      <c r="AB183" t="e">
        <f>AND('Planilla_General_29-11-2012_10_'!E2743,"AAAAAFRp+hs=")</f>
        <v>#VALUE!</v>
      </c>
      <c r="AC183" t="e">
        <f>AND('Planilla_General_29-11-2012_10_'!F2743,"AAAAAFRp+hw=")</f>
        <v>#VALUE!</v>
      </c>
      <c r="AD183" t="e">
        <f>AND('Planilla_General_29-11-2012_10_'!G2743,"AAAAAFRp+h0=")</f>
        <v>#VALUE!</v>
      </c>
      <c r="AE183" t="e">
        <f>AND('Planilla_General_29-11-2012_10_'!H2743,"AAAAAFRp+h4=")</f>
        <v>#VALUE!</v>
      </c>
      <c r="AF183" t="e">
        <f>AND('Planilla_General_29-11-2012_10_'!I2743,"AAAAAFRp+h8=")</f>
        <v>#VALUE!</v>
      </c>
      <c r="AG183" t="e">
        <f>AND('Planilla_General_29-11-2012_10_'!J2743,"AAAAAFRp+iA=")</f>
        <v>#VALUE!</v>
      </c>
      <c r="AH183" t="e">
        <f>AND('Planilla_General_29-11-2012_10_'!K2743,"AAAAAFRp+iE=")</f>
        <v>#VALUE!</v>
      </c>
      <c r="AI183" t="e">
        <f>AND('Planilla_General_29-11-2012_10_'!L2743,"AAAAAFRp+iI=")</f>
        <v>#VALUE!</v>
      </c>
      <c r="AJ183" t="e">
        <f>AND('Planilla_General_29-11-2012_10_'!M2743,"AAAAAFRp+iM=")</f>
        <v>#VALUE!</v>
      </c>
      <c r="AK183" t="e">
        <f>AND('Planilla_General_29-11-2012_10_'!N2743,"AAAAAFRp+iQ=")</f>
        <v>#VALUE!</v>
      </c>
      <c r="AL183" t="e">
        <f>AND('Planilla_General_29-11-2012_10_'!O2743,"AAAAAFRp+iU=")</f>
        <v>#VALUE!</v>
      </c>
      <c r="AM183" t="e">
        <f>AND('Planilla_General_29-11-2012_10_'!P2743,"AAAAAFRp+iY=")</f>
        <v>#VALUE!</v>
      </c>
      <c r="AN183">
        <f>IF('Planilla_General_29-11-2012_10_'!2744:2744,"AAAAAFRp+ic=",0)</f>
        <v>0</v>
      </c>
      <c r="AO183" t="e">
        <f>AND('Planilla_General_29-11-2012_10_'!A2744,"AAAAAFRp+ig=")</f>
        <v>#VALUE!</v>
      </c>
      <c r="AP183" t="e">
        <f>AND('Planilla_General_29-11-2012_10_'!B2744,"AAAAAFRp+ik=")</f>
        <v>#VALUE!</v>
      </c>
      <c r="AQ183" t="e">
        <f>AND('Planilla_General_29-11-2012_10_'!C2744,"AAAAAFRp+io=")</f>
        <v>#VALUE!</v>
      </c>
      <c r="AR183" t="e">
        <f>AND('Planilla_General_29-11-2012_10_'!D2744,"AAAAAFRp+is=")</f>
        <v>#VALUE!</v>
      </c>
      <c r="AS183" t="e">
        <f>AND('Planilla_General_29-11-2012_10_'!E2744,"AAAAAFRp+iw=")</f>
        <v>#VALUE!</v>
      </c>
      <c r="AT183" t="e">
        <f>AND('Planilla_General_29-11-2012_10_'!F2744,"AAAAAFRp+i0=")</f>
        <v>#VALUE!</v>
      </c>
      <c r="AU183" t="e">
        <f>AND('Planilla_General_29-11-2012_10_'!G2744,"AAAAAFRp+i4=")</f>
        <v>#VALUE!</v>
      </c>
      <c r="AV183" t="e">
        <f>AND('Planilla_General_29-11-2012_10_'!H2744,"AAAAAFRp+i8=")</f>
        <v>#VALUE!</v>
      </c>
      <c r="AW183" t="e">
        <f>AND('Planilla_General_29-11-2012_10_'!I2744,"AAAAAFRp+jA=")</f>
        <v>#VALUE!</v>
      </c>
      <c r="AX183" t="e">
        <f>AND('Planilla_General_29-11-2012_10_'!J2744,"AAAAAFRp+jE=")</f>
        <v>#VALUE!</v>
      </c>
      <c r="AY183" t="e">
        <f>AND('Planilla_General_29-11-2012_10_'!K2744,"AAAAAFRp+jI=")</f>
        <v>#VALUE!</v>
      </c>
      <c r="AZ183" t="e">
        <f>AND('Planilla_General_29-11-2012_10_'!L2744,"AAAAAFRp+jM=")</f>
        <v>#VALUE!</v>
      </c>
      <c r="BA183" t="e">
        <f>AND('Planilla_General_29-11-2012_10_'!M2744,"AAAAAFRp+jQ=")</f>
        <v>#VALUE!</v>
      </c>
      <c r="BB183" t="e">
        <f>AND('Planilla_General_29-11-2012_10_'!N2744,"AAAAAFRp+jU=")</f>
        <v>#VALUE!</v>
      </c>
      <c r="BC183" t="e">
        <f>AND('Planilla_General_29-11-2012_10_'!O2744,"AAAAAFRp+jY=")</f>
        <v>#VALUE!</v>
      </c>
      <c r="BD183" t="e">
        <f>AND('Planilla_General_29-11-2012_10_'!P2744,"AAAAAFRp+jc=")</f>
        <v>#VALUE!</v>
      </c>
      <c r="BE183">
        <f>IF('Planilla_General_29-11-2012_10_'!2745:2745,"AAAAAFRp+jg=",0)</f>
        <v>0</v>
      </c>
      <c r="BF183" t="e">
        <f>AND('Planilla_General_29-11-2012_10_'!A2745,"AAAAAFRp+jk=")</f>
        <v>#VALUE!</v>
      </c>
      <c r="BG183" t="e">
        <f>AND('Planilla_General_29-11-2012_10_'!B2745,"AAAAAFRp+jo=")</f>
        <v>#VALUE!</v>
      </c>
      <c r="BH183" t="e">
        <f>AND('Planilla_General_29-11-2012_10_'!C2745,"AAAAAFRp+js=")</f>
        <v>#VALUE!</v>
      </c>
      <c r="BI183" t="e">
        <f>AND('Planilla_General_29-11-2012_10_'!D2745,"AAAAAFRp+jw=")</f>
        <v>#VALUE!</v>
      </c>
      <c r="BJ183" t="e">
        <f>AND('Planilla_General_29-11-2012_10_'!E2745,"AAAAAFRp+j0=")</f>
        <v>#VALUE!</v>
      </c>
      <c r="BK183" t="e">
        <f>AND('Planilla_General_29-11-2012_10_'!F2745,"AAAAAFRp+j4=")</f>
        <v>#VALUE!</v>
      </c>
      <c r="BL183" t="e">
        <f>AND('Planilla_General_29-11-2012_10_'!G2745,"AAAAAFRp+j8=")</f>
        <v>#VALUE!</v>
      </c>
      <c r="BM183" t="e">
        <f>AND('Planilla_General_29-11-2012_10_'!H2745,"AAAAAFRp+kA=")</f>
        <v>#VALUE!</v>
      </c>
      <c r="BN183" t="e">
        <f>AND('Planilla_General_29-11-2012_10_'!I2745,"AAAAAFRp+kE=")</f>
        <v>#VALUE!</v>
      </c>
      <c r="BO183" t="e">
        <f>AND('Planilla_General_29-11-2012_10_'!J2745,"AAAAAFRp+kI=")</f>
        <v>#VALUE!</v>
      </c>
      <c r="BP183" t="e">
        <f>AND('Planilla_General_29-11-2012_10_'!K2745,"AAAAAFRp+kM=")</f>
        <v>#VALUE!</v>
      </c>
      <c r="BQ183" t="e">
        <f>AND('Planilla_General_29-11-2012_10_'!L2745,"AAAAAFRp+kQ=")</f>
        <v>#VALUE!</v>
      </c>
      <c r="BR183" t="e">
        <f>AND('Planilla_General_29-11-2012_10_'!M2745,"AAAAAFRp+kU=")</f>
        <v>#VALUE!</v>
      </c>
      <c r="BS183" t="e">
        <f>AND('Planilla_General_29-11-2012_10_'!N2745,"AAAAAFRp+kY=")</f>
        <v>#VALUE!</v>
      </c>
      <c r="BT183" t="e">
        <f>AND('Planilla_General_29-11-2012_10_'!O2745,"AAAAAFRp+kc=")</f>
        <v>#VALUE!</v>
      </c>
      <c r="BU183" t="e">
        <f>AND('Planilla_General_29-11-2012_10_'!P2745,"AAAAAFRp+kg=")</f>
        <v>#VALUE!</v>
      </c>
      <c r="BV183">
        <f>IF('Planilla_General_29-11-2012_10_'!2746:2746,"AAAAAFRp+kk=",0)</f>
        <v>0</v>
      </c>
      <c r="BW183" t="e">
        <f>AND('Planilla_General_29-11-2012_10_'!A2746,"AAAAAFRp+ko=")</f>
        <v>#VALUE!</v>
      </c>
      <c r="BX183" t="e">
        <f>AND('Planilla_General_29-11-2012_10_'!B2746,"AAAAAFRp+ks=")</f>
        <v>#VALUE!</v>
      </c>
      <c r="BY183" t="e">
        <f>AND('Planilla_General_29-11-2012_10_'!C2746,"AAAAAFRp+kw=")</f>
        <v>#VALUE!</v>
      </c>
      <c r="BZ183" t="e">
        <f>AND('Planilla_General_29-11-2012_10_'!D2746,"AAAAAFRp+k0=")</f>
        <v>#VALUE!</v>
      </c>
      <c r="CA183" t="e">
        <f>AND('Planilla_General_29-11-2012_10_'!E2746,"AAAAAFRp+k4=")</f>
        <v>#VALUE!</v>
      </c>
      <c r="CB183" t="e">
        <f>AND('Planilla_General_29-11-2012_10_'!F2746,"AAAAAFRp+k8=")</f>
        <v>#VALUE!</v>
      </c>
      <c r="CC183" t="e">
        <f>AND('Planilla_General_29-11-2012_10_'!G2746,"AAAAAFRp+lA=")</f>
        <v>#VALUE!</v>
      </c>
      <c r="CD183" t="e">
        <f>AND('Planilla_General_29-11-2012_10_'!H2746,"AAAAAFRp+lE=")</f>
        <v>#VALUE!</v>
      </c>
      <c r="CE183" t="e">
        <f>AND('Planilla_General_29-11-2012_10_'!I2746,"AAAAAFRp+lI=")</f>
        <v>#VALUE!</v>
      </c>
      <c r="CF183" t="e">
        <f>AND('Planilla_General_29-11-2012_10_'!J2746,"AAAAAFRp+lM=")</f>
        <v>#VALUE!</v>
      </c>
      <c r="CG183" t="e">
        <f>AND('Planilla_General_29-11-2012_10_'!K2746,"AAAAAFRp+lQ=")</f>
        <v>#VALUE!</v>
      </c>
      <c r="CH183" t="e">
        <f>AND('Planilla_General_29-11-2012_10_'!L2746,"AAAAAFRp+lU=")</f>
        <v>#VALUE!</v>
      </c>
      <c r="CI183" t="e">
        <f>AND('Planilla_General_29-11-2012_10_'!M2746,"AAAAAFRp+lY=")</f>
        <v>#VALUE!</v>
      </c>
      <c r="CJ183" t="e">
        <f>AND('Planilla_General_29-11-2012_10_'!N2746,"AAAAAFRp+lc=")</f>
        <v>#VALUE!</v>
      </c>
      <c r="CK183" t="e">
        <f>AND('Planilla_General_29-11-2012_10_'!O2746,"AAAAAFRp+lg=")</f>
        <v>#VALUE!</v>
      </c>
      <c r="CL183" t="e">
        <f>AND('Planilla_General_29-11-2012_10_'!P2746,"AAAAAFRp+lk=")</f>
        <v>#VALUE!</v>
      </c>
      <c r="CM183">
        <f>IF('Planilla_General_29-11-2012_10_'!2747:2747,"AAAAAFRp+lo=",0)</f>
        <v>0</v>
      </c>
      <c r="CN183" t="e">
        <f>AND('Planilla_General_29-11-2012_10_'!A2747,"AAAAAFRp+ls=")</f>
        <v>#VALUE!</v>
      </c>
      <c r="CO183" t="e">
        <f>AND('Planilla_General_29-11-2012_10_'!B2747,"AAAAAFRp+lw=")</f>
        <v>#VALUE!</v>
      </c>
      <c r="CP183" t="e">
        <f>AND('Planilla_General_29-11-2012_10_'!C2747,"AAAAAFRp+l0=")</f>
        <v>#VALUE!</v>
      </c>
      <c r="CQ183" t="e">
        <f>AND('Planilla_General_29-11-2012_10_'!D2747,"AAAAAFRp+l4=")</f>
        <v>#VALUE!</v>
      </c>
      <c r="CR183" t="e">
        <f>AND('Planilla_General_29-11-2012_10_'!E2747,"AAAAAFRp+l8=")</f>
        <v>#VALUE!</v>
      </c>
      <c r="CS183" t="e">
        <f>AND('Planilla_General_29-11-2012_10_'!F2747,"AAAAAFRp+mA=")</f>
        <v>#VALUE!</v>
      </c>
      <c r="CT183" t="e">
        <f>AND('Planilla_General_29-11-2012_10_'!G2747,"AAAAAFRp+mE=")</f>
        <v>#VALUE!</v>
      </c>
      <c r="CU183" t="e">
        <f>AND('Planilla_General_29-11-2012_10_'!H2747,"AAAAAFRp+mI=")</f>
        <v>#VALUE!</v>
      </c>
      <c r="CV183" t="e">
        <f>AND('Planilla_General_29-11-2012_10_'!I2747,"AAAAAFRp+mM=")</f>
        <v>#VALUE!</v>
      </c>
      <c r="CW183" t="e">
        <f>AND('Planilla_General_29-11-2012_10_'!J2747,"AAAAAFRp+mQ=")</f>
        <v>#VALUE!</v>
      </c>
      <c r="CX183" t="e">
        <f>AND('Planilla_General_29-11-2012_10_'!K2747,"AAAAAFRp+mU=")</f>
        <v>#VALUE!</v>
      </c>
      <c r="CY183" t="e">
        <f>AND('Planilla_General_29-11-2012_10_'!L2747,"AAAAAFRp+mY=")</f>
        <v>#VALUE!</v>
      </c>
      <c r="CZ183" t="e">
        <f>AND('Planilla_General_29-11-2012_10_'!M2747,"AAAAAFRp+mc=")</f>
        <v>#VALUE!</v>
      </c>
      <c r="DA183" t="e">
        <f>AND('Planilla_General_29-11-2012_10_'!N2747,"AAAAAFRp+mg=")</f>
        <v>#VALUE!</v>
      </c>
      <c r="DB183" t="e">
        <f>AND('Planilla_General_29-11-2012_10_'!O2747,"AAAAAFRp+mk=")</f>
        <v>#VALUE!</v>
      </c>
      <c r="DC183" t="e">
        <f>AND('Planilla_General_29-11-2012_10_'!P2747,"AAAAAFRp+mo=")</f>
        <v>#VALUE!</v>
      </c>
      <c r="DD183">
        <f>IF('Planilla_General_29-11-2012_10_'!2748:2748,"AAAAAFRp+ms=",0)</f>
        <v>0</v>
      </c>
      <c r="DE183" t="e">
        <f>AND('Planilla_General_29-11-2012_10_'!A2748,"AAAAAFRp+mw=")</f>
        <v>#VALUE!</v>
      </c>
      <c r="DF183" t="e">
        <f>AND('Planilla_General_29-11-2012_10_'!B2748,"AAAAAFRp+m0=")</f>
        <v>#VALUE!</v>
      </c>
      <c r="DG183" t="e">
        <f>AND('Planilla_General_29-11-2012_10_'!C2748,"AAAAAFRp+m4=")</f>
        <v>#VALUE!</v>
      </c>
      <c r="DH183" t="e">
        <f>AND('Planilla_General_29-11-2012_10_'!D2748,"AAAAAFRp+m8=")</f>
        <v>#VALUE!</v>
      </c>
      <c r="DI183" t="e">
        <f>AND('Planilla_General_29-11-2012_10_'!E2748,"AAAAAFRp+nA=")</f>
        <v>#VALUE!</v>
      </c>
      <c r="DJ183" t="e">
        <f>AND('Planilla_General_29-11-2012_10_'!F2748,"AAAAAFRp+nE=")</f>
        <v>#VALUE!</v>
      </c>
      <c r="DK183" t="e">
        <f>AND('Planilla_General_29-11-2012_10_'!G2748,"AAAAAFRp+nI=")</f>
        <v>#VALUE!</v>
      </c>
      <c r="DL183" t="e">
        <f>AND('Planilla_General_29-11-2012_10_'!H2748,"AAAAAFRp+nM=")</f>
        <v>#VALUE!</v>
      </c>
      <c r="DM183" t="e">
        <f>AND('Planilla_General_29-11-2012_10_'!I2748,"AAAAAFRp+nQ=")</f>
        <v>#VALUE!</v>
      </c>
      <c r="DN183" t="e">
        <f>AND('Planilla_General_29-11-2012_10_'!J2748,"AAAAAFRp+nU=")</f>
        <v>#VALUE!</v>
      </c>
      <c r="DO183" t="e">
        <f>AND('Planilla_General_29-11-2012_10_'!K2748,"AAAAAFRp+nY=")</f>
        <v>#VALUE!</v>
      </c>
      <c r="DP183" t="e">
        <f>AND('Planilla_General_29-11-2012_10_'!L2748,"AAAAAFRp+nc=")</f>
        <v>#VALUE!</v>
      </c>
      <c r="DQ183" t="e">
        <f>AND('Planilla_General_29-11-2012_10_'!M2748,"AAAAAFRp+ng=")</f>
        <v>#VALUE!</v>
      </c>
      <c r="DR183" t="e">
        <f>AND('Planilla_General_29-11-2012_10_'!N2748,"AAAAAFRp+nk=")</f>
        <v>#VALUE!</v>
      </c>
      <c r="DS183" t="e">
        <f>AND('Planilla_General_29-11-2012_10_'!O2748,"AAAAAFRp+no=")</f>
        <v>#VALUE!</v>
      </c>
      <c r="DT183" t="e">
        <f>AND('Planilla_General_29-11-2012_10_'!P2748,"AAAAAFRp+ns=")</f>
        <v>#VALUE!</v>
      </c>
      <c r="DU183">
        <f>IF('Planilla_General_29-11-2012_10_'!2749:2749,"AAAAAFRp+nw=",0)</f>
        <v>0</v>
      </c>
      <c r="DV183" t="e">
        <f>AND('Planilla_General_29-11-2012_10_'!A2749,"AAAAAFRp+n0=")</f>
        <v>#VALUE!</v>
      </c>
      <c r="DW183" t="e">
        <f>AND('Planilla_General_29-11-2012_10_'!B2749,"AAAAAFRp+n4=")</f>
        <v>#VALUE!</v>
      </c>
      <c r="DX183" t="e">
        <f>AND('Planilla_General_29-11-2012_10_'!C2749,"AAAAAFRp+n8=")</f>
        <v>#VALUE!</v>
      </c>
      <c r="DY183" t="e">
        <f>AND('Planilla_General_29-11-2012_10_'!D2749,"AAAAAFRp+oA=")</f>
        <v>#VALUE!</v>
      </c>
      <c r="DZ183" t="e">
        <f>AND('Planilla_General_29-11-2012_10_'!E2749,"AAAAAFRp+oE=")</f>
        <v>#VALUE!</v>
      </c>
      <c r="EA183" t="e">
        <f>AND('Planilla_General_29-11-2012_10_'!F2749,"AAAAAFRp+oI=")</f>
        <v>#VALUE!</v>
      </c>
      <c r="EB183" t="e">
        <f>AND('Planilla_General_29-11-2012_10_'!G2749,"AAAAAFRp+oM=")</f>
        <v>#VALUE!</v>
      </c>
      <c r="EC183" t="e">
        <f>AND('Planilla_General_29-11-2012_10_'!H2749,"AAAAAFRp+oQ=")</f>
        <v>#VALUE!</v>
      </c>
      <c r="ED183" t="e">
        <f>AND('Planilla_General_29-11-2012_10_'!I2749,"AAAAAFRp+oU=")</f>
        <v>#VALUE!</v>
      </c>
      <c r="EE183" t="e">
        <f>AND('Planilla_General_29-11-2012_10_'!J2749,"AAAAAFRp+oY=")</f>
        <v>#VALUE!</v>
      </c>
      <c r="EF183" t="e">
        <f>AND('Planilla_General_29-11-2012_10_'!K2749,"AAAAAFRp+oc=")</f>
        <v>#VALUE!</v>
      </c>
      <c r="EG183" t="e">
        <f>AND('Planilla_General_29-11-2012_10_'!L2749,"AAAAAFRp+og=")</f>
        <v>#VALUE!</v>
      </c>
      <c r="EH183" t="e">
        <f>AND('Planilla_General_29-11-2012_10_'!M2749,"AAAAAFRp+ok=")</f>
        <v>#VALUE!</v>
      </c>
      <c r="EI183" t="e">
        <f>AND('Planilla_General_29-11-2012_10_'!N2749,"AAAAAFRp+oo=")</f>
        <v>#VALUE!</v>
      </c>
      <c r="EJ183" t="e">
        <f>AND('Planilla_General_29-11-2012_10_'!O2749,"AAAAAFRp+os=")</f>
        <v>#VALUE!</v>
      </c>
      <c r="EK183" t="e">
        <f>AND('Planilla_General_29-11-2012_10_'!P2749,"AAAAAFRp+ow=")</f>
        <v>#VALUE!</v>
      </c>
      <c r="EL183">
        <f>IF('Planilla_General_29-11-2012_10_'!2750:2750,"AAAAAFRp+o0=",0)</f>
        <v>0</v>
      </c>
      <c r="EM183" t="e">
        <f>AND('Planilla_General_29-11-2012_10_'!A2750,"AAAAAFRp+o4=")</f>
        <v>#VALUE!</v>
      </c>
      <c r="EN183" t="e">
        <f>AND('Planilla_General_29-11-2012_10_'!B2750,"AAAAAFRp+o8=")</f>
        <v>#VALUE!</v>
      </c>
      <c r="EO183" t="e">
        <f>AND('Planilla_General_29-11-2012_10_'!C2750,"AAAAAFRp+pA=")</f>
        <v>#VALUE!</v>
      </c>
      <c r="EP183" t="e">
        <f>AND('Planilla_General_29-11-2012_10_'!D2750,"AAAAAFRp+pE=")</f>
        <v>#VALUE!</v>
      </c>
      <c r="EQ183" t="e">
        <f>AND('Planilla_General_29-11-2012_10_'!E2750,"AAAAAFRp+pI=")</f>
        <v>#VALUE!</v>
      </c>
      <c r="ER183" t="e">
        <f>AND('Planilla_General_29-11-2012_10_'!F2750,"AAAAAFRp+pM=")</f>
        <v>#VALUE!</v>
      </c>
      <c r="ES183" t="e">
        <f>AND('Planilla_General_29-11-2012_10_'!G2750,"AAAAAFRp+pQ=")</f>
        <v>#VALUE!</v>
      </c>
      <c r="ET183" t="e">
        <f>AND('Planilla_General_29-11-2012_10_'!H2750,"AAAAAFRp+pU=")</f>
        <v>#VALUE!</v>
      </c>
      <c r="EU183" t="e">
        <f>AND('Planilla_General_29-11-2012_10_'!I2750,"AAAAAFRp+pY=")</f>
        <v>#VALUE!</v>
      </c>
      <c r="EV183" t="e">
        <f>AND('Planilla_General_29-11-2012_10_'!J2750,"AAAAAFRp+pc=")</f>
        <v>#VALUE!</v>
      </c>
      <c r="EW183" t="e">
        <f>AND('Planilla_General_29-11-2012_10_'!K2750,"AAAAAFRp+pg=")</f>
        <v>#VALUE!</v>
      </c>
      <c r="EX183" t="e">
        <f>AND('Planilla_General_29-11-2012_10_'!L2750,"AAAAAFRp+pk=")</f>
        <v>#VALUE!</v>
      </c>
      <c r="EY183" t="e">
        <f>AND('Planilla_General_29-11-2012_10_'!M2750,"AAAAAFRp+po=")</f>
        <v>#VALUE!</v>
      </c>
      <c r="EZ183" t="e">
        <f>AND('Planilla_General_29-11-2012_10_'!N2750,"AAAAAFRp+ps=")</f>
        <v>#VALUE!</v>
      </c>
      <c r="FA183" t="e">
        <f>AND('Planilla_General_29-11-2012_10_'!O2750,"AAAAAFRp+pw=")</f>
        <v>#VALUE!</v>
      </c>
      <c r="FB183" t="e">
        <f>AND('Planilla_General_29-11-2012_10_'!P2750,"AAAAAFRp+p0=")</f>
        <v>#VALUE!</v>
      </c>
      <c r="FC183">
        <f>IF('Planilla_General_29-11-2012_10_'!2751:2751,"AAAAAFRp+p4=",0)</f>
        <v>0</v>
      </c>
      <c r="FD183" t="e">
        <f>AND('Planilla_General_29-11-2012_10_'!A2751,"AAAAAFRp+p8=")</f>
        <v>#VALUE!</v>
      </c>
      <c r="FE183" t="e">
        <f>AND('Planilla_General_29-11-2012_10_'!B2751,"AAAAAFRp+qA=")</f>
        <v>#VALUE!</v>
      </c>
      <c r="FF183" t="e">
        <f>AND('Planilla_General_29-11-2012_10_'!C2751,"AAAAAFRp+qE=")</f>
        <v>#VALUE!</v>
      </c>
      <c r="FG183" t="e">
        <f>AND('Planilla_General_29-11-2012_10_'!D2751,"AAAAAFRp+qI=")</f>
        <v>#VALUE!</v>
      </c>
      <c r="FH183" t="e">
        <f>AND('Planilla_General_29-11-2012_10_'!E2751,"AAAAAFRp+qM=")</f>
        <v>#VALUE!</v>
      </c>
      <c r="FI183" t="e">
        <f>AND('Planilla_General_29-11-2012_10_'!F2751,"AAAAAFRp+qQ=")</f>
        <v>#VALUE!</v>
      </c>
      <c r="FJ183" t="e">
        <f>AND('Planilla_General_29-11-2012_10_'!G2751,"AAAAAFRp+qU=")</f>
        <v>#VALUE!</v>
      </c>
      <c r="FK183" t="e">
        <f>AND('Planilla_General_29-11-2012_10_'!H2751,"AAAAAFRp+qY=")</f>
        <v>#VALUE!</v>
      </c>
      <c r="FL183" t="e">
        <f>AND('Planilla_General_29-11-2012_10_'!I2751,"AAAAAFRp+qc=")</f>
        <v>#VALUE!</v>
      </c>
      <c r="FM183" t="e">
        <f>AND('Planilla_General_29-11-2012_10_'!J2751,"AAAAAFRp+qg=")</f>
        <v>#VALUE!</v>
      </c>
      <c r="FN183" t="e">
        <f>AND('Planilla_General_29-11-2012_10_'!K2751,"AAAAAFRp+qk=")</f>
        <v>#VALUE!</v>
      </c>
      <c r="FO183" t="e">
        <f>AND('Planilla_General_29-11-2012_10_'!L2751,"AAAAAFRp+qo=")</f>
        <v>#VALUE!</v>
      </c>
      <c r="FP183" t="e">
        <f>AND('Planilla_General_29-11-2012_10_'!M2751,"AAAAAFRp+qs=")</f>
        <v>#VALUE!</v>
      </c>
      <c r="FQ183" t="e">
        <f>AND('Planilla_General_29-11-2012_10_'!N2751,"AAAAAFRp+qw=")</f>
        <v>#VALUE!</v>
      </c>
      <c r="FR183" t="e">
        <f>AND('Planilla_General_29-11-2012_10_'!O2751,"AAAAAFRp+q0=")</f>
        <v>#VALUE!</v>
      </c>
      <c r="FS183" t="e">
        <f>AND('Planilla_General_29-11-2012_10_'!P2751,"AAAAAFRp+q4=")</f>
        <v>#VALUE!</v>
      </c>
      <c r="FT183">
        <f>IF('Planilla_General_29-11-2012_10_'!2752:2752,"AAAAAFRp+q8=",0)</f>
        <v>0</v>
      </c>
      <c r="FU183" t="e">
        <f>AND('Planilla_General_29-11-2012_10_'!A2752,"AAAAAFRp+rA=")</f>
        <v>#VALUE!</v>
      </c>
      <c r="FV183" t="e">
        <f>AND('Planilla_General_29-11-2012_10_'!B2752,"AAAAAFRp+rE=")</f>
        <v>#VALUE!</v>
      </c>
      <c r="FW183" t="e">
        <f>AND('Planilla_General_29-11-2012_10_'!C2752,"AAAAAFRp+rI=")</f>
        <v>#VALUE!</v>
      </c>
      <c r="FX183" t="e">
        <f>AND('Planilla_General_29-11-2012_10_'!D2752,"AAAAAFRp+rM=")</f>
        <v>#VALUE!</v>
      </c>
      <c r="FY183" t="e">
        <f>AND('Planilla_General_29-11-2012_10_'!E2752,"AAAAAFRp+rQ=")</f>
        <v>#VALUE!</v>
      </c>
      <c r="FZ183" t="e">
        <f>AND('Planilla_General_29-11-2012_10_'!F2752,"AAAAAFRp+rU=")</f>
        <v>#VALUE!</v>
      </c>
      <c r="GA183" t="e">
        <f>AND('Planilla_General_29-11-2012_10_'!G2752,"AAAAAFRp+rY=")</f>
        <v>#VALUE!</v>
      </c>
      <c r="GB183" t="e">
        <f>AND('Planilla_General_29-11-2012_10_'!H2752,"AAAAAFRp+rc=")</f>
        <v>#VALUE!</v>
      </c>
      <c r="GC183" t="e">
        <f>AND('Planilla_General_29-11-2012_10_'!I2752,"AAAAAFRp+rg=")</f>
        <v>#VALUE!</v>
      </c>
      <c r="GD183" t="e">
        <f>AND('Planilla_General_29-11-2012_10_'!J2752,"AAAAAFRp+rk=")</f>
        <v>#VALUE!</v>
      </c>
      <c r="GE183" t="e">
        <f>AND('Planilla_General_29-11-2012_10_'!K2752,"AAAAAFRp+ro=")</f>
        <v>#VALUE!</v>
      </c>
      <c r="GF183" t="e">
        <f>AND('Planilla_General_29-11-2012_10_'!L2752,"AAAAAFRp+rs=")</f>
        <v>#VALUE!</v>
      </c>
      <c r="GG183" t="e">
        <f>AND('Planilla_General_29-11-2012_10_'!M2752,"AAAAAFRp+rw=")</f>
        <v>#VALUE!</v>
      </c>
      <c r="GH183" t="e">
        <f>AND('Planilla_General_29-11-2012_10_'!N2752,"AAAAAFRp+r0=")</f>
        <v>#VALUE!</v>
      </c>
      <c r="GI183" t="e">
        <f>AND('Planilla_General_29-11-2012_10_'!O2752,"AAAAAFRp+r4=")</f>
        <v>#VALUE!</v>
      </c>
      <c r="GJ183" t="e">
        <f>AND('Planilla_General_29-11-2012_10_'!P2752,"AAAAAFRp+r8=")</f>
        <v>#VALUE!</v>
      </c>
      <c r="GK183">
        <f>IF('Planilla_General_29-11-2012_10_'!2753:2753,"AAAAAFRp+sA=",0)</f>
        <v>0</v>
      </c>
      <c r="GL183" t="e">
        <f>AND('Planilla_General_29-11-2012_10_'!A2753,"AAAAAFRp+sE=")</f>
        <v>#VALUE!</v>
      </c>
      <c r="GM183" t="e">
        <f>AND('Planilla_General_29-11-2012_10_'!B2753,"AAAAAFRp+sI=")</f>
        <v>#VALUE!</v>
      </c>
      <c r="GN183" t="e">
        <f>AND('Planilla_General_29-11-2012_10_'!C2753,"AAAAAFRp+sM=")</f>
        <v>#VALUE!</v>
      </c>
      <c r="GO183" t="e">
        <f>AND('Planilla_General_29-11-2012_10_'!D2753,"AAAAAFRp+sQ=")</f>
        <v>#VALUE!</v>
      </c>
      <c r="GP183" t="e">
        <f>AND('Planilla_General_29-11-2012_10_'!E2753,"AAAAAFRp+sU=")</f>
        <v>#VALUE!</v>
      </c>
      <c r="GQ183" t="e">
        <f>AND('Planilla_General_29-11-2012_10_'!F2753,"AAAAAFRp+sY=")</f>
        <v>#VALUE!</v>
      </c>
      <c r="GR183" t="e">
        <f>AND('Planilla_General_29-11-2012_10_'!G2753,"AAAAAFRp+sc=")</f>
        <v>#VALUE!</v>
      </c>
      <c r="GS183" t="e">
        <f>AND('Planilla_General_29-11-2012_10_'!H2753,"AAAAAFRp+sg=")</f>
        <v>#VALUE!</v>
      </c>
      <c r="GT183" t="e">
        <f>AND('Planilla_General_29-11-2012_10_'!I2753,"AAAAAFRp+sk=")</f>
        <v>#VALUE!</v>
      </c>
      <c r="GU183" t="e">
        <f>AND('Planilla_General_29-11-2012_10_'!J2753,"AAAAAFRp+so=")</f>
        <v>#VALUE!</v>
      </c>
      <c r="GV183" t="e">
        <f>AND('Planilla_General_29-11-2012_10_'!K2753,"AAAAAFRp+ss=")</f>
        <v>#VALUE!</v>
      </c>
      <c r="GW183" t="e">
        <f>AND('Planilla_General_29-11-2012_10_'!L2753,"AAAAAFRp+sw=")</f>
        <v>#VALUE!</v>
      </c>
      <c r="GX183" t="e">
        <f>AND('Planilla_General_29-11-2012_10_'!M2753,"AAAAAFRp+s0=")</f>
        <v>#VALUE!</v>
      </c>
      <c r="GY183" t="e">
        <f>AND('Planilla_General_29-11-2012_10_'!N2753,"AAAAAFRp+s4=")</f>
        <v>#VALUE!</v>
      </c>
      <c r="GZ183" t="e">
        <f>AND('Planilla_General_29-11-2012_10_'!O2753,"AAAAAFRp+s8=")</f>
        <v>#VALUE!</v>
      </c>
      <c r="HA183" t="e">
        <f>AND('Planilla_General_29-11-2012_10_'!P2753,"AAAAAFRp+tA=")</f>
        <v>#VALUE!</v>
      </c>
      <c r="HB183">
        <f>IF('Planilla_General_29-11-2012_10_'!2754:2754,"AAAAAFRp+tE=",0)</f>
        <v>0</v>
      </c>
      <c r="HC183" t="e">
        <f>AND('Planilla_General_29-11-2012_10_'!A2754,"AAAAAFRp+tI=")</f>
        <v>#VALUE!</v>
      </c>
      <c r="HD183" t="e">
        <f>AND('Planilla_General_29-11-2012_10_'!B2754,"AAAAAFRp+tM=")</f>
        <v>#VALUE!</v>
      </c>
      <c r="HE183" t="e">
        <f>AND('Planilla_General_29-11-2012_10_'!C2754,"AAAAAFRp+tQ=")</f>
        <v>#VALUE!</v>
      </c>
      <c r="HF183" t="e">
        <f>AND('Planilla_General_29-11-2012_10_'!D2754,"AAAAAFRp+tU=")</f>
        <v>#VALUE!</v>
      </c>
      <c r="HG183" t="e">
        <f>AND('Planilla_General_29-11-2012_10_'!E2754,"AAAAAFRp+tY=")</f>
        <v>#VALUE!</v>
      </c>
      <c r="HH183" t="e">
        <f>AND('Planilla_General_29-11-2012_10_'!F2754,"AAAAAFRp+tc=")</f>
        <v>#VALUE!</v>
      </c>
      <c r="HI183" t="e">
        <f>AND('Planilla_General_29-11-2012_10_'!G2754,"AAAAAFRp+tg=")</f>
        <v>#VALUE!</v>
      </c>
      <c r="HJ183" t="e">
        <f>AND('Planilla_General_29-11-2012_10_'!H2754,"AAAAAFRp+tk=")</f>
        <v>#VALUE!</v>
      </c>
      <c r="HK183" t="e">
        <f>AND('Planilla_General_29-11-2012_10_'!I2754,"AAAAAFRp+to=")</f>
        <v>#VALUE!</v>
      </c>
      <c r="HL183" t="e">
        <f>AND('Planilla_General_29-11-2012_10_'!J2754,"AAAAAFRp+ts=")</f>
        <v>#VALUE!</v>
      </c>
      <c r="HM183" t="e">
        <f>AND('Planilla_General_29-11-2012_10_'!K2754,"AAAAAFRp+tw=")</f>
        <v>#VALUE!</v>
      </c>
      <c r="HN183" t="e">
        <f>AND('Planilla_General_29-11-2012_10_'!L2754,"AAAAAFRp+t0=")</f>
        <v>#VALUE!</v>
      </c>
      <c r="HO183" t="e">
        <f>AND('Planilla_General_29-11-2012_10_'!M2754,"AAAAAFRp+t4=")</f>
        <v>#VALUE!</v>
      </c>
      <c r="HP183" t="e">
        <f>AND('Planilla_General_29-11-2012_10_'!N2754,"AAAAAFRp+t8=")</f>
        <v>#VALUE!</v>
      </c>
      <c r="HQ183" t="e">
        <f>AND('Planilla_General_29-11-2012_10_'!O2754,"AAAAAFRp+uA=")</f>
        <v>#VALUE!</v>
      </c>
      <c r="HR183" t="e">
        <f>AND('Planilla_General_29-11-2012_10_'!P2754,"AAAAAFRp+uE=")</f>
        <v>#VALUE!</v>
      </c>
      <c r="HS183">
        <f>IF('Planilla_General_29-11-2012_10_'!2755:2755,"AAAAAFRp+uI=",0)</f>
        <v>0</v>
      </c>
      <c r="HT183" t="e">
        <f>AND('Planilla_General_29-11-2012_10_'!A2755,"AAAAAFRp+uM=")</f>
        <v>#VALUE!</v>
      </c>
      <c r="HU183" t="e">
        <f>AND('Planilla_General_29-11-2012_10_'!B2755,"AAAAAFRp+uQ=")</f>
        <v>#VALUE!</v>
      </c>
      <c r="HV183" t="e">
        <f>AND('Planilla_General_29-11-2012_10_'!C2755,"AAAAAFRp+uU=")</f>
        <v>#VALUE!</v>
      </c>
      <c r="HW183" t="e">
        <f>AND('Planilla_General_29-11-2012_10_'!D2755,"AAAAAFRp+uY=")</f>
        <v>#VALUE!</v>
      </c>
      <c r="HX183" t="e">
        <f>AND('Planilla_General_29-11-2012_10_'!E2755,"AAAAAFRp+uc=")</f>
        <v>#VALUE!</v>
      </c>
      <c r="HY183" t="e">
        <f>AND('Planilla_General_29-11-2012_10_'!F2755,"AAAAAFRp+ug=")</f>
        <v>#VALUE!</v>
      </c>
      <c r="HZ183" t="e">
        <f>AND('Planilla_General_29-11-2012_10_'!G2755,"AAAAAFRp+uk=")</f>
        <v>#VALUE!</v>
      </c>
      <c r="IA183" t="e">
        <f>AND('Planilla_General_29-11-2012_10_'!H2755,"AAAAAFRp+uo=")</f>
        <v>#VALUE!</v>
      </c>
      <c r="IB183" t="e">
        <f>AND('Planilla_General_29-11-2012_10_'!I2755,"AAAAAFRp+us=")</f>
        <v>#VALUE!</v>
      </c>
      <c r="IC183" t="e">
        <f>AND('Planilla_General_29-11-2012_10_'!J2755,"AAAAAFRp+uw=")</f>
        <v>#VALUE!</v>
      </c>
      <c r="ID183" t="e">
        <f>AND('Planilla_General_29-11-2012_10_'!K2755,"AAAAAFRp+u0=")</f>
        <v>#VALUE!</v>
      </c>
      <c r="IE183" t="e">
        <f>AND('Planilla_General_29-11-2012_10_'!L2755,"AAAAAFRp+u4=")</f>
        <v>#VALUE!</v>
      </c>
      <c r="IF183" t="e">
        <f>AND('Planilla_General_29-11-2012_10_'!M2755,"AAAAAFRp+u8=")</f>
        <v>#VALUE!</v>
      </c>
      <c r="IG183" t="e">
        <f>AND('Planilla_General_29-11-2012_10_'!N2755,"AAAAAFRp+vA=")</f>
        <v>#VALUE!</v>
      </c>
      <c r="IH183" t="e">
        <f>AND('Planilla_General_29-11-2012_10_'!O2755,"AAAAAFRp+vE=")</f>
        <v>#VALUE!</v>
      </c>
      <c r="II183" t="e">
        <f>AND('Planilla_General_29-11-2012_10_'!P2755,"AAAAAFRp+vI=")</f>
        <v>#VALUE!</v>
      </c>
      <c r="IJ183">
        <f>IF('Planilla_General_29-11-2012_10_'!2756:2756,"AAAAAFRp+vM=",0)</f>
        <v>0</v>
      </c>
      <c r="IK183" t="e">
        <f>AND('Planilla_General_29-11-2012_10_'!A2756,"AAAAAFRp+vQ=")</f>
        <v>#VALUE!</v>
      </c>
      <c r="IL183" t="e">
        <f>AND('Planilla_General_29-11-2012_10_'!B2756,"AAAAAFRp+vU=")</f>
        <v>#VALUE!</v>
      </c>
      <c r="IM183" t="e">
        <f>AND('Planilla_General_29-11-2012_10_'!C2756,"AAAAAFRp+vY=")</f>
        <v>#VALUE!</v>
      </c>
      <c r="IN183" t="e">
        <f>AND('Planilla_General_29-11-2012_10_'!D2756,"AAAAAFRp+vc=")</f>
        <v>#VALUE!</v>
      </c>
      <c r="IO183" t="e">
        <f>AND('Planilla_General_29-11-2012_10_'!E2756,"AAAAAFRp+vg=")</f>
        <v>#VALUE!</v>
      </c>
      <c r="IP183" t="e">
        <f>AND('Planilla_General_29-11-2012_10_'!F2756,"AAAAAFRp+vk=")</f>
        <v>#VALUE!</v>
      </c>
      <c r="IQ183" t="e">
        <f>AND('Planilla_General_29-11-2012_10_'!G2756,"AAAAAFRp+vo=")</f>
        <v>#VALUE!</v>
      </c>
      <c r="IR183" t="e">
        <f>AND('Planilla_General_29-11-2012_10_'!H2756,"AAAAAFRp+vs=")</f>
        <v>#VALUE!</v>
      </c>
      <c r="IS183" t="e">
        <f>AND('Planilla_General_29-11-2012_10_'!I2756,"AAAAAFRp+vw=")</f>
        <v>#VALUE!</v>
      </c>
      <c r="IT183" t="e">
        <f>AND('Planilla_General_29-11-2012_10_'!J2756,"AAAAAFRp+v0=")</f>
        <v>#VALUE!</v>
      </c>
      <c r="IU183" t="e">
        <f>AND('Planilla_General_29-11-2012_10_'!K2756,"AAAAAFRp+v4=")</f>
        <v>#VALUE!</v>
      </c>
      <c r="IV183" t="e">
        <f>AND('Planilla_General_29-11-2012_10_'!L2756,"AAAAAFRp+v8=")</f>
        <v>#VALUE!</v>
      </c>
    </row>
    <row r="184" spans="1:256" x14ac:dyDescent="0.25">
      <c r="A184" t="e">
        <f>AND('Planilla_General_29-11-2012_10_'!M2756,"AAAAAH/PmwA=")</f>
        <v>#VALUE!</v>
      </c>
      <c r="B184" t="e">
        <f>AND('Planilla_General_29-11-2012_10_'!N2756,"AAAAAH/PmwE=")</f>
        <v>#VALUE!</v>
      </c>
      <c r="C184" t="e">
        <f>AND('Planilla_General_29-11-2012_10_'!O2756,"AAAAAH/PmwI=")</f>
        <v>#VALUE!</v>
      </c>
      <c r="D184" t="e">
        <f>AND('Planilla_General_29-11-2012_10_'!P2756,"AAAAAH/PmwM=")</f>
        <v>#VALUE!</v>
      </c>
      <c r="E184" t="e">
        <f>IF('Planilla_General_29-11-2012_10_'!2757:2757,"AAAAAH/PmwQ=",0)</f>
        <v>#VALUE!</v>
      </c>
      <c r="F184" t="e">
        <f>AND('Planilla_General_29-11-2012_10_'!A2757,"AAAAAH/PmwU=")</f>
        <v>#VALUE!</v>
      </c>
      <c r="G184" t="e">
        <f>AND('Planilla_General_29-11-2012_10_'!B2757,"AAAAAH/PmwY=")</f>
        <v>#VALUE!</v>
      </c>
      <c r="H184" t="e">
        <f>AND('Planilla_General_29-11-2012_10_'!C2757,"AAAAAH/Pmwc=")</f>
        <v>#VALUE!</v>
      </c>
      <c r="I184" t="e">
        <f>AND('Planilla_General_29-11-2012_10_'!D2757,"AAAAAH/Pmwg=")</f>
        <v>#VALUE!</v>
      </c>
      <c r="J184" t="e">
        <f>AND('Planilla_General_29-11-2012_10_'!E2757,"AAAAAH/Pmwk=")</f>
        <v>#VALUE!</v>
      </c>
      <c r="K184" t="e">
        <f>AND('Planilla_General_29-11-2012_10_'!F2757,"AAAAAH/Pmwo=")</f>
        <v>#VALUE!</v>
      </c>
      <c r="L184" t="e">
        <f>AND('Planilla_General_29-11-2012_10_'!G2757,"AAAAAH/Pmws=")</f>
        <v>#VALUE!</v>
      </c>
      <c r="M184" t="e">
        <f>AND('Planilla_General_29-11-2012_10_'!H2757,"AAAAAH/Pmww=")</f>
        <v>#VALUE!</v>
      </c>
      <c r="N184" t="e">
        <f>AND('Planilla_General_29-11-2012_10_'!I2757,"AAAAAH/Pmw0=")</f>
        <v>#VALUE!</v>
      </c>
      <c r="O184" t="e">
        <f>AND('Planilla_General_29-11-2012_10_'!J2757,"AAAAAH/Pmw4=")</f>
        <v>#VALUE!</v>
      </c>
      <c r="P184" t="e">
        <f>AND('Planilla_General_29-11-2012_10_'!K2757,"AAAAAH/Pmw8=")</f>
        <v>#VALUE!</v>
      </c>
      <c r="Q184" t="e">
        <f>AND('Planilla_General_29-11-2012_10_'!L2757,"AAAAAH/PmxA=")</f>
        <v>#VALUE!</v>
      </c>
      <c r="R184" t="e">
        <f>AND('Planilla_General_29-11-2012_10_'!M2757,"AAAAAH/PmxE=")</f>
        <v>#VALUE!</v>
      </c>
      <c r="S184" t="e">
        <f>AND('Planilla_General_29-11-2012_10_'!N2757,"AAAAAH/PmxI=")</f>
        <v>#VALUE!</v>
      </c>
      <c r="T184" t="e">
        <f>AND('Planilla_General_29-11-2012_10_'!O2757,"AAAAAH/PmxM=")</f>
        <v>#VALUE!</v>
      </c>
      <c r="U184" t="e">
        <f>AND('Planilla_General_29-11-2012_10_'!P2757,"AAAAAH/PmxQ=")</f>
        <v>#VALUE!</v>
      </c>
      <c r="V184">
        <f>IF('Planilla_General_29-11-2012_10_'!2758:2758,"AAAAAH/PmxU=",0)</f>
        <v>0</v>
      </c>
      <c r="W184" t="e">
        <f>AND('Planilla_General_29-11-2012_10_'!A2758,"AAAAAH/PmxY=")</f>
        <v>#VALUE!</v>
      </c>
      <c r="X184" t="e">
        <f>AND('Planilla_General_29-11-2012_10_'!B2758,"AAAAAH/Pmxc=")</f>
        <v>#VALUE!</v>
      </c>
      <c r="Y184" t="e">
        <f>AND('Planilla_General_29-11-2012_10_'!C2758,"AAAAAH/Pmxg=")</f>
        <v>#VALUE!</v>
      </c>
      <c r="Z184" t="e">
        <f>AND('Planilla_General_29-11-2012_10_'!D2758,"AAAAAH/Pmxk=")</f>
        <v>#VALUE!</v>
      </c>
      <c r="AA184" t="e">
        <f>AND('Planilla_General_29-11-2012_10_'!E2758,"AAAAAH/Pmxo=")</f>
        <v>#VALUE!</v>
      </c>
      <c r="AB184" t="e">
        <f>AND('Planilla_General_29-11-2012_10_'!F2758,"AAAAAH/Pmxs=")</f>
        <v>#VALUE!</v>
      </c>
      <c r="AC184" t="e">
        <f>AND('Planilla_General_29-11-2012_10_'!G2758,"AAAAAH/Pmxw=")</f>
        <v>#VALUE!</v>
      </c>
      <c r="AD184" t="e">
        <f>AND('Planilla_General_29-11-2012_10_'!H2758,"AAAAAH/Pmx0=")</f>
        <v>#VALUE!</v>
      </c>
      <c r="AE184" t="e">
        <f>AND('Planilla_General_29-11-2012_10_'!I2758,"AAAAAH/Pmx4=")</f>
        <v>#VALUE!</v>
      </c>
      <c r="AF184" t="e">
        <f>AND('Planilla_General_29-11-2012_10_'!J2758,"AAAAAH/Pmx8=")</f>
        <v>#VALUE!</v>
      </c>
      <c r="AG184" t="e">
        <f>AND('Planilla_General_29-11-2012_10_'!K2758,"AAAAAH/PmyA=")</f>
        <v>#VALUE!</v>
      </c>
      <c r="AH184" t="e">
        <f>AND('Planilla_General_29-11-2012_10_'!L2758,"AAAAAH/PmyE=")</f>
        <v>#VALUE!</v>
      </c>
      <c r="AI184" t="e">
        <f>AND('Planilla_General_29-11-2012_10_'!M2758,"AAAAAH/PmyI=")</f>
        <v>#VALUE!</v>
      </c>
      <c r="AJ184" t="e">
        <f>AND('Planilla_General_29-11-2012_10_'!N2758,"AAAAAH/PmyM=")</f>
        <v>#VALUE!</v>
      </c>
      <c r="AK184" t="e">
        <f>AND('Planilla_General_29-11-2012_10_'!O2758,"AAAAAH/PmyQ=")</f>
        <v>#VALUE!</v>
      </c>
      <c r="AL184" t="e">
        <f>AND('Planilla_General_29-11-2012_10_'!P2758,"AAAAAH/PmyU=")</f>
        <v>#VALUE!</v>
      </c>
      <c r="AM184">
        <f>IF('Planilla_General_29-11-2012_10_'!2759:2759,"AAAAAH/PmyY=",0)</f>
        <v>0</v>
      </c>
      <c r="AN184" t="e">
        <f>AND('Planilla_General_29-11-2012_10_'!A2759,"AAAAAH/Pmyc=")</f>
        <v>#VALUE!</v>
      </c>
      <c r="AO184" t="e">
        <f>AND('Planilla_General_29-11-2012_10_'!B2759,"AAAAAH/Pmyg=")</f>
        <v>#VALUE!</v>
      </c>
      <c r="AP184" t="e">
        <f>AND('Planilla_General_29-11-2012_10_'!C2759,"AAAAAH/Pmyk=")</f>
        <v>#VALUE!</v>
      </c>
      <c r="AQ184" t="e">
        <f>AND('Planilla_General_29-11-2012_10_'!D2759,"AAAAAH/Pmyo=")</f>
        <v>#VALUE!</v>
      </c>
      <c r="AR184" t="e">
        <f>AND('Planilla_General_29-11-2012_10_'!E2759,"AAAAAH/Pmys=")</f>
        <v>#VALUE!</v>
      </c>
      <c r="AS184" t="e">
        <f>AND('Planilla_General_29-11-2012_10_'!F2759,"AAAAAH/Pmyw=")</f>
        <v>#VALUE!</v>
      </c>
      <c r="AT184" t="e">
        <f>AND('Planilla_General_29-11-2012_10_'!G2759,"AAAAAH/Pmy0=")</f>
        <v>#VALUE!</v>
      </c>
      <c r="AU184" t="e">
        <f>AND('Planilla_General_29-11-2012_10_'!H2759,"AAAAAH/Pmy4=")</f>
        <v>#VALUE!</v>
      </c>
      <c r="AV184" t="e">
        <f>AND('Planilla_General_29-11-2012_10_'!I2759,"AAAAAH/Pmy8=")</f>
        <v>#VALUE!</v>
      </c>
      <c r="AW184" t="e">
        <f>AND('Planilla_General_29-11-2012_10_'!J2759,"AAAAAH/PmzA=")</f>
        <v>#VALUE!</v>
      </c>
      <c r="AX184" t="e">
        <f>AND('Planilla_General_29-11-2012_10_'!K2759,"AAAAAH/PmzE=")</f>
        <v>#VALUE!</v>
      </c>
      <c r="AY184" t="e">
        <f>AND('Planilla_General_29-11-2012_10_'!L2759,"AAAAAH/PmzI=")</f>
        <v>#VALUE!</v>
      </c>
      <c r="AZ184" t="e">
        <f>AND('Planilla_General_29-11-2012_10_'!M2759,"AAAAAH/PmzM=")</f>
        <v>#VALUE!</v>
      </c>
      <c r="BA184" t="e">
        <f>AND('Planilla_General_29-11-2012_10_'!N2759,"AAAAAH/PmzQ=")</f>
        <v>#VALUE!</v>
      </c>
      <c r="BB184" t="e">
        <f>AND('Planilla_General_29-11-2012_10_'!O2759,"AAAAAH/PmzU=")</f>
        <v>#VALUE!</v>
      </c>
      <c r="BC184" t="e">
        <f>AND('Planilla_General_29-11-2012_10_'!P2759,"AAAAAH/PmzY=")</f>
        <v>#VALUE!</v>
      </c>
      <c r="BD184">
        <f>IF('Planilla_General_29-11-2012_10_'!2760:2760,"AAAAAH/Pmzc=",0)</f>
        <v>0</v>
      </c>
      <c r="BE184" t="e">
        <f>AND('Planilla_General_29-11-2012_10_'!A2760,"AAAAAH/Pmzg=")</f>
        <v>#VALUE!</v>
      </c>
      <c r="BF184" t="e">
        <f>AND('Planilla_General_29-11-2012_10_'!B2760,"AAAAAH/Pmzk=")</f>
        <v>#VALUE!</v>
      </c>
      <c r="BG184" t="e">
        <f>AND('Planilla_General_29-11-2012_10_'!C2760,"AAAAAH/Pmzo=")</f>
        <v>#VALUE!</v>
      </c>
      <c r="BH184" t="e">
        <f>AND('Planilla_General_29-11-2012_10_'!D2760,"AAAAAH/Pmzs=")</f>
        <v>#VALUE!</v>
      </c>
      <c r="BI184" t="e">
        <f>AND('Planilla_General_29-11-2012_10_'!E2760,"AAAAAH/Pmzw=")</f>
        <v>#VALUE!</v>
      </c>
      <c r="BJ184" t="e">
        <f>AND('Planilla_General_29-11-2012_10_'!F2760,"AAAAAH/Pmz0=")</f>
        <v>#VALUE!</v>
      </c>
      <c r="BK184" t="e">
        <f>AND('Planilla_General_29-11-2012_10_'!G2760,"AAAAAH/Pmz4=")</f>
        <v>#VALUE!</v>
      </c>
      <c r="BL184" t="e">
        <f>AND('Planilla_General_29-11-2012_10_'!H2760,"AAAAAH/Pmz8=")</f>
        <v>#VALUE!</v>
      </c>
      <c r="BM184" t="e">
        <f>AND('Planilla_General_29-11-2012_10_'!I2760,"AAAAAH/Pm0A=")</f>
        <v>#VALUE!</v>
      </c>
      <c r="BN184" t="e">
        <f>AND('Planilla_General_29-11-2012_10_'!J2760,"AAAAAH/Pm0E=")</f>
        <v>#VALUE!</v>
      </c>
      <c r="BO184" t="e">
        <f>AND('Planilla_General_29-11-2012_10_'!K2760,"AAAAAH/Pm0I=")</f>
        <v>#VALUE!</v>
      </c>
      <c r="BP184" t="e">
        <f>AND('Planilla_General_29-11-2012_10_'!L2760,"AAAAAH/Pm0M=")</f>
        <v>#VALUE!</v>
      </c>
      <c r="BQ184" t="e">
        <f>AND('Planilla_General_29-11-2012_10_'!M2760,"AAAAAH/Pm0Q=")</f>
        <v>#VALUE!</v>
      </c>
      <c r="BR184" t="e">
        <f>AND('Planilla_General_29-11-2012_10_'!N2760,"AAAAAH/Pm0U=")</f>
        <v>#VALUE!</v>
      </c>
      <c r="BS184" t="e">
        <f>AND('Planilla_General_29-11-2012_10_'!O2760,"AAAAAH/Pm0Y=")</f>
        <v>#VALUE!</v>
      </c>
      <c r="BT184" t="e">
        <f>AND('Planilla_General_29-11-2012_10_'!P2760,"AAAAAH/Pm0c=")</f>
        <v>#VALUE!</v>
      </c>
      <c r="BU184">
        <f>IF('Planilla_General_29-11-2012_10_'!2761:2761,"AAAAAH/Pm0g=",0)</f>
        <v>0</v>
      </c>
      <c r="BV184" t="e">
        <f>AND('Planilla_General_29-11-2012_10_'!A2761,"AAAAAH/Pm0k=")</f>
        <v>#VALUE!</v>
      </c>
      <c r="BW184" t="e">
        <f>AND('Planilla_General_29-11-2012_10_'!B2761,"AAAAAH/Pm0o=")</f>
        <v>#VALUE!</v>
      </c>
      <c r="BX184" t="e">
        <f>AND('Planilla_General_29-11-2012_10_'!C2761,"AAAAAH/Pm0s=")</f>
        <v>#VALUE!</v>
      </c>
      <c r="BY184" t="e">
        <f>AND('Planilla_General_29-11-2012_10_'!D2761,"AAAAAH/Pm0w=")</f>
        <v>#VALUE!</v>
      </c>
      <c r="BZ184" t="e">
        <f>AND('Planilla_General_29-11-2012_10_'!E2761,"AAAAAH/Pm00=")</f>
        <v>#VALUE!</v>
      </c>
      <c r="CA184" t="e">
        <f>AND('Planilla_General_29-11-2012_10_'!F2761,"AAAAAH/Pm04=")</f>
        <v>#VALUE!</v>
      </c>
      <c r="CB184" t="e">
        <f>AND('Planilla_General_29-11-2012_10_'!G2761,"AAAAAH/Pm08=")</f>
        <v>#VALUE!</v>
      </c>
      <c r="CC184" t="e">
        <f>AND('Planilla_General_29-11-2012_10_'!H2761,"AAAAAH/Pm1A=")</f>
        <v>#VALUE!</v>
      </c>
      <c r="CD184" t="e">
        <f>AND('Planilla_General_29-11-2012_10_'!I2761,"AAAAAH/Pm1E=")</f>
        <v>#VALUE!</v>
      </c>
      <c r="CE184" t="e">
        <f>AND('Planilla_General_29-11-2012_10_'!J2761,"AAAAAH/Pm1I=")</f>
        <v>#VALUE!</v>
      </c>
      <c r="CF184" t="e">
        <f>AND('Planilla_General_29-11-2012_10_'!K2761,"AAAAAH/Pm1M=")</f>
        <v>#VALUE!</v>
      </c>
      <c r="CG184" t="e">
        <f>AND('Planilla_General_29-11-2012_10_'!L2761,"AAAAAH/Pm1Q=")</f>
        <v>#VALUE!</v>
      </c>
      <c r="CH184" t="e">
        <f>AND('Planilla_General_29-11-2012_10_'!M2761,"AAAAAH/Pm1U=")</f>
        <v>#VALUE!</v>
      </c>
      <c r="CI184" t="e">
        <f>AND('Planilla_General_29-11-2012_10_'!N2761,"AAAAAH/Pm1Y=")</f>
        <v>#VALUE!</v>
      </c>
      <c r="CJ184" t="e">
        <f>AND('Planilla_General_29-11-2012_10_'!O2761,"AAAAAH/Pm1c=")</f>
        <v>#VALUE!</v>
      </c>
      <c r="CK184" t="e">
        <f>AND('Planilla_General_29-11-2012_10_'!P2761,"AAAAAH/Pm1g=")</f>
        <v>#VALUE!</v>
      </c>
      <c r="CL184">
        <f>IF('Planilla_General_29-11-2012_10_'!2762:2762,"AAAAAH/Pm1k=",0)</f>
        <v>0</v>
      </c>
      <c r="CM184" t="e">
        <f>AND('Planilla_General_29-11-2012_10_'!A2762,"AAAAAH/Pm1o=")</f>
        <v>#VALUE!</v>
      </c>
      <c r="CN184" t="e">
        <f>AND('Planilla_General_29-11-2012_10_'!B2762,"AAAAAH/Pm1s=")</f>
        <v>#VALUE!</v>
      </c>
      <c r="CO184" t="e">
        <f>AND('Planilla_General_29-11-2012_10_'!C2762,"AAAAAH/Pm1w=")</f>
        <v>#VALUE!</v>
      </c>
      <c r="CP184" t="e">
        <f>AND('Planilla_General_29-11-2012_10_'!D2762,"AAAAAH/Pm10=")</f>
        <v>#VALUE!</v>
      </c>
      <c r="CQ184" t="e">
        <f>AND('Planilla_General_29-11-2012_10_'!E2762,"AAAAAH/Pm14=")</f>
        <v>#VALUE!</v>
      </c>
      <c r="CR184" t="e">
        <f>AND('Planilla_General_29-11-2012_10_'!F2762,"AAAAAH/Pm18=")</f>
        <v>#VALUE!</v>
      </c>
      <c r="CS184" t="e">
        <f>AND('Planilla_General_29-11-2012_10_'!G2762,"AAAAAH/Pm2A=")</f>
        <v>#VALUE!</v>
      </c>
      <c r="CT184" t="e">
        <f>AND('Planilla_General_29-11-2012_10_'!H2762,"AAAAAH/Pm2E=")</f>
        <v>#VALUE!</v>
      </c>
      <c r="CU184" t="e">
        <f>AND('Planilla_General_29-11-2012_10_'!I2762,"AAAAAH/Pm2I=")</f>
        <v>#VALUE!</v>
      </c>
      <c r="CV184" t="e">
        <f>AND('Planilla_General_29-11-2012_10_'!J2762,"AAAAAH/Pm2M=")</f>
        <v>#VALUE!</v>
      </c>
      <c r="CW184" t="e">
        <f>AND('Planilla_General_29-11-2012_10_'!K2762,"AAAAAH/Pm2Q=")</f>
        <v>#VALUE!</v>
      </c>
      <c r="CX184" t="e">
        <f>AND('Planilla_General_29-11-2012_10_'!L2762,"AAAAAH/Pm2U=")</f>
        <v>#VALUE!</v>
      </c>
      <c r="CY184" t="e">
        <f>AND('Planilla_General_29-11-2012_10_'!M2762,"AAAAAH/Pm2Y=")</f>
        <v>#VALUE!</v>
      </c>
      <c r="CZ184" t="e">
        <f>AND('Planilla_General_29-11-2012_10_'!N2762,"AAAAAH/Pm2c=")</f>
        <v>#VALUE!</v>
      </c>
      <c r="DA184" t="e">
        <f>AND('Planilla_General_29-11-2012_10_'!O2762,"AAAAAH/Pm2g=")</f>
        <v>#VALUE!</v>
      </c>
      <c r="DB184" t="e">
        <f>AND('Planilla_General_29-11-2012_10_'!P2762,"AAAAAH/Pm2k=")</f>
        <v>#VALUE!</v>
      </c>
      <c r="DC184">
        <f>IF('Planilla_General_29-11-2012_10_'!2763:2763,"AAAAAH/Pm2o=",0)</f>
        <v>0</v>
      </c>
      <c r="DD184" t="e">
        <f>AND('Planilla_General_29-11-2012_10_'!A2763,"AAAAAH/Pm2s=")</f>
        <v>#VALUE!</v>
      </c>
      <c r="DE184" t="e">
        <f>AND('Planilla_General_29-11-2012_10_'!B2763,"AAAAAH/Pm2w=")</f>
        <v>#VALUE!</v>
      </c>
      <c r="DF184" t="e">
        <f>AND('Planilla_General_29-11-2012_10_'!C2763,"AAAAAH/Pm20=")</f>
        <v>#VALUE!</v>
      </c>
      <c r="DG184" t="e">
        <f>AND('Planilla_General_29-11-2012_10_'!D2763,"AAAAAH/Pm24=")</f>
        <v>#VALUE!</v>
      </c>
      <c r="DH184" t="e">
        <f>AND('Planilla_General_29-11-2012_10_'!E2763,"AAAAAH/Pm28=")</f>
        <v>#VALUE!</v>
      </c>
      <c r="DI184" t="e">
        <f>AND('Planilla_General_29-11-2012_10_'!F2763,"AAAAAH/Pm3A=")</f>
        <v>#VALUE!</v>
      </c>
      <c r="DJ184" t="e">
        <f>AND('Planilla_General_29-11-2012_10_'!G2763,"AAAAAH/Pm3E=")</f>
        <v>#VALUE!</v>
      </c>
      <c r="DK184" t="e">
        <f>AND('Planilla_General_29-11-2012_10_'!H2763,"AAAAAH/Pm3I=")</f>
        <v>#VALUE!</v>
      </c>
      <c r="DL184" t="e">
        <f>AND('Planilla_General_29-11-2012_10_'!I2763,"AAAAAH/Pm3M=")</f>
        <v>#VALUE!</v>
      </c>
      <c r="DM184" t="e">
        <f>AND('Planilla_General_29-11-2012_10_'!J2763,"AAAAAH/Pm3Q=")</f>
        <v>#VALUE!</v>
      </c>
      <c r="DN184" t="e">
        <f>AND('Planilla_General_29-11-2012_10_'!K2763,"AAAAAH/Pm3U=")</f>
        <v>#VALUE!</v>
      </c>
      <c r="DO184" t="e">
        <f>AND('Planilla_General_29-11-2012_10_'!L2763,"AAAAAH/Pm3Y=")</f>
        <v>#VALUE!</v>
      </c>
      <c r="DP184" t="e">
        <f>AND('Planilla_General_29-11-2012_10_'!M2763,"AAAAAH/Pm3c=")</f>
        <v>#VALUE!</v>
      </c>
      <c r="DQ184" t="e">
        <f>AND('Planilla_General_29-11-2012_10_'!N2763,"AAAAAH/Pm3g=")</f>
        <v>#VALUE!</v>
      </c>
      <c r="DR184" t="e">
        <f>AND('Planilla_General_29-11-2012_10_'!O2763,"AAAAAH/Pm3k=")</f>
        <v>#VALUE!</v>
      </c>
      <c r="DS184" t="e">
        <f>AND('Planilla_General_29-11-2012_10_'!P2763,"AAAAAH/Pm3o=")</f>
        <v>#VALUE!</v>
      </c>
      <c r="DT184">
        <f>IF('Planilla_General_29-11-2012_10_'!2764:2764,"AAAAAH/Pm3s=",0)</f>
        <v>0</v>
      </c>
      <c r="DU184" t="e">
        <f>AND('Planilla_General_29-11-2012_10_'!A2764,"AAAAAH/Pm3w=")</f>
        <v>#VALUE!</v>
      </c>
      <c r="DV184" t="e">
        <f>AND('Planilla_General_29-11-2012_10_'!B2764,"AAAAAH/Pm30=")</f>
        <v>#VALUE!</v>
      </c>
      <c r="DW184" t="e">
        <f>AND('Planilla_General_29-11-2012_10_'!C2764,"AAAAAH/Pm34=")</f>
        <v>#VALUE!</v>
      </c>
      <c r="DX184" t="e">
        <f>AND('Planilla_General_29-11-2012_10_'!D2764,"AAAAAH/Pm38=")</f>
        <v>#VALUE!</v>
      </c>
      <c r="DY184" t="e">
        <f>AND('Planilla_General_29-11-2012_10_'!E2764,"AAAAAH/Pm4A=")</f>
        <v>#VALUE!</v>
      </c>
      <c r="DZ184" t="e">
        <f>AND('Planilla_General_29-11-2012_10_'!F2764,"AAAAAH/Pm4E=")</f>
        <v>#VALUE!</v>
      </c>
      <c r="EA184" t="e">
        <f>AND('Planilla_General_29-11-2012_10_'!G2764,"AAAAAH/Pm4I=")</f>
        <v>#VALUE!</v>
      </c>
      <c r="EB184" t="e">
        <f>AND('Planilla_General_29-11-2012_10_'!H2764,"AAAAAH/Pm4M=")</f>
        <v>#VALUE!</v>
      </c>
      <c r="EC184" t="e">
        <f>AND('Planilla_General_29-11-2012_10_'!I2764,"AAAAAH/Pm4Q=")</f>
        <v>#VALUE!</v>
      </c>
      <c r="ED184" t="e">
        <f>AND('Planilla_General_29-11-2012_10_'!J2764,"AAAAAH/Pm4U=")</f>
        <v>#VALUE!</v>
      </c>
      <c r="EE184" t="e">
        <f>AND('Planilla_General_29-11-2012_10_'!K2764,"AAAAAH/Pm4Y=")</f>
        <v>#VALUE!</v>
      </c>
      <c r="EF184" t="e">
        <f>AND('Planilla_General_29-11-2012_10_'!L2764,"AAAAAH/Pm4c=")</f>
        <v>#VALUE!</v>
      </c>
      <c r="EG184" t="e">
        <f>AND('Planilla_General_29-11-2012_10_'!M2764,"AAAAAH/Pm4g=")</f>
        <v>#VALUE!</v>
      </c>
      <c r="EH184" t="e">
        <f>AND('Planilla_General_29-11-2012_10_'!N2764,"AAAAAH/Pm4k=")</f>
        <v>#VALUE!</v>
      </c>
      <c r="EI184" t="e">
        <f>AND('Planilla_General_29-11-2012_10_'!O2764,"AAAAAH/Pm4o=")</f>
        <v>#VALUE!</v>
      </c>
      <c r="EJ184" t="e">
        <f>AND('Planilla_General_29-11-2012_10_'!P2764,"AAAAAH/Pm4s=")</f>
        <v>#VALUE!</v>
      </c>
      <c r="EK184">
        <f>IF('Planilla_General_29-11-2012_10_'!2765:2765,"AAAAAH/Pm4w=",0)</f>
        <v>0</v>
      </c>
      <c r="EL184" t="e">
        <f>AND('Planilla_General_29-11-2012_10_'!A2765,"AAAAAH/Pm40=")</f>
        <v>#VALUE!</v>
      </c>
      <c r="EM184" t="e">
        <f>AND('Planilla_General_29-11-2012_10_'!B2765,"AAAAAH/Pm44=")</f>
        <v>#VALUE!</v>
      </c>
      <c r="EN184" t="e">
        <f>AND('Planilla_General_29-11-2012_10_'!C2765,"AAAAAH/Pm48=")</f>
        <v>#VALUE!</v>
      </c>
      <c r="EO184" t="e">
        <f>AND('Planilla_General_29-11-2012_10_'!D2765,"AAAAAH/Pm5A=")</f>
        <v>#VALUE!</v>
      </c>
      <c r="EP184" t="e">
        <f>AND('Planilla_General_29-11-2012_10_'!E2765,"AAAAAH/Pm5E=")</f>
        <v>#VALUE!</v>
      </c>
      <c r="EQ184" t="e">
        <f>AND('Planilla_General_29-11-2012_10_'!F2765,"AAAAAH/Pm5I=")</f>
        <v>#VALUE!</v>
      </c>
      <c r="ER184" t="e">
        <f>AND('Planilla_General_29-11-2012_10_'!G2765,"AAAAAH/Pm5M=")</f>
        <v>#VALUE!</v>
      </c>
      <c r="ES184" t="e">
        <f>AND('Planilla_General_29-11-2012_10_'!H2765,"AAAAAH/Pm5Q=")</f>
        <v>#VALUE!</v>
      </c>
      <c r="ET184" t="e">
        <f>AND('Planilla_General_29-11-2012_10_'!I2765,"AAAAAH/Pm5U=")</f>
        <v>#VALUE!</v>
      </c>
      <c r="EU184" t="e">
        <f>AND('Planilla_General_29-11-2012_10_'!J2765,"AAAAAH/Pm5Y=")</f>
        <v>#VALUE!</v>
      </c>
      <c r="EV184" t="e">
        <f>AND('Planilla_General_29-11-2012_10_'!K2765,"AAAAAH/Pm5c=")</f>
        <v>#VALUE!</v>
      </c>
      <c r="EW184" t="e">
        <f>AND('Planilla_General_29-11-2012_10_'!L2765,"AAAAAH/Pm5g=")</f>
        <v>#VALUE!</v>
      </c>
      <c r="EX184" t="e">
        <f>AND('Planilla_General_29-11-2012_10_'!M2765,"AAAAAH/Pm5k=")</f>
        <v>#VALUE!</v>
      </c>
      <c r="EY184" t="e">
        <f>AND('Planilla_General_29-11-2012_10_'!N2765,"AAAAAH/Pm5o=")</f>
        <v>#VALUE!</v>
      </c>
      <c r="EZ184" t="e">
        <f>AND('Planilla_General_29-11-2012_10_'!O2765,"AAAAAH/Pm5s=")</f>
        <v>#VALUE!</v>
      </c>
      <c r="FA184" t="e">
        <f>AND('Planilla_General_29-11-2012_10_'!P2765,"AAAAAH/Pm5w=")</f>
        <v>#VALUE!</v>
      </c>
      <c r="FB184">
        <f>IF('Planilla_General_29-11-2012_10_'!2766:2766,"AAAAAH/Pm50=",0)</f>
        <v>0</v>
      </c>
      <c r="FC184" t="e">
        <f>AND('Planilla_General_29-11-2012_10_'!A2766,"AAAAAH/Pm54=")</f>
        <v>#VALUE!</v>
      </c>
      <c r="FD184" t="e">
        <f>AND('Planilla_General_29-11-2012_10_'!B2766,"AAAAAH/Pm58=")</f>
        <v>#VALUE!</v>
      </c>
      <c r="FE184" t="e">
        <f>AND('Planilla_General_29-11-2012_10_'!C2766,"AAAAAH/Pm6A=")</f>
        <v>#VALUE!</v>
      </c>
      <c r="FF184" t="e">
        <f>AND('Planilla_General_29-11-2012_10_'!D2766,"AAAAAH/Pm6E=")</f>
        <v>#VALUE!</v>
      </c>
      <c r="FG184" t="e">
        <f>AND('Planilla_General_29-11-2012_10_'!E2766,"AAAAAH/Pm6I=")</f>
        <v>#VALUE!</v>
      </c>
      <c r="FH184" t="e">
        <f>AND('Planilla_General_29-11-2012_10_'!F2766,"AAAAAH/Pm6M=")</f>
        <v>#VALUE!</v>
      </c>
      <c r="FI184" t="e">
        <f>AND('Planilla_General_29-11-2012_10_'!G2766,"AAAAAH/Pm6Q=")</f>
        <v>#VALUE!</v>
      </c>
      <c r="FJ184" t="e">
        <f>AND('Planilla_General_29-11-2012_10_'!H2766,"AAAAAH/Pm6U=")</f>
        <v>#VALUE!</v>
      </c>
      <c r="FK184" t="e">
        <f>AND('Planilla_General_29-11-2012_10_'!I2766,"AAAAAH/Pm6Y=")</f>
        <v>#VALUE!</v>
      </c>
      <c r="FL184" t="e">
        <f>AND('Planilla_General_29-11-2012_10_'!J2766,"AAAAAH/Pm6c=")</f>
        <v>#VALUE!</v>
      </c>
      <c r="FM184" t="e">
        <f>AND('Planilla_General_29-11-2012_10_'!K2766,"AAAAAH/Pm6g=")</f>
        <v>#VALUE!</v>
      </c>
      <c r="FN184" t="e">
        <f>AND('Planilla_General_29-11-2012_10_'!L2766,"AAAAAH/Pm6k=")</f>
        <v>#VALUE!</v>
      </c>
      <c r="FO184" t="e">
        <f>AND('Planilla_General_29-11-2012_10_'!M2766,"AAAAAH/Pm6o=")</f>
        <v>#VALUE!</v>
      </c>
      <c r="FP184" t="e">
        <f>AND('Planilla_General_29-11-2012_10_'!N2766,"AAAAAH/Pm6s=")</f>
        <v>#VALUE!</v>
      </c>
      <c r="FQ184" t="e">
        <f>AND('Planilla_General_29-11-2012_10_'!O2766,"AAAAAH/Pm6w=")</f>
        <v>#VALUE!</v>
      </c>
      <c r="FR184" t="e">
        <f>AND('Planilla_General_29-11-2012_10_'!P2766,"AAAAAH/Pm60=")</f>
        <v>#VALUE!</v>
      </c>
      <c r="FS184">
        <f>IF('Planilla_General_29-11-2012_10_'!2767:2767,"AAAAAH/Pm64=",0)</f>
        <v>0</v>
      </c>
      <c r="FT184" t="e">
        <f>AND('Planilla_General_29-11-2012_10_'!A2767,"AAAAAH/Pm68=")</f>
        <v>#VALUE!</v>
      </c>
      <c r="FU184" t="e">
        <f>AND('Planilla_General_29-11-2012_10_'!B2767,"AAAAAH/Pm7A=")</f>
        <v>#VALUE!</v>
      </c>
      <c r="FV184" t="e">
        <f>AND('Planilla_General_29-11-2012_10_'!C2767,"AAAAAH/Pm7E=")</f>
        <v>#VALUE!</v>
      </c>
      <c r="FW184" t="e">
        <f>AND('Planilla_General_29-11-2012_10_'!D2767,"AAAAAH/Pm7I=")</f>
        <v>#VALUE!</v>
      </c>
      <c r="FX184" t="e">
        <f>AND('Planilla_General_29-11-2012_10_'!E2767,"AAAAAH/Pm7M=")</f>
        <v>#VALUE!</v>
      </c>
      <c r="FY184" t="e">
        <f>AND('Planilla_General_29-11-2012_10_'!F2767,"AAAAAH/Pm7Q=")</f>
        <v>#VALUE!</v>
      </c>
      <c r="FZ184" t="e">
        <f>AND('Planilla_General_29-11-2012_10_'!G2767,"AAAAAH/Pm7U=")</f>
        <v>#VALUE!</v>
      </c>
      <c r="GA184" t="e">
        <f>AND('Planilla_General_29-11-2012_10_'!H2767,"AAAAAH/Pm7Y=")</f>
        <v>#VALUE!</v>
      </c>
      <c r="GB184" t="e">
        <f>AND('Planilla_General_29-11-2012_10_'!I2767,"AAAAAH/Pm7c=")</f>
        <v>#VALUE!</v>
      </c>
      <c r="GC184" t="e">
        <f>AND('Planilla_General_29-11-2012_10_'!J2767,"AAAAAH/Pm7g=")</f>
        <v>#VALUE!</v>
      </c>
      <c r="GD184" t="e">
        <f>AND('Planilla_General_29-11-2012_10_'!K2767,"AAAAAH/Pm7k=")</f>
        <v>#VALUE!</v>
      </c>
      <c r="GE184" t="e">
        <f>AND('Planilla_General_29-11-2012_10_'!L2767,"AAAAAH/Pm7o=")</f>
        <v>#VALUE!</v>
      </c>
      <c r="GF184" t="e">
        <f>AND('Planilla_General_29-11-2012_10_'!M2767,"AAAAAH/Pm7s=")</f>
        <v>#VALUE!</v>
      </c>
      <c r="GG184" t="e">
        <f>AND('Planilla_General_29-11-2012_10_'!N2767,"AAAAAH/Pm7w=")</f>
        <v>#VALUE!</v>
      </c>
      <c r="GH184" t="e">
        <f>AND('Planilla_General_29-11-2012_10_'!O2767,"AAAAAH/Pm70=")</f>
        <v>#VALUE!</v>
      </c>
      <c r="GI184" t="e">
        <f>AND('Planilla_General_29-11-2012_10_'!P2767,"AAAAAH/Pm74=")</f>
        <v>#VALUE!</v>
      </c>
      <c r="GJ184">
        <f>IF('Planilla_General_29-11-2012_10_'!2768:2768,"AAAAAH/Pm78=",0)</f>
        <v>0</v>
      </c>
      <c r="GK184" t="e">
        <f>AND('Planilla_General_29-11-2012_10_'!A2768,"AAAAAH/Pm8A=")</f>
        <v>#VALUE!</v>
      </c>
      <c r="GL184" t="e">
        <f>AND('Planilla_General_29-11-2012_10_'!B2768,"AAAAAH/Pm8E=")</f>
        <v>#VALUE!</v>
      </c>
      <c r="GM184" t="e">
        <f>AND('Planilla_General_29-11-2012_10_'!C2768,"AAAAAH/Pm8I=")</f>
        <v>#VALUE!</v>
      </c>
      <c r="GN184" t="e">
        <f>AND('Planilla_General_29-11-2012_10_'!D2768,"AAAAAH/Pm8M=")</f>
        <v>#VALUE!</v>
      </c>
      <c r="GO184" t="e">
        <f>AND('Planilla_General_29-11-2012_10_'!E2768,"AAAAAH/Pm8Q=")</f>
        <v>#VALUE!</v>
      </c>
      <c r="GP184" t="e">
        <f>AND('Planilla_General_29-11-2012_10_'!F2768,"AAAAAH/Pm8U=")</f>
        <v>#VALUE!</v>
      </c>
      <c r="GQ184" t="e">
        <f>AND('Planilla_General_29-11-2012_10_'!G2768,"AAAAAH/Pm8Y=")</f>
        <v>#VALUE!</v>
      </c>
      <c r="GR184" t="e">
        <f>AND('Planilla_General_29-11-2012_10_'!H2768,"AAAAAH/Pm8c=")</f>
        <v>#VALUE!</v>
      </c>
      <c r="GS184" t="e">
        <f>AND('Planilla_General_29-11-2012_10_'!I2768,"AAAAAH/Pm8g=")</f>
        <v>#VALUE!</v>
      </c>
      <c r="GT184" t="e">
        <f>AND('Planilla_General_29-11-2012_10_'!J2768,"AAAAAH/Pm8k=")</f>
        <v>#VALUE!</v>
      </c>
      <c r="GU184" t="e">
        <f>AND('Planilla_General_29-11-2012_10_'!K2768,"AAAAAH/Pm8o=")</f>
        <v>#VALUE!</v>
      </c>
      <c r="GV184" t="e">
        <f>AND('Planilla_General_29-11-2012_10_'!L2768,"AAAAAH/Pm8s=")</f>
        <v>#VALUE!</v>
      </c>
      <c r="GW184" t="e">
        <f>AND('Planilla_General_29-11-2012_10_'!M2768,"AAAAAH/Pm8w=")</f>
        <v>#VALUE!</v>
      </c>
      <c r="GX184" t="e">
        <f>AND('Planilla_General_29-11-2012_10_'!N2768,"AAAAAH/Pm80=")</f>
        <v>#VALUE!</v>
      </c>
      <c r="GY184" t="e">
        <f>AND('Planilla_General_29-11-2012_10_'!O2768,"AAAAAH/Pm84=")</f>
        <v>#VALUE!</v>
      </c>
      <c r="GZ184" t="e">
        <f>AND('Planilla_General_29-11-2012_10_'!P2768,"AAAAAH/Pm88=")</f>
        <v>#VALUE!</v>
      </c>
      <c r="HA184">
        <f>IF('Planilla_General_29-11-2012_10_'!2769:2769,"AAAAAH/Pm9A=",0)</f>
        <v>0</v>
      </c>
      <c r="HB184" t="e">
        <f>AND('Planilla_General_29-11-2012_10_'!A2769,"AAAAAH/Pm9E=")</f>
        <v>#VALUE!</v>
      </c>
      <c r="HC184" t="e">
        <f>AND('Planilla_General_29-11-2012_10_'!B2769,"AAAAAH/Pm9I=")</f>
        <v>#VALUE!</v>
      </c>
      <c r="HD184" t="e">
        <f>AND('Planilla_General_29-11-2012_10_'!C2769,"AAAAAH/Pm9M=")</f>
        <v>#VALUE!</v>
      </c>
      <c r="HE184" t="e">
        <f>AND('Planilla_General_29-11-2012_10_'!D2769,"AAAAAH/Pm9Q=")</f>
        <v>#VALUE!</v>
      </c>
      <c r="HF184" t="e">
        <f>AND('Planilla_General_29-11-2012_10_'!E2769,"AAAAAH/Pm9U=")</f>
        <v>#VALUE!</v>
      </c>
      <c r="HG184" t="e">
        <f>AND('Planilla_General_29-11-2012_10_'!F2769,"AAAAAH/Pm9Y=")</f>
        <v>#VALUE!</v>
      </c>
      <c r="HH184" t="e">
        <f>AND('Planilla_General_29-11-2012_10_'!G2769,"AAAAAH/Pm9c=")</f>
        <v>#VALUE!</v>
      </c>
      <c r="HI184" t="e">
        <f>AND('Planilla_General_29-11-2012_10_'!H2769,"AAAAAH/Pm9g=")</f>
        <v>#VALUE!</v>
      </c>
      <c r="HJ184" t="e">
        <f>AND('Planilla_General_29-11-2012_10_'!I2769,"AAAAAH/Pm9k=")</f>
        <v>#VALUE!</v>
      </c>
      <c r="HK184" t="e">
        <f>AND('Planilla_General_29-11-2012_10_'!J2769,"AAAAAH/Pm9o=")</f>
        <v>#VALUE!</v>
      </c>
      <c r="HL184" t="e">
        <f>AND('Planilla_General_29-11-2012_10_'!K2769,"AAAAAH/Pm9s=")</f>
        <v>#VALUE!</v>
      </c>
      <c r="HM184" t="e">
        <f>AND('Planilla_General_29-11-2012_10_'!L2769,"AAAAAH/Pm9w=")</f>
        <v>#VALUE!</v>
      </c>
      <c r="HN184" t="e">
        <f>AND('Planilla_General_29-11-2012_10_'!M2769,"AAAAAH/Pm90=")</f>
        <v>#VALUE!</v>
      </c>
      <c r="HO184" t="e">
        <f>AND('Planilla_General_29-11-2012_10_'!N2769,"AAAAAH/Pm94=")</f>
        <v>#VALUE!</v>
      </c>
      <c r="HP184" t="e">
        <f>AND('Planilla_General_29-11-2012_10_'!O2769,"AAAAAH/Pm98=")</f>
        <v>#VALUE!</v>
      </c>
      <c r="HQ184" t="e">
        <f>AND('Planilla_General_29-11-2012_10_'!P2769,"AAAAAH/Pm+A=")</f>
        <v>#VALUE!</v>
      </c>
      <c r="HR184">
        <f>IF('Planilla_General_29-11-2012_10_'!2770:2770,"AAAAAH/Pm+E=",0)</f>
        <v>0</v>
      </c>
      <c r="HS184" t="e">
        <f>AND('Planilla_General_29-11-2012_10_'!A2770,"AAAAAH/Pm+I=")</f>
        <v>#VALUE!</v>
      </c>
      <c r="HT184" t="e">
        <f>AND('Planilla_General_29-11-2012_10_'!B2770,"AAAAAH/Pm+M=")</f>
        <v>#VALUE!</v>
      </c>
      <c r="HU184" t="e">
        <f>AND('Planilla_General_29-11-2012_10_'!C2770,"AAAAAH/Pm+Q=")</f>
        <v>#VALUE!</v>
      </c>
      <c r="HV184" t="e">
        <f>AND('Planilla_General_29-11-2012_10_'!D2770,"AAAAAH/Pm+U=")</f>
        <v>#VALUE!</v>
      </c>
      <c r="HW184" t="e">
        <f>AND('Planilla_General_29-11-2012_10_'!E2770,"AAAAAH/Pm+Y=")</f>
        <v>#VALUE!</v>
      </c>
      <c r="HX184" t="e">
        <f>AND('Planilla_General_29-11-2012_10_'!F2770,"AAAAAH/Pm+c=")</f>
        <v>#VALUE!</v>
      </c>
      <c r="HY184" t="e">
        <f>AND('Planilla_General_29-11-2012_10_'!G2770,"AAAAAH/Pm+g=")</f>
        <v>#VALUE!</v>
      </c>
      <c r="HZ184" t="e">
        <f>AND('Planilla_General_29-11-2012_10_'!H2770,"AAAAAH/Pm+k=")</f>
        <v>#VALUE!</v>
      </c>
      <c r="IA184" t="e">
        <f>AND('Planilla_General_29-11-2012_10_'!I2770,"AAAAAH/Pm+o=")</f>
        <v>#VALUE!</v>
      </c>
      <c r="IB184" t="e">
        <f>AND('Planilla_General_29-11-2012_10_'!J2770,"AAAAAH/Pm+s=")</f>
        <v>#VALUE!</v>
      </c>
      <c r="IC184" t="e">
        <f>AND('Planilla_General_29-11-2012_10_'!K2770,"AAAAAH/Pm+w=")</f>
        <v>#VALUE!</v>
      </c>
      <c r="ID184" t="e">
        <f>AND('Planilla_General_29-11-2012_10_'!L2770,"AAAAAH/Pm+0=")</f>
        <v>#VALUE!</v>
      </c>
      <c r="IE184" t="e">
        <f>AND('Planilla_General_29-11-2012_10_'!M2770,"AAAAAH/Pm+4=")</f>
        <v>#VALUE!</v>
      </c>
      <c r="IF184" t="e">
        <f>AND('Planilla_General_29-11-2012_10_'!N2770,"AAAAAH/Pm+8=")</f>
        <v>#VALUE!</v>
      </c>
      <c r="IG184" t="e">
        <f>AND('Planilla_General_29-11-2012_10_'!O2770,"AAAAAH/Pm/A=")</f>
        <v>#VALUE!</v>
      </c>
      <c r="IH184" t="e">
        <f>AND('Planilla_General_29-11-2012_10_'!P2770,"AAAAAH/Pm/E=")</f>
        <v>#VALUE!</v>
      </c>
      <c r="II184">
        <f>IF('Planilla_General_29-11-2012_10_'!2771:2771,"AAAAAH/Pm/I=",0)</f>
        <v>0</v>
      </c>
      <c r="IJ184" t="e">
        <f>AND('Planilla_General_29-11-2012_10_'!A2771,"AAAAAH/Pm/M=")</f>
        <v>#VALUE!</v>
      </c>
      <c r="IK184" t="e">
        <f>AND('Planilla_General_29-11-2012_10_'!B2771,"AAAAAH/Pm/Q=")</f>
        <v>#VALUE!</v>
      </c>
      <c r="IL184" t="e">
        <f>AND('Planilla_General_29-11-2012_10_'!C2771,"AAAAAH/Pm/U=")</f>
        <v>#VALUE!</v>
      </c>
      <c r="IM184" t="e">
        <f>AND('Planilla_General_29-11-2012_10_'!D2771,"AAAAAH/Pm/Y=")</f>
        <v>#VALUE!</v>
      </c>
      <c r="IN184" t="e">
        <f>AND('Planilla_General_29-11-2012_10_'!E2771,"AAAAAH/Pm/c=")</f>
        <v>#VALUE!</v>
      </c>
      <c r="IO184" t="e">
        <f>AND('Planilla_General_29-11-2012_10_'!F2771,"AAAAAH/Pm/g=")</f>
        <v>#VALUE!</v>
      </c>
      <c r="IP184" t="e">
        <f>AND('Planilla_General_29-11-2012_10_'!G2771,"AAAAAH/Pm/k=")</f>
        <v>#VALUE!</v>
      </c>
      <c r="IQ184" t="e">
        <f>AND('Planilla_General_29-11-2012_10_'!H2771,"AAAAAH/Pm/o=")</f>
        <v>#VALUE!</v>
      </c>
      <c r="IR184" t="e">
        <f>AND('Planilla_General_29-11-2012_10_'!I2771,"AAAAAH/Pm/s=")</f>
        <v>#VALUE!</v>
      </c>
      <c r="IS184" t="e">
        <f>AND('Planilla_General_29-11-2012_10_'!J2771,"AAAAAH/Pm/w=")</f>
        <v>#VALUE!</v>
      </c>
      <c r="IT184" t="e">
        <f>AND('Planilla_General_29-11-2012_10_'!K2771,"AAAAAH/Pm/0=")</f>
        <v>#VALUE!</v>
      </c>
      <c r="IU184" t="e">
        <f>AND('Planilla_General_29-11-2012_10_'!L2771,"AAAAAH/Pm/4=")</f>
        <v>#VALUE!</v>
      </c>
      <c r="IV184" t="e">
        <f>AND('Planilla_General_29-11-2012_10_'!M2771,"AAAAAH/Pm/8=")</f>
        <v>#VALUE!</v>
      </c>
    </row>
    <row r="185" spans="1:256" x14ac:dyDescent="0.25">
      <c r="A185" t="e">
        <f>AND('Planilla_General_29-11-2012_10_'!N2771,"AAAAAHbztwA=")</f>
        <v>#VALUE!</v>
      </c>
      <c r="B185" t="e">
        <f>AND('Planilla_General_29-11-2012_10_'!O2771,"AAAAAHbztwE=")</f>
        <v>#VALUE!</v>
      </c>
      <c r="C185" t="e">
        <f>AND('Planilla_General_29-11-2012_10_'!P2771,"AAAAAHbztwI=")</f>
        <v>#VALUE!</v>
      </c>
      <c r="D185" t="e">
        <f>IF('Planilla_General_29-11-2012_10_'!2772:2772,"AAAAAHbztwM=",0)</f>
        <v>#VALUE!</v>
      </c>
      <c r="E185" t="e">
        <f>AND('Planilla_General_29-11-2012_10_'!A2772,"AAAAAHbztwQ=")</f>
        <v>#VALUE!</v>
      </c>
      <c r="F185" t="e">
        <f>AND('Planilla_General_29-11-2012_10_'!B2772,"AAAAAHbztwU=")</f>
        <v>#VALUE!</v>
      </c>
      <c r="G185" t="e">
        <f>AND('Planilla_General_29-11-2012_10_'!C2772,"AAAAAHbztwY=")</f>
        <v>#VALUE!</v>
      </c>
      <c r="H185" t="e">
        <f>AND('Planilla_General_29-11-2012_10_'!D2772,"AAAAAHbztwc=")</f>
        <v>#VALUE!</v>
      </c>
      <c r="I185" t="e">
        <f>AND('Planilla_General_29-11-2012_10_'!E2772,"AAAAAHbztwg=")</f>
        <v>#VALUE!</v>
      </c>
      <c r="J185" t="e">
        <f>AND('Planilla_General_29-11-2012_10_'!F2772,"AAAAAHbztwk=")</f>
        <v>#VALUE!</v>
      </c>
      <c r="K185" t="e">
        <f>AND('Planilla_General_29-11-2012_10_'!G2772,"AAAAAHbztwo=")</f>
        <v>#VALUE!</v>
      </c>
      <c r="L185" t="e">
        <f>AND('Planilla_General_29-11-2012_10_'!H2772,"AAAAAHbztws=")</f>
        <v>#VALUE!</v>
      </c>
      <c r="M185" t="e">
        <f>AND('Planilla_General_29-11-2012_10_'!I2772,"AAAAAHbztww=")</f>
        <v>#VALUE!</v>
      </c>
      <c r="N185" t="e">
        <f>AND('Planilla_General_29-11-2012_10_'!J2772,"AAAAAHbztw0=")</f>
        <v>#VALUE!</v>
      </c>
      <c r="O185" t="e">
        <f>AND('Planilla_General_29-11-2012_10_'!K2772,"AAAAAHbztw4=")</f>
        <v>#VALUE!</v>
      </c>
      <c r="P185" t="e">
        <f>AND('Planilla_General_29-11-2012_10_'!L2772,"AAAAAHbztw8=")</f>
        <v>#VALUE!</v>
      </c>
      <c r="Q185" t="e">
        <f>AND('Planilla_General_29-11-2012_10_'!M2772,"AAAAAHbztxA=")</f>
        <v>#VALUE!</v>
      </c>
      <c r="R185" t="e">
        <f>AND('Planilla_General_29-11-2012_10_'!N2772,"AAAAAHbztxE=")</f>
        <v>#VALUE!</v>
      </c>
      <c r="S185" t="e">
        <f>AND('Planilla_General_29-11-2012_10_'!O2772,"AAAAAHbztxI=")</f>
        <v>#VALUE!</v>
      </c>
      <c r="T185" t="e">
        <f>AND('Planilla_General_29-11-2012_10_'!P2772,"AAAAAHbztxM=")</f>
        <v>#VALUE!</v>
      </c>
      <c r="U185">
        <f>IF('Planilla_General_29-11-2012_10_'!2773:2773,"AAAAAHbztxQ=",0)</f>
        <v>0</v>
      </c>
      <c r="V185" t="e">
        <f>AND('Planilla_General_29-11-2012_10_'!A2773,"AAAAAHbztxU=")</f>
        <v>#VALUE!</v>
      </c>
      <c r="W185" t="e">
        <f>AND('Planilla_General_29-11-2012_10_'!B2773,"AAAAAHbztxY=")</f>
        <v>#VALUE!</v>
      </c>
      <c r="X185" t="e">
        <f>AND('Planilla_General_29-11-2012_10_'!C2773,"AAAAAHbztxc=")</f>
        <v>#VALUE!</v>
      </c>
      <c r="Y185" t="e">
        <f>AND('Planilla_General_29-11-2012_10_'!D2773,"AAAAAHbztxg=")</f>
        <v>#VALUE!</v>
      </c>
      <c r="Z185" t="e">
        <f>AND('Planilla_General_29-11-2012_10_'!E2773,"AAAAAHbztxk=")</f>
        <v>#VALUE!</v>
      </c>
      <c r="AA185" t="e">
        <f>AND('Planilla_General_29-11-2012_10_'!F2773,"AAAAAHbztxo=")</f>
        <v>#VALUE!</v>
      </c>
      <c r="AB185" t="e">
        <f>AND('Planilla_General_29-11-2012_10_'!G2773,"AAAAAHbztxs=")</f>
        <v>#VALUE!</v>
      </c>
      <c r="AC185" t="e">
        <f>AND('Planilla_General_29-11-2012_10_'!H2773,"AAAAAHbztxw=")</f>
        <v>#VALUE!</v>
      </c>
      <c r="AD185" t="e">
        <f>AND('Planilla_General_29-11-2012_10_'!I2773,"AAAAAHbztx0=")</f>
        <v>#VALUE!</v>
      </c>
      <c r="AE185" t="e">
        <f>AND('Planilla_General_29-11-2012_10_'!J2773,"AAAAAHbztx4=")</f>
        <v>#VALUE!</v>
      </c>
      <c r="AF185" t="e">
        <f>AND('Planilla_General_29-11-2012_10_'!K2773,"AAAAAHbztx8=")</f>
        <v>#VALUE!</v>
      </c>
      <c r="AG185" t="e">
        <f>AND('Planilla_General_29-11-2012_10_'!L2773,"AAAAAHbztyA=")</f>
        <v>#VALUE!</v>
      </c>
      <c r="AH185" t="e">
        <f>AND('Planilla_General_29-11-2012_10_'!M2773,"AAAAAHbztyE=")</f>
        <v>#VALUE!</v>
      </c>
      <c r="AI185" t="e">
        <f>AND('Planilla_General_29-11-2012_10_'!N2773,"AAAAAHbztyI=")</f>
        <v>#VALUE!</v>
      </c>
      <c r="AJ185" t="e">
        <f>AND('Planilla_General_29-11-2012_10_'!O2773,"AAAAAHbztyM=")</f>
        <v>#VALUE!</v>
      </c>
      <c r="AK185" t="e">
        <f>AND('Planilla_General_29-11-2012_10_'!P2773,"AAAAAHbztyQ=")</f>
        <v>#VALUE!</v>
      </c>
      <c r="AL185">
        <f>IF('Planilla_General_29-11-2012_10_'!2774:2774,"AAAAAHbztyU=",0)</f>
        <v>0</v>
      </c>
      <c r="AM185" t="e">
        <f>AND('Planilla_General_29-11-2012_10_'!A2774,"AAAAAHbztyY=")</f>
        <v>#VALUE!</v>
      </c>
      <c r="AN185" t="e">
        <f>AND('Planilla_General_29-11-2012_10_'!B2774,"AAAAAHbztyc=")</f>
        <v>#VALUE!</v>
      </c>
      <c r="AO185" t="e">
        <f>AND('Planilla_General_29-11-2012_10_'!C2774,"AAAAAHbztyg=")</f>
        <v>#VALUE!</v>
      </c>
      <c r="AP185" t="e">
        <f>AND('Planilla_General_29-11-2012_10_'!D2774,"AAAAAHbztyk=")</f>
        <v>#VALUE!</v>
      </c>
      <c r="AQ185" t="e">
        <f>AND('Planilla_General_29-11-2012_10_'!E2774,"AAAAAHbztyo=")</f>
        <v>#VALUE!</v>
      </c>
      <c r="AR185" t="e">
        <f>AND('Planilla_General_29-11-2012_10_'!F2774,"AAAAAHbztys=")</f>
        <v>#VALUE!</v>
      </c>
      <c r="AS185" t="e">
        <f>AND('Planilla_General_29-11-2012_10_'!G2774,"AAAAAHbztyw=")</f>
        <v>#VALUE!</v>
      </c>
      <c r="AT185" t="e">
        <f>AND('Planilla_General_29-11-2012_10_'!H2774,"AAAAAHbzty0=")</f>
        <v>#VALUE!</v>
      </c>
      <c r="AU185" t="e">
        <f>AND('Planilla_General_29-11-2012_10_'!I2774,"AAAAAHbzty4=")</f>
        <v>#VALUE!</v>
      </c>
      <c r="AV185" t="e">
        <f>AND('Planilla_General_29-11-2012_10_'!J2774,"AAAAAHbzty8=")</f>
        <v>#VALUE!</v>
      </c>
      <c r="AW185" t="e">
        <f>AND('Planilla_General_29-11-2012_10_'!K2774,"AAAAAHbztzA=")</f>
        <v>#VALUE!</v>
      </c>
      <c r="AX185" t="e">
        <f>AND('Planilla_General_29-11-2012_10_'!L2774,"AAAAAHbztzE=")</f>
        <v>#VALUE!</v>
      </c>
      <c r="AY185" t="e">
        <f>AND('Planilla_General_29-11-2012_10_'!M2774,"AAAAAHbztzI=")</f>
        <v>#VALUE!</v>
      </c>
      <c r="AZ185" t="e">
        <f>AND('Planilla_General_29-11-2012_10_'!N2774,"AAAAAHbztzM=")</f>
        <v>#VALUE!</v>
      </c>
      <c r="BA185" t="e">
        <f>AND('Planilla_General_29-11-2012_10_'!O2774,"AAAAAHbztzQ=")</f>
        <v>#VALUE!</v>
      </c>
      <c r="BB185" t="e">
        <f>AND('Planilla_General_29-11-2012_10_'!P2774,"AAAAAHbztzU=")</f>
        <v>#VALUE!</v>
      </c>
      <c r="BC185">
        <f>IF('Planilla_General_29-11-2012_10_'!2775:2775,"AAAAAHbztzY=",0)</f>
        <v>0</v>
      </c>
      <c r="BD185" t="e">
        <f>AND('Planilla_General_29-11-2012_10_'!A2775,"AAAAAHbztzc=")</f>
        <v>#VALUE!</v>
      </c>
      <c r="BE185" t="e">
        <f>AND('Planilla_General_29-11-2012_10_'!B2775,"AAAAAHbztzg=")</f>
        <v>#VALUE!</v>
      </c>
      <c r="BF185" t="e">
        <f>AND('Planilla_General_29-11-2012_10_'!C2775,"AAAAAHbztzk=")</f>
        <v>#VALUE!</v>
      </c>
      <c r="BG185" t="e">
        <f>AND('Planilla_General_29-11-2012_10_'!D2775,"AAAAAHbztzo=")</f>
        <v>#VALUE!</v>
      </c>
      <c r="BH185" t="e">
        <f>AND('Planilla_General_29-11-2012_10_'!E2775,"AAAAAHbztzs=")</f>
        <v>#VALUE!</v>
      </c>
      <c r="BI185" t="e">
        <f>AND('Planilla_General_29-11-2012_10_'!F2775,"AAAAAHbztzw=")</f>
        <v>#VALUE!</v>
      </c>
      <c r="BJ185" t="e">
        <f>AND('Planilla_General_29-11-2012_10_'!G2775,"AAAAAHbztz0=")</f>
        <v>#VALUE!</v>
      </c>
      <c r="BK185" t="e">
        <f>AND('Planilla_General_29-11-2012_10_'!H2775,"AAAAAHbztz4=")</f>
        <v>#VALUE!</v>
      </c>
      <c r="BL185" t="e">
        <f>AND('Planilla_General_29-11-2012_10_'!I2775,"AAAAAHbztz8=")</f>
        <v>#VALUE!</v>
      </c>
      <c r="BM185" t="e">
        <f>AND('Planilla_General_29-11-2012_10_'!J2775,"AAAAAHbzt0A=")</f>
        <v>#VALUE!</v>
      </c>
      <c r="BN185" t="e">
        <f>AND('Planilla_General_29-11-2012_10_'!K2775,"AAAAAHbzt0E=")</f>
        <v>#VALUE!</v>
      </c>
      <c r="BO185" t="e">
        <f>AND('Planilla_General_29-11-2012_10_'!L2775,"AAAAAHbzt0I=")</f>
        <v>#VALUE!</v>
      </c>
      <c r="BP185" t="e">
        <f>AND('Planilla_General_29-11-2012_10_'!M2775,"AAAAAHbzt0M=")</f>
        <v>#VALUE!</v>
      </c>
      <c r="BQ185" t="e">
        <f>AND('Planilla_General_29-11-2012_10_'!N2775,"AAAAAHbzt0Q=")</f>
        <v>#VALUE!</v>
      </c>
      <c r="BR185" t="e">
        <f>AND('Planilla_General_29-11-2012_10_'!O2775,"AAAAAHbzt0U=")</f>
        <v>#VALUE!</v>
      </c>
      <c r="BS185" t="e">
        <f>AND('Planilla_General_29-11-2012_10_'!P2775,"AAAAAHbzt0Y=")</f>
        <v>#VALUE!</v>
      </c>
      <c r="BT185">
        <f>IF('Planilla_General_29-11-2012_10_'!2776:2776,"AAAAAHbzt0c=",0)</f>
        <v>0</v>
      </c>
      <c r="BU185" t="e">
        <f>AND('Planilla_General_29-11-2012_10_'!A2776,"AAAAAHbzt0g=")</f>
        <v>#VALUE!</v>
      </c>
      <c r="BV185" t="e">
        <f>AND('Planilla_General_29-11-2012_10_'!B2776,"AAAAAHbzt0k=")</f>
        <v>#VALUE!</v>
      </c>
      <c r="BW185" t="e">
        <f>AND('Planilla_General_29-11-2012_10_'!C2776,"AAAAAHbzt0o=")</f>
        <v>#VALUE!</v>
      </c>
      <c r="BX185" t="e">
        <f>AND('Planilla_General_29-11-2012_10_'!D2776,"AAAAAHbzt0s=")</f>
        <v>#VALUE!</v>
      </c>
      <c r="BY185" t="e">
        <f>AND('Planilla_General_29-11-2012_10_'!E2776,"AAAAAHbzt0w=")</f>
        <v>#VALUE!</v>
      </c>
      <c r="BZ185" t="e">
        <f>AND('Planilla_General_29-11-2012_10_'!F2776,"AAAAAHbzt00=")</f>
        <v>#VALUE!</v>
      </c>
      <c r="CA185" t="e">
        <f>AND('Planilla_General_29-11-2012_10_'!G2776,"AAAAAHbzt04=")</f>
        <v>#VALUE!</v>
      </c>
      <c r="CB185" t="e">
        <f>AND('Planilla_General_29-11-2012_10_'!H2776,"AAAAAHbzt08=")</f>
        <v>#VALUE!</v>
      </c>
      <c r="CC185" t="e">
        <f>AND('Planilla_General_29-11-2012_10_'!I2776,"AAAAAHbzt1A=")</f>
        <v>#VALUE!</v>
      </c>
      <c r="CD185" t="e">
        <f>AND('Planilla_General_29-11-2012_10_'!J2776,"AAAAAHbzt1E=")</f>
        <v>#VALUE!</v>
      </c>
      <c r="CE185" t="e">
        <f>AND('Planilla_General_29-11-2012_10_'!K2776,"AAAAAHbzt1I=")</f>
        <v>#VALUE!</v>
      </c>
      <c r="CF185" t="e">
        <f>AND('Planilla_General_29-11-2012_10_'!L2776,"AAAAAHbzt1M=")</f>
        <v>#VALUE!</v>
      </c>
      <c r="CG185" t="e">
        <f>AND('Planilla_General_29-11-2012_10_'!M2776,"AAAAAHbzt1Q=")</f>
        <v>#VALUE!</v>
      </c>
      <c r="CH185" t="e">
        <f>AND('Planilla_General_29-11-2012_10_'!N2776,"AAAAAHbzt1U=")</f>
        <v>#VALUE!</v>
      </c>
      <c r="CI185" t="e">
        <f>AND('Planilla_General_29-11-2012_10_'!O2776,"AAAAAHbzt1Y=")</f>
        <v>#VALUE!</v>
      </c>
      <c r="CJ185" t="e">
        <f>AND('Planilla_General_29-11-2012_10_'!P2776,"AAAAAHbzt1c=")</f>
        <v>#VALUE!</v>
      </c>
      <c r="CK185">
        <f>IF('Planilla_General_29-11-2012_10_'!2777:2777,"AAAAAHbzt1g=",0)</f>
        <v>0</v>
      </c>
      <c r="CL185" t="e">
        <f>AND('Planilla_General_29-11-2012_10_'!A2777,"AAAAAHbzt1k=")</f>
        <v>#VALUE!</v>
      </c>
      <c r="CM185" t="e">
        <f>AND('Planilla_General_29-11-2012_10_'!B2777,"AAAAAHbzt1o=")</f>
        <v>#VALUE!</v>
      </c>
      <c r="CN185" t="e">
        <f>AND('Planilla_General_29-11-2012_10_'!C2777,"AAAAAHbzt1s=")</f>
        <v>#VALUE!</v>
      </c>
      <c r="CO185" t="e">
        <f>AND('Planilla_General_29-11-2012_10_'!D2777,"AAAAAHbzt1w=")</f>
        <v>#VALUE!</v>
      </c>
      <c r="CP185" t="e">
        <f>AND('Planilla_General_29-11-2012_10_'!E2777,"AAAAAHbzt10=")</f>
        <v>#VALUE!</v>
      </c>
      <c r="CQ185" t="e">
        <f>AND('Planilla_General_29-11-2012_10_'!F2777,"AAAAAHbzt14=")</f>
        <v>#VALUE!</v>
      </c>
      <c r="CR185" t="e">
        <f>AND('Planilla_General_29-11-2012_10_'!G2777,"AAAAAHbzt18=")</f>
        <v>#VALUE!</v>
      </c>
      <c r="CS185" t="e">
        <f>AND('Planilla_General_29-11-2012_10_'!H2777,"AAAAAHbzt2A=")</f>
        <v>#VALUE!</v>
      </c>
      <c r="CT185" t="e">
        <f>AND('Planilla_General_29-11-2012_10_'!I2777,"AAAAAHbzt2E=")</f>
        <v>#VALUE!</v>
      </c>
      <c r="CU185" t="e">
        <f>AND('Planilla_General_29-11-2012_10_'!J2777,"AAAAAHbzt2I=")</f>
        <v>#VALUE!</v>
      </c>
      <c r="CV185" t="e">
        <f>AND('Planilla_General_29-11-2012_10_'!K2777,"AAAAAHbzt2M=")</f>
        <v>#VALUE!</v>
      </c>
      <c r="CW185" t="e">
        <f>AND('Planilla_General_29-11-2012_10_'!L2777,"AAAAAHbzt2Q=")</f>
        <v>#VALUE!</v>
      </c>
      <c r="CX185" t="e">
        <f>AND('Planilla_General_29-11-2012_10_'!M2777,"AAAAAHbzt2U=")</f>
        <v>#VALUE!</v>
      </c>
      <c r="CY185" t="e">
        <f>AND('Planilla_General_29-11-2012_10_'!N2777,"AAAAAHbzt2Y=")</f>
        <v>#VALUE!</v>
      </c>
      <c r="CZ185" t="e">
        <f>AND('Planilla_General_29-11-2012_10_'!O2777,"AAAAAHbzt2c=")</f>
        <v>#VALUE!</v>
      </c>
      <c r="DA185" t="e">
        <f>AND('Planilla_General_29-11-2012_10_'!P2777,"AAAAAHbzt2g=")</f>
        <v>#VALUE!</v>
      </c>
      <c r="DB185">
        <f>IF('Planilla_General_29-11-2012_10_'!2778:2778,"AAAAAHbzt2k=",0)</f>
        <v>0</v>
      </c>
      <c r="DC185" t="e">
        <f>AND('Planilla_General_29-11-2012_10_'!A2778,"AAAAAHbzt2o=")</f>
        <v>#VALUE!</v>
      </c>
      <c r="DD185" t="e">
        <f>AND('Planilla_General_29-11-2012_10_'!B2778,"AAAAAHbzt2s=")</f>
        <v>#VALUE!</v>
      </c>
      <c r="DE185" t="e">
        <f>AND('Planilla_General_29-11-2012_10_'!C2778,"AAAAAHbzt2w=")</f>
        <v>#VALUE!</v>
      </c>
      <c r="DF185" t="e">
        <f>AND('Planilla_General_29-11-2012_10_'!D2778,"AAAAAHbzt20=")</f>
        <v>#VALUE!</v>
      </c>
      <c r="DG185" t="e">
        <f>AND('Planilla_General_29-11-2012_10_'!E2778,"AAAAAHbzt24=")</f>
        <v>#VALUE!</v>
      </c>
      <c r="DH185" t="e">
        <f>AND('Planilla_General_29-11-2012_10_'!F2778,"AAAAAHbzt28=")</f>
        <v>#VALUE!</v>
      </c>
      <c r="DI185" t="e">
        <f>AND('Planilla_General_29-11-2012_10_'!G2778,"AAAAAHbzt3A=")</f>
        <v>#VALUE!</v>
      </c>
      <c r="DJ185" t="e">
        <f>AND('Planilla_General_29-11-2012_10_'!H2778,"AAAAAHbzt3E=")</f>
        <v>#VALUE!</v>
      </c>
      <c r="DK185" t="e">
        <f>AND('Planilla_General_29-11-2012_10_'!I2778,"AAAAAHbzt3I=")</f>
        <v>#VALUE!</v>
      </c>
      <c r="DL185" t="e">
        <f>AND('Planilla_General_29-11-2012_10_'!J2778,"AAAAAHbzt3M=")</f>
        <v>#VALUE!</v>
      </c>
      <c r="DM185" t="e">
        <f>AND('Planilla_General_29-11-2012_10_'!K2778,"AAAAAHbzt3Q=")</f>
        <v>#VALUE!</v>
      </c>
      <c r="DN185" t="e">
        <f>AND('Planilla_General_29-11-2012_10_'!L2778,"AAAAAHbzt3U=")</f>
        <v>#VALUE!</v>
      </c>
      <c r="DO185" t="e">
        <f>AND('Planilla_General_29-11-2012_10_'!M2778,"AAAAAHbzt3Y=")</f>
        <v>#VALUE!</v>
      </c>
      <c r="DP185" t="e">
        <f>AND('Planilla_General_29-11-2012_10_'!N2778,"AAAAAHbzt3c=")</f>
        <v>#VALUE!</v>
      </c>
      <c r="DQ185" t="e">
        <f>AND('Planilla_General_29-11-2012_10_'!O2778,"AAAAAHbzt3g=")</f>
        <v>#VALUE!</v>
      </c>
      <c r="DR185" t="e">
        <f>AND('Planilla_General_29-11-2012_10_'!P2778,"AAAAAHbzt3k=")</f>
        <v>#VALUE!</v>
      </c>
      <c r="DS185">
        <f>IF('Planilla_General_29-11-2012_10_'!2779:2779,"AAAAAHbzt3o=",0)</f>
        <v>0</v>
      </c>
      <c r="DT185" t="e">
        <f>AND('Planilla_General_29-11-2012_10_'!A2779,"AAAAAHbzt3s=")</f>
        <v>#VALUE!</v>
      </c>
      <c r="DU185" t="e">
        <f>AND('Planilla_General_29-11-2012_10_'!B2779,"AAAAAHbzt3w=")</f>
        <v>#VALUE!</v>
      </c>
      <c r="DV185" t="e">
        <f>AND('Planilla_General_29-11-2012_10_'!C2779,"AAAAAHbzt30=")</f>
        <v>#VALUE!</v>
      </c>
      <c r="DW185" t="e">
        <f>AND('Planilla_General_29-11-2012_10_'!D2779,"AAAAAHbzt34=")</f>
        <v>#VALUE!</v>
      </c>
      <c r="DX185" t="e">
        <f>AND('Planilla_General_29-11-2012_10_'!E2779,"AAAAAHbzt38=")</f>
        <v>#VALUE!</v>
      </c>
      <c r="DY185" t="e">
        <f>AND('Planilla_General_29-11-2012_10_'!F2779,"AAAAAHbzt4A=")</f>
        <v>#VALUE!</v>
      </c>
      <c r="DZ185" t="e">
        <f>AND('Planilla_General_29-11-2012_10_'!G2779,"AAAAAHbzt4E=")</f>
        <v>#VALUE!</v>
      </c>
      <c r="EA185" t="e">
        <f>AND('Planilla_General_29-11-2012_10_'!H2779,"AAAAAHbzt4I=")</f>
        <v>#VALUE!</v>
      </c>
      <c r="EB185" t="e">
        <f>AND('Planilla_General_29-11-2012_10_'!I2779,"AAAAAHbzt4M=")</f>
        <v>#VALUE!</v>
      </c>
      <c r="EC185" t="e">
        <f>AND('Planilla_General_29-11-2012_10_'!J2779,"AAAAAHbzt4Q=")</f>
        <v>#VALUE!</v>
      </c>
      <c r="ED185" t="e">
        <f>AND('Planilla_General_29-11-2012_10_'!K2779,"AAAAAHbzt4U=")</f>
        <v>#VALUE!</v>
      </c>
      <c r="EE185" t="e">
        <f>AND('Planilla_General_29-11-2012_10_'!L2779,"AAAAAHbzt4Y=")</f>
        <v>#VALUE!</v>
      </c>
      <c r="EF185" t="e">
        <f>AND('Planilla_General_29-11-2012_10_'!M2779,"AAAAAHbzt4c=")</f>
        <v>#VALUE!</v>
      </c>
      <c r="EG185" t="e">
        <f>AND('Planilla_General_29-11-2012_10_'!N2779,"AAAAAHbzt4g=")</f>
        <v>#VALUE!</v>
      </c>
      <c r="EH185" t="e">
        <f>AND('Planilla_General_29-11-2012_10_'!O2779,"AAAAAHbzt4k=")</f>
        <v>#VALUE!</v>
      </c>
      <c r="EI185" t="e">
        <f>AND('Planilla_General_29-11-2012_10_'!P2779,"AAAAAHbzt4o=")</f>
        <v>#VALUE!</v>
      </c>
      <c r="EJ185">
        <f>IF('Planilla_General_29-11-2012_10_'!2780:2780,"AAAAAHbzt4s=",0)</f>
        <v>0</v>
      </c>
      <c r="EK185" t="e">
        <f>AND('Planilla_General_29-11-2012_10_'!A2780,"AAAAAHbzt4w=")</f>
        <v>#VALUE!</v>
      </c>
      <c r="EL185" t="e">
        <f>AND('Planilla_General_29-11-2012_10_'!B2780,"AAAAAHbzt40=")</f>
        <v>#VALUE!</v>
      </c>
      <c r="EM185" t="e">
        <f>AND('Planilla_General_29-11-2012_10_'!C2780,"AAAAAHbzt44=")</f>
        <v>#VALUE!</v>
      </c>
      <c r="EN185" t="e">
        <f>AND('Planilla_General_29-11-2012_10_'!D2780,"AAAAAHbzt48=")</f>
        <v>#VALUE!</v>
      </c>
      <c r="EO185" t="e">
        <f>AND('Planilla_General_29-11-2012_10_'!E2780,"AAAAAHbzt5A=")</f>
        <v>#VALUE!</v>
      </c>
      <c r="EP185" t="e">
        <f>AND('Planilla_General_29-11-2012_10_'!F2780,"AAAAAHbzt5E=")</f>
        <v>#VALUE!</v>
      </c>
      <c r="EQ185" t="e">
        <f>AND('Planilla_General_29-11-2012_10_'!G2780,"AAAAAHbzt5I=")</f>
        <v>#VALUE!</v>
      </c>
      <c r="ER185" t="e">
        <f>AND('Planilla_General_29-11-2012_10_'!H2780,"AAAAAHbzt5M=")</f>
        <v>#VALUE!</v>
      </c>
      <c r="ES185" t="e">
        <f>AND('Planilla_General_29-11-2012_10_'!I2780,"AAAAAHbzt5Q=")</f>
        <v>#VALUE!</v>
      </c>
      <c r="ET185" t="e">
        <f>AND('Planilla_General_29-11-2012_10_'!J2780,"AAAAAHbzt5U=")</f>
        <v>#VALUE!</v>
      </c>
      <c r="EU185" t="e">
        <f>AND('Planilla_General_29-11-2012_10_'!K2780,"AAAAAHbzt5Y=")</f>
        <v>#VALUE!</v>
      </c>
      <c r="EV185" t="e">
        <f>AND('Planilla_General_29-11-2012_10_'!L2780,"AAAAAHbzt5c=")</f>
        <v>#VALUE!</v>
      </c>
      <c r="EW185" t="e">
        <f>AND('Planilla_General_29-11-2012_10_'!M2780,"AAAAAHbzt5g=")</f>
        <v>#VALUE!</v>
      </c>
      <c r="EX185" t="e">
        <f>AND('Planilla_General_29-11-2012_10_'!N2780,"AAAAAHbzt5k=")</f>
        <v>#VALUE!</v>
      </c>
      <c r="EY185" t="e">
        <f>AND('Planilla_General_29-11-2012_10_'!O2780,"AAAAAHbzt5o=")</f>
        <v>#VALUE!</v>
      </c>
      <c r="EZ185" t="e">
        <f>AND('Planilla_General_29-11-2012_10_'!P2780,"AAAAAHbzt5s=")</f>
        <v>#VALUE!</v>
      </c>
      <c r="FA185">
        <f>IF('Planilla_General_29-11-2012_10_'!2781:2781,"AAAAAHbzt5w=",0)</f>
        <v>0</v>
      </c>
      <c r="FB185" t="e">
        <f>AND('Planilla_General_29-11-2012_10_'!A2781,"AAAAAHbzt50=")</f>
        <v>#VALUE!</v>
      </c>
      <c r="FC185" t="e">
        <f>AND('Planilla_General_29-11-2012_10_'!B2781,"AAAAAHbzt54=")</f>
        <v>#VALUE!</v>
      </c>
      <c r="FD185" t="e">
        <f>AND('Planilla_General_29-11-2012_10_'!C2781,"AAAAAHbzt58=")</f>
        <v>#VALUE!</v>
      </c>
      <c r="FE185" t="e">
        <f>AND('Planilla_General_29-11-2012_10_'!D2781,"AAAAAHbzt6A=")</f>
        <v>#VALUE!</v>
      </c>
      <c r="FF185" t="e">
        <f>AND('Planilla_General_29-11-2012_10_'!E2781,"AAAAAHbzt6E=")</f>
        <v>#VALUE!</v>
      </c>
      <c r="FG185" t="e">
        <f>AND('Planilla_General_29-11-2012_10_'!F2781,"AAAAAHbzt6I=")</f>
        <v>#VALUE!</v>
      </c>
      <c r="FH185" t="e">
        <f>AND('Planilla_General_29-11-2012_10_'!G2781,"AAAAAHbzt6M=")</f>
        <v>#VALUE!</v>
      </c>
      <c r="FI185" t="e">
        <f>AND('Planilla_General_29-11-2012_10_'!H2781,"AAAAAHbzt6Q=")</f>
        <v>#VALUE!</v>
      </c>
      <c r="FJ185" t="e">
        <f>AND('Planilla_General_29-11-2012_10_'!I2781,"AAAAAHbzt6U=")</f>
        <v>#VALUE!</v>
      </c>
      <c r="FK185" t="e">
        <f>AND('Planilla_General_29-11-2012_10_'!J2781,"AAAAAHbzt6Y=")</f>
        <v>#VALUE!</v>
      </c>
      <c r="FL185" t="e">
        <f>AND('Planilla_General_29-11-2012_10_'!K2781,"AAAAAHbzt6c=")</f>
        <v>#VALUE!</v>
      </c>
      <c r="FM185" t="e">
        <f>AND('Planilla_General_29-11-2012_10_'!L2781,"AAAAAHbzt6g=")</f>
        <v>#VALUE!</v>
      </c>
      <c r="FN185" t="e">
        <f>AND('Planilla_General_29-11-2012_10_'!M2781,"AAAAAHbzt6k=")</f>
        <v>#VALUE!</v>
      </c>
      <c r="FO185" t="e">
        <f>AND('Planilla_General_29-11-2012_10_'!N2781,"AAAAAHbzt6o=")</f>
        <v>#VALUE!</v>
      </c>
      <c r="FP185" t="e">
        <f>AND('Planilla_General_29-11-2012_10_'!O2781,"AAAAAHbzt6s=")</f>
        <v>#VALUE!</v>
      </c>
      <c r="FQ185" t="e">
        <f>AND('Planilla_General_29-11-2012_10_'!P2781,"AAAAAHbzt6w=")</f>
        <v>#VALUE!</v>
      </c>
      <c r="FR185">
        <f>IF('Planilla_General_29-11-2012_10_'!2782:2782,"AAAAAHbzt60=",0)</f>
        <v>0</v>
      </c>
      <c r="FS185" t="e">
        <f>AND('Planilla_General_29-11-2012_10_'!A2782,"AAAAAHbzt64=")</f>
        <v>#VALUE!</v>
      </c>
      <c r="FT185" t="e">
        <f>AND('Planilla_General_29-11-2012_10_'!B2782,"AAAAAHbzt68=")</f>
        <v>#VALUE!</v>
      </c>
      <c r="FU185" t="e">
        <f>AND('Planilla_General_29-11-2012_10_'!C2782,"AAAAAHbzt7A=")</f>
        <v>#VALUE!</v>
      </c>
      <c r="FV185" t="e">
        <f>AND('Planilla_General_29-11-2012_10_'!D2782,"AAAAAHbzt7E=")</f>
        <v>#VALUE!</v>
      </c>
      <c r="FW185" t="e">
        <f>AND('Planilla_General_29-11-2012_10_'!E2782,"AAAAAHbzt7I=")</f>
        <v>#VALUE!</v>
      </c>
      <c r="FX185" t="e">
        <f>AND('Planilla_General_29-11-2012_10_'!F2782,"AAAAAHbzt7M=")</f>
        <v>#VALUE!</v>
      </c>
      <c r="FY185" t="e">
        <f>AND('Planilla_General_29-11-2012_10_'!G2782,"AAAAAHbzt7Q=")</f>
        <v>#VALUE!</v>
      </c>
      <c r="FZ185" t="e">
        <f>AND('Planilla_General_29-11-2012_10_'!H2782,"AAAAAHbzt7U=")</f>
        <v>#VALUE!</v>
      </c>
      <c r="GA185" t="e">
        <f>AND('Planilla_General_29-11-2012_10_'!I2782,"AAAAAHbzt7Y=")</f>
        <v>#VALUE!</v>
      </c>
      <c r="GB185" t="e">
        <f>AND('Planilla_General_29-11-2012_10_'!J2782,"AAAAAHbzt7c=")</f>
        <v>#VALUE!</v>
      </c>
      <c r="GC185" t="e">
        <f>AND('Planilla_General_29-11-2012_10_'!K2782,"AAAAAHbzt7g=")</f>
        <v>#VALUE!</v>
      </c>
      <c r="GD185" t="e">
        <f>AND('Planilla_General_29-11-2012_10_'!L2782,"AAAAAHbzt7k=")</f>
        <v>#VALUE!</v>
      </c>
      <c r="GE185" t="e">
        <f>AND('Planilla_General_29-11-2012_10_'!M2782,"AAAAAHbzt7o=")</f>
        <v>#VALUE!</v>
      </c>
      <c r="GF185" t="e">
        <f>AND('Planilla_General_29-11-2012_10_'!N2782,"AAAAAHbzt7s=")</f>
        <v>#VALUE!</v>
      </c>
      <c r="GG185" t="e">
        <f>AND('Planilla_General_29-11-2012_10_'!O2782,"AAAAAHbzt7w=")</f>
        <v>#VALUE!</v>
      </c>
      <c r="GH185" t="e">
        <f>AND('Planilla_General_29-11-2012_10_'!P2782,"AAAAAHbzt70=")</f>
        <v>#VALUE!</v>
      </c>
      <c r="GI185">
        <f>IF('Planilla_General_29-11-2012_10_'!2783:2783,"AAAAAHbzt74=",0)</f>
        <v>0</v>
      </c>
      <c r="GJ185" t="e">
        <f>AND('Planilla_General_29-11-2012_10_'!A2783,"AAAAAHbzt78=")</f>
        <v>#VALUE!</v>
      </c>
      <c r="GK185" t="e">
        <f>AND('Planilla_General_29-11-2012_10_'!B2783,"AAAAAHbzt8A=")</f>
        <v>#VALUE!</v>
      </c>
      <c r="GL185" t="e">
        <f>AND('Planilla_General_29-11-2012_10_'!C2783,"AAAAAHbzt8E=")</f>
        <v>#VALUE!</v>
      </c>
      <c r="GM185" t="e">
        <f>AND('Planilla_General_29-11-2012_10_'!D2783,"AAAAAHbzt8I=")</f>
        <v>#VALUE!</v>
      </c>
      <c r="GN185" t="e">
        <f>AND('Planilla_General_29-11-2012_10_'!E2783,"AAAAAHbzt8M=")</f>
        <v>#VALUE!</v>
      </c>
      <c r="GO185" t="e">
        <f>AND('Planilla_General_29-11-2012_10_'!F2783,"AAAAAHbzt8Q=")</f>
        <v>#VALUE!</v>
      </c>
      <c r="GP185" t="e">
        <f>AND('Planilla_General_29-11-2012_10_'!G2783,"AAAAAHbzt8U=")</f>
        <v>#VALUE!</v>
      </c>
      <c r="GQ185" t="e">
        <f>AND('Planilla_General_29-11-2012_10_'!H2783,"AAAAAHbzt8Y=")</f>
        <v>#VALUE!</v>
      </c>
      <c r="GR185" t="e">
        <f>AND('Planilla_General_29-11-2012_10_'!I2783,"AAAAAHbzt8c=")</f>
        <v>#VALUE!</v>
      </c>
      <c r="GS185" t="e">
        <f>AND('Planilla_General_29-11-2012_10_'!J2783,"AAAAAHbzt8g=")</f>
        <v>#VALUE!</v>
      </c>
      <c r="GT185" t="e">
        <f>AND('Planilla_General_29-11-2012_10_'!K2783,"AAAAAHbzt8k=")</f>
        <v>#VALUE!</v>
      </c>
      <c r="GU185" t="e">
        <f>AND('Planilla_General_29-11-2012_10_'!L2783,"AAAAAHbzt8o=")</f>
        <v>#VALUE!</v>
      </c>
      <c r="GV185" t="e">
        <f>AND('Planilla_General_29-11-2012_10_'!M2783,"AAAAAHbzt8s=")</f>
        <v>#VALUE!</v>
      </c>
      <c r="GW185" t="e">
        <f>AND('Planilla_General_29-11-2012_10_'!N2783,"AAAAAHbzt8w=")</f>
        <v>#VALUE!</v>
      </c>
      <c r="GX185" t="e">
        <f>AND('Planilla_General_29-11-2012_10_'!O2783,"AAAAAHbzt80=")</f>
        <v>#VALUE!</v>
      </c>
      <c r="GY185" t="e">
        <f>AND('Planilla_General_29-11-2012_10_'!P2783,"AAAAAHbzt84=")</f>
        <v>#VALUE!</v>
      </c>
      <c r="GZ185">
        <f>IF('Planilla_General_29-11-2012_10_'!2784:2784,"AAAAAHbzt88=",0)</f>
        <v>0</v>
      </c>
      <c r="HA185" t="e">
        <f>AND('Planilla_General_29-11-2012_10_'!A2784,"AAAAAHbzt9A=")</f>
        <v>#VALUE!</v>
      </c>
      <c r="HB185" t="e">
        <f>AND('Planilla_General_29-11-2012_10_'!B2784,"AAAAAHbzt9E=")</f>
        <v>#VALUE!</v>
      </c>
      <c r="HC185" t="e">
        <f>AND('Planilla_General_29-11-2012_10_'!C2784,"AAAAAHbzt9I=")</f>
        <v>#VALUE!</v>
      </c>
      <c r="HD185" t="e">
        <f>AND('Planilla_General_29-11-2012_10_'!D2784,"AAAAAHbzt9M=")</f>
        <v>#VALUE!</v>
      </c>
      <c r="HE185" t="e">
        <f>AND('Planilla_General_29-11-2012_10_'!E2784,"AAAAAHbzt9Q=")</f>
        <v>#VALUE!</v>
      </c>
      <c r="HF185" t="e">
        <f>AND('Planilla_General_29-11-2012_10_'!F2784,"AAAAAHbzt9U=")</f>
        <v>#VALUE!</v>
      </c>
      <c r="HG185" t="e">
        <f>AND('Planilla_General_29-11-2012_10_'!G2784,"AAAAAHbzt9Y=")</f>
        <v>#VALUE!</v>
      </c>
      <c r="HH185" t="e">
        <f>AND('Planilla_General_29-11-2012_10_'!H2784,"AAAAAHbzt9c=")</f>
        <v>#VALUE!</v>
      </c>
      <c r="HI185" t="e">
        <f>AND('Planilla_General_29-11-2012_10_'!I2784,"AAAAAHbzt9g=")</f>
        <v>#VALUE!</v>
      </c>
      <c r="HJ185" t="e">
        <f>AND('Planilla_General_29-11-2012_10_'!J2784,"AAAAAHbzt9k=")</f>
        <v>#VALUE!</v>
      </c>
      <c r="HK185" t="e">
        <f>AND('Planilla_General_29-11-2012_10_'!K2784,"AAAAAHbzt9o=")</f>
        <v>#VALUE!</v>
      </c>
      <c r="HL185" t="e">
        <f>AND('Planilla_General_29-11-2012_10_'!L2784,"AAAAAHbzt9s=")</f>
        <v>#VALUE!</v>
      </c>
      <c r="HM185" t="e">
        <f>AND('Planilla_General_29-11-2012_10_'!M2784,"AAAAAHbzt9w=")</f>
        <v>#VALUE!</v>
      </c>
      <c r="HN185" t="e">
        <f>AND('Planilla_General_29-11-2012_10_'!N2784,"AAAAAHbzt90=")</f>
        <v>#VALUE!</v>
      </c>
      <c r="HO185" t="e">
        <f>AND('Planilla_General_29-11-2012_10_'!O2784,"AAAAAHbzt94=")</f>
        <v>#VALUE!</v>
      </c>
      <c r="HP185" t="e">
        <f>AND('Planilla_General_29-11-2012_10_'!P2784,"AAAAAHbzt98=")</f>
        <v>#VALUE!</v>
      </c>
      <c r="HQ185">
        <f>IF('Planilla_General_29-11-2012_10_'!2785:2785,"AAAAAHbzt+A=",0)</f>
        <v>0</v>
      </c>
      <c r="HR185" t="e">
        <f>AND('Planilla_General_29-11-2012_10_'!A2785,"AAAAAHbzt+E=")</f>
        <v>#VALUE!</v>
      </c>
      <c r="HS185" t="e">
        <f>AND('Planilla_General_29-11-2012_10_'!B2785,"AAAAAHbzt+I=")</f>
        <v>#VALUE!</v>
      </c>
      <c r="HT185" t="e">
        <f>AND('Planilla_General_29-11-2012_10_'!C2785,"AAAAAHbzt+M=")</f>
        <v>#VALUE!</v>
      </c>
      <c r="HU185" t="e">
        <f>AND('Planilla_General_29-11-2012_10_'!D2785,"AAAAAHbzt+Q=")</f>
        <v>#VALUE!</v>
      </c>
      <c r="HV185" t="e">
        <f>AND('Planilla_General_29-11-2012_10_'!E2785,"AAAAAHbzt+U=")</f>
        <v>#VALUE!</v>
      </c>
      <c r="HW185" t="e">
        <f>AND('Planilla_General_29-11-2012_10_'!F2785,"AAAAAHbzt+Y=")</f>
        <v>#VALUE!</v>
      </c>
      <c r="HX185" t="e">
        <f>AND('Planilla_General_29-11-2012_10_'!G2785,"AAAAAHbzt+c=")</f>
        <v>#VALUE!</v>
      </c>
      <c r="HY185" t="e">
        <f>AND('Planilla_General_29-11-2012_10_'!H2785,"AAAAAHbzt+g=")</f>
        <v>#VALUE!</v>
      </c>
      <c r="HZ185" t="e">
        <f>AND('Planilla_General_29-11-2012_10_'!I2785,"AAAAAHbzt+k=")</f>
        <v>#VALUE!</v>
      </c>
      <c r="IA185" t="e">
        <f>AND('Planilla_General_29-11-2012_10_'!J2785,"AAAAAHbzt+o=")</f>
        <v>#VALUE!</v>
      </c>
      <c r="IB185" t="e">
        <f>AND('Planilla_General_29-11-2012_10_'!K2785,"AAAAAHbzt+s=")</f>
        <v>#VALUE!</v>
      </c>
      <c r="IC185" t="e">
        <f>AND('Planilla_General_29-11-2012_10_'!L2785,"AAAAAHbzt+w=")</f>
        <v>#VALUE!</v>
      </c>
      <c r="ID185" t="e">
        <f>AND('Planilla_General_29-11-2012_10_'!M2785,"AAAAAHbzt+0=")</f>
        <v>#VALUE!</v>
      </c>
      <c r="IE185" t="e">
        <f>AND('Planilla_General_29-11-2012_10_'!N2785,"AAAAAHbzt+4=")</f>
        <v>#VALUE!</v>
      </c>
      <c r="IF185" t="e">
        <f>AND('Planilla_General_29-11-2012_10_'!O2785,"AAAAAHbzt+8=")</f>
        <v>#VALUE!</v>
      </c>
      <c r="IG185" t="e">
        <f>AND('Planilla_General_29-11-2012_10_'!P2785,"AAAAAHbzt/A=")</f>
        <v>#VALUE!</v>
      </c>
      <c r="IH185">
        <f>IF('Planilla_General_29-11-2012_10_'!2786:2786,"AAAAAHbzt/E=",0)</f>
        <v>0</v>
      </c>
      <c r="II185" t="e">
        <f>AND('Planilla_General_29-11-2012_10_'!A2786,"AAAAAHbzt/I=")</f>
        <v>#VALUE!</v>
      </c>
      <c r="IJ185" t="e">
        <f>AND('Planilla_General_29-11-2012_10_'!B2786,"AAAAAHbzt/M=")</f>
        <v>#VALUE!</v>
      </c>
      <c r="IK185" t="e">
        <f>AND('Planilla_General_29-11-2012_10_'!C2786,"AAAAAHbzt/Q=")</f>
        <v>#VALUE!</v>
      </c>
      <c r="IL185" t="e">
        <f>AND('Planilla_General_29-11-2012_10_'!D2786,"AAAAAHbzt/U=")</f>
        <v>#VALUE!</v>
      </c>
      <c r="IM185" t="e">
        <f>AND('Planilla_General_29-11-2012_10_'!E2786,"AAAAAHbzt/Y=")</f>
        <v>#VALUE!</v>
      </c>
      <c r="IN185" t="e">
        <f>AND('Planilla_General_29-11-2012_10_'!F2786,"AAAAAHbzt/c=")</f>
        <v>#VALUE!</v>
      </c>
      <c r="IO185" t="e">
        <f>AND('Planilla_General_29-11-2012_10_'!G2786,"AAAAAHbzt/g=")</f>
        <v>#VALUE!</v>
      </c>
      <c r="IP185" t="e">
        <f>AND('Planilla_General_29-11-2012_10_'!H2786,"AAAAAHbzt/k=")</f>
        <v>#VALUE!</v>
      </c>
      <c r="IQ185" t="e">
        <f>AND('Planilla_General_29-11-2012_10_'!I2786,"AAAAAHbzt/o=")</f>
        <v>#VALUE!</v>
      </c>
      <c r="IR185" t="e">
        <f>AND('Planilla_General_29-11-2012_10_'!J2786,"AAAAAHbzt/s=")</f>
        <v>#VALUE!</v>
      </c>
      <c r="IS185" t="e">
        <f>AND('Planilla_General_29-11-2012_10_'!K2786,"AAAAAHbzt/w=")</f>
        <v>#VALUE!</v>
      </c>
      <c r="IT185" t="e">
        <f>AND('Planilla_General_29-11-2012_10_'!L2786,"AAAAAHbzt/0=")</f>
        <v>#VALUE!</v>
      </c>
      <c r="IU185" t="e">
        <f>AND('Planilla_General_29-11-2012_10_'!M2786,"AAAAAHbzt/4=")</f>
        <v>#VALUE!</v>
      </c>
      <c r="IV185" t="e">
        <f>AND('Planilla_General_29-11-2012_10_'!N2786,"AAAAAHbzt/8=")</f>
        <v>#VALUE!</v>
      </c>
    </row>
    <row r="186" spans="1:256" x14ac:dyDescent="0.25">
      <c r="A186" t="e">
        <f>AND('Planilla_General_29-11-2012_10_'!O2786,"AAAAAG/9dgA=")</f>
        <v>#VALUE!</v>
      </c>
      <c r="B186" t="e">
        <f>AND('Planilla_General_29-11-2012_10_'!P2786,"AAAAAG/9dgE=")</f>
        <v>#VALUE!</v>
      </c>
      <c r="C186" t="str">
        <f>IF('Planilla_General_29-11-2012_10_'!2787:2787,"AAAAAG/9dgI=",0)</f>
        <v>AAAAAG/9dgI=</v>
      </c>
      <c r="D186" t="e">
        <f>AND('Planilla_General_29-11-2012_10_'!A2787,"AAAAAG/9dgM=")</f>
        <v>#VALUE!</v>
      </c>
      <c r="E186" t="e">
        <f>AND('Planilla_General_29-11-2012_10_'!B2787,"AAAAAG/9dgQ=")</f>
        <v>#VALUE!</v>
      </c>
      <c r="F186" t="e">
        <f>AND('Planilla_General_29-11-2012_10_'!C2787,"AAAAAG/9dgU=")</f>
        <v>#VALUE!</v>
      </c>
      <c r="G186" t="e">
        <f>AND('Planilla_General_29-11-2012_10_'!D2787,"AAAAAG/9dgY=")</f>
        <v>#VALUE!</v>
      </c>
      <c r="H186" t="e">
        <f>AND('Planilla_General_29-11-2012_10_'!E2787,"AAAAAG/9dgc=")</f>
        <v>#VALUE!</v>
      </c>
      <c r="I186" t="e">
        <f>AND('Planilla_General_29-11-2012_10_'!F2787,"AAAAAG/9dgg=")</f>
        <v>#VALUE!</v>
      </c>
      <c r="J186" t="e">
        <f>AND('Planilla_General_29-11-2012_10_'!G2787,"AAAAAG/9dgk=")</f>
        <v>#VALUE!</v>
      </c>
      <c r="K186" t="e">
        <f>AND('Planilla_General_29-11-2012_10_'!H2787,"AAAAAG/9dgo=")</f>
        <v>#VALUE!</v>
      </c>
      <c r="L186" t="e">
        <f>AND('Planilla_General_29-11-2012_10_'!I2787,"AAAAAG/9dgs=")</f>
        <v>#VALUE!</v>
      </c>
      <c r="M186" t="e">
        <f>AND('Planilla_General_29-11-2012_10_'!J2787,"AAAAAG/9dgw=")</f>
        <v>#VALUE!</v>
      </c>
      <c r="N186" t="e">
        <f>AND('Planilla_General_29-11-2012_10_'!K2787,"AAAAAG/9dg0=")</f>
        <v>#VALUE!</v>
      </c>
      <c r="O186" t="e">
        <f>AND('Planilla_General_29-11-2012_10_'!L2787,"AAAAAG/9dg4=")</f>
        <v>#VALUE!</v>
      </c>
      <c r="P186" t="e">
        <f>AND('Planilla_General_29-11-2012_10_'!M2787,"AAAAAG/9dg8=")</f>
        <v>#VALUE!</v>
      </c>
      <c r="Q186" t="e">
        <f>AND('Planilla_General_29-11-2012_10_'!N2787,"AAAAAG/9dhA=")</f>
        <v>#VALUE!</v>
      </c>
      <c r="R186" t="e">
        <f>AND('Planilla_General_29-11-2012_10_'!O2787,"AAAAAG/9dhE=")</f>
        <v>#VALUE!</v>
      </c>
      <c r="S186" t="e">
        <f>AND('Planilla_General_29-11-2012_10_'!P2787,"AAAAAG/9dhI=")</f>
        <v>#VALUE!</v>
      </c>
      <c r="T186">
        <f>IF('Planilla_General_29-11-2012_10_'!2788:2788,"AAAAAG/9dhM=",0)</f>
        <v>0</v>
      </c>
      <c r="U186" t="e">
        <f>AND('Planilla_General_29-11-2012_10_'!A2788,"AAAAAG/9dhQ=")</f>
        <v>#VALUE!</v>
      </c>
      <c r="V186" t="e">
        <f>AND('Planilla_General_29-11-2012_10_'!B2788,"AAAAAG/9dhU=")</f>
        <v>#VALUE!</v>
      </c>
      <c r="W186" t="e">
        <f>AND('Planilla_General_29-11-2012_10_'!C2788,"AAAAAG/9dhY=")</f>
        <v>#VALUE!</v>
      </c>
      <c r="X186" t="e">
        <f>AND('Planilla_General_29-11-2012_10_'!D2788,"AAAAAG/9dhc=")</f>
        <v>#VALUE!</v>
      </c>
      <c r="Y186" t="e">
        <f>AND('Planilla_General_29-11-2012_10_'!E2788,"AAAAAG/9dhg=")</f>
        <v>#VALUE!</v>
      </c>
      <c r="Z186" t="e">
        <f>AND('Planilla_General_29-11-2012_10_'!F2788,"AAAAAG/9dhk=")</f>
        <v>#VALUE!</v>
      </c>
      <c r="AA186" t="e">
        <f>AND('Planilla_General_29-11-2012_10_'!G2788,"AAAAAG/9dho=")</f>
        <v>#VALUE!</v>
      </c>
      <c r="AB186" t="e">
        <f>AND('Planilla_General_29-11-2012_10_'!H2788,"AAAAAG/9dhs=")</f>
        <v>#VALUE!</v>
      </c>
      <c r="AC186" t="e">
        <f>AND('Planilla_General_29-11-2012_10_'!I2788,"AAAAAG/9dhw=")</f>
        <v>#VALUE!</v>
      </c>
      <c r="AD186" t="e">
        <f>AND('Planilla_General_29-11-2012_10_'!J2788,"AAAAAG/9dh0=")</f>
        <v>#VALUE!</v>
      </c>
      <c r="AE186" t="e">
        <f>AND('Planilla_General_29-11-2012_10_'!K2788,"AAAAAG/9dh4=")</f>
        <v>#VALUE!</v>
      </c>
      <c r="AF186" t="e">
        <f>AND('Planilla_General_29-11-2012_10_'!L2788,"AAAAAG/9dh8=")</f>
        <v>#VALUE!</v>
      </c>
      <c r="AG186" t="e">
        <f>AND('Planilla_General_29-11-2012_10_'!M2788,"AAAAAG/9diA=")</f>
        <v>#VALUE!</v>
      </c>
      <c r="AH186" t="e">
        <f>AND('Planilla_General_29-11-2012_10_'!N2788,"AAAAAG/9diE=")</f>
        <v>#VALUE!</v>
      </c>
      <c r="AI186" t="e">
        <f>AND('Planilla_General_29-11-2012_10_'!O2788,"AAAAAG/9diI=")</f>
        <v>#VALUE!</v>
      </c>
      <c r="AJ186" t="e">
        <f>AND('Planilla_General_29-11-2012_10_'!P2788,"AAAAAG/9diM=")</f>
        <v>#VALUE!</v>
      </c>
      <c r="AK186">
        <f>IF('Planilla_General_29-11-2012_10_'!2789:2789,"AAAAAG/9diQ=",0)</f>
        <v>0</v>
      </c>
      <c r="AL186" t="e">
        <f>AND('Planilla_General_29-11-2012_10_'!A2789,"AAAAAG/9diU=")</f>
        <v>#VALUE!</v>
      </c>
      <c r="AM186" t="e">
        <f>AND('Planilla_General_29-11-2012_10_'!B2789,"AAAAAG/9diY=")</f>
        <v>#VALUE!</v>
      </c>
      <c r="AN186" t="e">
        <f>AND('Planilla_General_29-11-2012_10_'!C2789,"AAAAAG/9dic=")</f>
        <v>#VALUE!</v>
      </c>
      <c r="AO186" t="e">
        <f>AND('Planilla_General_29-11-2012_10_'!D2789,"AAAAAG/9dig=")</f>
        <v>#VALUE!</v>
      </c>
      <c r="AP186" t="e">
        <f>AND('Planilla_General_29-11-2012_10_'!E2789,"AAAAAG/9dik=")</f>
        <v>#VALUE!</v>
      </c>
      <c r="AQ186" t="e">
        <f>AND('Planilla_General_29-11-2012_10_'!F2789,"AAAAAG/9dio=")</f>
        <v>#VALUE!</v>
      </c>
      <c r="AR186" t="e">
        <f>AND('Planilla_General_29-11-2012_10_'!G2789,"AAAAAG/9dis=")</f>
        <v>#VALUE!</v>
      </c>
      <c r="AS186" t="e">
        <f>AND('Planilla_General_29-11-2012_10_'!H2789,"AAAAAG/9diw=")</f>
        <v>#VALUE!</v>
      </c>
      <c r="AT186" t="e">
        <f>AND('Planilla_General_29-11-2012_10_'!I2789,"AAAAAG/9di0=")</f>
        <v>#VALUE!</v>
      </c>
      <c r="AU186" t="e">
        <f>AND('Planilla_General_29-11-2012_10_'!J2789,"AAAAAG/9di4=")</f>
        <v>#VALUE!</v>
      </c>
      <c r="AV186" t="e">
        <f>AND('Planilla_General_29-11-2012_10_'!K2789,"AAAAAG/9di8=")</f>
        <v>#VALUE!</v>
      </c>
      <c r="AW186" t="e">
        <f>AND('Planilla_General_29-11-2012_10_'!L2789,"AAAAAG/9djA=")</f>
        <v>#VALUE!</v>
      </c>
      <c r="AX186" t="e">
        <f>AND('Planilla_General_29-11-2012_10_'!M2789,"AAAAAG/9djE=")</f>
        <v>#VALUE!</v>
      </c>
      <c r="AY186" t="e">
        <f>AND('Planilla_General_29-11-2012_10_'!N2789,"AAAAAG/9djI=")</f>
        <v>#VALUE!</v>
      </c>
      <c r="AZ186" t="e">
        <f>AND('Planilla_General_29-11-2012_10_'!O2789,"AAAAAG/9djM=")</f>
        <v>#VALUE!</v>
      </c>
      <c r="BA186" t="e">
        <f>AND('Planilla_General_29-11-2012_10_'!P2789,"AAAAAG/9djQ=")</f>
        <v>#VALUE!</v>
      </c>
      <c r="BB186">
        <f>IF('Planilla_General_29-11-2012_10_'!2790:2790,"AAAAAG/9djU=",0)</f>
        <v>0</v>
      </c>
      <c r="BC186" t="e">
        <f>AND('Planilla_General_29-11-2012_10_'!A2790,"AAAAAG/9djY=")</f>
        <v>#VALUE!</v>
      </c>
      <c r="BD186" t="e">
        <f>AND('Planilla_General_29-11-2012_10_'!B2790,"AAAAAG/9djc=")</f>
        <v>#VALUE!</v>
      </c>
      <c r="BE186" t="e">
        <f>AND('Planilla_General_29-11-2012_10_'!C2790,"AAAAAG/9djg=")</f>
        <v>#VALUE!</v>
      </c>
      <c r="BF186" t="e">
        <f>AND('Planilla_General_29-11-2012_10_'!D2790,"AAAAAG/9djk=")</f>
        <v>#VALUE!</v>
      </c>
      <c r="BG186" t="e">
        <f>AND('Planilla_General_29-11-2012_10_'!E2790,"AAAAAG/9djo=")</f>
        <v>#VALUE!</v>
      </c>
      <c r="BH186" t="e">
        <f>AND('Planilla_General_29-11-2012_10_'!F2790,"AAAAAG/9djs=")</f>
        <v>#VALUE!</v>
      </c>
      <c r="BI186" t="e">
        <f>AND('Planilla_General_29-11-2012_10_'!G2790,"AAAAAG/9djw=")</f>
        <v>#VALUE!</v>
      </c>
      <c r="BJ186" t="e">
        <f>AND('Planilla_General_29-11-2012_10_'!H2790,"AAAAAG/9dj0=")</f>
        <v>#VALUE!</v>
      </c>
      <c r="BK186" t="e">
        <f>AND('Planilla_General_29-11-2012_10_'!I2790,"AAAAAG/9dj4=")</f>
        <v>#VALUE!</v>
      </c>
      <c r="BL186" t="e">
        <f>AND('Planilla_General_29-11-2012_10_'!J2790,"AAAAAG/9dj8=")</f>
        <v>#VALUE!</v>
      </c>
      <c r="BM186" t="e">
        <f>AND('Planilla_General_29-11-2012_10_'!K2790,"AAAAAG/9dkA=")</f>
        <v>#VALUE!</v>
      </c>
      <c r="BN186" t="e">
        <f>AND('Planilla_General_29-11-2012_10_'!L2790,"AAAAAG/9dkE=")</f>
        <v>#VALUE!</v>
      </c>
      <c r="BO186" t="e">
        <f>AND('Planilla_General_29-11-2012_10_'!M2790,"AAAAAG/9dkI=")</f>
        <v>#VALUE!</v>
      </c>
      <c r="BP186" t="e">
        <f>AND('Planilla_General_29-11-2012_10_'!N2790,"AAAAAG/9dkM=")</f>
        <v>#VALUE!</v>
      </c>
      <c r="BQ186" t="e">
        <f>AND('Planilla_General_29-11-2012_10_'!O2790,"AAAAAG/9dkQ=")</f>
        <v>#VALUE!</v>
      </c>
      <c r="BR186" t="e">
        <f>AND('Planilla_General_29-11-2012_10_'!P2790,"AAAAAG/9dkU=")</f>
        <v>#VALUE!</v>
      </c>
      <c r="BS186">
        <f>IF('Planilla_General_29-11-2012_10_'!2791:2791,"AAAAAG/9dkY=",0)</f>
        <v>0</v>
      </c>
      <c r="BT186" t="e">
        <f>AND('Planilla_General_29-11-2012_10_'!A2791,"AAAAAG/9dkc=")</f>
        <v>#VALUE!</v>
      </c>
      <c r="BU186" t="e">
        <f>AND('Planilla_General_29-11-2012_10_'!B2791,"AAAAAG/9dkg=")</f>
        <v>#VALUE!</v>
      </c>
      <c r="BV186" t="e">
        <f>AND('Planilla_General_29-11-2012_10_'!C2791,"AAAAAG/9dkk=")</f>
        <v>#VALUE!</v>
      </c>
      <c r="BW186" t="e">
        <f>AND('Planilla_General_29-11-2012_10_'!D2791,"AAAAAG/9dko=")</f>
        <v>#VALUE!</v>
      </c>
      <c r="BX186" t="e">
        <f>AND('Planilla_General_29-11-2012_10_'!E2791,"AAAAAG/9dks=")</f>
        <v>#VALUE!</v>
      </c>
      <c r="BY186" t="e">
        <f>AND('Planilla_General_29-11-2012_10_'!F2791,"AAAAAG/9dkw=")</f>
        <v>#VALUE!</v>
      </c>
      <c r="BZ186" t="e">
        <f>AND('Planilla_General_29-11-2012_10_'!G2791,"AAAAAG/9dk0=")</f>
        <v>#VALUE!</v>
      </c>
      <c r="CA186" t="e">
        <f>AND('Planilla_General_29-11-2012_10_'!H2791,"AAAAAG/9dk4=")</f>
        <v>#VALUE!</v>
      </c>
      <c r="CB186" t="e">
        <f>AND('Planilla_General_29-11-2012_10_'!I2791,"AAAAAG/9dk8=")</f>
        <v>#VALUE!</v>
      </c>
      <c r="CC186" t="e">
        <f>AND('Planilla_General_29-11-2012_10_'!J2791,"AAAAAG/9dlA=")</f>
        <v>#VALUE!</v>
      </c>
      <c r="CD186" t="e">
        <f>AND('Planilla_General_29-11-2012_10_'!K2791,"AAAAAG/9dlE=")</f>
        <v>#VALUE!</v>
      </c>
      <c r="CE186" t="e">
        <f>AND('Planilla_General_29-11-2012_10_'!L2791,"AAAAAG/9dlI=")</f>
        <v>#VALUE!</v>
      </c>
      <c r="CF186" t="e">
        <f>AND('Planilla_General_29-11-2012_10_'!M2791,"AAAAAG/9dlM=")</f>
        <v>#VALUE!</v>
      </c>
      <c r="CG186" t="e">
        <f>AND('Planilla_General_29-11-2012_10_'!N2791,"AAAAAG/9dlQ=")</f>
        <v>#VALUE!</v>
      </c>
      <c r="CH186" t="e">
        <f>AND('Planilla_General_29-11-2012_10_'!O2791,"AAAAAG/9dlU=")</f>
        <v>#VALUE!</v>
      </c>
      <c r="CI186" t="e">
        <f>AND('Planilla_General_29-11-2012_10_'!P2791,"AAAAAG/9dlY=")</f>
        <v>#VALUE!</v>
      </c>
      <c r="CJ186">
        <f>IF('Planilla_General_29-11-2012_10_'!2792:2792,"AAAAAG/9dlc=",0)</f>
        <v>0</v>
      </c>
      <c r="CK186" t="e">
        <f>AND('Planilla_General_29-11-2012_10_'!A2792,"AAAAAG/9dlg=")</f>
        <v>#VALUE!</v>
      </c>
      <c r="CL186" t="e">
        <f>AND('Planilla_General_29-11-2012_10_'!B2792,"AAAAAG/9dlk=")</f>
        <v>#VALUE!</v>
      </c>
      <c r="CM186" t="e">
        <f>AND('Planilla_General_29-11-2012_10_'!C2792,"AAAAAG/9dlo=")</f>
        <v>#VALUE!</v>
      </c>
      <c r="CN186" t="e">
        <f>AND('Planilla_General_29-11-2012_10_'!D2792,"AAAAAG/9dls=")</f>
        <v>#VALUE!</v>
      </c>
      <c r="CO186" t="e">
        <f>AND('Planilla_General_29-11-2012_10_'!E2792,"AAAAAG/9dlw=")</f>
        <v>#VALUE!</v>
      </c>
      <c r="CP186" t="e">
        <f>AND('Planilla_General_29-11-2012_10_'!F2792,"AAAAAG/9dl0=")</f>
        <v>#VALUE!</v>
      </c>
      <c r="CQ186" t="e">
        <f>AND('Planilla_General_29-11-2012_10_'!G2792,"AAAAAG/9dl4=")</f>
        <v>#VALUE!</v>
      </c>
      <c r="CR186" t="e">
        <f>AND('Planilla_General_29-11-2012_10_'!H2792,"AAAAAG/9dl8=")</f>
        <v>#VALUE!</v>
      </c>
      <c r="CS186" t="e">
        <f>AND('Planilla_General_29-11-2012_10_'!I2792,"AAAAAG/9dmA=")</f>
        <v>#VALUE!</v>
      </c>
      <c r="CT186" t="e">
        <f>AND('Planilla_General_29-11-2012_10_'!J2792,"AAAAAG/9dmE=")</f>
        <v>#VALUE!</v>
      </c>
      <c r="CU186" t="e">
        <f>AND('Planilla_General_29-11-2012_10_'!K2792,"AAAAAG/9dmI=")</f>
        <v>#VALUE!</v>
      </c>
      <c r="CV186" t="e">
        <f>AND('Planilla_General_29-11-2012_10_'!L2792,"AAAAAG/9dmM=")</f>
        <v>#VALUE!</v>
      </c>
      <c r="CW186" t="e">
        <f>AND('Planilla_General_29-11-2012_10_'!M2792,"AAAAAG/9dmQ=")</f>
        <v>#VALUE!</v>
      </c>
      <c r="CX186" t="e">
        <f>AND('Planilla_General_29-11-2012_10_'!N2792,"AAAAAG/9dmU=")</f>
        <v>#VALUE!</v>
      </c>
      <c r="CY186" t="e">
        <f>AND('Planilla_General_29-11-2012_10_'!O2792,"AAAAAG/9dmY=")</f>
        <v>#VALUE!</v>
      </c>
      <c r="CZ186" t="e">
        <f>AND('Planilla_General_29-11-2012_10_'!P2792,"AAAAAG/9dmc=")</f>
        <v>#VALUE!</v>
      </c>
      <c r="DA186">
        <f>IF('Planilla_General_29-11-2012_10_'!2793:2793,"AAAAAG/9dmg=",0)</f>
        <v>0</v>
      </c>
      <c r="DB186" t="e">
        <f>AND('Planilla_General_29-11-2012_10_'!A2793,"AAAAAG/9dmk=")</f>
        <v>#VALUE!</v>
      </c>
      <c r="DC186" t="e">
        <f>AND('Planilla_General_29-11-2012_10_'!B2793,"AAAAAG/9dmo=")</f>
        <v>#VALUE!</v>
      </c>
      <c r="DD186" t="e">
        <f>AND('Planilla_General_29-11-2012_10_'!C2793,"AAAAAG/9dms=")</f>
        <v>#VALUE!</v>
      </c>
      <c r="DE186" t="e">
        <f>AND('Planilla_General_29-11-2012_10_'!D2793,"AAAAAG/9dmw=")</f>
        <v>#VALUE!</v>
      </c>
      <c r="DF186" t="e">
        <f>AND('Planilla_General_29-11-2012_10_'!E2793,"AAAAAG/9dm0=")</f>
        <v>#VALUE!</v>
      </c>
      <c r="DG186" t="e">
        <f>AND('Planilla_General_29-11-2012_10_'!F2793,"AAAAAG/9dm4=")</f>
        <v>#VALUE!</v>
      </c>
      <c r="DH186" t="e">
        <f>AND('Planilla_General_29-11-2012_10_'!G2793,"AAAAAG/9dm8=")</f>
        <v>#VALUE!</v>
      </c>
      <c r="DI186" t="e">
        <f>AND('Planilla_General_29-11-2012_10_'!H2793,"AAAAAG/9dnA=")</f>
        <v>#VALUE!</v>
      </c>
      <c r="DJ186" t="e">
        <f>AND('Planilla_General_29-11-2012_10_'!I2793,"AAAAAG/9dnE=")</f>
        <v>#VALUE!</v>
      </c>
      <c r="DK186" t="e">
        <f>AND('Planilla_General_29-11-2012_10_'!J2793,"AAAAAG/9dnI=")</f>
        <v>#VALUE!</v>
      </c>
      <c r="DL186" t="e">
        <f>AND('Planilla_General_29-11-2012_10_'!K2793,"AAAAAG/9dnM=")</f>
        <v>#VALUE!</v>
      </c>
      <c r="DM186" t="e">
        <f>AND('Planilla_General_29-11-2012_10_'!L2793,"AAAAAG/9dnQ=")</f>
        <v>#VALUE!</v>
      </c>
      <c r="DN186" t="e">
        <f>AND('Planilla_General_29-11-2012_10_'!M2793,"AAAAAG/9dnU=")</f>
        <v>#VALUE!</v>
      </c>
      <c r="DO186" t="e">
        <f>AND('Planilla_General_29-11-2012_10_'!N2793,"AAAAAG/9dnY=")</f>
        <v>#VALUE!</v>
      </c>
      <c r="DP186" t="e">
        <f>AND('Planilla_General_29-11-2012_10_'!O2793,"AAAAAG/9dnc=")</f>
        <v>#VALUE!</v>
      </c>
      <c r="DQ186" t="e">
        <f>AND('Planilla_General_29-11-2012_10_'!P2793,"AAAAAG/9dng=")</f>
        <v>#VALUE!</v>
      </c>
      <c r="DR186">
        <f>IF('Planilla_General_29-11-2012_10_'!2794:2794,"AAAAAG/9dnk=",0)</f>
        <v>0</v>
      </c>
      <c r="DS186" t="e">
        <f>AND('Planilla_General_29-11-2012_10_'!A2794,"AAAAAG/9dno=")</f>
        <v>#VALUE!</v>
      </c>
      <c r="DT186" t="e">
        <f>AND('Planilla_General_29-11-2012_10_'!B2794,"AAAAAG/9dns=")</f>
        <v>#VALUE!</v>
      </c>
      <c r="DU186" t="e">
        <f>AND('Planilla_General_29-11-2012_10_'!C2794,"AAAAAG/9dnw=")</f>
        <v>#VALUE!</v>
      </c>
      <c r="DV186" t="e">
        <f>AND('Planilla_General_29-11-2012_10_'!D2794,"AAAAAG/9dn0=")</f>
        <v>#VALUE!</v>
      </c>
      <c r="DW186" t="e">
        <f>AND('Planilla_General_29-11-2012_10_'!E2794,"AAAAAG/9dn4=")</f>
        <v>#VALUE!</v>
      </c>
      <c r="DX186" t="e">
        <f>AND('Planilla_General_29-11-2012_10_'!F2794,"AAAAAG/9dn8=")</f>
        <v>#VALUE!</v>
      </c>
      <c r="DY186" t="e">
        <f>AND('Planilla_General_29-11-2012_10_'!G2794,"AAAAAG/9doA=")</f>
        <v>#VALUE!</v>
      </c>
      <c r="DZ186" t="e">
        <f>AND('Planilla_General_29-11-2012_10_'!H2794,"AAAAAG/9doE=")</f>
        <v>#VALUE!</v>
      </c>
      <c r="EA186" t="e">
        <f>AND('Planilla_General_29-11-2012_10_'!I2794,"AAAAAG/9doI=")</f>
        <v>#VALUE!</v>
      </c>
      <c r="EB186" t="e">
        <f>AND('Planilla_General_29-11-2012_10_'!J2794,"AAAAAG/9doM=")</f>
        <v>#VALUE!</v>
      </c>
      <c r="EC186" t="e">
        <f>AND('Planilla_General_29-11-2012_10_'!K2794,"AAAAAG/9doQ=")</f>
        <v>#VALUE!</v>
      </c>
      <c r="ED186" t="e">
        <f>AND('Planilla_General_29-11-2012_10_'!L2794,"AAAAAG/9doU=")</f>
        <v>#VALUE!</v>
      </c>
      <c r="EE186" t="e">
        <f>AND('Planilla_General_29-11-2012_10_'!M2794,"AAAAAG/9doY=")</f>
        <v>#VALUE!</v>
      </c>
      <c r="EF186" t="e">
        <f>AND('Planilla_General_29-11-2012_10_'!N2794,"AAAAAG/9doc=")</f>
        <v>#VALUE!</v>
      </c>
      <c r="EG186" t="e">
        <f>AND('Planilla_General_29-11-2012_10_'!O2794,"AAAAAG/9dog=")</f>
        <v>#VALUE!</v>
      </c>
      <c r="EH186" t="e">
        <f>AND('Planilla_General_29-11-2012_10_'!P2794,"AAAAAG/9dok=")</f>
        <v>#VALUE!</v>
      </c>
      <c r="EI186">
        <f>IF('Planilla_General_29-11-2012_10_'!2795:2795,"AAAAAG/9doo=",0)</f>
        <v>0</v>
      </c>
      <c r="EJ186" t="e">
        <f>AND('Planilla_General_29-11-2012_10_'!A2795,"AAAAAG/9dos=")</f>
        <v>#VALUE!</v>
      </c>
      <c r="EK186" t="e">
        <f>AND('Planilla_General_29-11-2012_10_'!B2795,"AAAAAG/9dow=")</f>
        <v>#VALUE!</v>
      </c>
      <c r="EL186" t="e">
        <f>AND('Planilla_General_29-11-2012_10_'!C2795,"AAAAAG/9do0=")</f>
        <v>#VALUE!</v>
      </c>
      <c r="EM186" t="e">
        <f>AND('Planilla_General_29-11-2012_10_'!D2795,"AAAAAG/9do4=")</f>
        <v>#VALUE!</v>
      </c>
      <c r="EN186" t="e">
        <f>AND('Planilla_General_29-11-2012_10_'!E2795,"AAAAAG/9do8=")</f>
        <v>#VALUE!</v>
      </c>
      <c r="EO186" t="e">
        <f>AND('Planilla_General_29-11-2012_10_'!F2795,"AAAAAG/9dpA=")</f>
        <v>#VALUE!</v>
      </c>
      <c r="EP186" t="e">
        <f>AND('Planilla_General_29-11-2012_10_'!G2795,"AAAAAG/9dpE=")</f>
        <v>#VALUE!</v>
      </c>
      <c r="EQ186" t="e">
        <f>AND('Planilla_General_29-11-2012_10_'!H2795,"AAAAAG/9dpI=")</f>
        <v>#VALUE!</v>
      </c>
      <c r="ER186" t="e">
        <f>AND('Planilla_General_29-11-2012_10_'!I2795,"AAAAAG/9dpM=")</f>
        <v>#VALUE!</v>
      </c>
      <c r="ES186" t="e">
        <f>AND('Planilla_General_29-11-2012_10_'!J2795,"AAAAAG/9dpQ=")</f>
        <v>#VALUE!</v>
      </c>
      <c r="ET186" t="e">
        <f>AND('Planilla_General_29-11-2012_10_'!K2795,"AAAAAG/9dpU=")</f>
        <v>#VALUE!</v>
      </c>
      <c r="EU186" t="e">
        <f>AND('Planilla_General_29-11-2012_10_'!L2795,"AAAAAG/9dpY=")</f>
        <v>#VALUE!</v>
      </c>
      <c r="EV186" t="e">
        <f>AND('Planilla_General_29-11-2012_10_'!M2795,"AAAAAG/9dpc=")</f>
        <v>#VALUE!</v>
      </c>
      <c r="EW186" t="e">
        <f>AND('Planilla_General_29-11-2012_10_'!N2795,"AAAAAG/9dpg=")</f>
        <v>#VALUE!</v>
      </c>
      <c r="EX186" t="e">
        <f>AND('Planilla_General_29-11-2012_10_'!O2795,"AAAAAG/9dpk=")</f>
        <v>#VALUE!</v>
      </c>
      <c r="EY186" t="e">
        <f>AND('Planilla_General_29-11-2012_10_'!P2795,"AAAAAG/9dpo=")</f>
        <v>#VALUE!</v>
      </c>
      <c r="EZ186">
        <f>IF('Planilla_General_29-11-2012_10_'!2796:2796,"AAAAAG/9dps=",0)</f>
        <v>0</v>
      </c>
      <c r="FA186" t="e">
        <f>AND('Planilla_General_29-11-2012_10_'!A2796,"AAAAAG/9dpw=")</f>
        <v>#VALUE!</v>
      </c>
      <c r="FB186" t="e">
        <f>AND('Planilla_General_29-11-2012_10_'!B2796,"AAAAAG/9dp0=")</f>
        <v>#VALUE!</v>
      </c>
      <c r="FC186" t="e">
        <f>AND('Planilla_General_29-11-2012_10_'!C2796,"AAAAAG/9dp4=")</f>
        <v>#VALUE!</v>
      </c>
      <c r="FD186" t="e">
        <f>AND('Planilla_General_29-11-2012_10_'!D2796,"AAAAAG/9dp8=")</f>
        <v>#VALUE!</v>
      </c>
      <c r="FE186" t="e">
        <f>AND('Planilla_General_29-11-2012_10_'!E2796,"AAAAAG/9dqA=")</f>
        <v>#VALUE!</v>
      </c>
      <c r="FF186" t="e">
        <f>AND('Planilla_General_29-11-2012_10_'!F2796,"AAAAAG/9dqE=")</f>
        <v>#VALUE!</v>
      </c>
      <c r="FG186" t="e">
        <f>AND('Planilla_General_29-11-2012_10_'!G2796,"AAAAAG/9dqI=")</f>
        <v>#VALUE!</v>
      </c>
      <c r="FH186" t="e">
        <f>AND('Planilla_General_29-11-2012_10_'!H2796,"AAAAAG/9dqM=")</f>
        <v>#VALUE!</v>
      </c>
      <c r="FI186" t="e">
        <f>AND('Planilla_General_29-11-2012_10_'!I2796,"AAAAAG/9dqQ=")</f>
        <v>#VALUE!</v>
      </c>
      <c r="FJ186" t="e">
        <f>AND('Planilla_General_29-11-2012_10_'!J2796,"AAAAAG/9dqU=")</f>
        <v>#VALUE!</v>
      </c>
      <c r="FK186" t="e">
        <f>AND('Planilla_General_29-11-2012_10_'!K2796,"AAAAAG/9dqY=")</f>
        <v>#VALUE!</v>
      </c>
      <c r="FL186" t="e">
        <f>AND('Planilla_General_29-11-2012_10_'!L2796,"AAAAAG/9dqc=")</f>
        <v>#VALUE!</v>
      </c>
      <c r="FM186" t="e">
        <f>AND('Planilla_General_29-11-2012_10_'!M2796,"AAAAAG/9dqg=")</f>
        <v>#VALUE!</v>
      </c>
      <c r="FN186" t="e">
        <f>AND('Planilla_General_29-11-2012_10_'!N2796,"AAAAAG/9dqk=")</f>
        <v>#VALUE!</v>
      </c>
      <c r="FO186" t="e">
        <f>AND('Planilla_General_29-11-2012_10_'!O2796,"AAAAAG/9dqo=")</f>
        <v>#VALUE!</v>
      </c>
      <c r="FP186" t="e">
        <f>AND('Planilla_General_29-11-2012_10_'!P2796,"AAAAAG/9dqs=")</f>
        <v>#VALUE!</v>
      </c>
      <c r="FQ186">
        <f>IF('Planilla_General_29-11-2012_10_'!2797:2797,"AAAAAG/9dqw=",0)</f>
        <v>0</v>
      </c>
      <c r="FR186" t="e">
        <f>AND('Planilla_General_29-11-2012_10_'!A2797,"AAAAAG/9dq0=")</f>
        <v>#VALUE!</v>
      </c>
      <c r="FS186" t="e">
        <f>AND('Planilla_General_29-11-2012_10_'!B2797,"AAAAAG/9dq4=")</f>
        <v>#VALUE!</v>
      </c>
      <c r="FT186" t="e">
        <f>AND('Planilla_General_29-11-2012_10_'!C2797,"AAAAAG/9dq8=")</f>
        <v>#VALUE!</v>
      </c>
      <c r="FU186" t="e">
        <f>AND('Planilla_General_29-11-2012_10_'!D2797,"AAAAAG/9drA=")</f>
        <v>#VALUE!</v>
      </c>
      <c r="FV186" t="e">
        <f>AND('Planilla_General_29-11-2012_10_'!E2797,"AAAAAG/9drE=")</f>
        <v>#VALUE!</v>
      </c>
      <c r="FW186" t="e">
        <f>AND('Planilla_General_29-11-2012_10_'!F2797,"AAAAAG/9drI=")</f>
        <v>#VALUE!</v>
      </c>
      <c r="FX186" t="e">
        <f>AND('Planilla_General_29-11-2012_10_'!G2797,"AAAAAG/9drM=")</f>
        <v>#VALUE!</v>
      </c>
      <c r="FY186" t="e">
        <f>AND('Planilla_General_29-11-2012_10_'!H2797,"AAAAAG/9drQ=")</f>
        <v>#VALUE!</v>
      </c>
      <c r="FZ186" t="e">
        <f>AND('Planilla_General_29-11-2012_10_'!I2797,"AAAAAG/9drU=")</f>
        <v>#VALUE!</v>
      </c>
      <c r="GA186" t="e">
        <f>AND('Planilla_General_29-11-2012_10_'!J2797,"AAAAAG/9drY=")</f>
        <v>#VALUE!</v>
      </c>
      <c r="GB186" t="e">
        <f>AND('Planilla_General_29-11-2012_10_'!K2797,"AAAAAG/9drc=")</f>
        <v>#VALUE!</v>
      </c>
      <c r="GC186" t="e">
        <f>AND('Planilla_General_29-11-2012_10_'!L2797,"AAAAAG/9drg=")</f>
        <v>#VALUE!</v>
      </c>
      <c r="GD186" t="e">
        <f>AND('Planilla_General_29-11-2012_10_'!M2797,"AAAAAG/9drk=")</f>
        <v>#VALUE!</v>
      </c>
      <c r="GE186" t="e">
        <f>AND('Planilla_General_29-11-2012_10_'!N2797,"AAAAAG/9dro=")</f>
        <v>#VALUE!</v>
      </c>
      <c r="GF186" t="e">
        <f>AND('Planilla_General_29-11-2012_10_'!O2797,"AAAAAG/9drs=")</f>
        <v>#VALUE!</v>
      </c>
      <c r="GG186" t="e">
        <f>AND('Planilla_General_29-11-2012_10_'!P2797,"AAAAAG/9drw=")</f>
        <v>#VALUE!</v>
      </c>
      <c r="GH186">
        <f>IF('Planilla_General_29-11-2012_10_'!2798:2798,"AAAAAG/9dr0=",0)</f>
        <v>0</v>
      </c>
      <c r="GI186" t="e">
        <f>AND('Planilla_General_29-11-2012_10_'!A2798,"AAAAAG/9dr4=")</f>
        <v>#VALUE!</v>
      </c>
      <c r="GJ186" t="e">
        <f>AND('Planilla_General_29-11-2012_10_'!B2798,"AAAAAG/9dr8=")</f>
        <v>#VALUE!</v>
      </c>
      <c r="GK186" t="e">
        <f>AND('Planilla_General_29-11-2012_10_'!C2798,"AAAAAG/9dsA=")</f>
        <v>#VALUE!</v>
      </c>
      <c r="GL186" t="e">
        <f>AND('Planilla_General_29-11-2012_10_'!D2798,"AAAAAG/9dsE=")</f>
        <v>#VALUE!</v>
      </c>
      <c r="GM186" t="e">
        <f>AND('Planilla_General_29-11-2012_10_'!E2798,"AAAAAG/9dsI=")</f>
        <v>#VALUE!</v>
      </c>
      <c r="GN186" t="e">
        <f>AND('Planilla_General_29-11-2012_10_'!F2798,"AAAAAG/9dsM=")</f>
        <v>#VALUE!</v>
      </c>
      <c r="GO186" t="e">
        <f>AND('Planilla_General_29-11-2012_10_'!G2798,"AAAAAG/9dsQ=")</f>
        <v>#VALUE!</v>
      </c>
      <c r="GP186" t="e">
        <f>AND('Planilla_General_29-11-2012_10_'!H2798,"AAAAAG/9dsU=")</f>
        <v>#VALUE!</v>
      </c>
      <c r="GQ186" t="e">
        <f>AND('Planilla_General_29-11-2012_10_'!I2798,"AAAAAG/9dsY=")</f>
        <v>#VALUE!</v>
      </c>
      <c r="GR186" t="e">
        <f>AND('Planilla_General_29-11-2012_10_'!J2798,"AAAAAG/9dsc=")</f>
        <v>#VALUE!</v>
      </c>
      <c r="GS186" t="e">
        <f>AND('Planilla_General_29-11-2012_10_'!K2798,"AAAAAG/9dsg=")</f>
        <v>#VALUE!</v>
      </c>
      <c r="GT186" t="e">
        <f>AND('Planilla_General_29-11-2012_10_'!L2798,"AAAAAG/9dsk=")</f>
        <v>#VALUE!</v>
      </c>
      <c r="GU186" t="e">
        <f>AND('Planilla_General_29-11-2012_10_'!M2798,"AAAAAG/9dso=")</f>
        <v>#VALUE!</v>
      </c>
      <c r="GV186" t="e">
        <f>AND('Planilla_General_29-11-2012_10_'!N2798,"AAAAAG/9dss=")</f>
        <v>#VALUE!</v>
      </c>
      <c r="GW186" t="e">
        <f>AND('Planilla_General_29-11-2012_10_'!O2798,"AAAAAG/9dsw=")</f>
        <v>#VALUE!</v>
      </c>
      <c r="GX186" t="e">
        <f>AND('Planilla_General_29-11-2012_10_'!P2798,"AAAAAG/9ds0=")</f>
        <v>#VALUE!</v>
      </c>
      <c r="GY186">
        <f>IF('Planilla_General_29-11-2012_10_'!2799:2799,"AAAAAG/9ds4=",0)</f>
        <v>0</v>
      </c>
      <c r="GZ186" t="e">
        <f>AND('Planilla_General_29-11-2012_10_'!A2799,"AAAAAG/9ds8=")</f>
        <v>#VALUE!</v>
      </c>
      <c r="HA186" t="e">
        <f>AND('Planilla_General_29-11-2012_10_'!B2799,"AAAAAG/9dtA=")</f>
        <v>#VALUE!</v>
      </c>
      <c r="HB186" t="e">
        <f>AND('Planilla_General_29-11-2012_10_'!C2799,"AAAAAG/9dtE=")</f>
        <v>#VALUE!</v>
      </c>
      <c r="HC186" t="e">
        <f>AND('Planilla_General_29-11-2012_10_'!D2799,"AAAAAG/9dtI=")</f>
        <v>#VALUE!</v>
      </c>
      <c r="HD186" t="e">
        <f>AND('Planilla_General_29-11-2012_10_'!E2799,"AAAAAG/9dtM=")</f>
        <v>#VALUE!</v>
      </c>
      <c r="HE186" t="e">
        <f>AND('Planilla_General_29-11-2012_10_'!F2799,"AAAAAG/9dtQ=")</f>
        <v>#VALUE!</v>
      </c>
      <c r="HF186" t="e">
        <f>AND('Planilla_General_29-11-2012_10_'!G2799,"AAAAAG/9dtU=")</f>
        <v>#VALUE!</v>
      </c>
      <c r="HG186" t="e">
        <f>AND('Planilla_General_29-11-2012_10_'!H2799,"AAAAAG/9dtY=")</f>
        <v>#VALUE!</v>
      </c>
      <c r="HH186" t="e">
        <f>AND('Planilla_General_29-11-2012_10_'!I2799,"AAAAAG/9dtc=")</f>
        <v>#VALUE!</v>
      </c>
      <c r="HI186" t="e">
        <f>AND('Planilla_General_29-11-2012_10_'!J2799,"AAAAAG/9dtg=")</f>
        <v>#VALUE!</v>
      </c>
      <c r="HJ186" t="e">
        <f>AND('Planilla_General_29-11-2012_10_'!K2799,"AAAAAG/9dtk=")</f>
        <v>#VALUE!</v>
      </c>
      <c r="HK186" t="e">
        <f>AND('Planilla_General_29-11-2012_10_'!L2799,"AAAAAG/9dto=")</f>
        <v>#VALUE!</v>
      </c>
      <c r="HL186" t="e">
        <f>AND('Planilla_General_29-11-2012_10_'!M2799,"AAAAAG/9dts=")</f>
        <v>#VALUE!</v>
      </c>
      <c r="HM186" t="e">
        <f>AND('Planilla_General_29-11-2012_10_'!N2799,"AAAAAG/9dtw=")</f>
        <v>#VALUE!</v>
      </c>
      <c r="HN186" t="e">
        <f>AND('Planilla_General_29-11-2012_10_'!O2799,"AAAAAG/9dt0=")</f>
        <v>#VALUE!</v>
      </c>
      <c r="HO186" t="e">
        <f>AND('Planilla_General_29-11-2012_10_'!P2799,"AAAAAG/9dt4=")</f>
        <v>#VALUE!</v>
      </c>
      <c r="HP186">
        <f>IF('Planilla_General_29-11-2012_10_'!2800:2800,"AAAAAG/9dt8=",0)</f>
        <v>0</v>
      </c>
      <c r="HQ186" t="e">
        <f>AND('Planilla_General_29-11-2012_10_'!A2800,"AAAAAG/9duA=")</f>
        <v>#VALUE!</v>
      </c>
      <c r="HR186" t="e">
        <f>AND('Planilla_General_29-11-2012_10_'!B2800,"AAAAAG/9duE=")</f>
        <v>#VALUE!</v>
      </c>
      <c r="HS186" t="e">
        <f>AND('Planilla_General_29-11-2012_10_'!C2800,"AAAAAG/9duI=")</f>
        <v>#VALUE!</v>
      </c>
      <c r="HT186" t="e">
        <f>AND('Planilla_General_29-11-2012_10_'!D2800,"AAAAAG/9duM=")</f>
        <v>#VALUE!</v>
      </c>
      <c r="HU186" t="e">
        <f>AND('Planilla_General_29-11-2012_10_'!E2800,"AAAAAG/9duQ=")</f>
        <v>#VALUE!</v>
      </c>
      <c r="HV186" t="e">
        <f>AND('Planilla_General_29-11-2012_10_'!F2800,"AAAAAG/9duU=")</f>
        <v>#VALUE!</v>
      </c>
      <c r="HW186" t="e">
        <f>AND('Planilla_General_29-11-2012_10_'!G2800,"AAAAAG/9duY=")</f>
        <v>#VALUE!</v>
      </c>
      <c r="HX186" t="e">
        <f>AND('Planilla_General_29-11-2012_10_'!H2800,"AAAAAG/9duc=")</f>
        <v>#VALUE!</v>
      </c>
      <c r="HY186" t="e">
        <f>AND('Planilla_General_29-11-2012_10_'!I2800,"AAAAAG/9dug=")</f>
        <v>#VALUE!</v>
      </c>
      <c r="HZ186" t="e">
        <f>AND('Planilla_General_29-11-2012_10_'!J2800,"AAAAAG/9duk=")</f>
        <v>#VALUE!</v>
      </c>
      <c r="IA186" t="e">
        <f>AND('Planilla_General_29-11-2012_10_'!K2800,"AAAAAG/9duo=")</f>
        <v>#VALUE!</v>
      </c>
      <c r="IB186" t="e">
        <f>AND('Planilla_General_29-11-2012_10_'!L2800,"AAAAAG/9dus=")</f>
        <v>#VALUE!</v>
      </c>
      <c r="IC186" t="e">
        <f>AND('Planilla_General_29-11-2012_10_'!M2800,"AAAAAG/9duw=")</f>
        <v>#VALUE!</v>
      </c>
      <c r="ID186" t="e">
        <f>AND('Planilla_General_29-11-2012_10_'!N2800,"AAAAAG/9du0=")</f>
        <v>#VALUE!</v>
      </c>
      <c r="IE186" t="e">
        <f>AND('Planilla_General_29-11-2012_10_'!O2800,"AAAAAG/9du4=")</f>
        <v>#VALUE!</v>
      </c>
      <c r="IF186" t="e">
        <f>AND('Planilla_General_29-11-2012_10_'!P2800,"AAAAAG/9du8=")</f>
        <v>#VALUE!</v>
      </c>
      <c r="IG186">
        <f>IF('Planilla_General_29-11-2012_10_'!2801:2801,"AAAAAG/9dvA=",0)</f>
        <v>0</v>
      </c>
      <c r="IH186" t="e">
        <f>AND('Planilla_General_29-11-2012_10_'!A2801,"AAAAAG/9dvE=")</f>
        <v>#VALUE!</v>
      </c>
      <c r="II186" t="e">
        <f>AND('Planilla_General_29-11-2012_10_'!B2801,"AAAAAG/9dvI=")</f>
        <v>#VALUE!</v>
      </c>
      <c r="IJ186" t="e">
        <f>AND('Planilla_General_29-11-2012_10_'!C2801,"AAAAAG/9dvM=")</f>
        <v>#VALUE!</v>
      </c>
      <c r="IK186" t="e">
        <f>AND('Planilla_General_29-11-2012_10_'!D2801,"AAAAAG/9dvQ=")</f>
        <v>#VALUE!</v>
      </c>
      <c r="IL186" t="e">
        <f>AND('Planilla_General_29-11-2012_10_'!E2801,"AAAAAG/9dvU=")</f>
        <v>#VALUE!</v>
      </c>
      <c r="IM186" t="e">
        <f>AND('Planilla_General_29-11-2012_10_'!F2801,"AAAAAG/9dvY=")</f>
        <v>#VALUE!</v>
      </c>
      <c r="IN186" t="e">
        <f>AND('Planilla_General_29-11-2012_10_'!G2801,"AAAAAG/9dvc=")</f>
        <v>#VALUE!</v>
      </c>
      <c r="IO186" t="e">
        <f>AND('Planilla_General_29-11-2012_10_'!H2801,"AAAAAG/9dvg=")</f>
        <v>#VALUE!</v>
      </c>
      <c r="IP186" t="e">
        <f>AND('Planilla_General_29-11-2012_10_'!I2801,"AAAAAG/9dvk=")</f>
        <v>#VALUE!</v>
      </c>
      <c r="IQ186" t="e">
        <f>AND('Planilla_General_29-11-2012_10_'!J2801,"AAAAAG/9dvo=")</f>
        <v>#VALUE!</v>
      </c>
      <c r="IR186" t="e">
        <f>AND('Planilla_General_29-11-2012_10_'!K2801,"AAAAAG/9dvs=")</f>
        <v>#VALUE!</v>
      </c>
      <c r="IS186" t="e">
        <f>AND('Planilla_General_29-11-2012_10_'!L2801,"AAAAAG/9dvw=")</f>
        <v>#VALUE!</v>
      </c>
      <c r="IT186" t="e">
        <f>AND('Planilla_General_29-11-2012_10_'!M2801,"AAAAAG/9dv0=")</f>
        <v>#VALUE!</v>
      </c>
      <c r="IU186" t="e">
        <f>AND('Planilla_General_29-11-2012_10_'!N2801,"AAAAAG/9dv4=")</f>
        <v>#VALUE!</v>
      </c>
      <c r="IV186" t="e">
        <f>AND('Planilla_General_29-11-2012_10_'!O2801,"AAAAAG/9dv8=")</f>
        <v>#VALUE!</v>
      </c>
    </row>
    <row r="187" spans="1:256" x14ac:dyDescent="0.25">
      <c r="A187" t="e">
        <f>AND('Planilla_General_29-11-2012_10_'!P2801,"AAAAAH/t+wA=")</f>
        <v>#VALUE!</v>
      </c>
      <c r="B187" t="e">
        <f>IF('Planilla_General_29-11-2012_10_'!2802:2802,"AAAAAH/t+wE=",0)</f>
        <v>#VALUE!</v>
      </c>
      <c r="C187" t="e">
        <f>AND('Planilla_General_29-11-2012_10_'!A2802,"AAAAAH/t+wI=")</f>
        <v>#VALUE!</v>
      </c>
      <c r="D187" t="e">
        <f>AND('Planilla_General_29-11-2012_10_'!B2802,"AAAAAH/t+wM=")</f>
        <v>#VALUE!</v>
      </c>
      <c r="E187" t="e">
        <f>AND('Planilla_General_29-11-2012_10_'!C2802,"AAAAAH/t+wQ=")</f>
        <v>#VALUE!</v>
      </c>
      <c r="F187" t="e">
        <f>AND('Planilla_General_29-11-2012_10_'!D2802,"AAAAAH/t+wU=")</f>
        <v>#VALUE!</v>
      </c>
      <c r="G187" t="e">
        <f>AND('Planilla_General_29-11-2012_10_'!E2802,"AAAAAH/t+wY=")</f>
        <v>#VALUE!</v>
      </c>
      <c r="H187" t="e">
        <f>AND('Planilla_General_29-11-2012_10_'!F2802,"AAAAAH/t+wc=")</f>
        <v>#VALUE!</v>
      </c>
      <c r="I187" t="e">
        <f>AND('Planilla_General_29-11-2012_10_'!G2802,"AAAAAH/t+wg=")</f>
        <v>#VALUE!</v>
      </c>
      <c r="J187" t="e">
        <f>AND('Planilla_General_29-11-2012_10_'!H2802,"AAAAAH/t+wk=")</f>
        <v>#VALUE!</v>
      </c>
      <c r="K187" t="e">
        <f>AND('Planilla_General_29-11-2012_10_'!I2802,"AAAAAH/t+wo=")</f>
        <v>#VALUE!</v>
      </c>
      <c r="L187" t="e">
        <f>AND('Planilla_General_29-11-2012_10_'!J2802,"AAAAAH/t+ws=")</f>
        <v>#VALUE!</v>
      </c>
      <c r="M187" t="e">
        <f>AND('Planilla_General_29-11-2012_10_'!K2802,"AAAAAH/t+ww=")</f>
        <v>#VALUE!</v>
      </c>
      <c r="N187" t="e">
        <f>AND('Planilla_General_29-11-2012_10_'!L2802,"AAAAAH/t+w0=")</f>
        <v>#VALUE!</v>
      </c>
      <c r="O187" t="e">
        <f>AND('Planilla_General_29-11-2012_10_'!M2802,"AAAAAH/t+w4=")</f>
        <v>#VALUE!</v>
      </c>
      <c r="P187" t="e">
        <f>AND('Planilla_General_29-11-2012_10_'!N2802,"AAAAAH/t+w8=")</f>
        <v>#VALUE!</v>
      </c>
      <c r="Q187" t="e">
        <f>AND('Planilla_General_29-11-2012_10_'!O2802,"AAAAAH/t+xA=")</f>
        <v>#VALUE!</v>
      </c>
      <c r="R187" t="e">
        <f>AND('Planilla_General_29-11-2012_10_'!P2802,"AAAAAH/t+xE=")</f>
        <v>#VALUE!</v>
      </c>
      <c r="S187">
        <f>IF('Planilla_General_29-11-2012_10_'!2803:2803,"AAAAAH/t+xI=",0)</f>
        <v>0</v>
      </c>
      <c r="T187" t="e">
        <f>AND('Planilla_General_29-11-2012_10_'!A2803,"AAAAAH/t+xM=")</f>
        <v>#VALUE!</v>
      </c>
      <c r="U187" t="e">
        <f>AND('Planilla_General_29-11-2012_10_'!B2803,"AAAAAH/t+xQ=")</f>
        <v>#VALUE!</v>
      </c>
      <c r="V187" t="e">
        <f>AND('Planilla_General_29-11-2012_10_'!C2803,"AAAAAH/t+xU=")</f>
        <v>#VALUE!</v>
      </c>
      <c r="W187" t="e">
        <f>AND('Planilla_General_29-11-2012_10_'!D2803,"AAAAAH/t+xY=")</f>
        <v>#VALUE!</v>
      </c>
      <c r="X187" t="e">
        <f>AND('Planilla_General_29-11-2012_10_'!E2803,"AAAAAH/t+xc=")</f>
        <v>#VALUE!</v>
      </c>
      <c r="Y187" t="e">
        <f>AND('Planilla_General_29-11-2012_10_'!F2803,"AAAAAH/t+xg=")</f>
        <v>#VALUE!</v>
      </c>
      <c r="Z187" t="e">
        <f>AND('Planilla_General_29-11-2012_10_'!G2803,"AAAAAH/t+xk=")</f>
        <v>#VALUE!</v>
      </c>
      <c r="AA187" t="e">
        <f>AND('Planilla_General_29-11-2012_10_'!H2803,"AAAAAH/t+xo=")</f>
        <v>#VALUE!</v>
      </c>
      <c r="AB187" t="e">
        <f>AND('Planilla_General_29-11-2012_10_'!I2803,"AAAAAH/t+xs=")</f>
        <v>#VALUE!</v>
      </c>
      <c r="AC187" t="e">
        <f>AND('Planilla_General_29-11-2012_10_'!J2803,"AAAAAH/t+xw=")</f>
        <v>#VALUE!</v>
      </c>
      <c r="AD187" t="e">
        <f>AND('Planilla_General_29-11-2012_10_'!K2803,"AAAAAH/t+x0=")</f>
        <v>#VALUE!</v>
      </c>
      <c r="AE187" t="e">
        <f>AND('Planilla_General_29-11-2012_10_'!L2803,"AAAAAH/t+x4=")</f>
        <v>#VALUE!</v>
      </c>
      <c r="AF187" t="e">
        <f>AND('Planilla_General_29-11-2012_10_'!M2803,"AAAAAH/t+x8=")</f>
        <v>#VALUE!</v>
      </c>
      <c r="AG187" t="e">
        <f>AND('Planilla_General_29-11-2012_10_'!N2803,"AAAAAH/t+yA=")</f>
        <v>#VALUE!</v>
      </c>
      <c r="AH187" t="e">
        <f>AND('Planilla_General_29-11-2012_10_'!O2803,"AAAAAH/t+yE=")</f>
        <v>#VALUE!</v>
      </c>
      <c r="AI187" t="e">
        <f>AND('Planilla_General_29-11-2012_10_'!P2803,"AAAAAH/t+yI=")</f>
        <v>#VALUE!</v>
      </c>
      <c r="AJ187">
        <f>IF('Planilla_General_29-11-2012_10_'!2804:2804,"AAAAAH/t+yM=",0)</f>
        <v>0</v>
      </c>
      <c r="AK187" t="e">
        <f>AND('Planilla_General_29-11-2012_10_'!A2804,"AAAAAH/t+yQ=")</f>
        <v>#VALUE!</v>
      </c>
      <c r="AL187" t="e">
        <f>AND('Planilla_General_29-11-2012_10_'!B2804,"AAAAAH/t+yU=")</f>
        <v>#VALUE!</v>
      </c>
      <c r="AM187" t="e">
        <f>AND('Planilla_General_29-11-2012_10_'!C2804,"AAAAAH/t+yY=")</f>
        <v>#VALUE!</v>
      </c>
      <c r="AN187" t="e">
        <f>AND('Planilla_General_29-11-2012_10_'!D2804,"AAAAAH/t+yc=")</f>
        <v>#VALUE!</v>
      </c>
      <c r="AO187" t="e">
        <f>AND('Planilla_General_29-11-2012_10_'!E2804,"AAAAAH/t+yg=")</f>
        <v>#VALUE!</v>
      </c>
      <c r="AP187" t="e">
        <f>AND('Planilla_General_29-11-2012_10_'!F2804,"AAAAAH/t+yk=")</f>
        <v>#VALUE!</v>
      </c>
      <c r="AQ187" t="e">
        <f>AND('Planilla_General_29-11-2012_10_'!G2804,"AAAAAH/t+yo=")</f>
        <v>#VALUE!</v>
      </c>
      <c r="AR187" t="e">
        <f>AND('Planilla_General_29-11-2012_10_'!H2804,"AAAAAH/t+ys=")</f>
        <v>#VALUE!</v>
      </c>
      <c r="AS187" t="e">
        <f>AND('Planilla_General_29-11-2012_10_'!I2804,"AAAAAH/t+yw=")</f>
        <v>#VALUE!</v>
      </c>
      <c r="AT187" t="e">
        <f>AND('Planilla_General_29-11-2012_10_'!J2804,"AAAAAH/t+y0=")</f>
        <v>#VALUE!</v>
      </c>
      <c r="AU187" t="e">
        <f>AND('Planilla_General_29-11-2012_10_'!K2804,"AAAAAH/t+y4=")</f>
        <v>#VALUE!</v>
      </c>
      <c r="AV187" t="e">
        <f>AND('Planilla_General_29-11-2012_10_'!L2804,"AAAAAH/t+y8=")</f>
        <v>#VALUE!</v>
      </c>
      <c r="AW187" t="e">
        <f>AND('Planilla_General_29-11-2012_10_'!M2804,"AAAAAH/t+zA=")</f>
        <v>#VALUE!</v>
      </c>
      <c r="AX187" t="e">
        <f>AND('Planilla_General_29-11-2012_10_'!N2804,"AAAAAH/t+zE=")</f>
        <v>#VALUE!</v>
      </c>
      <c r="AY187" t="e">
        <f>AND('Planilla_General_29-11-2012_10_'!O2804,"AAAAAH/t+zI=")</f>
        <v>#VALUE!</v>
      </c>
      <c r="AZ187" t="e">
        <f>AND('Planilla_General_29-11-2012_10_'!P2804,"AAAAAH/t+zM=")</f>
        <v>#VALUE!</v>
      </c>
      <c r="BA187">
        <f>IF('Planilla_General_29-11-2012_10_'!2805:2805,"AAAAAH/t+zQ=",0)</f>
        <v>0</v>
      </c>
      <c r="BB187" t="e">
        <f>AND('Planilla_General_29-11-2012_10_'!A2805,"AAAAAH/t+zU=")</f>
        <v>#VALUE!</v>
      </c>
      <c r="BC187" t="e">
        <f>AND('Planilla_General_29-11-2012_10_'!B2805,"AAAAAH/t+zY=")</f>
        <v>#VALUE!</v>
      </c>
      <c r="BD187" t="e">
        <f>AND('Planilla_General_29-11-2012_10_'!C2805,"AAAAAH/t+zc=")</f>
        <v>#VALUE!</v>
      </c>
      <c r="BE187" t="e">
        <f>AND('Planilla_General_29-11-2012_10_'!D2805,"AAAAAH/t+zg=")</f>
        <v>#VALUE!</v>
      </c>
      <c r="BF187" t="e">
        <f>AND('Planilla_General_29-11-2012_10_'!E2805,"AAAAAH/t+zk=")</f>
        <v>#VALUE!</v>
      </c>
      <c r="BG187" t="e">
        <f>AND('Planilla_General_29-11-2012_10_'!F2805,"AAAAAH/t+zo=")</f>
        <v>#VALUE!</v>
      </c>
      <c r="BH187" t="e">
        <f>AND('Planilla_General_29-11-2012_10_'!G2805,"AAAAAH/t+zs=")</f>
        <v>#VALUE!</v>
      </c>
      <c r="BI187" t="e">
        <f>AND('Planilla_General_29-11-2012_10_'!H2805,"AAAAAH/t+zw=")</f>
        <v>#VALUE!</v>
      </c>
      <c r="BJ187" t="e">
        <f>AND('Planilla_General_29-11-2012_10_'!I2805,"AAAAAH/t+z0=")</f>
        <v>#VALUE!</v>
      </c>
      <c r="BK187" t="e">
        <f>AND('Planilla_General_29-11-2012_10_'!J2805,"AAAAAH/t+z4=")</f>
        <v>#VALUE!</v>
      </c>
      <c r="BL187" t="e">
        <f>AND('Planilla_General_29-11-2012_10_'!K2805,"AAAAAH/t+z8=")</f>
        <v>#VALUE!</v>
      </c>
      <c r="BM187" t="e">
        <f>AND('Planilla_General_29-11-2012_10_'!L2805,"AAAAAH/t+0A=")</f>
        <v>#VALUE!</v>
      </c>
      <c r="BN187" t="e">
        <f>AND('Planilla_General_29-11-2012_10_'!M2805,"AAAAAH/t+0E=")</f>
        <v>#VALUE!</v>
      </c>
      <c r="BO187" t="e">
        <f>AND('Planilla_General_29-11-2012_10_'!N2805,"AAAAAH/t+0I=")</f>
        <v>#VALUE!</v>
      </c>
      <c r="BP187" t="e">
        <f>AND('Planilla_General_29-11-2012_10_'!O2805,"AAAAAH/t+0M=")</f>
        <v>#VALUE!</v>
      </c>
      <c r="BQ187" t="e">
        <f>AND('Planilla_General_29-11-2012_10_'!P2805,"AAAAAH/t+0Q=")</f>
        <v>#VALUE!</v>
      </c>
      <c r="BR187">
        <f>IF('Planilla_General_29-11-2012_10_'!2806:2806,"AAAAAH/t+0U=",0)</f>
        <v>0</v>
      </c>
      <c r="BS187" t="e">
        <f>AND('Planilla_General_29-11-2012_10_'!A2806,"AAAAAH/t+0Y=")</f>
        <v>#VALUE!</v>
      </c>
      <c r="BT187" t="e">
        <f>AND('Planilla_General_29-11-2012_10_'!B2806,"AAAAAH/t+0c=")</f>
        <v>#VALUE!</v>
      </c>
      <c r="BU187" t="e">
        <f>AND('Planilla_General_29-11-2012_10_'!C2806,"AAAAAH/t+0g=")</f>
        <v>#VALUE!</v>
      </c>
      <c r="BV187" t="e">
        <f>AND('Planilla_General_29-11-2012_10_'!D2806,"AAAAAH/t+0k=")</f>
        <v>#VALUE!</v>
      </c>
      <c r="BW187" t="e">
        <f>AND('Planilla_General_29-11-2012_10_'!E2806,"AAAAAH/t+0o=")</f>
        <v>#VALUE!</v>
      </c>
      <c r="BX187" t="e">
        <f>AND('Planilla_General_29-11-2012_10_'!F2806,"AAAAAH/t+0s=")</f>
        <v>#VALUE!</v>
      </c>
      <c r="BY187" t="e">
        <f>AND('Planilla_General_29-11-2012_10_'!G2806,"AAAAAH/t+0w=")</f>
        <v>#VALUE!</v>
      </c>
      <c r="BZ187" t="e">
        <f>AND('Planilla_General_29-11-2012_10_'!H2806,"AAAAAH/t+00=")</f>
        <v>#VALUE!</v>
      </c>
      <c r="CA187" t="e">
        <f>AND('Planilla_General_29-11-2012_10_'!I2806,"AAAAAH/t+04=")</f>
        <v>#VALUE!</v>
      </c>
      <c r="CB187" t="e">
        <f>AND('Planilla_General_29-11-2012_10_'!J2806,"AAAAAH/t+08=")</f>
        <v>#VALUE!</v>
      </c>
      <c r="CC187" t="e">
        <f>AND('Planilla_General_29-11-2012_10_'!K2806,"AAAAAH/t+1A=")</f>
        <v>#VALUE!</v>
      </c>
      <c r="CD187" t="e">
        <f>AND('Planilla_General_29-11-2012_10_'!L2806,"AAAAAH/t+1E=")</f>
        <v>#VALUE!</v>
      </c>
      <c r="CE187" t="e">
        <f>AND('Planilla_General_29-11-2012_10_'!M2806,"AAAAAH/t+1I=")</f>
        <v>#VALUE!</v>
      </c>
      <c r="CF187" t="e">
        <f>AND('Planilla_General_29-11-2012_10_'!N2806,"AAAAAH/t+1M=")</f>
        <v>#VALUE!</v>
      </c>
      <c r="CG187" t="e">
        <f>AND('Planilla_General_29-11-2012_10_'!O2806,"AAAAAH/t+1Q=")</f>
        <v>#VALUE!</v>
      </c>
      <c r="CH187" t="e">
        <f>AND('Planilla_General_29-11-2012_10_'!P2806,"AAAAAH/t+1U=")</f>
        <v>#VALUE!</v>
      </c>
      <c r="CI187">
        <f>IF('Planilla_General_29-11-2012_10_'!2807:2807,"AAAAAH/t+1Y=",0)</f>
        <v>0</v>
      </c>
      <c r="CJ187" t="e">
        <f>AND('Planilla_General_29-11-2012_10_'!A2807,"AAAAAH/t+1c=")</f>
        <v>#VALUE!</v>
      </c>
      <c r="CK187" t="e">
        <f>AND('Planilla_General_29-11-2012_10_'!B2807,"AAAAAH/t+1g=")</f>
        <v>#VALUE!</v>
      </c>
      <c r="CL187" t="e">
        <f>AND('Planilla_General_29-11-2012_10_'!C2807,"AAAAAH/t+1k=")</f>
        <v>#VALUE!</v>
      </c>
      <c r="CM187" t="e">
        <f>AND('Planilla_General_29-11-2012_10_'!D2807,"AAAAAH/t+1o=")</f>
        <v>#VALUE!</v>
      </c>
      <c r="CN187" t="e">
        <f>AND('Planilla_General_29-11-2012_10_'!E2807,"AAAAAH/t+1s=")</f>
        <v>#VALUE!</v>
      </c>
      <c r="CO187" t="e">
        <f>AND('Planilla_General_29-11-2012_10_'!F2807,"AAAAAH/t+1w=")</f>
        <v>#VALUE!</v>
      </c>
      <c r="CP187" t="e">
        <f>AND('Planilla_General_29-11-2012_10_'!G2807,"AAAAAH/t+10=")</f>
        <v>#VALUE!</v>
      </c>
      <c r="CQ187" t="e">
        <f>AND('Planilla_General_29-11-2012_10_'!H2807,"AAAAAH/t+14=")</f>
        <v>#VALUE!</v>
      </c>
      <c r="CR187" t="e">
        <f>AND('Planilla_General_29-11-2012_10_'!I2807,"AAAAAH/t+18=")</f>
        <v>#VALUE!</v>
      </c>
      <c r="CS187" t="e">
        <f>AND('Planilla_General_29-11-2012_10_'!J2807,"AAAAAH/t+2A=")</f>
        <v>#VALUE!</v>
      </c>
      <c r="CT187" t="e">
        <f>AND('Planilla_General_29-11-2012_10_'!K2807,"AAAAAH/t+2E=")</f>
        <v>#VALUE!</v>
      </c>
      <c r="CU187" t="e">
        <f>AND('Planilla_General_29-11-2012_10_'!L2807,"AAAAAH/t+2I=")</f>
        <v>#VALUE!</v>
      </c>
      <c r="CV187" t="e">
        <f>AND('Planilla_General_29-11-2012_10_'!M2807,"AAAAAH/t+2M=")</f>
        <v>#VALUE!</v>
      </c>
      <c r="CW187" t="e">
        <f>AND('Planilla_General_29-11-2012_10_'!N2807,"AAAAAH/t+2Q=")</f>
        <v>#VALUE!</v>
      </c>
      <c r="CX187" t="e">
        <f>AND('Planilla_General_29-11-2012_10_'!O2807,"AAAAAH/t+2U=")</f>
        <v>#VALUE!</v>
      </c>
      <c r="CY187" t="e">
        <f>AND('Planilla_General_29-11-2012_10_'!P2807,"AAAAAH/t+2Y=")</f>
        <v>#VALUE!</v>
      </c>
      <c r="CZ187">
        <f>IF('Planilla_General_29-11-2012_10_'!2808:2808,"AAAAAH/t+2c=",0)</f>
        <v>0</v>
      </c>
      <c r="DA187" t="e">
        <f>AND('Planilla_General_29-11-2012_10_'!A2808,"AAAAAH/t+2g=")</f>
        <v>#VALUE!</v>
      </c>
      <c r="DB187" t="e">
        <f>AND('Planilla_General_29-11-2012_10_'!B2808,"AAAAAH/t+2k=")</f>
        <v>#VALUE!</v>
      </c>
      <c r="DC187" t="e">
        <f>AND('Planilla_General_29-11-2012_10_'!C2808,"AAAAAH/t+2o=")</f>
        <v>#VALUE!</v>
      </c>
      <c r="DD187" t="e">
        <f>AND('Planilla_General_29-11-2012_10_'!D2808,"AAAAAH/t+2s=")</f>
        <v>#VALUE!</v>
      </c>
      <c r="DE187" t="e">
        <f>AND('Planilla_General_29-11-2012_10_'!E2808,"AAAAAH/t+2w=")</f>
        <v>#VALUE!</v>
      </c>
      <c r="DF187" t="e">
        <f>AND('Planilla_General_29-11-2012_10_'!F2808,"AAAAAH/t+20=")</f>
        <v>#VALUE!</v>
      </c>
      <c r="DG187" t="e">
        <f>AND('Planilla_General_29-11-2012_10_'!G2808,"AAAAAH/t+24=")</f>
        <v>#VALUE!</v>
      </c>
      <c r="DH187" t="e">
        <f>AND('Planilla_General_29-11-2012_10_'!H2808,"AAAAAH/t+28=")</f>
        <v>#VALUE!</v>
      </c>
      <c r="DI187" t="e">
        <f>AND('Planilla_General_29-11-2012_10_'!I2808,"AAAAAH/t+3A=")</f>
        <v>#VALUE!</v>
      </c>
      <c r="DJ187" t="e">
        <f>AND('Planilla_General_29-11-2012_10_'!J2808,"AAAAAH/t+3E=")</f>
        <v>#VALUE!</v>
      </c>
      <c r="DK187" t="e">
        <f>AND('Planilla_General_29-11-2012_10_'!K2808,"AAAAAH/t+3I=")</f>
        <v>#VALUE!</v>
      </c>
      <c r="DL187" t="e">
        <f>AND('Planilla_General_29-11-2012_10_'!L2808,"AAAAAH/t+3M=")</f>
        <v>#VALUE!</v>
      </c>
      <c r="DM187" t="e">
        <f>AND('Planilla_General_29-11-2012_10_'!M2808,"AAAAAH/t+3Q=")</f>
        <v>#VALUE!</v>
      </c>
      <c r="DN187" t="e">
        <f>AND('Planilla_General_29-11-2012_10_'!N2808,"AAAAAH/t+3U=")</f>
        <v>#VALUE!</v>
      </c>
      <c r="DO187" t="e">
        <f>AND('Planilla_General_29-11-2012_10_'!O2808,"AAAAAH/t+3Y=")</f>
        <v>#VALUE!</v>
      </c>
      <c r="DP187" t="e">
        <f>AND('Planilla_General_29-11-2012_10_'!P2808,"AAAAAH/t+3c=")</f>
        <v>#VALUE!</v>
      </c>
      <c r="DQ187">
        <f>IF('Planilla_General_29-11-2012_10_'!2809:2809,"AAAAAH/t+3g=",0)</f>
        <v>0</v>
      </c>
      <c r="DR187" t="e">
        <f>AND('Planilla_General_29-11-2012_10_'!A2809,"AAAAAH/t+3k=")</f>
        <v>#VALUE!</v>
      </c>
      <c r="DS187" t="e">
        <f>AND('Planilla_General_29-11-2012_10_'!B2809,"AAAAAH/t+3o=")</f>
        <v>#VALUE!</v>
      </c>
      <c r="DT187" t="e">
        <f>AND('Planilla_General_29-11-2012_10_'!C2809,"AAAAAH/t+3s=")</f>
        <v>#VALUE!</v>
      </c>
      <c r="DU187" t="e">
        <f>AND('Planilla_General_29-11-2012_10_'!D2809,"AAAAAH/t+3w=")</f>
        <v>#VALUE!</v>
      </c>
      <c r="DV187" t="e">
        <f>AND('Planilla_General_29-11-2012_10_'!E2809,"AAAAAH/t+30=")</f>
        <v>#VALUE!</v>
      </c>
      <c r="DW187" t="e">
        <f>AND('Planilla_General_29-11-2012_10_'!F2809,"AAAAAH/t+34=")</f>
        <v>#VALUE!</v>
      </c>
      <c r="DX187" t="e">
        <f>AND('Planilla_General_29-11-2012_10_'!G2809,"AAAAAH/t+38=")</f>
        <v>#VALUE!</v>
      </c>
      <c r="DY187" t="e">
        <f>AND('Planilla_General_29-11-2012_10_'!H2809,"AAAAAH/t+4A=")</f>
        <v>#VALUE!</v>
      </c>
      <c r="DZ187" t="e">
        <f>AND('Planilla_General_29-11-2012_10_'!I2809,"AAAAAH/t+4E=")</f>
        <v>#VALUE!</v>
      </c>
      <c r="EA187" t="e">
        <f>AND('Planilla_General_29-11-2012_10_'!J2809,"AAAAAH/t+4I=")</f>
        <v>#VALUE!</v>
      </c>
      <c r="EB187" t="e">
        <f>AND('Planilla_General_29-11-2012_10_'!K2809,"AAAAAH/t+4M=")</f>
        <v>#VALUE!</v>
      </c>
      <c r="EC187" t="e">
        <f>AND('Planilla_General_29-11-2012_10_'!L2809,"AAAAAH/t+4Q=")</f>
        <v>#VALUE!</v>
      </c>
      <c r="ED187" t="e">
        <f>AND('Planilla_General_29-11-2012_10_'!M2809,"AAAAAH/t+4U=")</f>
        <v>#VALUE!</v>
      </c>
      <c r="EE187" t="e">
        <f>AND('Planilla_General_29-11-2012_10_'!N2809,"AAAAAH/t+4Y=")</f>
        <v>#VALUE!</v>
      </c>
      <c r="EF187" t="e">
        <f>AND('Planilla_General_29-11-2012_10_'!O2809,"AAAAAH/t+4c=")</f>
        <v>#VALUE!</v>
      </c>
      <c r="EG187" t="e">
        <f>AND('Planilla_General_29-11-2012_10_'!P2809,"AAAAAH/t+4g=")</f>
        <v>#VALUE!</v>
      </c>
      <c r="EH187">
        <f>IF('Planilla_General_29-11-2012_10_'!2810:2810,"AAAAAH/t+4k=",0)</f>
        <v>0</v>
      </c>
      <c r="EI187" t="e">
        <f>AND('Planilla_General_29-11-2012_10_'!A2810,"AAAAAH/t+4o=")</f>
        <v>#VALUE!</v>
      </c>
      <c r="EJ187" t="e">
        <f>AND('Planilla_General_29-11-2012_10_'!B2810,"AAAAAH/t+4s=")</f>
        <v>#VALUE!</v>
      </c>
      <c r="EK187" t="e">
        <f>AND('Planilla_General_29-11-2012_10_'!C2810,"AAAAAH/t+4w=")</f>
        <v>#VALUE!</v>
      </c>
      <c r="EL187" t="e">
        <f>AND('Planilla_General_29-11-2012_10_'!D2810,"AAAAAH/t+40=")</f>
        <v>#VALUE!</v>
      </c>
      <c r="EM187" t="e">
        <f>AND('Planilla_General_29-11-2012_10_'!E2810,"AAAAAH/t+44=")</f>
        <v>#VALUE!</v>
      </c>
      <c r="EN187" t="e">
        <f>AND('Planilla_General_29-11-2012_10_'!F2810,"AAAAAH/t+48=")</f>
        <v>#VALUE!</v>
      </c>
      <c r="EO187" t="e">
        <f>AND('Planilla_General_29-11-2012_10_'!G2810,"AAAAAH/t+5A=")</f>
        <v>#VALUE!</v>
      </c>
      <c r="EP187" t="e">
        <f>AND('Planilla_General_29-11-2012_10_'!H2810,"AAAAAH/t+5E=")</f>
        <v>#VALUE!</v>
      </c>
      <c r="EQ187" t="e">
        <f>AND('Planilla_General_29-11-2012_10_'!I2810,"AAAAAH/t+5I=")</f>
        <v>#VALUE!</v>
      </c>
      <c r="ER187" t="e">
        <f>AND('Planilla_General_29-11-2012_10_'!J2810,"AAAAAH/t+5M=")</f>
        <v>#VALUE!</v>
      </c>
      <c r="ES187" t="e">
        <f>AND('Planilla_General_29-11-2012_10_'!K2810,"AAAAAH/t+5Q=")</f>
        <v>#VALUE!</v>
      </c>
      <c r="ET187" t="e">
        <f>AND('Planilla_General_29-11-2012_10_'!L2810,"AAAAAH/t+5U=")</f>
        <v>#VALUE!</v>
      </c>
      <c r="EU187" t="e">
        <f>AND('Planilla_General_29-11-2012_10_'!M2810,"AAAAAH/t+5Y=")</f>
        <v>#VALUE!</v>
      </c>
      <c r="EV187" t="e">
        <f>AND('Planilla_General_29-11-2012_10_'!N2810,"AAAAAH/t+5c=")</f>
        <v>#VALUE!</v>
      </c>
      <c r="EW187" t="e">
        <f>AND('Planilla_General_29-11-2012_10_'!O2810,"AAAAAH/t+5g=")</f>
        <v>#VALUE!</v>
      </c>
      <c r="EX187" t="e">
        <f>AND('Planilla_General_29-11-2012_10_'!P2810,"AAAAAH/t+5k=")</f>
        <v>#VALUE!</v>
      </c>
      <c r="EY187">
        <f>IF('Planilla_General_29-11-2012_10_'!2811:2811,"AAAAAH/t+5o=",0)</f>
        <v>0</v>
      </c>
      <c r="EZ187" t="e">
        <f>AND('Planilla_General_29-11-2012_10_'!A2811,"AAAAAH/t+5s=")</f>
        <v>#VALUE!</v>
      </c>
      <c r="FA187" t="e">
        <f>AND('Planilla_General_29-11-2012_10_'!B2811,"AAAAAH/t+5w=")</f>
        <v>#VALUE!</v>
      </c>
      <c r="FB187" t="e">
        <f>AND('Planilla_General_29-11-2012_10_'!C2811,"AAAAAH/t+50=")</f>
        <v>#VALUE!</v>
      </c>
      <c r="FC187" t="e">
        <f>AND('Planilla_General_29-11-2012_10_'!D2811,"AAAAAH/t+54=")</f>
        <v>#VALUE!</v>
      </c>
      <c r="FD187" t="e">
        <f>AND('Planilla_General_29-11-2012_10_'!E2811,"AAAAAH/t+58=")</f>
        <v>#VALUE!</v>
      </c>
      <c r="FE187" t="e">
        <f>AND('Planilla_General_29-11-2012_10_'!F2811,"AAAAAH/t+6A=")</f>
        <v>#VALUE!</v>
      </c>
      <c r="FF187" t="e">
        <f>AND('Planilla_General_29-11-2012_10_'!G2811,"AAAAAH/t+6E=")</f>
        <v>#VALUE!</v>
      </c>
      <c r="FG187" t="e">
        <f>AND('Planilla_General_29-11-2012_10_'!H2811,"AAAAAH/t+6I=")</f>
        <v>#VALUE!</v>
      </c>
      <c r="FH187" t="e">
        <f>AND('Planilla_General_29-11-2012_10_'!I2811,"AAAAAH/t+6M=")</f>
        <v>#VALUE!</v>
      </c>
      <c r="FI187" t="e">
        <f>AND('Planilla_General_29-11-2012_10_'!J2811,"AAAAAH/t+6Q=")</f>
        <v>#VALUE!</v>
      </c>
      <c r="FJ187" t="e">
        <f>AND('Planilla_General_29-11-2012_10_'!K2811,"AAAAAH/t+6U=")</f>
        <v>#VALUE!</v>
      </c>
      <c r="FK187" t="e">
        <f>AND('Planilla_General_29-11-2012_10_'!L2811,"AAAAAH/t+6Y=")</f>
        <v>#VALUE!</v>
      </c>
      <c r="FL187" t="e">
        <f>AND('Planilla_General_29-11-2012_10_'!M2811,"AAAAAH/t+6c=")</f>
        <v>#VALUE!</v>
      </c>
      <c r="FM187" t="e">
        <f>AND('Planilla_General_29-11-2012_10_'!N2811,"AAAAAH/t+6g=")</f>
        <v>#VALUE!</v>
      </c>
      <c r="FN187" t="e">
        <f>AND('Planilla_General_29-11-2012_10_'!O2811,"AAAAAH/t+6k=")</f>
        <v>#VALUE!</v>
      </c>
      <c r="FO187" t="e">
        <f>AND('Planilla_General_29-11-2012_10_'!P2811,"AAAAAH/t+6o=")</f>
        <v>#VALUE!</v>
      </c>
      <c r="FP187">
        <f>IF('Planilla_General_29-11-2012_10_'!2812:2812,"AAAAAH/t+6s=",0)</f>
        <v>0</v>
      </c>
      <c r="FQ187" t="e">
        <f>AND('Planilla_General_29-11-2012_10_'!A2812,"AAAAAH/t+6w=")</f>
        <v>#VALUE!</v>
      </c>
      <c r="FR187" t="e">
        <f>AND('Planilla_General_29-11-2012_10_'!B2812,"AAAAAH/t+60=")</f>
        <v>#VALUE!</v>
      </c>
      <c r="FS187" t="e">
        <f>AND('Planilla_General_29-11-2012_10_'!C2812,"AAAAAH/t+64=")</f>
        <v>#VALUE!</v>
      </c>
      <c r="FT187" t="e">
        <f>AND('Planilla_General_29-11-2012_10_'!D2812,"AAAAAH/t+68=")</f>
        <v>#VALUE!</v>
      </c>
      <c r="FU187" t="e">
        <f>AND('Planilla_General_29-11-2012_10_'!E2812,"AAAAAH/t+7A=")</f>
        <v>#VALUE!</v>
      </c>
      <c r="FV187" t="e">
        <f>AND('Planilla_General_29-11-2012_10_'!F2812,"AAAAAH/t+7E=")</f>
        <v>#VALUE!</v>
      </c>
      <c r="FW187" t="e">
        <f>AND('Planilla_General_29-11-2012_10_'!G2812,"AAAAAH/t+7I=")</f>
        <v>#VALUE!</v>
      </c>
      <c r="FX187" t="e">
        <f>AND('Planilla_General_29-11-2012_10_'!H2812,"AAAAAH/t+7M=")</f>
        <v>#VALUE!</v>
      </c>
      <c r="FY187" t="e">
        <f>AND('Planilla_General_29-11-2012_10_'!I2812,"AAAAAH/t+7Q=")</f>
        <v>#VALUE!</v>
      </c>
      <c r="FZ187" t="e">
        <f>AND('Planilla_General_29-11-2012_10_'!J2812,"AAAAAH/t+7U=")</f>
        <v>#VALUE!</v>
      </c>
      <c r="GA187" t="e">
        <f>AND('Planilla_General_29-11-2012_10_'!K2812,"AAAAAH/t+7Y=")</f>
        <v>#VALUE!</v>
      </c>
      <c r="GB187" t="e">
        <f>AND('Planilla_General_29-11-2012_10_'!L2812,"AAAAAH/t+7c=")</f>
        <v>#VALUE!</v>
      </c>
      <c r="GC187" t="e">
        <f>AND('Planilla_General_29-11-2012_10_'!M2812,"AAAAAH/t+7g=")</f>
        <v>#VALUE!</v>
      </c>
      <c r="GD187" t="e">
        <f>AND('Planilla_General_29-11-2012_10_'!N2812,"AAAAAH/t+7k=")</f>
        <v>#VALUE!</v>
      </c>
      <c r="GE187" t="e">
        <f>AND('Planilla_General_29-11-2012_10_'!O2812,"AAAAAH/t+7o=")</f>
        <v>#VALUE!</v>
      </c>
      <c r="GF187" t="e">
        <f>AND('Planilla_General_29-11-2012_10_'!P2812,"AAAAAH/t+7s=")</f>
        <v>#VALUE!</v>
      </c>
      <c r="GG187">
        <f>IF('Planilla_General_29-11-2012_10_'!2813:2813,"AAAAAH/t+7w=",0)</f>
        <v>0</v>
      </c>
      <c r="GH187" t="e">
        <f>AND('Planilla_General_29-11-2012_10_'!A2813,"AAAAAH/t+70=")</f>
        <v>#VALUE!</v>
      </c>
      <c r="GI187" t="e">
        <f>AND('Planilla_General_29-11-2012_10_'!B2813,"AAAAAH/t+74=")</f>
        <v>#VALUE!</v>
      </c>
      <c r="GJ187" t="e">
        <f>AND('Planilla_General_29-11-2012_10_'!C2813,"AAAAAH/t+78=")</f>
        <v>#VALUE!</v>
      </c>
      <c r="GK187" t="e">
        <f>AND('Planilla_General_29-11-2012_10_'!D2813,"AAAAAH/t+8A=")</f>
        <v>#VALUE!</v>
      </c>
      <c r="GL187" t="e">
        <f>AND('Planilla_General_29-11-2012_10_'!E2813,"AAAAAH/t+8E=")</f>
        <v>#VALUE!</v>
      </c>
      <c r="GM187" t="e">
        <f>AND('Planilla_General_29-11-2012_10_'!F2813,"AAAAAH/t+8I=")</f>
        <v>#VALUE!</v>
      </c>
      <c r="GN187" t="e">
        <f>AND('Planilla_General_29-11-2012_10_'!G2813,"AAAAAH/t+8M=")</f>
        <v>#VALUE!</v>
      </c>
      <c r="GO187" t="e">
        <f>AND('Planilla_General_29-11-2012_10_'!H2813,"AAAAAH/t+8Q=")</f>
        <v>#VALUE!</v>
      </c>
      <c r="GP187" t="e">
        <f>AND('Planilla_General_29-11-2012_10_'!I2813,"AAAAAH/t+8U=")</f>
        <v>#VALUE!</v>
      </c>
      <c r="GQ187" t="e">
        <f>AND('Planilla_General_29-11-2012_10_'!J2813,"AAAAAH/t+8Y=")</f>
        <v>#VALUE!</v>
      </c>
      <c r="GR187" t="e">
        <f>AND('Planilla_General_29-11-2012_10_'!K2813,"AAAAAH/t+8c=")</f>
        <v>#VALUE!</v>
      </c>
      <c r="GS187" t="e">
        <f>AND('Planilla_General_29-11-2012_10_'!L2813,"AAAAAH/t+8g=")</f>
        <v>#VALUE!</v>
      </c>
      <c r="GT187" t="e">
        <f>AND('Planilla_General_29-11-2012_10_'!M2813,"AAAAAH/t+8k=")</f>
        <v>#VALUE!</v>
      </c>
      <c r="GU187" t="e">
        <f>AND('Planilla_General_29-11-2012_10_'!N2813,"AAAAAH/t+8o=")</f>
        <v>#VALUE!</v>
      </c>
      <c r="GV187" t="e">
        <f>AND('Planilla_General_29-11-2012_10_'!O2813,"AAAAAH/t+8s=")</f>
        <v>#VALUE!</v>
      </c>
      <c r="GW187" t="e">
        <f>AND('Planilla_General_29-11-2012_10_'!P2813,"AAAAAH/t+8w=")</f>
        <v>#VALUE!</v>
      </c>
      <c r="GX187">
        <f>IF('Planilla_General_29-11-2012_10_'!2814:2814,"AAAAAH/t+80=",0)</f>
        <v>0</v>
      </c>
      <c r="GY187" t="e">
        <f>AND('Planilla_General_29-11-2012_10_'!A2814,"AAAAAH/t+84=")</f>
        <v>#VALUE!</v>
      </c>
      <c r="GZ187" t="e">
        <f>AND('Planilla_General_29-11-2012_10_'!B2814,"AAAAAH/t+88=")</f>
        <v>#VALUE!</v>
      </c>
      <c r="HA187" t="e">
        <f>AND('Planilla_General_29-11-2012_10_'!C2814,"AAAAAH/t+9A=")</f>
        <v>#VALUE!</v>
      </c>
      <c r="HB187" t="e">
        <f>AND('Planilla_General_29-11-2012_10_'!D2814,"AAAAAH/t+9E=")</f>
        <v>#VALUE!</v>
      </c>
      <c r="HC187" t="e">
        <f>AND('Planilla_General_29-11-2012_10_'!E2814,"AAAAAH/t+9I=")</f>
        <v>#VALUE!</v>
      </c>
      <c r="HD187" t="e">
        <f>AND('Planilla_General_29-11-2012_10_'!F2814,"AAAAAH/t+9M=")</f>
        <v>#VALUE!</v>
      </c>
      <c r="HE187" t="e">
        <f>AND('Planilla_General_29-11-2012_10_'!G2814,"AAAAAH/t+9Q=")</f>
        <v>#VALUE!</v>
      </c>
      <c r="HF187" t="e">
        <f>AND('Planilla_General_29-11-2012_10_'!H2814,"AAAAAH/t+9U=")</f>
        <v>#VALUE!</v>
      </c>
      <c r="HG187" t="e">
        <f>AND('Planilla_General_29-11-2012_10_'!I2814,"AAAAAH/t+9Y=")</f>
        <v>#VALUE!</v>
      </c>
      <c r="HH187" t="e">
        <f>AND('Planilla_General_29-11-2012_10_'!J2814,"AAAAAH/t+9c=")</f>
        <v>#VALUE!</v>
      </c>
      <c r="HI187" t="e">
        <f>AND('Planilla_General_29-11-2012_10_'!K2814,"AAAAAH/t+9g=")</f>
        <v>#VALUE!</v>
      </c>
      <c r="HJ187" t="e">
        <f>AND('Planilla_General_29-11-2012_10_'!L2814,"AAAAAH/t+9k=")</f>
        <v>#VALUE!</v>
      </c>
      <c r="HK187" t="e">
        <f>AND('Planilla_General_29-11-2012_10_'!M2814,"AAAAAH/t+9o=")</f>
        <v>#VALUE!</v>
      </c>
      <c r="HL187" t="e">
        <f>AND('Planilla_General_29-11-2012_10_'!N2814,"AAAAAH/t+9s=")</f>
        <v>#VALUE!</v>
      </c>
      <c r="HM187" t="e">
        <f>AND('Planilla_General_29-11-2012_10_'!O2814,"AAAAAH/t+9w=")</f>
        <v>#VALUE!</v>
      </c>
      <c r="HN187" t="e">
        <f>AND('Planilla_General_29-11-2012_10_'!P2814,"AAAAAH/t+90=")</f>
        <v>#VALUE!</v>
      </c>
      <c r="HO187">
        <f>IF('Planilla_General_29-11-2012_10_'!2815:2815,"AAAAAH/t+94=",0)</f>
        <v>0</v>
      </c>
      <c r="HP187" t="e">
        <f>AND('Planilla_General_29-11-2012_10_'!A2815,"AAAAAH/t+98=")</f>
        <v>#VALUE!</v>
      </c>
      <c r="HQ187" t="e">
        <f>AND('Planilla_General_29-11-2012_10_'!B2815,"AAAAAH/t++A=")</f>
        <v>#VALUE!</v>
      </c>
      <c r="HR187" t="e">
        <f>AND('Planilla_General_29-11-2012_10_'!C2815,"AAAAAH/t++E=")</f>
        <v>#VALUE!</v>
      </c>
      <c r="HS187" t="e">
        <f>AND('Planilla_General_29-11-2012_10_'!D2815,"AAAAAH/t++I=")</f>
        <v>#VALUE!</v>
      </c>
      <c r="HT187" t="e">
        <f>AND('Planilla_General_29-11-2012_10_'!E2815,"AAAAAH/t++M=")</f>
        <v>#VALUE!</v>
      </c>
      <c r="HU187" t="e">
        <f>AND('Planilla_General_29-11-2012_10_'!F2815,"AAAAAH/t++Q=")</f>
        <v>#VALUE!</v>
      </c>
      <c r="HV187" t="e">
        <f>AND('Planilla_General_29-11-2012_10_'!G2815,"AAAAAH/t++U=")</f>
        <v>#VALUE!</v>
      </c>
      <c r="HW187" t="e">
        <f>AND('Planilla_General_29-11-2012_10_'!H2815,"AAAAAH/t++Y=")</f>
        <v>#VALUE!</v>
      </c>
      <c r="HX187" t="e">
        <f>AND('Planilla_General_29-11-2012_10_'!I2815,"AAAAAH/t++c=")</f>
        <v>#VALUE!</v>
      </c>
      <c r="HY187" t="e">
        <f>AND('Planilla_General_29-11-2012_10_'!J2815,"AAAAAH/t++g=")</f>
        <v>#VALUE!</v>
      </c>
      <c r="HZ187" t="e">
        <f>AND('Planilla_General_29-11-2012_10_'!K2815,"AAAAAH/t++k=")</f>
        <v>#VALUE!</v>
      </c>
      <c r="IA187" t="e">
        <f>AND('Planilla_General_29-11-2012_10_'!L2815,"AAAAAH/t++o=")</f>
        <v>#VALUE!</v>
      </c>
      <c r="IB187" t="e">
        <f>AND('Planilla_General_29-11-2012_10_'!M2815,"AAAAAH/t++s=")</f>
        <v>#VALUE!</v>
      </c>
      <c r="IC187" t="e">
        <f>AND('Planilla_General_29-11-2012_10_'!N2815,"AAAAAH/t++w=")</f>
        <v>#VALUE!</v>
      </c>
      <c r="ID187" t="e">
        <f>AND('Planilla_General_29-11-2012_10_'!O2815,"AAAAAH/t++0=")</f>
        <v>#VALUE!</v>
      </c>
      <c r="IE187" t="e">
        <f>AND('Planilla_General_29-11-2012_10_'!P2815,"AAAAAH/t++4=")</f>
        <v>#VALUE!</v>
      </c>
      <c r="IF187">
        <f>IF('Planilla_General_29-11-2012_10_'!2816:2816,"AAAAAH/t++8=",0)</f>
        <v>0</v>
      </c>
      <c r="IG187" t="e">
        <f>AND('Planilla_General_29-11-2012_10_'!A2816,"AAAAAH/t+/A=")</f>
        <v>#VALUE!</v>
      </c>
      <c r="IH187" t="e">
        <f>AND('Planilla_General_29-11-2012_10_'!B2816,"AAAAAH/t+/E=")</f>
        <v>#VALUE!</v>
      </c>
      <c r="II187" t="e">
        <f>AND('Planilla_General_29-11-2012_10_'!C2816,"AAAAAH/t+/I=")</f>
        <v>#VALUE!</v>
      </c>
      <c r="IJ187" t="e">
        <f>AND('Planilla_General_29-11-2012_10_'!D2816,"AAAAAH/t+/M=")</f>
        <v>#VALUE!</v>
      </c>
      <c r="IK187" t="e">
        <f>AND('Planilla_General_29-11-2012_10_'!E2816,"AAAAAH/t+/Q=")</f>
        <v>#VALUE!</v>
      </c>
      <c r="IL187" t="e">
        <f>AND('Planilla_General_29-11-2012_10_'!F2816,"AAAAAH/t+/U=")</f>
        <v>#VALUE!</v>
      </c>
      <c r="IM187" t="e">
        <f>AND('Planilla_General_29-11-2012_10_'!G2816,"AAAAAH/t+/Y=")</f>
        <v>#VALUE!</v>
      </c>
      <c r="IN187" t="e">
        <f>AND('Planilla_General_29-11-2012_10_'!H2816,"AAAAAH/t+/c=")</f>
        <v>#VALUE!</v>
      </c>
      <c r="IO187" t="e">
        <f>AND('Planilla_General_29-11-2012_10_'!I2816,"AAAAAH/t+/g=")</f>
        <v>#VALUE!</v>
      </c>
      <c r="IP187" t="e">
        <f>AND('Planilla_General_29-11-2012_10_'!J2816,"AAAAAH/t+/k=")</f>
        <v>#VALUE!</v>
      </c>
      <c r="IQ187" t="e">
        <f>AND('Planilla_General_29-11-2012_10_'!K2816,"AAAAAH/t+/o=")</f>
        <v>#VALUE!</v>
      </c>
      <c r="IR187" t="e">
        <f>AND('Planilla_General_29-11-2012_10_'!L2816,"AAAAAH/t+/s=")</f>
        <v>#VALUE!</v>
      </c>
      <c r="IS187" t="e">
        <f>AND('Planilla_General_29-11-2012_10_'!M2816,"AAAAAH/t+/w=")</f>
        <v>#VALUE!</v>
      </c>
      <c r="IT187" t="e">
        <f>AND('Planilla_General_29-11-2012_10_'!N2816,"AAAAAH/t+/0=")</f>
        <v>#VALUE!</v>
      </c>
      <c r="IU187" t="e">
        <f>AND('Planilla_General_29-11-2012_10_'!O2816,"AAAAAH/t+/4=")</f>
        <v>#VALUE!</v>
      </c>
      <c r="IV187" t="e">
        <f>AND('Planilla_General_29-11-2012_10_'!P2816,"AAAAAH/t+/8=")</f>
        <v>#VALUE!</v>
      </c>
    </row>
    <row r="188" spans="1:256" x14ac:dyDescent="0.25">
      <c r="A188" t="e">
        <f>IF('Planilla_General_29-11-2012_10_'!2817:2817,"AAAAAH9+fgA=",0)</f>
        <v>#VALUE!</v>
      </c>
      <c r="B188" t="e">
        <f>AND('Planilla_General_29-11-2012_10_'!A2817,"AAAAAH9+fgE=")</f>
        <v>#VALUE!</v>
      </c>
      <c r="C188" t="e">
        <f>AND('Planilla_General_29-11-2012_10_'!B2817,"AAAAAH9+fgI=")</f>
        <v>#VALUE!</v>
      </c>
      <c r="D188" t="e">
        <f>AND('Planilla_General_29-11-2012_10_'!C2817,"AAAAAH9+fgM=")</f>
        <v>#VALUE!</v>
      </c>
      <c r="E188" t="e">
        <f>AND('Planilla_General_29-11-2012_10_'!D2817,"AAAAAH9+fgQ=")</f>
        <v>#VALUE!</v>
      </c>
      <c r="F188" t="e">
        <f>AND('Planilla_General_29-11-2012_10_'!E2817,"AAAAAH9+fgU=")</f>
        <v>#VALUE!</v>
      </c>
      <c r="G188" t="e">
        <f>AND('Planilla_General_29-11-2012_10_'!F2817,"AAAAAH9+fgY=")</f>
        <v>#VALUE!</v>
      </c>
      <c r="H188" t="e">
        <f>AND('Planilla_General_29-11-2012_10_'!G2817,"AAAAAH9+fgc=")</f>
        <v>#VALUE!</v>
      </c>
      <c r="I188" t="e">
        <f>AND('Planilla_General_29-11-2012_10_'!H2817,"AAAAAH9+fgg=")</f>
        <v>#VALUE!</v>
      </c>
      <c r="J188" t="e">
        <f>AND('Planilla_General_29-11-2012_10_'!I2817,"AAAAAH9+fgk=")</f>
        <v>#VALUE!</v>
      </c>
      <c r="K188" t="e">
        <f>AND('Planilla_General_29-11-2012_10_'!J2817,"AAAAAH9+fgo=")</f>
        <v>#VALUE!</v>
      </c>
      <c r="L188" t="e">
        <f>AND('Planilla_General_29-11-2012_10_'!K2817,"AAAAAH9+fgs=")</f>
        <v>#VALUE!</v>
      </c>
      <c r="M188" t="e">
        <f>AND('Planilla_General_29-11-2012_10_'!L2817,"AAAAAH9+fgw=")</f>
        <v>#VALUE!</v>
      </c>
      <c r="N188" t="e">
        <f>AND('Planilla_General_29-11-2012_10_'!M2817,"AAAAAH9+fg0=")</f>
        <v>#VALUE!</v>
      </c>
      <c r="O188" t="e">
        <f>AND('Planilla_General_29-11-2012_10_'!N2817,"AAAAAH9+fg4=")</f>
        <v>#VALUE!</v>
      </c>
      <c r="P188" t="e">
        <f>AND('Planilla_General_29-11-2012_10_'!O2817,"AAAAAH9+fg8=")</f>
        <v>#VALUE!</v>
      </c>
      <c r="Q188" t="e">
        <f>AND('Planilla_General_29-11-2012_10_'!P2817,"AAAAAH9+fhA=")</f>
        <v>#VALUE!</v>
      </c>
      <c r="R188">
        <f>IF('Planilla_General_29-11-2012_10_'!2818:2818,"AAAAAH9+fhE=",0)</f>
        <v>0</v>
      </c>
      <c r="S188" t="e">
        <f>AND('Planilla_General_29-11-2012_10_'!A2818,"AAAAAH9+fhI=")</f>
        <v>#VALUE!</v>
      </c>
      <c r="T188" t="e">
        <f>AND('Planilla_General_29-11-2012_10_'!B2818,"AAAAAH9+fhM=")</f>
        <v>#VALUE!</v>
      </c>
      <c r="U188" t="e">
        <f>AND('Planilla_General_29-11-2012_10_'!C2818,"AAAAAH9+fhQ=")</f>
        <v>#VALUE!</v>
      </c>
      <c r="V188" t="e">
        <f>AND('Planilla_General_29-11-2012_10_'!D2818,"AAAAAH9+fhU=")</f>
        <v>#VALUE!</v>
      </c>
      <c r="W188" t="e">
        <f>AND('Planilla_General_29-11-2012_10_'!E2818,"AAAAAH9+fhY=")</f>
        <v>#VALUE!</v>
      </c>
      <c r="X188" t="e">
        <f>AND('Planilla_General_29-11-2012_10_'!F2818,"AAAAAH9+fhc=")</f>
        <v>#VALUE!</v>
      </c>
      <c r="Y188" t="e">
        <f>AND('Planilla_General_29-11-2012_10_'!G2818,"AAAAAH9+fhg=")</f>
        <v>#VALUE!</v>
      </c>
      <c r="Z188" t="e">
        <f>AND('Planilla_General_29-11-2012_10_'!H2818,"AAAAAH9+fhk=")</f>
        <v>#VALUE!</v>
      </c>
      <c r="AA188" t="e">
        <f>AND('Planilla_General_29-11-2012_10_'!I2818,"AAAAAH9+fho=")</f>
        <v>#VALUE!</v>
      </c>
      <c r="AB188" t="e">
        <f>AND('Planilla_General_29-11-2012_10_'!J2818,"AAAAAH9+fhs=")</f>
        <v>#VALUE!</v>
      </c>
      <c r="AC188" t="e">
        <f>AND('Planilla_General_29-11-2012_10_'!K2818,"AAAAAH9+fhw=")</f>
        <v>#VALUE!</v>
      </c>
      <c r="AD188" t="e">
        <f>AND('Planilla_General_29-11-2012_10_'!L2818,"AAAAAH9+fh0=")</f>
        <v>#VALUE!</v>
      </c>
      <c r="AE188" t="e">
        <f>AND('Planilla_General_29-11-2012_10_'!M2818,"AAAAAH9+fh4=")</f>
        <v>#VALUE!</v>
      </c>
      <c r="AF188" t="e">
        <f>AND('Planilla_General_29-11-2012_10_'!N2818,"AAAAAH9+fh8=")</f>
        <v>#VALUE!</v>
      </c>
      <c r="AG188" t="e">
        <f>AND('Planilla_General_29-11-2012_10_'!O2818,"AAAAAH9+fiA=")</f>
        <v>#VALUE!</v>
      </c>
      <c r="AH188" t="e">
        <f>AND('Planilla_General_29-11-2012_10_'!P2818,"AAAAAH9+fiE=")</f>
        <v>#VALUE!</v>
      </c>
      <c r="AI188">
        <f>IF('Planilla_General_29-11-2012_10_'!2819:2819,"AAAAAH9+fiI=",0)</f>
        <v>0</v>
      </c>
      <c r="AJ188" t="e">
        <f>AND('Planilla_General_29-11-2012_10_'!A2819,"AAAAAH9+fiM=")</f>
        <v>#VALUE!</v>
      </c>
      <c r="AK188" t="e">
        <f>AND('Planilla_General_29-11-2012_10_'!B2819,"AAAAAH9+fiQ=")</f>
        <v>#VALUE!</v>
      </c>
      <c r="AL188" t="e">
        <f>AND('Planilla_General_29-11-2012_10_'!C2819,"AAAAAH9+fiU=")</f>
        <v>#VALUE!</v>
      </c>
      <c r="AM188" t="e">
        <f>AND('Planilla_General_29-11-2012_10_'!D2819,"AAAAAH9+fiY=")</f>
        <v>#VALUE!</v>
      </c>
      <c r="AN188" t="e">
        <f>AND('Planilla_General_29-11-2012_10_'!E2819,"AAAAAH9+fic=")</f>
        <v>#VALUE!</v>
      </c>
      <c r="AO188" t="e">
        <f>AND('Planilla_General_29-11-2012_10_'!F2819,"AAAAAH9+fig=")</f>
        <v>#VALUE!</v>
      </c>
      <c r="AP188" t="e">
        <f>AND('Planilla_General_29-11-2012_10_'!G2819,"AAAAAH9+fik=")</f>
        <v>#VALUE!</v>
      </c>
      <c r="AQ188" t="e">
        <f>AND('Planilla_General_29-11-2012_10_'!H2819,"AAAAAH9+fio=")</f>
        <v>#VALUE!</v>
      </c>
      <c r="AR188" t="e">
        <f>AND('Planilla_General_29-11-2012_10_'!I2819,"AAAAAH9+fis=")</f>
        <v>#VALUE!</v>
      </c>
      <c r="AS188" t="e">
        <f>AND('Planilla_General_29-11-2012_10_'!J2819,"AAAAAH9+fiw=")</f>
        <v>#VALUE!</v>
      </c>
      <c r="AT188" t="e">
        <f>AND('Planilla_General_29-11-2012_10_'!K2819,"AAAAAH9+fi0=")</f>
        <v>#VALUE!</v>
      </c>
      <c r="AU188" t="e">
        <f>AND('Planilla_General_29-11-2012_10_'!L2819,"AAAAAH9+fi4=")</f>
        <v>#VALUE!</v>
      </c>
      <c r="AV188" t="e">
        <f>AND('Planilla_General_29-11-2012_10_'!M2819,"AAAAAH9+fi8=")</f>
        <v>#VALUE!</v>
      </c>
      <c r="AW188" t="e">
        <f>AND('Planilla_General_29-11-2012_10_'!N2819,"AAAAAH9+fjA=")</f>
        <v>#VALUE!</v>
      </c>
      <c r="AX188" t="e">
        <f>AND('Planilla_General_29-11-2012_10_'!O2819,"AAAAAH9+fjE=")</f>
        <v>#VALUE!</v>
      </c>
      <c r="AY188" t="e">
        <f>AND('Planilla_General_29-11-2012_10_'!P2819,"AAAAAH9+fjI=")</f>
        <v>#VALUE!</v>
      </c>
      <c r="AZ188">
        <f>IF('Planilla_General_29-11-2012_10_'!2820:2820,"AAAAAH9+fjM=",0)</f>
        <v>0</v>
      </c>
      <c r="BA188" t="e">
        <f>AND('Planilla_General_29-11-2012_10_'!A2820,"AAAAAH9+fjQ=")</f>
        <v>#VALUE!</v>
      </c>
      <c r="BB188" t="e">
        <f>AND('Planilla_General_29-11-2012_10_'!B2820,"AAAAAH9+fjU=")</f>
        <v>#VALUE!</v>
      </c>
      <c r="BC188" t="e">
        <f>AND('Planilla_General_29-11-2012_10_'!C2820,"AAAAAH9+fjY=")</f>
        <v>#VALUE!</v>
      </c>
      <c r="BD188" t="e">
        <f>AND('Planilla_General_29-11-2012_10_'!D2820,"AAAAAH9+fjc=")</f>
        <v>#VALUE!</v>
      </c>
      <c r="BE188" t="e">
        <f>AND('Planilla_General_29-11-2012_10_'!E2820,"AAAAAH9+fjg=")</f>
        <v>#VALUE!</v>
      </c>
      <c r="BF188" t="e">
        <f>AND('Planilla_General_29-11-2012_10_'!F2820,"AAAAAH9+fjk=")</f>
        <v>#VALUE!</v>
      </c>
      <c r="BG188" t="e">
        <f>AND('Planilla_General_29-11-2012_10_'!G2820,"AAAAAH9+fjo=")</f>
        <v>#VALUE!</v>
      </c>
      <c r="BH188" t="e">
        <f>AND('Planilla_General_29-11-2012_10_'!H2820,"AAAAAH9+fjs=")</f>
        <v>#VALUE!</v>
      </c>
      <c r="BI188" t="e">
        <f>AND('Planilla_General_29-11-2012_10_'!I2820,"AAAAAH9+fjw=")</f>
        <v>#VALUE!</v>
      </c>
      <c r="BJ188" t="e">
        <f>AND('Planilla_General_29-11-2012_10_'!J2820,"AAAAAH9+fj0=")</f>
        <v>#VALUE!</v>
      </c>
      <c r="BK188" t="e">
        <f>AND('Planilla_General_29-11-2012_10_'!K2820,"AAAAAH9+fj4=")</f>
        <v>#VALUE!</v>
      </c>
      <c r="BL188" t="e">
        <f>AND('Planilla_General_29-11-2012_10_'!L2820,"AAAAAH9+fj8=")</f>
        <v>#VALUE!</v>
      </c>
      <c r="BM188" t="e">
        <f>AND('Planilla_General_29-11-2012_10_'!M2820,"AAAAAH9+fkA=")</f>
        <v>#VALUE!</v>
      </c>
      <c r="BN188" t="e">
        <f>AND('Planilla_General_29-11-2012_10_'!N2820,"AAAAAH9+fkE=")</f>
        <v>#VALUE!</v>
      </c>
      <c r="BO188" t="e">
        <f>AND('Planilla_General_29-11-2012_10_'!O2820,"AAAAAH9+fkI=")</f>
        <v>#VALUE!</v>
      </c>
      <c r="BP188" t="e">
        <f>AND('Planilla_General_29-11-2012_10_'!P2820,"AAAAAH9+fkM=")</f>
        <v>#VALUE!</v>
      </c>
      <c r="BQ188">
        <f>IF('Planilla_General_29-11-2012_10_'!2821:2821,"AAAAAH9+fkQ=",0)</f>
        <v>0</v>
      </c>
      <c r="BR188" t="e">
        <f>AND('Planilla_General_29-11-2012_10_'!A2821,"AAAAAH9+fkU=")</f>
        <v>#VALUE!</v>
      </c>
      <c r="BS188" t="e">
        <f>AND('Planilla_General_29-11-2012_10_'!B2821,"AAAAAH9+fkY=")</f>
        <v>#VALUE!</v>
      </c>
      <c r="BT188" t="e">
        <f>AND('Planilla_General_29-11-2012_10_'!C2821,"AAAAAH9+fkc=")</f>
        <v>#VALUE!</v>
      </c>
      <c r="BU188" t="e">
        <f>AND('Planilla_General_29-11-2012_10_'!D2821,"AAAAAH9+fkg=")</f>
        <v>#VALUE!</v>
      </c>
      <c r="BV188" t="e">
        <f>AND('Planilla_General_29-11-2012_10_'!E2821,"AAAAAH9+fkk=")</f>
        <v>#VALUE!</v>
      </c>
      <c r="BW188" t="e">
        <f>AND('Planilla_General_29-11-2012_10_'!F2821,"AAAAAH9+fko=")</f>
        <v>#VALUE!</v>
      </c>
      <c r="BX188" t="e">
        <f>AND('Planilla_General_29-11-2012_10_'!G2821,"AAAAAH9+fks=")</f>
        <v>#VALUE!</v>
      </c>
      <c r="BY188" t="e">
        <f>AND('Planilla_General_29-11-2012_10_'!H2821,"AAAAAH9+fkw=")</f>
        <v>#VALUE!</v>
      </c>
      <c r="BZ188" t="e">
        <f>AND('Planilla_General_29-11-2012_10_'!I2821,"AAAAAH9+fk0=")</f>
        <v>#VALUE!</v>
      </c>
      <c r="CA188" t="e">
        <f>AND('Planilla_General_29-11-2012_10_'!J2821,"AAAAAH9+fk4=")</f>
        <v>#VALUE!</v>
      </c>
      <c r="CB188" t="e">
        <f>AND('Planilla_General_29-11-2012_10_'!K2821,"AAAAAH9+fk8=")</f>
        <v>#VALUE!</v>
      </c>
      <c r="CC188" t="e">
        <f>AND('Planilla_General_29-11-2012_10_'!L2821,"AAAAAH9+flA=")</f>
        <v>#VALUE!</v>
      </c>
      <c r="CD188" t="e">
        <f>AND('Planilla_General_29-11-2012_10_'!M2821,"AAAAAH9+flE=")</f>
        <v>#VALUE!</v>
      </c>
      <c r="CE188" t="e">
        <f>AND('Planilla_General_29-11-2012_10_'!N2821,"AAAAAH9+flI=")</f>
        <v>#VALUE!</v>
      </c>
      <c r="CF188" t="e">
        <f>AND('Planilla_General_29-11-2012_10_'!O2821,"AAAAAH9+flM=")</f>
        <v>#VALUE!</v>
      </c>
      <c r="CG188" t="e">
        <f>AND('Planilla_General_29-11-2012_10_'!P2821,"AAAAAH9+flQ=")</f>
        <v>#VALUE!</v>
      </c>
      <c r="CH188">
        <f>IF('Planilla_General_29-11-2012_10_'!2822:2822,"AAAAAH9+flU=",0)</f>
        <v>0</v>
      </c>
      <c r="CI188" t="e">
        <f>AND('Planilla_General_29-11-2012_10_'!A2822,"AAAAAH9+flY=")</f>
        <v>#VALUE!</v>
      </c>
      <c r="CJ188" t="e">
        <f>AND('Planilla_General_29-11-2012_10_'!B2822,"AAAAAH9+flc=")</f>
        <v>#VALUE!</v>
      </c>
      <c r="CK188" t="e">
        <f>AND('Planilla_General_29-11-2012_10_'!C2822,"AAAAAH9+flg=")</f>
        <v>#VALUE!</v>
      </c>
      <c r="CL188" t="e">
        <f>AND('Planilla_General_29-11-2012_10_'!D2822,"AAAAAH9+flk=")</f>
        <v>#VALUE!</v>
      </c>
      <c r="CM188" t="e">
        <f>AND('Planilla_General_29-11-2012_10_'!E2822,"AAAAAH9+flo=")</f>
        <v>#VALUE!</v>
      </c>
      <c r="CN188" t="e">
        <f>AND('Planilla_General_29-11-2012_10_'!F2822,"AAAAAH9+fls=")</f>
        <v>#VALUE!</v>
      </c>
      <c r="CO188" t="e">
        <f>AND('Planilla_General_29-11-2012_10_'!G2822,"AAAAAH9+flw=")</f>
        <v>#VALUE!</v>
      </c>
      <c r="CP188" t="e">
        <f>AND('Planilla_General_29-11-2012_10_'!H2822,"AAAAAH9+fl0=")</f>
        <v>#VALUE!</v>
      </c>
      <c r="CQ188" t="e">
        <f>AND('Planilla_General_29-11-2012_10_'!I2822,"AAAAAH9+fl4=")</f>
        <v>#VALUE!</v>
      </c>
      <c r="CR188" t="e">
        <f>AND('Planilla_General_29-11-2012_10_'!J2822,"AAAAAH9+fl8=")</f>
        <v>#VALUE!</v>
      </c>
      <c r="CS188" t="e">
        <f>AND('Planilla_General_29-11-2012_10_'!K2822,"AAAAAH9+fmA=")</f>
        <v>#VALUE!</v>
      </c>
      <c r="CT188" t="e">
        <f>AND('Planilla_General_29-11-2012_10_'!L2822,"AAAAAH9+fmE=")</f>
        <v>#VALUE!</v>
      </c>
      <c r="CU188" t="e">
        <f>AND('Planilla_General_29-11-2012_10_'!M2822,"AAAAAH9+fmI=")</f>
        <v>#VALUE!</v>
      </c>
      <c r="CV188" t="e">
        <f>AND('Planilla_General_29-11-2012_10_'!N2822,"AAAAAH9+fmM=")</f>
        <v>#VALUE!</v>
      </c>
      <c r="CW188" t="e">
        <f>AND('Planilla_General_29-11-2012_10_'!O2822,"AAAAAH9+fmQ=")</f>
        <v>#VALUE!</v>
      </c>
      <c r="CX188" t="e">
        <f>AND('Planilla_General_29-11-2012_10_'!P2822,"AAAAAH9+fmU=")</f>
        <v>#VALUE!</v>
      </c>
      <c r="CY188">
        <f>IF('Planilla_General_29-11-2012_10_'!2823:2823,"AAAAAH9+fmY=",0)</f>
        <v>0</v>
      </c>
      <c r="CZ188" t="e">
        <f>AND('Planilla_General_29-11-2012_10_'!A2823,"AAAAAH9+fmc=")</f>
        <v>#VALUE!</v>
      </c>
      <c r="DA188" t="e">
        <f>AND('Planilla_General_29-11-2012_10_'!B2823,"AAAAAH9+fmg=")</f>
        <v>#VALUE!</v>
      </c>
      <c r="DB188" t="e">
        <f>AND('Planilla_General_29-11-2012_10_'!C2823,"AAAAAH9+fmk=")</f>
        <v>#VALUE!</v>
      </c>
      <c r="DC188" t="e">
        <f>AND('Planilla_General_29-11-2012_10_'!D2823,"AAAAAH9+fmo=")</f>
        <v>#VALUE!</v>
      </c>
      <c r="DD188" t="e">
        <f>AND('Planilla_General_29-11-2012_10_'!E2823,"AAAAAH9+fms=")</f>
        <v>#VALUE!</v>
      </c>
      <c r="DE188" t="e">
        <f>AND('Planilla_General_29-11-2012_10_'!F2823,"AAAAAH9+fmw=")</f>
        <v>#VALUE!</v>
      </c>
      <c r="DF188" t="e">
        <f>AND('Planilla_General_29-11-2012_10_'!G2823,"AAAAAH9+fm0=")</f>
        <v>#VALUE!</v>
      </c>
      <c r="DG188" t="e">
        <f>AND('Planilla_General_29-11-2012_10_'!H2823,"AAAAAH9+fm4=")</f>
        <v>#VALUE!</v>
      </c>
      <c r="DH188" t="e">
        <f>AND('Planilla_General_29-11-2012_10_'!I2823,"AAAAAH9+fm8=")</f>
        <v>#VALUE!</v>
      </c>
      <c r="DI188" t="e">
        <f>AND('Planilla_General_29-11-2012_10_'!J2823,"AAAAAH9+fnA=")</f>
        <v>#VALUE!</v>
      </c>
      <c r="DJ188" t="e">
        <f>AND('Planilla_General_29-11-2012_10_'!K2823,"AAAAAH9+fnE=")</f>
        <v>#VALUE!</v>
      </c>
      <c r="DK188" t="e">
        <f>AND('Planilla_General_29-11-2012_10_'!L2823,"AAAAAH9+fnI=")</f>
        <v>#VALUE!</v>
      </c>
      <c r="DL188" t="e">
        <f>AND('Planilla_General_29-11-2012_10_'!M2823,"AAAAAH9+fnM=")</f>
        <v>#VALUE!</v>
      </c>
      <c r="DM188" t="e">
        <f>AND('Planilla_General_29-11-2012_10_'!N2823,"AAAAAH9+fnQ=")</f>
        <v>#VALUE!</v>
      </c>
      <c r="DN188" t="e">
        <f>AND('Planilla_General_29-11-2012_10_'!O2823,"AAAAAH9+fnU=")</f>
        <v>#VALUE!</v>
      </c>
      <c r="DO188" t="e">
        <f>AND('Planilla_General_29-11-2012_10_'!P2823,"AAAAAH9+fnY=")</f>
        <v>#VALUE!</v>
      </c>
      <c r="DP188">
        <f>IF('Planilla_General_29-11-2012_10_'!2824:2824,"AAAAAH9+fnc=",0)</f>
        <v>0</v>
      </c>
      <c r="DQ188" t="e">
        <f>AND('Planilla_General_29-11-2012_10_'!A2824,"AAAAAH9+fng=")</f>
        <v>#VALUE!</v>
      </c>
      <c r="DR188" t="e">
        <f>AND('Planilla_General_29-11-2012_10_'!B2824,"AAAAAH9+fnk=")</f>
        <v>#VALUE!</v>
      </c>
      <c r="DS188" t="e">
        <f>AND('Planilla_General_29-11-2012_10_'!C2824,"AAAAAH9+fno=")</f>
        <v>#VALUE!</v>
      </c>
      <c r="DT188" t="e">
        <f>AND('Planilla_General_29-11-2012_10_'!D2824,"AAAAAH9+fns=")</f>
        <v>#VALUE!</v>
      </c>
      <c r="DU188" t="e">
        <f>AND('Planilla_General_29-11-2012_10_'!E2824,"AAAAAH9+fnw=")</f>
        <v>#VALUE!</v>
      </c>
      <c r="DV188" t="e">
        <f>AND('Planilla_General_29-11-2012_10_'!F2824,"AAAAAH9+fn0=")</f>
        <v>#VALUE!</v>
      </c>
      <c r="DW188" t="e">
        <f>AND('Planilla_General_29-11-2012_10_'!G2824,"AAAAAH9+fn4=")</f>
        <v>#VALUE!</v>
      </c>
      <c r="DX188" t="e">
        <f>AND('Planilla_General_29-11-2012_10_'!H2824,"AAAAAH9+fn8=")</f>
        <v>#VALUE!</v>
      </c>
      <c r="DY188" t="e">
        <f>AND('Planilla_General_29-11-2012_10_'!I2824,"AAAAAH9+foA=")</f>
        <v>#VALUE!</v>
      </c>
      <c r="DZ188" t="e">
        <f>AND('Planilla_General_29-11-2012_10_'!J2824,"AAAAAH9+foE=")</f>
        <v>#VALUE!</v>
      </c>
      <c r="EA188" t="e">
        <f>AND('Planilla_General_29-11-2012_10_'!K2824,"AAAAAH9+foI=")</f>
        <v>#VALUE!</v>
      </c>
      <c r="EB188" t="e">
        <f>AND('Planilla_General_29-11-2012_10_'!L2824,"AAAAAH9+foM=")</f>
        <v>#VALUE!</v>
      </c>
      <c r="EC188" t="e">
        <f>AND('Planilla_General_29-11-2012_10_'!M2824,"AAAAAH9+foQ=")</f>
        <v>#VALUE!</v>
      </c>
      <c r="ED188" t="e">
        <f>AND('Planilla_General_29-11-2012_10_'!N2824,"AAAAAH9+foU=")</f>
        <v>#VALUE!</v>
      </c>
      <c r="EE188" t="e">
        <f>AND('Planilla_General_29-11-2012_10_'!O2824,"AAAAAH9+foY=")</f>
        <v>#VALUE!</v>
      </c>
      <c r="EF188" t="e">
        <f>AND('Planilla_General_29-11-2012_10_'!P2824,"AAAAAH9+foc=")</f>
        <v>#VALUE!</v>
      </c>
      <c r="EG188">
        <f>IF('Planilla_General_29-11-2012_10_'!2825:2825,"AAAAAH9+fog=",0)</f>
        <v>0</v>
      </c>
      <c r="EH188" t="e">
        <f>AND('Planilla_General_29-11-2012_10_'!A2825,"AAAAAH9+fok=")</f>
        <v>#VALUE!</v>
      </c>
      <c r="EI188" t="e">
        <f>AND('Planilla_General_29-11-2012_10_'!B2825,"AAAAAH9+foo=")</f>
        <v>#VALUE!</v>
      </c>
      <c r="EJ188" t="e">
        <f>AND('Planilla_General_29-11-2012_10_'!C2825,"AAAAAH9+fos=")</f>
        <v>#VALUE!</v>
      </c>
      <c r="EK188" t="e">
        <f>AND('Planilla_General_29-11-2012_10_'!D2825,"AAAAAH9+fow=")</f>
        <v>#VALUE!</v>
      </c>
      <c r="EL188" t="e">
        <f>AND('Planilla_General_29-11-2012_10_'!E2825,"AAAAAH9+fo0=")</f>
        <v>#VALUE!</v>
      </c>
      <c r="EM188" t="e">
        <f>AND('Planilla_General_29-11-2012_10_'!F2825,"AAAAAH9+fo4=")</f>
        <v>#VALUE!</v>
      </c>
      <c r="EN188" t="e">
        <f>AND('Planilla_General_29-11-2012_10_'!G2825,"AAAAAH9+fo8=")</f>
        <v>#VALUE!</v>
      </c>
      <c r="EO188" t="e">
        <f>AND('Planilla_General_29-11-2012_10_'!H2825,"AAAAAH9+fpA=")</f>
        <v>#VALUE!</v>
      </c>
      <c r="EP188" t="e">
        <f>AND('Planilla_General_29-11-2012_10_'!I2825,"AAAAAH9+fpE=")</f>
        <v>#VALUE!</v>
      </c>
      <c r="EQ188" t="e">
        <f>AND('Planilla_General_29-11-2012_10_'!J2825,"AAAAAH9+fpI=")</f>
        <v>#VALUE!</v>
      </c>
      <c r="ER188" t="e">
        <f>AND('Planilla_General_29-11-2012_10_'!K2825,"AAAAAH9+fpM=")</f>
        <v>#VALUE!</v>
      </c>
      <c r="ES188" t="e">
        <f>AND('Planilla_General_29-11-2012_10_'!L2825,"AAAAAH9+fpQ=")</f>
        <v>#VALUE!</v>
      </c>
      <c r="ET188" t="e">
        <f>AND('Planilla_General_29-11-2012_10_'!M2825,"AAAAAH9+fpU=")</f>
        <v>#VALUE!</v>
      </c>
      <c r="EU188" t="e">
        <f>AND('Planilla_General_29-11-2012_10_'!N2825,"AAAAAH9+fpY=")</f>
        <v>#VALUE!</v>
      </c>
      <c r="EV188" t="e">
        <f>AND('Planilla_General_29-11-2012_10_'!O2825,"AAAAAH9+fpc=")</f>
        <v>#VALUE!</v>
      </c>
      <c r="EW188" t="e">
        <f>AND('Planilla_General_29-11-2012_10_'!P2825,"AAAAAH9+fpg=")</f>
        <v>#VALUE!</v>
      </c>
      <c r="EX188">
        <f>IF('Planilla_General_29-11-2012_10_'!2826:2826,"AAAAAH9+fpk=",0)</f>
        <v>0</v>
      </c>
      <c r="EY188" t="e">
        <f>AND('Planilla_General_29-11-2012_10_'!A2826,"AAAAAH9+fpo=")</f>
        <v>#VALUE!</v>
      </c>
      <c r="EZ188" t="e">
        <f>AND('Planilla_General_29-11-2012_10_'!B2826,"AAAAAH9+fps=")</f>
        <v>#VALUE!</v>
      </c>
      <c r="FA188" t="e">
        <f>AND('Planilla_General_29-11-2012_10_'!C2826,"AAAAAH9+fpw=")</f>
        <v>#VALUE!</v>
      </c>
      <c r="FB188" t="e">
        <f>AND('Planilla_General_29-11-2012_10_'!D2826,"AAAAAH9+fp0=")</f>
        <v>#VALUE!</v>
      </c>
      <c r="FC188" t="e">
        <f>AND('Planilla_General_29-11-2012_10_'!E2826,"AAAAAH9+fp4=")</f>
        <v>#VALUE!</v>
      </c>
      <c r="FD188" t="e">
        <f>AND('Planilla_General_29-11-2012_10_'!F2826,"AAAAAH9+fp8=")</f>
        <v>#VALUE!</v>
      </c>
      <c r="FE188" t="e">
        <f>AND('Planilla_General_29-11-2012_10_'!G2826,"AAAAAH9+fqA=")</f>
        <v>#VALUE!</v>
      </c>
      <c r="FF188" t="e">
        <f>AND('Planilla_General_29-11-2012_10_'!H2826,"AAAAAH9+fqE=")</f>
        <v>#VALUE!</v>
      </c>
      <c r="FG188" t="e">
        <f>AND('Planilla_General_29-11-2012_10_'!I2826,"AAAAAH9+fqI=")</f>
        <v>#VALUE!</v>
      </c>
      <c r="FH188" t="e">
        <f>AND('Planilla_General_29-11-2012_10_'!J2826,"AAAAAH9+fqM=")</f>
        <v>#VALUE!</v>
      </c>
      <c r="FI188" t="e">
        <f>AND('Planilla_General_29-11-2012_10_'!K2826,"AAAAAH9+fqQ=")</f>
        <v>#VALUE!</v>
      </c>
      <c r="FJ188" t="e">
        <f>AND('Planilla_General_29-11-2012_10_'!L2826,"AAAAAH9+fqU=")</f>
        <v>#VALUE!</v>
      </c>
      <c r="FK188" t="e">
        <f>AND('Planilla_General_29-11-2012_10_'!M2826,"AAAAAH9+fqY=")</f>
        <v>#VALUE!</v>
      </c>
      <c r="FL188" t="e">
        <f>AND('Planilla_General_29-11-2012_10_'!N2826,"AAAAAH9+fqc=")</f>
        <v>#VALUE!</v>
      </c>
      <c r="FM188" t="e">
        <f>AND('Planilla_General_29-11-2012_10_'!O2826,"AAAAAH9+fqg=")</f>
        <v>#VALUE!</v>
      </c>
      <c r="FN188" t="e">
        <f>AND('Planilla_General_29-11-2012_10_'!P2826,"AAAAAH9+fqk=")</f>
        <v>#VALUE!</v>
      </c>
      <c r="FO188">
        <f>IF('Planilla_General_29-11-2012_10_'!2827:2827,"AAAAAH9+fqo=",0)</f>
        <v>0</v>
      </c>
      <c r="FP188" t="e">
        <f>AND('Planilla_General_29-11-2012_10_'!A2827,"AAAAAH9+fqs=")</f>
        <v>#VALUE!</v>
      </c>
      <c r="FQ188" t="e">
        <f>AND('Planilla_General_29-11-2012_10_'!B2827,"AAAAAH9+fqw=")</f>
        <v>#VALUE!</v>
      </c>
      <c r="FR188" t="e">
        <f>AND('Planilla_General_29-11-2012_10_'!C2827,"AAAAAH9+fq0=")</f>
        <v>#VALUE!</v>
      </c>
      <c r="FS188" t="e">
        <f>AND('Planilla_General_29-11-2012_10_'!D2827,"AAAAAH9+fq4=")</f>
        <v>#VALUE!</v>
      </c>
      <c r="FT188" t="e">
        <f>AND('Planilla_General_29-11-2012_10_'!E2827,"AAAAAH9+fq8=")</f>
        <v>#VALUE!</v>
      </c>
      <c r="FU188" t="e">
        <f>AND('Planilla_General_29-11-2012_10_'!F2827,"AAAAAH9+frA=")</f>
        <v>#VALUE!</v>
      </c>
      <c r="FV188" t="e">
        <f>AND('Planilla_General_29-11-2012_10_'!G2827,"AAAAAH9+frE=")</f>
        <v>#VALUE!</v>
      </c>
      <c r="FW188" t="e">
        <f>AND('Planilla_General_29-11-2012_10_'!H2827,"AAAAAH9+frI=")</f>
        <v>#VALUE!</v>
      </c>
      <c r="FX188" t="e">
        <f>AND('Planilla_General_29-11-2012_10_'!I2827,"AAAAAH9+frM=")</f>
        <v>#VALUE!</v>
      </c>
      <c r="FY188" t="e">
        <f>AND('Planilla_General_29-11-2012_10_'!J2827,"AAAAAH9+frQ=")</f>
        <v>#VALUE!</v>
      </c>
      <c r="FZ188" t="e">
        <f>AND('Planilla_General_29-11-2012_10_'!K2827,"AAAAAH9+frU=")</f>
        <v>#VALUE!</v>
      </c>
      <c r="GA188" t="e">
        <f>AND('Planilla_General_29-11-2012_10_'!L2827,"AAAAAH9+frY=")</f>
        <v>#VALUE!</v>
      </c>
      <c r="GB188" t="e">
        <f>AND('Planilla_General_29-11-2012_10_'!M2827,"AAAAAH9+frc=")</f>
        <v>#VALUE!</v>
      </c>
      <c r="GC188" t="e">
        <f>AND('Planilla_General_29-11-2012_10_'!N2827,"AAAAAH9+frg=")</f>
        <v>#VALUE!</v>
      </c>
      <c r="GD188" t="e">
        <f>AND('Planilla_General_29-11-2012_10_'!O2827,"AAAAAH9+frk=")</f>
        <v>#VALUE!</v>
      </c>
      <c r="GE188" t="e">
        <f>AND('Planilla_General_29-11-2012_10_'!P2827,"AAAAAH9+fro=")</f>
        <v>#VALUE!</v>
      </c>
      <c r="GF188">
        <f>IF('Planilla_General_29-11-2012_10_'!2828:2828,"AAAAAH9+frs=",0)</f>
        <v>0</v>
      </c>
      <c r="GG188" t="e">
        <f>AND('Planilla_General_29-11-2012_10_'!A2828,"AAAAAH9+frw=")</f>
        <v>#VALUE!</v>
      </c>
      <c r="GH188" t="e">
        <f>AND('Planilla_General_29-11-2012_10_'!B2828,"AAAAAH9+fr0=")</f>
        <v>#VALUE!</v>
      </c>
      <c r="GI188" t="e">
        <f>AND('Planilla_General_29-11-2012_10_'!C2828,"AAAAAH9+fr4=")</f>
        <v>#VALUE!</v>
      </c>
      <c r="GJ188" t="e">
        <f>AND('Planilla_General_29-11-2012_10_'!D2828,"AAAAAH9+fr8=")</f>
        <v>#VALUE!</v>
      </c>
      <c r="GK188" t="e">
        <f>AND('Planilla_General_29-11-2012_10_'!E2828,"AAAAAH9+fsA=")</f>
        <v>#VALUE!</v>
      </c>
      <c r="GL188" t="e">
        <f>AND('Planilla_General_29-11-2012_10_'!F2828,"AAAAAH9+fsE=")</f>
        <v>#VALUE!</v>
      </c>
      <c r="GM188" t="e">
        <f>AND('Planilla_General_29-11-2012_10_'!G2828,"AAAAAH9+fsI=")</f>
        <v>#VALUE!</v>
      </c>
      <c r="GN188" t="e">
        <f>AND('Planilla_General_29-11-2012_10_'!H2828,"AAAAAH9+fsM=")</f>
        <v>#VALUE!</v>
      </c>
      <c r="GO188" t="e">
        <f>AND('Planilla_General_29-11-2012_10_'!I2828,"AAAAAH9+fsQ=")</f>
        <v>#VALUE!</v>
      </c>
      <c r="GP188" t="e">
        <f>AND('Planilla_General_29-11-2012_10_'!J2828,"AAAAAH9+fsU=")</f>
        <v>#VALUE!</v>
      </c>
      <c r="GQ188" t="e">
        <f>AND('Planilla_General_29-11-2012_10_'!K2828,"AAAAAH9+fsY=")</f>
        <v>#VALUE!</v>
      </c>
      <c r="GR188" t="e">
        <f>AND('Planilla_General_29-11-2012_10_'!L2828,"AAAAAH9+fsc=")</f>
        <v>#VALUE!</v>
      </c>
      <c r="GS188" t="e">
        <f>AND('Planilla_General_29-11-2012_10_'!M2828,"AAAAAH9+fsg=")</f>
        <v>#VALUE!</v>
      </c>
      <c r="GT188" t="e">
        <f>AND('Planilla_General_29-11-2012_10_'!N2828,"AAAAAH9+fsk=")</f>
        <v>#VALUE!</v>
      </c>
      <c r="GU188" t="e">
        <f>AND('Planilla_General_29-11-2012_10_'!O2828,"AAAAAH9+fso=")</f>
        <v>#VALUE!</v>
      </c>
      <c r="GV188" t="e">
        <f>AND('Planilla_General_29-11-2012_10_'!P2828,"AAAAAH9+fss=")</f>
        <v>#VALUE!</v>
      </c>
      <c r="GW188">
        <f>IF('Planilla_General_29-11-2012_10_'!2829:2829,"AAAAAH9+fsw=",0)</f>
        <v>0</v>
      </c>
      <c r="GX188" t="e">
        <f>AND('Planilla_General_29-11-2012_10_'!A2829,"AAAAAH9+fs0=")</f>
        <v>#VALUE!</v>
      </c>
      <c r="GY188" t="e">
        <f>AND('Planilla_General_29-11-2012_10_'!B2829,"AAAAAH9+fs4=")</f>
        <v>#VALUE!</v>
      </c>
      <c r="GZ188" t="e">
        <f>AND('Planilla_General_29-11-2012_10_'!C2829,"AAAAAH9+fs8=")</f>
        <v>#VALUE!</v>
      </c>
      <c r="HA188" t="e">
        <f>AND('Planilla_General_29-11-2012_10_'!D2829,"AAAAAH9+ftA=")</f>
        <v>#VALUE!</v>
      </c>
      <c r="HB188" t="e">
        <f>AND('Planilla_General_29-11-2012_10_'!E2829,"AAAAAH9+ftE=")</f>
        <v>#VALUE!</v>
      </c>
      <c r="HC188" t="e">
        <f>AND('Planilla_General_29-11-2012_10_'!F2829,"AAAAAH9+ftI=")</f>
        <v>#VALUE!</v>
      </c>
      <c r="HD188" t="e">
        <f>AND('Planilla_General_29-11-2012_10_'!G2829,"AAAAAH9+ftM=")</f>
        <v>#VALUE!</v>
      </c>
      <c r="HE188" t="e">
        <f>AND('Planilla_General_29-11-2012_10_'!H2829,"AAAAAH9+ftQ=")</f>
        <v>#VALUE!</v>
      </c>
      <c r="HF188" t="e">
        <f>AND('Planilla_General_29-11-2012_10_'!I2829,"AAAAAH9+ftU=")</f>
        <v>#VALUE!</v>
      </c>
      <c r="HG188" t="e">
        <f>AND('Planilla_General_29-11-2012_10_'!J2829,"AAAAAH9+ftY=")</f>
        <v>#VALUE!</v>
      </c>
      <c r="HH188" t="e">
        <f>AND('Planilla_General_29-11-2012_10_'!K2829,"AAAAAH9+ftc=")</f>
        <v>#VALUE!</v>
      </c>
      <c r="HI188" t="e">
        <f>AND('Planilla_General_29-11-2012_10_'!L2829,"AAAAAH9+ftg=")</f>
        <v>#VALUE!</v>
      </c>
      <c r="HJ188" t="e">
        <f>AND('Planilla_General_29-11-2012_10_'!M2829,"AAAAAH9+ftk=")</f>
        <v>#VALUE!</v>
      </c>
      <c r="HK188" t="e">
        <f>AND('Planilla_General_29-11-2012_10_'!N2829,"AAAAAH9+fto=")</f>
        <v>#VALUE!</v>
      </c>
      <c r="HL188" t="e">
        <f>AND('Planilla_General_29-11-2012_10_'!O2829,"AAAAAH9+fts=")</f>
        <v>#VALUE!</v>
      </c>
      <c r="HM188" t="e">
        <f>AND('Planilla_General_29-11-2012_10_'!P2829,"AAAAAH9+ftw=")</f>
        <v>#VALUE!</v>
      </c>
      <c r="HN188">
        <f>IF('Planilla_General_29-11-2012_10_'!2830:2830,"AAAAAH9+ft0=",0)</f>
        <v>0</v>
      </c>
      <c r="HO188" t="e">
        <f>AND('Planilla_General_29-11-2012_10_'!A2830,"AAAAAH9+ft4=")</f>
        <v>#VALUE!</v>
      </c>
      <c r="HP188" t="e">
        <f>AND('Planilla_General_29-11-2012_10_'!B2830,"AAAAAH9+ft8=")</f>
        <v>#VALUE!</v>
      </c>
      <c r="HQ188" t="e">
        <f>AND('Planilla_General_29-11-2012_10_'!C2830,"AAAAAH9+fuA=")</f>
        <v>#VALUE!</v>
      </c>
      <c r="HR188" t="e">
        <f>AND('Planilla_General_29-11-2012_10_'!D2830,"AAAAAH9+fuE=")</f>
        <v>#VALUE!</v>
      </c>
      <c r="HS188" t="e">
        <f>AND('Planilla_General_29-11-2012_10_'!E2830,"AAAAAH9+fuI=")</f>
        <v>#VALUE!</v>
      </c>
      <c r="HT188" t="e">
        <f>AND('Planilla_General_29-11-2012_10_'!F2830,"AAAAAH9+fuM=")</f>
        <v>#VALUE!</v>
      </c>
      <c r="HU188" t="e">
        <f>AND('Planilla_General_29-11-2012_10_'!G2830,"AAAAAH9+fuQ=")</f>
        <v>#VALUE!</v>
      </c>
      <c r="HV188" t="e">
        <f>AND('Planilla_General_29-11-2012_10_'!H2830,"AAAAAH9+fuU=")</f>
        <v>#VALUE!</v>
      </c>
      <c r="HW188" t="e">
        <f>AND('Planilla_General_29-11-2012_10_'!I2830,"AAAAAH9+fuY=")</f>
        <v>#VALUE!</v>
      </c>
      <c r="HX188" t="e">
        <f>AND('Planilla_General_29-11-2012_10_'!J2830,"AAAAAH9+fuc=")</f>
        <v>#VALUE!</v>
      </c>
      <c r="HY188" t="e">
        <f>AND('Planilla_General_29-11-2012_10_'!K2830,"AAAAAH9+fug=")</f>
        <v>#VALUE!</v>
      </c>
      <c r="HZ188" t="e">
        <f>AND('Planilla_General_29-11-2012_10_'!L2830,"AAAAAH9+fuk=")</f>
        <v>#VALUE!</v>
      </c>
      <c r="IA188" t="e">
        <f>AND('Planilla_General_29-11-2012_10_'!M2830,"AAAAAH9+fuo=")</f>
        <v>#VALUE!</v>
      </c>
      <c r="IB188" t="e">
        <f>AND('Planilla_General_29-11-2012_10_'!N2830,"AAAAAH9+fus=")</f>
        <v>#VALUE!</v>
      </c>
      <c r="IC188" t="e">
        <f>AND('Planilla_General_29-11-2012_10_'!O2830,"AAAAAH9+fuw=")</f>
        <v>#VALUE!</v>
      </c>
      <c r="ID188" t="e">
        <f>AND('Planilla_General_29-11-2012_10_'!P2830,"AAAAAH9+fu0=")</f>
        <v>#VALUE!</v>
      </c>
      <c r="IE188">
        <f>IF('Planilla_General_29-11-2012_10_'!2831:2831,"AAAAAH9+fu4=",0)</f>
        <v>0</v>
      </c>
      <c r="IF188" t="e">
        <f>AND('Planilla_General_29-11-2012_10_'!A2831,"AAAAAH9+fu8=")</f>
        <v>#VALUE!</v>
      </c>
      <c r="IG188" t="e">
        <f>AND('Planilla_General_29-11-2012_10_'!B2831,"AAAAAH9+fvA=")</f>
        <v>#VALUE!</v>
      </c>
      <c r="IH188" t="e">
        <f>AND('Planilla_General_29-11-2012_10_'!C2831,"AAAAAH9+fvE=")</f>
        <v>#VALUE!</v>
      </c>
      <c r="II188" t="e">
        <f>AND('Planilla_General_29-11-2012_10_'!D2831,"AAAAAH9+fvI=")</f>
        <v>#VALUE!</v>
      </c>
      <c r="IJ188" t="e">
        <f>AND('Planilla_General_29-11-2012_10_'!E2831,"AAAAAH9+fvM=")</f>
        <v>#VALUE!</v>
      </c>
      <c r="IK188" t="e">
        <f>AND('Planilla_General_29-11-2012_10_'!F2831,"AAAAAH9+fvQ=")</f>
        <v>#VALUE!</v>
      </c>
      <c r="IL188" t="e">
        <f>AND('Planilla_General_29-11-2012_10_'!G2831,"AAAAAH9+fvU=")</f>
        <v>#VALUE!</v>
      </c>
      <c r="IM188" t="e">
        <f>AND('Planilla_General_29-11-2012_10_'!H2831,"AAAAAH9+fvY=")</f>
        <v>#VALUE!</v>
      </c>
      <c r="IN188" t="e">
        <f>AND('Planilla_General_29-11-2012_10_'!I2831,"AAAAAH9+fvc=")</f>
        <v>#VALUE!</v>
      </c>
      <c r="IO188" t="e">
        <f>AND('Planilla_General_29-11-2012_10_'!J2831,"AAAAAH9+fvg=")</f>
        <v>#VALUE!</v>
      </c>
      <c r="IP188" t="e">
        <f>AND('Planilla_General_29-11-2012_10_'!K2831,"AAAAAH9+fvk=")</f>
        <v>#VALUE!</v>
      </c>
      <c r="IQ188" t="e">
        <f>AND('Planilla_General_29-11-2012_10_'!L2831,"AAAAAH9+fvo=")</f>
        <v>#VALUE!</v>
      </c>
      <c r="IR188" t="e">
        <f>AND('Planilla_General_29-11-2012_10_'!M2831,"AAAAAH9+fvs=")</f>
        <v>#VALUE!</v>
      </c>
      <c r="IS188" t="e">
        <f>AND('Planilla_General_29-11-2012_10_'!N2831,"AAAAAH9+fvw=")</f>
        <v>#VALUE!</v>
      </c>
      <c r="IT188" t="e">
        <f>AND('Planilla_General_29-11-2012_10_'!O2831,"AAAAAH9+fv0=")</f>
        <v>#VALUE!</v>
      </c>
      <c r="IU188" t="e">
        <f>AND('Planilla_General_29-11-2012_10_'!P2831,"AAAAAH9+fv4=")</f>
        <v>#VALUE!</v>
      </c>
      <c r="IV188">
        <f>IF('Planilla_General_29-11-2012_10_'!2832:2832,"AAAAAH9+fv8=",0)</f>
        <v>0</v>
      </c>
    </row>
    <row r="189" spans="1:256" x14ac:dyDescent="0.25">
      <c r="A189" t="e">
        <f>AND('Planilla_General_29-11-2012_10_'!A2832,"AAAAAGXy7wA=")</f>
        <v>#VALUE!</v>
      </c>
      <c r="B189" t="e">
        <f>AND('Planilla_General_29-11-2012_10_'!B2832,"AAAAAGXy7wE=")</f>
        <v>#VALUE!</v>
      </c>
      <c r="C189" t="e">
        <f>AND('Planilla_General_29-11-2012_10_'!C2832,"AAAAAGXy7wI=")</f>
        <v>#VALUE!</v>
      </c>
      <c r="D189" t="e">
        <f>AND('Planilla_General_29-11-2012_10_'!D2832,"AAAAAGXy7wM=")</f>
        <v>#VALUE!</v>
      </c>
      <c r="E189" t="e">
        <f>AND('Planilla_General_29-11-2012_10_'!E2832,"AAAAAGXy7wQ=")</f>
        <v>#VALUE!</v>
      </c>
      <c r="F189" t="e">
        <f>AND('Planilla_General_29-11-2012_10_'!F2832,"AAAAAGXy7wU=")</f>
        <v>#VALUE!</v>
      </c>
      <c r="G189" t="e">
        <f>AND('Planilla_General_29-11-2012_10_'!G2832,"AAAAAGXy7wY=")</f>
        <v>#VALUE!</v>
      </c>
      <c r="H189" t="e">
        <f>AND('Planilla_General_29-11-2012_10_'!H2832,"AAAAAGXy7wc=")</f>
        <v>#VALUE!</v>
      </c>
      <c r="I189" t="e">
        <f>AND('Planilla_General_29-11-2012_10_'!I2832,"AAAAAGXy7wg=")</f>
        <v>#VALUE!</v>
      </c>
      <c r="J189" t="e">
        <f>AND('Planilla_General_29-11-2012_10_'!J2832,"AAAAAGXy7wk=")</f>
        <v>#VALUE!</v>
      </c>
      <c r="K189" t="e">
        <f>AND('Planilla_General_29-11-2012_10_'!K2832,"AAAAAGXy7wo=")</f>
        <v>#VALUE!</v>
      </c>
      <c r="L189" t="e">
        <f>AND('Planilla_General_29-11-2012_10_'!L2832,"AAAAAGXy7ws=")</f>
        <v>#VALUE!</v>
      </c>
      <c r="M189" t="e">
        <f>AND('Planilla_General_29-11-2012_10_'!M2832,"AAAAAGXy7ww=")</f>
        <v>#VALUE!</v>
      </c>
      <c r="N189" t="e">
        <f>AND('Planilla_General_29-11-2012_10_'!N2832,"AAAAAGXy7w0=")</f>
        <v>#VALUE!</v>
      </c>
      <c r="O189" t="e">
        <f>AND('Planilla_General_29-11-2012_10_'!O2832,"AAAAAGXy7w4=")</f>
        <v>#VALUE!</v>
      </c>
      <c r="P189" t="e">
        <f>AND('Planilla_General_29-11-2012_10_'!P2832,"AAAAAGXy7w8=")</f>
        <v>#VALUE!</v>
      </c>
      <c r="Q189">
        <f>IF('Planilla_General_29-11-2012_10_'!2833:2833,"AAAAAGXy7xA=",0)</f>
        <v>0</v>
      </c>
      <c r="R189" t="e">
        <f>AND('Planilla_General_29-11-2012_10_'!A2833,"AAAAAGXy7xE=")</f>
        <v>#VALUE!</v>
      </c>
      <c r="S189" t="e">
        <f>AND('Planilla_General_29-11-2012_10_'!B2833,"AAAAAGXy7xI=")</f>
        <v>#VALUE!</v>
      </c>
      <c r="T189" t="e">
        <f>AND('Planilla_General_29-11-2012_10_'!C2833,"AAAAAGXy7xM=")</f>
        <v>#VALUE!</v>
      </c>
      <c r="U189" t="e">
        <f>AND('Planilla_General_29-11-2012_10_'!D2833,"AAAAAGXy7xQ=")</f>
        <v>#VALUE!</v>
      </c>
      <c r="V189" t="e">
        <f>AND('Planilla_General_29-11-2012_10_'!E2833,"AAAAAGXy7xU=")</f>
        <v>#VALUE!</v>
      </c>
      <c r="W189" t="e">
        <f>AND('Planilla_General_29-11-2012_10_'!F2833,"AAAAAGXy7xY=")</f>
        <v>#VALUE!</v>
      </c>
      <c r="X189" t="e">
        <f>AND('Planilla_General_29-11-2012_10_'!G2833,"AAAAAGXy7xc=")</f>
        <v>#VALUE!</v>
      </c>
      <c r="Y189" t="e">
        <f>AND('Planilla_General_29-11-2012_10_'!H2833,"AAAAAGXy7xg=")</f>
        <v>#VALUE!</v>
      </c>
      <c r="Z189" t="e">
        <f>AND('Planilla_General_29-11-2012_10_'!I2833,"AAAAAGXy7xk=")</f>
        <v>#VALUE!</v>
      </c>
      <c r="AA189" t="e">
        <f>AND('Planilla_General_29-11-2012_10_'!J2833,"AAAAAGXy7xo=")</f>
        <v>#VALUE!</v>
      </c>
      <c r="AB189" t="e">
        <f>AND('Planilla_General_29-11-2012_10_'!K2833,"AAAAAGXy7xs=")</f>
        <v>#VALUE!</v>
      </c>
      <c r="AC189" t="e">
        <f>AND('Planilla_General_29-11-2012_10_'!L2833,"AAAAAGXy7xw=")</f>
        <v>#VALUE!</v>
      </c>
      <c r="AD189" t="e">
        <f>AND('Planilla_General_29-11-2012_10_'!M2833,"AAAAAGXy7x0=")</f>
        <v>#VALUE!</v>
      </c>
      <c r="AE189" t="e">
        <f>AND('Planilla_General_29-11-2012_10_'!N2833,"AAAAAGXy7x4=")</f>
        <v>#VALUE!</v>
      </c>
      <c r="AF189" t="e">
        <f>AND('Planilla_General_29-11-2012_10_'!O2833,"AAAAAGXy7x8=")</f>
        <v>#VALUE!</v>
      </c>
      <c r="AG189" t="e">
        <f>AND('Planilla_General_29-11-2012_10_'!P2833,"AAAAAGXy7yA=")</f>
        <v>#VALUE!</v>
      </c>
      <c r="AH189">
        <f>IF('Planilla_General_29-11-2012_10_'!2834:2834,"AAAAAGXy7yE=",0)</f>
        <v>0</v>
      </c>
      <c r="AI189" t="e">
        <f>AND('Planilla_General_29-11-2012_10_'!A2834,"AAAAAGXy7yI=")</f>
        <v>#VALUE!</v>
      </c>
      <c r="AJ189" t="e">
        <f>AND('Planilla_General_29-11-2012_10_'!B2834,"AAAAAGXy7yM=")</f>
        <v>#VALUE!</v>
      </c>
      <c r="AK189" t="e">
        <f>AND('Planilla_General_29-11-2012_10_'!C2834,"AAAAAGXy7yQ=")</f>
        <v>#VALUE!</v>
      </c>
      <c r="AL189" t="e">
        <f>AND('Planilla_General_29-11-2012_10_'!D2834,"AAAAAGXy7yU=")</f>
        <v>#VALUE!</v>
      </c>
      <c r="AM189" t="e">
        <f>AND('Planilla_General_29-11-2012_10_'!E2834,"AAAAAGXy7yY=")</f>
        <v>#VALUE!</v>
      </c>
      <c r="AN189" t="e">
        <f>AND('Planilla_General_29-11-2012_10_'!F2834,"AAAAAGXy7yc=")</f>
        <v>#VALUE!</v>
      </c>
      <c r="AO189" t="e">
        <f>AND('Planilla_General_29-11-2012_10_'!G2834,"AAAAAGXy7yg=")</f>
        <v>#VALUE!</v>
      </c>
      <c r="AP189" t="e">
        <f>AND('Planilla_General_29-11-2012_10_'!H2834,"AAAAAGXy7yk=")</f>
        <v>#VALUE!</v>
      </c>
      <c r="AQ189" t="e">
        <f>AND('Planilla_General_29-11-2012_10_'!I2834,"AAAAAGXy7yo=")</f>
        <v>#VALUE!</v>
      </c>
      <c r="AR189" t="e">
        <f>AND('Planilla_General_29-11-2012_10_'!J2834,"AAAAAGXy7ys=")</f>
        <v>#VALUE!</v>
      </c>
      <c r="AS189" t="e">
        <f>AND('Planilla_General_29-11-2012_10_'!K2834,"AAAAAGXy7yw=")</f>
        <v>#VALUE!</v>
      </c>
      <c r="AT189" t="e">
        <f>AND('Planilla_General_29-11-2012_10_'!L2834,"AAAAAGXy7y0=")</f>
        <v>#VALUE!</v>
      </c>
      <c r="AU189" t="e">
        <f>AND('Planilla_General_29-11-2012_10_'!M2834,"AAAAAGXy7y4=")</f>
        <v>#VALUE!</v>
      </c>
      <c r="AV189" t="e">
        <f>AND('Planilla_General_29-11-2012_10_'!N2834,"AAAAAGXy7y8=")</f>
        <v>#VALUE!</v>
      </c>
      <c r="AW189" t="e">
        <f>AND('Planilla_General_29-11-2012_10_'!O2834,"AAAAAGXy7zA=")</f>
        <v>#VALUE!</v>
      </c>
      <c r="AX189" t="e">
        <f>AND('Planilla_General_29-11-2012_10_'!P2834,"AAAAAGXy7zE=")</f>
        <v>#VALUE!</v>
      </c>
      <c r="AY189">
        <f>IF('Planilla_General_29-11-2012_10_'!2835:2835,"AAAAAGXy7zI=",0)</f>
        <v>0</v>
      </c>
      <c r="AZ189" t="e">
        <f>AND('Planilla_General_29-11-2012_10_'!A2835,"AAAAAGXy7zM=")</f>
        <v>#VALUE!</v>
      </c>
      <c r="BA189" t="e">
        <f>AND('Planilla_General_29-11-2012_10_'!B2835,"AAAAAGXy7zQ=")</f>
        <v>#VALUE!</v>
      </c>
      <c r="BB189" t="e">
        <f>AND('Planilla_General_29-11-2012_10_'!C2835,"AAAAAGXy7zU=")</f>
        <v>#VALUE!</v>
      </c>
      <c r="BC189" t="e">
        <f>AND('Planilla_General_29-11-2012_10_'!D2835,"AAAAAGXy7zY=")</f>
        <v>#VALUE!</v>
      </c>
      <c r="BD189" t="e">
        <f>AND('Planilla_General_29-11-2012_10_'!E2835,"AAAAAGXy7zc=")</f>
        <v>#VALUE!</v>
      </c>
      <c r="BE189" t="e">
        <f>IF('Planilla_General_29-11-2012_10_'!A:A,"AAAAAGXy7zg=",0)</f>
        <v>#VALUE!</v>
      </c>
      <c r="BF189" t="e">
        <f>IF('Planilla_General_29-11-2012_10_'!B:B,"AAAAAGXy7zk=",0)</f>
        <v>#VALUE!</v>
      </c>
      <c r="BG189" t="str">
        <f>IF('Planilla_General_29-11-2012_10_'!C:C,"AAAAAGXy7zo=",0)</f>
        <v>AAAAAGXy7zo=</v>
      </c>
      <c r="BH189" t="e">
        <f>IF('Planilla_General_29-11-2012_10_'!D:D,"AAAAAGXy7zs=",0)</f>
        <v>#VALUE!</v>
      </c>
      <c r="BI189" t="e">
        <f>IF('Planilla_General_29-11-2012_10_'!E:E,"AAAAAGXy7zw=",0)</f>
        <v>#VALUE!</v>
      </c>
      <c r="BJ189" t="e">
        <f>IF('Planilla_General_29-11-2012_10_'!F:F,"AAAAAGXy7z0=",0)</f>
        <v>#VALUE!</v>
      </c>
      <c r="BK189" t="e">
        <f>IF('Planilla_General_29-11-2012_10_'!G:G,"AAAAAGXy7z4=",0)</f>
        <v>#VALUE!</v>
      </c>
      <c r="BL189" t="e">
        <f>IF('Planilla_General_29-11-2012_10_'!H:H,"AAAAAGXy7z8=",0)</f>
        <v>#VALUE!</v>
      </c>
      <c r="BM189" t="e">
        <f>IF('Planilla_General_29-11-2012_10_'!I:I,"AAAAAGXy70A=",0)</f>
        <v>#VALUE!</v>
      </c>
      <c r="BN189" t="e">
        <f>IF('Planilla_General_29-11-2012_10_'!J:J,"AAAAAGXy70E=",0)</f>
        <v>#VALUE!</v>
      </c>
      <c r="BO189" t="str">
        <f>IF('Planilla_General_29-11-2012_10_'!K:K,"AAAAAGXy70I=",0)</f>
        <v>AAAAAGXy70I=</v>
      </c>
      <c r="BP189" t="str">
        <f>IF('Planilla_General_29-11-2012_10_'!L:L,"AAAAAGXy70M=",0)</f>
        <v>AAAAAGXy70M=</v>
      </c>
      <c r="BQ189" t="str">
        <f>IF('Planilla_General_29-11-2012_10_'!M:M,"AAAAAGXy70Q=",0)</f>
        <v>AAAAAGXy70Q=</v>
      </c>
      <c r="BR189" t="str">
        <f>IF('Planilla_General_29-11-2012_10_'!N:N,"AAAAAGXy70U=",0)</f>
        <v>AAAAAGXy70U=</v>
      </c>
      <c r="BS189" t="str">
        <f>IF('Planilla_General_29-11-2012_10_'!O:O,"AAAAAGXy70Y=",0)</f>
        <v>AAAAAGXy70Y=</v>
      </c>
      <c r="BT189">
        <f>IF('Planilla_General_29-11-2012_10_'!P:P,"AAAAAGXy70c=",0)</f>
        <v>0</v>
      </c>
      <c r="BU189">
        <f>IF('Eventos en ensayos por ID'!1:1,"AAAAAGXy70g=",0)</f>
        <v>0</v>
      </c>
      <c r="BV189" t="e">
        <f>AND('Eventos en ensayos por ID'!A1,"AAAAAGXy70k=")</f>
        <v>#VALUE!</v>
      </c>
      <c r="BW189" t="e">
        <f>AND('Eventos en ensayos por ID'!B1,"AAAAAGXy70o=")</f>
        <v>#VALUE!</v>
      </c>
      <c r="BX189" t="e">
        <f>AND('Eventos en ensayos por ID'!C1,"AAAAAGXy70s=")</f>
        <v>#VALUE!</v>
      </c>
      <c r="BY189" t="e">
        <f>AND('Eventos en ensayos por ID'!D1,"AAAAAGXy70w=")</f>
        <v>#VALUE!</v>
      </c>
      <c r="BZ189" t="e">
        <f>AND('Eventos en ensayos por ID'!E1,"AAAAAGXy700=")</f>
        <v>#VALUE!</v>
      </c>
      <c r="CA189" t="e">
        <f>AND('Eventos en ensayos por ID'!F1,"AAAAAGXy704=")</f>
        <v>#VALUE!</v>
      </c>
      <c r="CB189" t="e">
        <f>AND('Eventos en ensayos por ID'!G1,"AAAAAGXy708=")</f>
        <v>#VALUE!</v>
      </c>
      <c r="CC189">
        <f>IF('Eventos en ensayos por ID'!2:2,"AAAAAGXy71A=",0)</f>
        <v>0</v>
      </c>
      <c r="CD189" t="e">
        <f>AND('Eventos en ensayos por ID'!A2,"AAAAAGXy71E=")</f>
        <v>#VALUE!</v>
      </c>
      <c r="CE189" t="e">
        <f>AND('Eventos en ensayos por ID'!B2,"AAAAAGXy71I=")</f>
        <v>#VALUE!</v>
      </c>
      <c r="CF189" t="e">
        <f>AND('Eventos en ensayos por ID'!C2,"AAAAAGXy71M=")</f>
        <v>#VALUE!</v>
      </c>
      <c r="CG189" t="e">
        <f>AND('Eventos en ensayos por ID'!D2,"AAAAAGXy71Q=")</f>
        <v>#VALUE!</v>
      </c>
      <c r="CH189" t="e">
        <f>AND('Eventos en ensayos por ID'!E2,"AAAAAGXy71U=")</f>
        <v>#VALUE!</v>
      </c>
      <c r="CI189" t="e">
        <f>AND('Eventos en ensayos por ID'!F2,"AAAAAGXy71Y=")</f>
        <v>#VALUE!</v>
      </c>
      <c r="CJ189" t="e">
        <f>AND('Eventos en ensayos por ID'!G2,"AAAAAGXy71c=")</f>
        <v>#VALUE!</v>
      </c>
      <c r="CK189">
        <f>IF('Eventos en ensayos por ID'!3:3,"AAAAAGXy71g=",0)</f>
        <v>0</v>
      </c>
      <c r="CL189" t="e">
        <f>AND('Eventos en ensayos por ID'!A3,"AAAAAGXy71k=")</f>
        <v>#VALUE!</v>
      </c>
      <c r="CM189" t="e">
        <f>AND('Eventos en ensayos por ID'!B3,"AAAAAGXy71o=")</f>
        <v>#VALUE!</v>
      </c>
      <c r="CN189" t="e">
        <f>AND('Eventos en ensayos por ID'!C3,"AAAAAGXy71s=")</f>
        <v>#VALUE!</v>
      </c>
      <c r="CO189" t="e">
        <f>AND('Eventos en ensayos por ID'!D3,"AAAAAGXy71w=")</f>
        <v>#VALUE!</v>
      </c>
      <c r="CP189" t="e">
        <f>AND('Eventos en ensayos por ID'!E3,"AAAAAGXy710=")</f>
        <v>#VALUE!</v>
      </c>
      <c r="CQ189" t="e">
        <f>AND('Eventos en ensayos por ID'!F3,"AAAAAGXy714=")</f>
        <v>#VALUE!</v>
      </c>
      <c r="CR189" t="e">
        <f>AND('Eventos en ensayos por ID'!G3,"AAAAAGXy718=")</f>
        <v>#VALUE!</v>
      </c>
      <c r="CS189">
        <f>IF('Eventos en ensayos por ID'!4:4,"AAAAAGXy72A=",0)</f>
        <v>0</v>
      </c>
      <c r="CT189" t="e">
        <f>AND('Eventos en ensayos por ID'!A4,"AAAAAGXy72E=")</f>
        <v>#VALUE!</v>
      </c>
      <c r="CU189" t="e">
        <f>AND('Eventos en ensayos por ID'!B4,"AAAAAGXy72I=")</f>
        <v>#VALUE!</v>
      </c>
      <c r="CV189" t="e">
        <f>AND('Eventos en ensayos por ID'!C4,"AAAAAGXy72M=")</f>
        <v>#VALUE!</v>
      </c>
      <c r="CW189" t="e">
        <f>AND('Eventos en ensayos por ID'!D4,"AAAAAGXy72Q=")</f>
        <v>#VALUE!</v>
      </c>
      <c r="CX189" t="e">
        <f>AND('Eventos en ensayos por ID'!E4,"AAAAAGXy72U=")</f>
        <v>#VALUE!</v>
      </c>
      <c r="CY189" t="e">
        <f>AND('Eventos en ensayos por ID'!F4,"AAAAAGXy72Y=")</f>
        <v>#VALUE!</v>
      </c>
      <c r="CZ189" t="e">
        <f>AND('Eventos en ensayos por ID'!G4,"AAAAAGXy72c=")</f>
        <v>#VALUE!</v>
      </c>
      <c r="DA189">
        <f>IF('Eventos en ensayos por ID'!5:5,"AAAAAGXy72g=",0)</f>
        <v>0</v>
      </c>
      <c r="DB189" t="e">
        <f>AND('Eventos en ensayos por ID'!A5,"AAAAAGXy72k=")</f>
        <v>#VALUE!</v>
      </c>
      <c r="DC189" t="e">
        <f>AND('Eventos en ensayos por ID'!B5,"AAAAAGXy72o=")</f>
        <v>#VALUE!</v>
      </c>
      <c r="DD189" t="e">
        <f>AND('Eventos en ensayos por ID'!C5,"AAAAAGXy72s=")</f>
        <v>#VALUE!</v>
      </c>
      <c r="DE189" t="e">
        <f>AND('Eventos en ensayos por ID'!D5,"AAAAAGXy72w=")</f>
        <v>#VALUE!</v>
      </c>
      <c r="DF189" t="e">
        <f>AND('Eventos en ensayos por ID'!E5,"AAAAAGXy720=")</f>
        <v>#VALUE!</v>
      </c>
      <c r="DG189" t="e">
        <f>AND('Eventos en ensayos por ID'!F5,"AAAAAGXy724=")</f>
        <v>#VALUE!</v>
      </c>
      <c r="DH189" t="e">
        <f>AND('Eventos en ensayos por ID'!G5,"AAAAAGXy728=")</f>
        <v>#VALUE!</v>
      </c>
      <c r="DI189">
        <f>IF('Eventos en ensayos por ID'!6:6,"AAAAAGXy73A=",0)</f>
        <v>0</v>
      </c>
      <c r="DJ189" t="e">
        <f>AND('Eventos en ensayos por ID'!A6,"AAAAAGXy73E=")</f>
        <v>#VALUE!</v>
      </c>
      <c r="DK189" t="e">
        <f>AND('Eventos en ensayos por ID'!B6,"AAAAAGXy73I=")</f>
        <v>#VALUE!</v>
      </c>
      <c r="DL189" t="e">
        <f>AND('Eventos en ensayos por ID'!C6,"AAAAAGXy73M=")</f>
        <v>#VALUE!</v>
      </c>
      <c r="DM189" t="e">
        <f>AND('Eventos en ensayos por ID'!D6,"AAAAAGXy73Q=")</f>
        <v>#VALUE!</v>
      </c>
      <c r="DN189" t="e">
        <f>AND('Eventos en ensayos por ID'!E6,"AAAAAGXy73U=")</f>
        <v>#VALUE!</v>
      </c>
      <c r="DO189" t="e">
        <f>AND('Eventos en ensayos por ID'!F6,"AAAAAGXy73Y=")</f>
        <v>#VALUE!</v>
      </c>
      <c r="DP189" t="e">
        <f>AND('Eventos en ensayos por ID'!G6,"AAAAAGXy73c=")</f>
        <v>#VALUE!</v>
      </c>
      <c r="DQ189">
        <f>IF('Eventos en ensayos por ID'!7:7,"AAAAAGXy73g=",0)</f>
        <v>0</v>
      </c>
      <c r="DR189" t="e">
        <f>AND('Eventos en ensayos por ID'!A7,"AAAAAGXy73k=")</f>
        <v>#VALUE!</v>
      </c>
      <c r="DS189" t="e">
        <f>AND('Eventos en ensayos por ID'!B7,"AAAAAGXy73o=")</f>
        <v>#VALUE!</v>
      </c>
      <c r="DT189" t="e">
        <f>AND('Eventos en ensayos por ID'!C7,"AAAAAGXy73s=")</f>
        <v>#VALUE!</v>
      </c>
      <c r="DU189" t="e">
        <f>AND('Eventos en ensayos por ID'!D7,"AAAAAGXy73w=")</f>
        <v>#VALUE!</v>
      </c>
      <c r="DV189" t="e">
        <f>AND('Eventos en ensayos por ID'!E7,"AAAAAGXy730=")</f>
        <v>#VALUE!</v>
      </c>
      <c r="DW189" t="e">
        <f>AND('Eventos en ensayos por ID'!F7,"AAAAAGXy734=")</f>
        <v>#VALUE!</v>
      </c>
      <c r="DX189" t="e">
        <f>AND('Eventos en ensayos por ID'!G7,"AAAAAGXy738=")</f>
        <v>#VALUE!</v>
      </c>
      <c r="DY189">
        <f>IF('Eventos en ensayos por ID'!8:8,"AAAAAGXy74A=",0)</f>
        <v>0</v>
      </c>
      <c r="DZ189" t="e">
        <f>AND('Eventos en ensayos por ID'!A8,"AAAAAGXy74E=")</f>
        <v>#VALUE!</v>
      </c>
      <c r="EA189" t="e">
        <f>AND('Eventos en ensayos por ID'!B8,"AAAAAGXy74I=")</f>
        <v>#VALUE!</v>
      </c>
      <c r="EB189" t="e">
        <f>AND('Eventos en ensayos por ID'!C8,"AAAAAGXy74M=")</f>
        <v>#VALUE!</v>
      </c>
      <c r="EC189" t="e">
        <f>AND('Eventos en ensayos por ID'!D8,"AAAAAGXy74Q=")</f>
        <v>#VALUE!</v>
      </c>
      <c r="ED189" t="e">
        <f>AND('Eventos en ensayos por ID'!E8,"AAAAAGXy74U=")</f>
        <v>#VALUE!</v>
      </c>
      <c r="EE189" t="e">
        <f>AND('Eventos en ensayos por ID'!F8,"AAAAAGXy74Y=")</f>
        <v>#VALUE!</v>
      </c>
      <c r="EF189" t="e">
        <f>AND('Eventos en ensayos por ID'!G8,"AAAAAGXy74c=")</f>
        <v>#VALUE!</v>
      </c>
      <c r="EG189">
        <f>IF('Eventos en ensayos por ID'!9:9,"AAAAAGXy74g=",0)</f>
        <v>0</v>
      </c>
      <c r="EH189" t="e">
        <f>AND('Eventos en ensayos por ID'!A9,"AAAAAGXy74k=")</f>
        <v>#VALUE!</v>
      </c>
      <c r="EI189" t="e">
        <f>AND('Eventos en ensayos por ID'!B9,"AAAAAGXy74o=")</f>
        <v>#VALUE!</v>
      </c>
      <c r="EJ189" t="e">
        <f>AND('Eventos en ensayos por ID'!C9,"AAAAAGXy74s=")</f>
        <v>#VALUE!</v>
      </c>
      <c r="EK189" t="e">
        <f>AND('Eventos en ensayos por ID'!D9,"AAAAAGXy74w=")</f>
        <v>#VALUE!</v>
      </c>
      <c r="EL189" t="e">
        <f>AND('Eventos en ensayos por ID'!E9,"AAAAAGXy740=")</f>
        <v>#VALUE!</v>
      </c>
      <c r="EM189" t="e">
        <f>AND('Eventos en ensayos por ID'!F9,"AAAAAGXy744=")</f>
        <v>#VALUE!</v>
      </c>
      <c r="EN189" t="e">
        <f>AND('Eventos en ensayos por ID'!G9,"AAAAAGXy748=")</f>
        <v>#VALUE!</v>
      </c>
      <c r="EO189">
        <f>IF('Eventos en ensayos por ID'!10:10,"AAAAAGXy75A=",0)</f>
        <v>0</v>
      </c>
      <c r="EP189" t="e">
        <f>AND('Eventos en ensayos por ID'!A10,"AAAAAGXy75E=")</f>
        <v>#VALUE!</v>
      </c>
      <c r="EQ189" t="e">
        <f>AND('Eventos en ensayos por ID'!B10,"AAAAAGXy75I=")</f>
        <v>#VALUE!</v>
      </c>
      <c r="ER189" t="e">
        <f>AND('Eventos en ensayos por ID'!C10,"AAAAAGXy75M=")</f>
        <v>#VALUE!</v>
      </c>
      <c r="ES189" t="e">
        <f>AND('Eventos en ensayos por ID'!D10,"AAAAAGXy75Q=")</f>
        <v>#VALUE!</v>
      </c>
      <c r="ET189" t="e">
        <f>AND('Eventos en ensayos por ID'!E10,"AAAAAGXy75U=")</f>
        <v>#VALUE!</v>
      </c>
      <c r="EU189" t="e">
        <f>AND('Eventos en ensayos por ID'!F10,"AAAAAGXy75Y=")</f>
        <v>#VALUE!</v>
      </c>
      <c r="EV189" t="e">
        <f>AND('Eventos en ensayos por ID'!G10,"AAAAAGXy75c=")</f>
        <v>#VALUE!</v>
      </c>
      <c r="EW189">
        <f>IF('Eventos en ensayos por ID'!11:11,"AAAAAGXy75g=",0)</f>
        <v>0</v>
      </c>
      <c r="EX189" t="e">
        <f>AND('Eventos en ensayos por ID'!A11,"AAAAAGXy75k=")</f>
        <v>#VALUE!</v>
      </c>
      <c r="EY189" t="e">
        <f>AND('Eventos en ensayos por ID'!B11,"AAAAAGXy75o=")</f>
        <v>#VALUE!</v>
      </c>
      <c r="EZ189" t="e">
        <f>AND('Eventos en ensayos por ID'!C11,"AAAAAGXy75s=")</f>
        <v>#VALUE!</v>
      </c>
      <c r="FA189" t="e">
        <f>AND('Eventos en ensayos por ID'!D11,"AAAAAGXy75w=")</f>
        <v>#VALUE!</v>
      </c>
      <c r="FB189" t="e">
        <f>AND('Eventos en ensayos por ID'!E11,"AAAAAGXy750=")</f>
        <v>#VALUE!</v>
      </c>
      <c r="FC189" t="e">
        <f>AND('Eventos en ensayos por ID'!F11,"AAAAAGXy754=")</f>
        <v>#VALUE!</v>
      </c>
      <c r="FD189" t="e">
        <f>AND('Eventos en ensayos por ID'!G11,"AAAAAGXy758=")</f>
        <v>#VALUE!</v>
      </c>
      <c r="FE189">
        <f>IF('Eventos en ensayos por ID'!12:12,"AAAAAGXy76A=",0)</f>
        <v>0</v>
      </c>
      <c r="FF189" t="e">
        <f>AND('Eventos en ensayos por ID'!A12,"AAAAAGXy76E=")</f>
        <v>#VALUE!</v>
      </c>
      <c r="FG189" t="e">
        <f>AND('Eventos en ensayos por ID'!B12,"AAAAAGXy76I=")</f>
        <v>#VALUE!</v>
      </c>
      <c r="FH189" t="e">
        <f>AND('Eventos en ensayos por ID'!C12,"AAAAAGXy76M=")</f>
        <v>#VALUE!</v>
      </c>
      <c r="FI189" t="e">
        <f>AND('Eventos en ensayos por ID'!D12,"AAAAAGXy76Q=")</f>
        <v>#VALUE!</v>
      </c>
      <c r="FJ189" t="e">
        <f>AND('Eventos en ensayos por ID'!E12,"AAAAAGXy76U=")</f>
        <v>#VALUE!</v>
      </c>
      <c r="FK189" t="e">
        <f>AND('Eventos en ensayos por ID'!F12,"AAAAAGXy76Y=")</f>
        <v>#VALUE!</v>
      </c>
      <c r="FL189" t="e">
        <f>AND('Eventos en ensayos por ID'!G12,"AAAAAGXy76c=")</f>
        <v>#VALUE!</v>
      </c>
      <c r="FM189">
        <f>IF('Eventos en ensayos por ID'!13:13,"AAAAAGXy76g=",0)</f>
        <v>0</v>
      </c>
      <c r="FN189" t="e">
        <f>AND('Eventos en ensayos por ID'!A13,"AAAAAGXy76k=")</f>
        <v>#VALUE!</v>
      </c>
      <c r="FO189" t="e">
        <f>AND('Eventos en ensayos por ID'!B13,"AAAAAGXy76o=")</f>
        <v>#VALUE!</v>
      </c>
      <c r="FP189" t="e">
        <f>AND('Eventos en ensayos por ID'!C13,"AAAAAGXy76s=")</f>
        <v>#VALUE!</v>
      </c>
      <c r="FQ189" t="e">
        <f>AND('Eventos en ensayos por ID'!D13,"AAAAAGXy76w=")</f>
        <v>#VALUE!</v>
      </c>
      <c r="FR189" t="e">
        <f>AND('Eventos en ensayos por ID'!E13,"AAAAAGXy760=")</f>
        <v>#VALUE!</v>
      </c>
      <c r="FS189" t="e">
        <f>AND('Eventos en ensayos por ID'!F13,"AAAAAGXy764=")</f>
        <v>#VALUE!</v>
      </c>
      <c r="FT189" t="e">
        <f>AND('Eventos en ensayos por ID'!G13,"AAAAAGXy768=")</f>
        <v>#VALUE!</v>
      </c>
      <c r="FU189">
        <f>IF('Eventos en ensayos por ID'!14:14,"AAAAAGXy77A=",0)</f>
        <v>0</v>
      </c>
      <c r="FV189" t="e">
        <f>AND('Eventos en ensayos por ID'!A14,"AAAAAGXy77E=")</f>
        <v>#VALUE!</v>
      </c>
      <c r="FW189" t="e">
        <f>AND('Eventos en ensayos por ID'!B14,"AAAAAGXy77I=")</f>
        <v>#VALUE!</v>
      </c>
      <c r="FX189" t="e">
        <f>AND('Eventos en ensayos por ID'!C14,"AAAAAGXy77M=")</f>
        <v>#VALUE!</v>
      </c>
      <c r="FY189" t="e">
        <f>AND('Eventos en ensayos por ID'!D14,"AAAAAGXy77Q=")</f>
        <v>#VALUE!</v>
      </c>
      <c r="FZ189" t="e">
        <f>AND('Eventos en ensayos por ID'!E14,"AAAAAGXy77U=")</f>
        <v>#VALUE!</v>
      </c>
      <c r="GA189" t="e">
        <f>AND('Eventos en ensayos por ID'!F14,"AAAAAGXy77Y=")</f>
        <v>#VALUE!</v>
      </c>
      <c r="GB189" t="e">
        <f>AND('Eventos en ensayos por ID'!G14,"AAAAAGXy77c=")</f>
        <v>#VALUE!</v>
      </c>
      <c r="GC189">
        <f>IF('Eventos en ensayos por ID'!15:15,"AAAAAGXy77g=",0)</f>
        <v>0</v>
      </c>
      <c r="GD189" t="e">
        <f>AND('Eventos en ensayos por ID'!A15,"AAAAAGXy77k=")</f>
        <v>#VALUE!</v>
      </c>
      <c r="GE189" t="e">
        <f>AND('Eventos en ensayos por ID'!B15,"AAAAAGXy77o=")</f>
        <v>#VALUE!</v>
      </c>
      <c r="GF189" t="e">
        <f>AND('Eventos en ensayos por ID'!C15,"AAAAAGXy77s=")</f>
        <v>#VALUE!</v>
      </c>
      <c r="GG189" t="e">
        <f>AND('Eventos en ensayos por ID'!D15,"AAAAAGXy77w=")</f>
        <v>#VALUE!</v>
      </c>
      <c r="GH189" t="e">
        <f>AND('Eventos en ensayos por ID'!E15,"AAAAAGXy770=")</f>
        <v>#VALUE!</v>
      </c>
      <c r="GI189" t="e">
        <f>AND('Eventos en ensayos por ID'!F15,"AAAAAGXy774=")</f>
        <v>#VALUE!</v>
      </c>
      <c r="GJ189" t="e">
        <f>AND('Eventos en ensayos por ID'!G15,"AAAAAGXy778=")</f>
        <v>#VALUE!</v>
      </c>
      <c r="GK189">
        <f>IF('Eventos en ensayos por ID'!16:16,"AAAAAGXy78A=",0)</f>
        <v>0</v>
      </c>
      <c r="GL189" t="e">
        <f>AND('Eventos en ensayos por ID'!A16,"AAAAAGXy78E=")</f>
        <v>#VALUE!</v>
      </c>
      <c r="GM189" t="e">
        <f>AND('Eventos en ensayos por ID'!B16,"AAAAAGXy78I=")</f>
        <v>#VALUE!</v>
      </c>
      <c r="GN189" t="e">
        <f>AND('Eventos en ensayos por ID'!C16,"AAAAAGXy78M=")</f>
        <v>#VALUE!</v>
      </c>
      <c r="GO189" t="e">
        <f>AND('Eventos en ensayos por ID'!D16,"AAAAAGXy78Q=")</f>
        <v>#VALUE!</v>
      </c>
      <c r="GP189" t="e">
        <f>AND('Eventos en ensayos por ID'!E16,"AAAAAGXy78U=")</f>
        <v>#VALUE!</v>
      </c>
      <c r="GQ189" t="e">
        <f>AND('Eventos en ensayos por ID'!F16,"AAAAAGXy78Y=")</f>
        <v>#VALUE!</v>
      </c>
      <c r="GR189" t="e">
        <f>AND('Eventos en ensayos por ID'!G16,"AAAAAGXy78c=")</f>
        <v>#VALUE!</v>
      </c>
      <c r="GS189">
        <f>IF('Eventos en ensayos por ID'!17:17,"AAAAAGXy78g=",0)</f>
        <v>0</v>
      </c>
      <c r="GT189" t="e">
        <f>AND('Eventos en ensayos por ID'!A17,"AAAAAGXy78k=")</f>
        <v>#VALUE!</v>
      </c>
      <c r="GU189" t="e">
        <f>AND('Eventos en ensayos por ID'!B17,"AAAAAGXy78o=")</f>
        <v>#VALUE!</v>
      </c>
      <c r="GV189" t="e">
        <f>AND('Eventos en ensayos por ID'!C17,"AAAAAGXy78s=")</f>
        <v>#VALUE!</v>
      </c>
      <c r="GW189" t="e">
        <f>AND('Eventos en ensayos por ID'!D17,"AAAAAGXy78w=")</f>
        <v>#VALUE!</v>
      </c>
      <c r="GX189" t="e">
        <f>AND('Eventos en ensayos por ID'!E17,"AAAAAGXy780=")</f>
        <v>#VALUE!</v>
      </c>
      <c r="GY189" t="e">
        <f>AND('Eventos en ensayos por ID'!F17,"AAAAAGXy784=")</f>
        <v>#VALUE!</v>
      </c>
      <c r="GZ189" t="e">
        <f>AND('Eventos en ensayos por ID'!G17,"AAAAAGXy788=")</f>
        <v>#VALUE!</v>
      </c>
      <c r="HA189">
        <f>IF('Eventos en ensayos por ID'!18:18,"AAAAAGXy79A=",0)</f>
        <v>0</v>
      </c>
      <c r="HB189" t="e">
        <f>AND('Eventos en ensayos por ID'!A18,"AAAAAGXy79E=")</f>
        <v>#VALUE!</v>
      </c>
      <c r="HC189" t="e">
        <f>AND('Eventos en ensayos por ID'!B18,"AAAAAGXy79I=")</f>
        <v>#VALUE!</v>
      </c>
      <c r="HD189" t="e">
        <f>AND('Eventos en ensayos por ID'!C18,"AAAAAGXy79M=")</f>
        <v>#VALUE!</v>
      </c>
      <c r="HE189" t="e">
        <f>AND('Eventos en ensayos por ID'!D18,"AAAAAGXy79Q=")</f>
        <v>#VALUE!</v>
      </c>
      <c r="HF189" t="e">
        <f>AND('Eventos en ensayos por ID'!E18,"AAAAAGXy79U=")</f>
        <v>#VALUE!</v>
      </c>
      <c r="HG189" t="e">
        <f>AND('Eventos en ensayos por ID'!F18,"AAAAAGXy79Y=")</f>
        <v>#VALUE!</v>
      </c>
      <c r="HH189" t="e">
        <f>AND('Eventos en ensayos por ID'!G18,"AAAAAGXy79c=")</f>
        <v>#VALUE!</v>
      </c>
      <c r="HI189">
        <f>IF('Eventos en ensayos por ID'!19:19,"AAAAAGXy79g=",0)</f>
        <v>0</v>
      </c>
      <c r="HJ189" t="e">
        <f>AND('Eventos en ensayos por ID'!A19,"AAAAAGXy79k=")</f>
        <v>#VALUE!</v>
      </c>
      <c r="HK189" t="e">
        <f>AND('Eventos en ensayos por ID'!B19,"AAAAAGXy79o=")</f>
        <v>#VALUE!</v>
      </c>
      <c r="HL189" t="e">
        <f>AND('Eventos en ensayos por ID'!C19,"AAAAAGXy79s=")</f>
        <v>#VALUE!</v>
      </c>
      <c r="HM189" t="e">
        <f>AND('Eventos en ensayos por ID'!D19,"AAAAAGXy79w=")</f>
        <v>#VALUE!</v>
      </c>
      <c r="HN189" t="e">
        <f>AND('Eventos en ensayos por ID'!E19,"AAAAAGXy790=")</f>
        <v>#VALUE!</v>
      </c>
      <c r="HO189" t="e">
        <f>AND('Eventos en ensayos por ID'!F19,"AAAAAGXy794=")</f>
        <v>#VALUE!</v>
      </c>
      <c r="HP189" t="e">
        <f>AND('Eventos en ensayos por ID'!G19,"AAAAAGXy798=")</f>
        <v>#VALUE!</v>
      </c>
      <c r="HQ189">
        <f>IF('Eventos en ensayos por ID'!20:20,"AAAAAGXy7+A=",0)</f>
        <v>0</v>
      </c>
      <c r="HR189" t="e">
        <f>AND('Eventos en ensayos por ID'!A20,"AAAAAGXy7+E=")</f>
        <v>#VALUE!</v>
      </c>
      <c r="HS189" t="e">
        <f>AND('Eventos en ensayos por ID'!B20,"AAAAAGXy7+I=")</f>
        <v>#VALUE!</v>
      </c>
      <c r="HT189" t="e">
        <f>AND('Eventos en ensayos por ID'!C20,"AAAAAGXy7+M=")</f>
        <v>#VALUE!</v>
      </c>
      <c r="HU189" t="e">
        <f>AND('Eventos en ensayos por ID'!D20,"AAAAAGXy7+Q=")</f>
        <v>#VALUE!</v>
      </c>
      <c r="HV189" t="e">
        <f>AND('Eventos en ensayos por ID'!E20,"AAAAAGXy7+U=")</f>
        <v>#VALUE!</v>
      </c>
      <c r="HW189" t="e">
        <f>AND('Eventos en ensayos por ID'!F20,"AAAAAGXy7+Y=")</f>
        <v>#VALUE!</v>
      </c>
      <c r="HX189" t="e">
        <f>AND('Eventos en ensayos por ID'!G20,"AAAAAGXy7+c=")</f>
        <v>#VALUE!</v>
      </c>
      <c r="HY189">
        <f>IF('Eventos en ensayos por ID'!21:21,"AAAAAGXy7+g=",0)</f>
        <v>0</v>
      </c>
      <c r="HZ189" t="e">
        <f>AND('Eventos en ensayos por ID'!A21,"AAAAAGXy7+k=")</f>
        <v>#VALUE!</v>
      </c>
      <c r="IA189" t="e">
        <f>AND('Eventos en ensayos por ID'!B21,"AAAAAGXy7+o=")</f>
        <v>#VALUE!</v>
      </c>
      <c r="IB189" t="e">
        <f>AND('Eventos en ensayos por ID'!C21,"AAAAAGXy7+s=")</f>
        <v>#VALUE!</v>
      </c>
      <c r="IC189" t="e">
        <f>AND('Eventos en ensayos por ID'!D21,"AAAAAGXy7+w=")</f>
        <v>#VALUE!</v>
      </c>
      <c r="ID189" t="e">
        <f>AND('Eventos en ensayos por ID'!E21,"AAAAAGXy7+0=")</f>
        <v>#VALUE!</v>
      </c>
      <c r="IE189" t="e">
        <f>AND('Eventos en ensayos por ID'!F21,"AAAAAGXy7+4=")</f>
        <v>#VALUE!</v>
      </c>
      <c r="IF189" t="e">
        <f>AND('Eventos en ensayos por ID'!G21,"AAAAAGXy7+8=")</f>
        <v>#VALUE!</v>
      </c>
      <c r="IG189">
        <f>IF('Eventos en ensayos por ID'!22:22,"AAAAAGXy7/A=",0)</f>
        <v>0</v>
      </c>
      <c r="IH189" t="e">
        <f>AND('Eventos en ensayos por ID'!A22,"AAAAAGXy7/E=")</f>
        <v>#VALUE!</v>
      </c>
      <c r="II189" t="e">
        <f>AND('Eventos en ensayos por ID'!B22,"AAAAAGXy7/I=")</f>
        <v>#VALUE!</v>
      </c>
      <c r="IJ189" t="e">
        <f>AND('Eventos en ensayos por ID'!C22,"AAAAAGXy7/M=")</f>
        <v>#VALUE!</v>
      </c>
      <c r="IK189" t="e">
        <f>AND('Eventos en ensayos por ID'!D22,"AAAAAGXy7/Q=")</f>
        <v>#VALUE!</v>
      </c>
      <c r="IL189" t="e">
        <f>AND('Eventos en ensayos por ID'!E22,"AAAAAGXy7/U=")</f>
        <v>#VALUE!</v>
      </c>
      <c r="IM189" t="e">
        <f>AND('Eventos en ensayos por ID'!F22,"AAAAAGXy7/Y=")</f>
        <v>#VALUE!</v>
      </c>
      <c r="IN189" t="e">
        <f>AND('Eventos en ensayos por ID'!G22,"AAAAAGXy7/c=")</f>
        <v>#VALUE!</v>
      </c>
      <c r="IO189">
        <f>IF('Eventos en ensayos por ID'!23:23,"AAAAAGXy7/g=",0)</f>
        <v>0</v>
      </c>
      <c r="IP189" t="e">
        <f>AND('Eventos en ensayos por ID'!A23,"AAAAAGXy7/k=")</f>
        <v>#VALUE!</v>
      </c>
      <c r="IQ189" t="e">
        <f>AND('Eventos en ensayos por ID'!B23,"AAAAAGXy7/o=")</f>
        <v>#VALUE!</v>
      </c>
      <c r="IR189" t="e">
        <f>AND('Eventos en ensayos por ID'!C23,"AAAAAGXy7/s=")</f>
        <v>#VALUE!</v>
      </c>
      <c r="IS189" t="e">
        <f>AND('Eventos en ensayos por ID'!D23,"AAAAAGXy7/w=")</f>
        <v>#VALUE!</v>
      </c>
      <c r="IT189" t="e">
        <f>AND('Eventos en ensayos por ID'!E23,"AAAAAGXy7/0=")</f>
        <v>#VALUE!</v>
      </c>
      <c r="IU189" t="e">
        <f>AND('Eventos en ensayos por ID'!F23,"AAAAAGXy7/4=")</f>
        <v>#VALUE!</v>
      </c>
      <c r="IV189" t="e">
        <f>AND('Eventos en ensayos por ID'!G23,"AAAAAGXy7/8=")</f>
        <v>#VALUE!</v>
      </c>
    </row>
    <row r="190" spans="1:256" x14ac:dyDescent="0.25">
      <c r="A190" t="str">
        <f>IF('Eventos en ensayos por ID'!24:24,"AAAAAD7HTwA=",0)</f>
        <v>AAAAAD7HTwA=</v>
      </c>
      <c r="B190" t="e">
        <f>AND('Eventos en ensayos por ID'!A24,"AAAAAD7HTwE=")</f>
        <v>#VALUE!</v>
      </c>
      <c r="C190" t="e">
        <f>AND('Eventos en ensayos por ID'!B24,"AAAAAD7HTwI=")</f>
        <v>#VALUE!</v>
      </c>
      <c r="D190" t="e">
        <f>AND('Eventos en ensayos por ID'!C24,"AAAAAD7HTwM=")</f>
        <v>#VALUE!</v>
      </c>
      <c r="E190" t="e">
        <f>AND('Eventos en ensayos por ID'!D24,"AAAAAD7HTwQ=")</f>
        <v>#VALUE!</v>
      </c>
      <c r="F190" t="e">
        <f>AND('Eventos en ensayos por ID'!E24,"AAAAAD7HTwU=")</f>
        <v>#VALUE!</v>
      </c>
      <c r="G190" t="e">
        <f>AND('Eventos en ensayos por ID'!F24,"AAAAAD7HTwY=")</f>
        <v>#VALUE!</v>
      </c>
      <c r="H190" t="e">
        <f>AND('Eventos en ensayos por ID'!G24,"AAAAAD7HTwc=")</f>
        <v>#VALUE!</v>
      </c>
      <c r="I190">
        <f>IF('Eventos en ensayos por ID'!25:25,"AAAAAD7HTwg=",0)</f>
        <v>0</v>
      </c>
      <c r="J190" t="e">
        <f>AND('Eventos en ensayos por ID'!A25,"AAAAAD7HTwk=")</f>
        <v>#VALUE!</v>
      </c>
      <c r="K190" t="e">
        <f>AND('Eventos en ensayos por ID'!B25,"AAAAAD7HTwo=")</f>
        <v>#VALUE!</v>
      </c>
      <c r="L190" t="e">
        <f>AND('Eventos en ensayos por ID'!C25,"AAAAAD7HTws=")</f>
        <v>#VALUE!</v>
      </c>
      <c r="M190" t="e">
        <f>AND('Eventos en ensayos por ID'!D25,"AAAAAD7HTww=")</f>
        <v>#VALUE!</v>
      </c>
      <c r="N190" t="e">
        <f>AND('Eventos en ensayos por ID'!E25,"AAAAAD7HTw0=")</f>
        <v>#VALUE!</v>
      </c>
      <c r="O190" t="e">
        <f>AND('Eventos en ensayos por ID'!F25,"AAAAAD7HTw4=")</f>
        <v>#VALUE!</v>
      </c>
      <c r="P190" t="e">
        <f>AND('Eventos en ensayos por ID'!G25,"AAAAAD7HTw8=")</f>
        <v>#VALUE!</v>
      </c>
      <c r="Q190">
        <f>IF('Eventos en ensayos por ID'!26:26,"AAAAAD7HTxA=",0)</f>
        <v>0</v>
      </c>
      <c r="R190" t="e">
        <f>AND('Eventos en ensayos por ID'!A26,"AAAAAD7HTxE=")</f>
        <v>#VALUE!</v>
      </c>
      <c r="S190" t="e">
        <f>AND('Eventos en ensayos por ID'!B26,"AAAAAD7HTxI=")</f>
        <v>#VALUE!</v>
      </c>
      <c r="T190" t="e">
        <f>AND('Eventos en ensayos por ID'!C26,"AAAAAD7HTxM=")</f>
        <v>#VALUE!</v>
      </c>
      <c r="U190" t="e">
        <f>AND('Eventos en ensayos por ID'!D26,"AAAAAD7HTxQ=")</f>
        <v>#VALUE!</v>
      </c>
      <c r="V190" t="e">
        <f>AND('Eventos en ensayos por ID'!E26,"AAAAAD7HTxU=")</f>
        <v>#VALUE!</v>
      </c>
      <c r="W190" t="e">
        <f>AND('Eventos en ensayos por ID'!F26,"AAAAAD7HTxY=")</f>
        <v>#VALUE!</v>
      </c>
      <c r="X190" t="e">
        <f>AND('Eventos en ensayos por ID'!G26,"AAAAAD7HTxc=")</f>
        <v>#VALUE!</v>
      </c>
      <c r="Y190">
        <f>IF('Eventos en ensayos por ID'!27:27,"AAAAAD7HTxg=",0)</f>
        <v>0</v>
      </c>
      <c r="Z190" t="e">
        <f>AND('Eventos en ensayos por ID'!A27,"AAAAAD7HTxk=")</f>
        <v>#VALUE!</v>
      </c>
      <c r="AA190" t="e">
        <f>AND('Eventos en ensayos por ID'!B27,"AAAAAD7HTxo=")</f>
        <v>#VALUE!</v>
      </c>
      <c r="AB190" t="e">
        <f>AND('Eventos en ensayos por ID'!C27,"AAAAAD7HTxs=")</f>
        <v>#VALUE!</v>
      </c>
      <c r="AC190" t="e">
        <f>AND('Eventos en ensayos por ID'!D27,"AAAAAD7HTxw=")</f>
        <v>#VALUE!</v>
      </c>
      <c r="AD190" t="e">
        <f>AND('Eventos en ensayos por ID'!E27,"AAAAAD7HTx0=")</f>
        <v>#VALUE!</v>
      </c>
      <c r="AE190" t="e">
        <f>AND('Eventos en ensayos por ID'!F27,"AAAAAD7HTx4=")</f>
        <v>#VALUE!</v>
      </c>
      <c r="AF190" t="e">
        <f>AND('Eventos en ensayos por ID'!G27,"AAAAAD7HTx8=")</f>
        <v>#VALUE!</v>
      </c>
      <c r="AG190">
        <f>IF('Eventos en ensayos por ID'!28:28,"AAAAAD7HTyA=",0)</f>
        <v>0</v>
      </c>
      <c r="AH190" t="e">
        <f>AND('Eventos en ensayos por ID'!A28,"AAAAAD7HTyE=")</f>
        <v>#VALUE!</v>
      </c>
      <c r="AI190" t="e">
        <f>AND('Eventos en ensayos por ID'!B28,"AAAAAD7HTyI=")</f>
        <v>#VALUE!</v>
      </c>
      <c r="AJ190" t="e">
        <f>AND('Eventos en ensayos por ID'!C28,"AAAAAD7HTyM=")</f>
        <v>#VALUE!</v>
      </c>
      <c r="AK190" t="e">
        <f>AND('Eventos en ensayos por ID'!D28,"AAAAAD7HTyQ=")</f>
        <v>#VALUE!</v>
      </c>
      <c r="AL190" t="e">
        <f>AND('Eventos en ensayos por ID'!E28,"AAAAAD7HTyU=")</f>
        <v>#VALUE!</v>
      </c>
      <c r="AM190" t="e">
        <f>AND('Eventos en ensayos por ID'!F28,"AAAAAD7HTyY=")</f>
        <v>#VALUE!</v>
      </c>
      <c r="AN190" t="e">
        <f>AND('Eventos en ensayos por ID'!G28,"AAAAAD7HTyc=")</f>
        <v>#VALUE!</v>
      </c>
      <c r="AO190">
        <f>IF('Eventos en ensayos por ID'!29:29,"AAAAAD7HTyg=",0)</f>
        <v>0</v>
      </c>
      <c r="AP190" t="e">
        <f>AND('Eventos en ensayos por ID'!A29,"AAAAAD7HTyk=")</f>
        <v>#VALUE!</v>
      </c>
      <c r="AQ190" t="e">
        <f>AND('Eventos en ensayos por ID'!B29,"AAAAAD7HTyo=")</f>
        <v>#VALUE!</v>
      </c>
      <c r="AR190" t="e">
        <f>AND('Eventos en ensayos por ID'!C29,"AAAAAD7HTys=")</f>
        <v>#VALUE!</v>
      </c>
      <c r="AS190" t="e">
        <f>AND('Eventos en ensayos por ID'!D29,"AAAAAD7HTyw=")</f>
        <v>#VALUE!</v>
      </c>
      <c r="AT190" t="e">
        <f>AND('Eventos en ensayos por ID'!E29,"AAAAAD7HTy0=")</f>
        <v>#VALUE!</v>
      </c>
      <c r="AU190" t="e">
        <f>AND('Eventos en ensayos por ID'!F29,"AAAAAD7HTy4=")</f>
        <v>#VALUE!</v>
      </c>
      <c r="AV190" t="e">
        <f>AND('Eventos en ensayos por ID'!G29,"AAAAAD7HTy8=")</f>
        <v>#VALUE!</v>
      </c>
      <c r="AW190">
        <f>IF('Eventos en ensayos por ID'!30:30,"AAAAAD7HTzA=",0)</f>
        <v>0</v>
      </c>
      <c r="AX190" t="e">
        <f>AND('Eventos en ensayos por ID'!A30,"AAAAAD7HTzE=")</f>
        <v>#VALUE!</v>
      </c>
      <c r="AY190" t="e">
        <f>AND('Eventos en ensayos por ID'!B30,"AAAAAD7HTzI=")</f>
        <v>#VALUE!</v>
      </c>
      <c r="AZ190" t="e">
        <f>AND('Eventos en ensayos por ID'!C30,"AAAAAD7HTzM=")</f>
        <v>#VALUE!</v>
      </c>
      <c r="BA190" t="e">
        <f>AND('Eventos en ensayos por ID'!D30,"AAAAAD7HTzQ=")</f>
        <v>#VALUE!</v>
      </c>
      <c r="BB190" t="e">
        <f>AND('Eventos en ensayos por ID'!E30,"AAAAAD7HTzU=")</f>
        <v>#VALUE!</v>
      </c>
      <c r="BC190" t="e">
        <f>AND('Eventos en ensayos por ID'!F30,"AAAAAD7HTzY=")</f>
        <v>#VALUE!</v>
      </c>
      <c r="BD190" t="e">
        <f>AND('Eventos en ensayos por ID'!G30,"AAAAAD7HTzc=")</f>
        <v>#VALUE!</v>
      </c>
      <c r="BE190">
        <f>IF('Eventos en ensayos por ID'!31:31,"AAAAAD7HTzg=",0)</f>
        <v>0</v>
      </c>
      <c r="BF190" t="e">
        <f>AND('Eventos en ensayos por ID'!A31,"AAAAAD7HTzk=")</f>
        <v>#VALUE!</v>
      </c>
      <c r="BG190" t="e">
        <f>AND('Eventos en ensayos por ID'!B31,"AAAAAD7HTzo=")</f>
        <v>#VALUE!</v>
      </c>
      <c r="BH190" t="e">
        <f>AND('Eventos en ensayos por ID'!C31,"AAAAAD7HTzs=")</f>
        <v>#VALUE!</v>
      </c>
      <c r="BI190" t="e">
        <f>AND('Eventos en ensayos por ID'!D31,"AAAAAD7HTzw=")</f>
        <v>#VALUE!</v>
      </c>
      <c r="BJ190" t="e">
        <f>AND('Eventos en ensayos por ID'!E31,"AAAAAD7HTz0=")</f>
        <v>#VALUE!</v>
      </c>
      <c r="BK190" t="e">
        <f>AND('Eventos en ensayos por ID'!F31,"AAAAAD7HTz4=")</f>
        <v>#VALUE!</v>
      </c>
      <c r="BL190" t="e">
        <f>AND('Eventos en ensayos por ID'!G31,"AAAAAD7HTz8=")</f>
        <v>#VALUE!</v>
      </c>
      <c r="BM190">
        <f>IF('Eventos en ensayos por ID'!32:32,"AAAAAD7HT0A=",0)</f>
        <v>0</v>
      </c>
      <c r="BN190" t="e">
        <f>AND('Eventos en ensayos por ID'!A32,"AAAAAD7HT0E=")</f>
        <v>#VALUE!</v>
      </c>
      <c r="BO190" t="e">
        <f>AND('Eventos en ensayos por ID'!B32,"AAAAAD7HT0I=")</f>
        <v>#VALUE!</v>
      </c>
      <c r="BP190" t="e">
        <f>AND('Eventos en ensayos por ID'!C32,"AAAAAD7HT0M=")</f>
        <v>#VALUE!</v>
      </c>
      <c r="BQ190" t="e">
        <f>AND('Eventos en ensayos por ID'!D32,"AAAAAD7HT0Q=")</f>
        <v>#VALUE!</v>
      </c>
      <c r="BR190" t="e">
        <f>AND('Eventos en ensayos por ID'!E32,"AAAAAD7HT0U=")</f>
        <v>#VALUE!</v>
      </c>
      <c r="BS190" t="e">
        <f>AND('Eventos en ensayos por ID'!F32,"AAAAAD7HT0Y=")</f>
        <v>#VALUE!</v>
      </c>
      <c r="BT190" t="e">
        <f>AND('Eventos en ensayos por ID'!G32,"AAAAAD7HT0c=")</f>
        <v>#VALUE!</v>
      </c>
      <c r="BU190">
        <f>IF('Eventos en ensayos por ID'!33:33,"AAAAAD7HT0g=",0)</f>
        <v>0</v>
      </c>
      <c r="BV190" t="e">
        <f>AND('Eventos en ensayos por ID'!A33,"AAAAAD7HT0k=")</f>
        <v>#VALUE!</v>
      </c>
      <c r="BW190" t="e">
        <f>AND('Eventos en ensayos por ID'!B33,"AAAAAD7HT0o=")</f>
        <v>#VALUE!</v>
      </c>
      <c r="BX190" t="e">
        <f>AND('Eventos en ensayos por ID'!C33,"AAAAAD7HT0s=")</f>
        <v>#VALUE!</v>
      </c>
      <c r="BY190" t="e">
        <f>AND('Eventos en ensayos por ID'!D33,"AAAAAD7HT0w=")</f>
        <v>#VALUE!</v>
      </c>
      <c r="BZ190" t="e">
        <f>AND('Eventos en ensayos por ID'!E33,"AAAAAD7HT00=")</f>
        <v>#VALUE!</v>
      </c>
      <c r="CA190" t="e">
        <f>AND('Eventos en ensayos por ID'!F33,"AAAAAD7HT04=")</f>
        <v>#VALUE!</v>
      </c>
      <c r="CB190" t="e">
        <f>AND('Eventos en ensayos por ID'!G33,"AAAAAD7HT08=")</f>
        <v>#VALUE!</v>
      </c>
      <c r="CC190">
        <f>IF('Eventos en ensayos por ID'!34:34,"AAAAAD7HT1A=",0)</f>
        <v>0</v>
      </c>
      <c r="CD190" t="e">
        <f>AND('Eventos en ensayos por ID'!A34,"AAAAAD7HT1E=")</f>
        <v>#VALUE!</v>
      </c>
      <c r="CE190" t="e">
        <f>AND('Eventos en ensayos por ID'!B34,"AAAAAD7HT1I=")</f>
        <v>#VALUE!</v>
      </c>
      <c r="CF190" t="e">
        <f>AND('Eventos en ensayos por ID'!C34,"AAAAAD7HT1M=")</f>
        <v>#VALUE!</v>
      </c>
      <c r="CG190" t="e">
        <f>AND('Eventos en ensayos por ID'!D34,"AAAAAD7HT1Q=")</f>
        <v>#VALUE!</v>
      </c>
      <c r="CH190" t="e">
        <f>AND('Eventos en ensayos por ID'!E34,"AAAAAD7HT1U=")</f>
        <v>#VALUE!</v>
      </c>
      <c r="CI190" t="e">
        <f>AND('Eventos en ensayos por ID'!F34,"AAAAAD7HT1Y=")</f>
        <v>#VALUE!</v>
      </c>
      <c r="CJ190" t="e">
        <f>AND('Eventos en ensayos por ID'!G34,"AAAAAD7HT1c=")</f>
        <v>#VALUE!</v>
      </c>
      <c r="CK190">
        <f>IF('Eventos en ensayos por ID'!35:35,"AAAAAD7HT1g=",0)</f>
        <v>0</v>
      </c>
      <c r="CL190" t="e">
        <f>AND('Eventos en ensayos por ID'!A35,"AAAAAD7HT1k=")</f>
        <v>#VALUE!</v>
      </c>
      <c r="CM190" t="e">
        <f>AND('Eventos en ensayos por ID'!B35,"AAAAAD7HT1o=")</f>
        <v>#VALUE!</v>
      </c>
      <c r="CN190" t="e">
        <f>AND('Eventos en ensayos por ID'!C35,"AAAAAD7HT1s=")</f>
        <v>#VALUE!</v>
      </c>
      <c r="CO190" t="e">
        <f>AND('Eventos en ensayos por ID'!D35,"AAAAAD7HT1w=")</f>
        <v>#VALUE!</v>
      </c>
      <c r="CP190" t="e">
        <f>AND('Eventos en ensayos por ID'!E35,"AAAAAD7HT10=")</f>
        <v>#VALUE!</v>
      </c>
      <c r="CQ190" t="e">
        <f>AND('Eventos en ensayos por ID'!F35,"AAAAAD7HT14=")</f>
        <v>#VALUE!</v>
      </c>
      <c r="CR190" t="e">
        <f>AND('Eventos en ensayos por ID'!G35,"AAAAAD7HT18=")</f>
        <v>#VALUE!</v>
      </c>
      <c r="CS190">
        <f>IF('Eventos en ensayos por ID'!36:36,"AAAAAD7HT2A=",0)</f>
        <v>0</v>
      </c>
      <c r="CT190" t="e">
        <f>AND('Eventos en ensayos por ID'!A36,"AAAAAD7HT2E=")</f>
        <v>#VALUE!</v>
      </c>
      <c r="CU190" t="e">
        <f>AND('Eventos en ensayos por ID'!B36,"AAAAAD7HT2I=")</f>
        <v>#VALUE!</v>
      </c>
      <c r="CV190" t="e">
        <f>AND('Eventos en ensayos por ID'!C36,"AAAAAD7HT2M=")</f>
        <v>#VALUE!</v>
      </c>
      <c r="CW190" t="e">
        <f>AND('Eventos en ensayos por ID'!D36,"AAAAAD7HT2Q=")</f>
        <v>#VALUE!</v>
      </c>
      <c r="CX190" t="e">
        <f>AND('Eventos en ensayos por ID'!E36,"AAAAAD7HT2U=")</f>
        <v>#VALUE!</v>
      </c>
      <c r="CY190" t="e">
        <f>AND('Eventos en ensayos por ID'!F36,"AAAAAD7HT2Y=")</f>
        <v>#VALUE!</v>
      </c>
      <c r="CZ190" t="e">
        <f>AND('Eventos en ensayos por ID'!G36,"AAAAAD7HT2c=")</f>
        <v>#VALUE!</v>
      </c>
      <c r="DA190">
        <f>IF('Eventos en ensayos por ID'!37:37,"AAAAAD7HT2g=",0)</f>
        <v>0</v>
      </c>
      <c r="DB190" t="e">
        <f>AND('Eventos en ensayos por ID'!A37,"AAAAAD7HT2k=")</f>
        <v>#VALUE!</v>
      </c>
      <c r="DC190" t="e">
        <f>AND('Eventos en ensayos por ID'!B37,"AAAAAD7HT2o=")</f>
        <v>#VALUE!</v>
      </c>
      <c r="DD190" t="e">
        <f>AND('Eventos en ensayos por ID'!C37,"AAAAAD7HT2s=")</f>
        <v>#VALUE!</v>
      </c>
      <c r="DE190" t="e">
        <f>AND('Eventos en ensayos por ID'!D37,"AAAAAD7HT2w=")</f>
        <v>#VALUE!</v>
      </c>
      <c r="DF190" t="e">
        <f>AND('Eventos en ensayos por ID'!E37,"AAAAAD7HT20=")</f>
        <v>#VALUE!</v>
      </c>
      <c r="DG190" t="e">
        <f>AND('Eventos en ensayos por ID'!F37,"AAAAAD7HT24=")</f>
        <v>#VALUE!</v>
      </c>
      <c r="DH190" t="e">
        <f>AND('Eventos en ensayos por ID'!G37,"AAAAAD7HT28=")</f>
        <v>#VALUE!</v>
      </c>
      <c r="DI190">
        <f>IF('Eventos en ensayos por ID'!38:38,"AAAAAD7HT3A=",0)</f>
        <v>0</v>
      </c>
      <c r="DJ190" t="e">
        <f>AND('Eventos en ensayos por ID'!A38,"AAAAAD7HT3E=")</f>
        <v>#VALUE!</v>
      </c>
      <c r="DK190" t="e">
        <f>AND('Eventos en ensayos por ID'!B38,"AAAAAD7HT3I=")</f>
        <v>#VALUE!</v>
      </c>
      <c r="DL190" t="e">
        <f>AND('Eventos en ensayos por ID'!C38,"AAAAAD7HT3M=")</f>
        <v>#VALUE!</v>
      </c>
      <c r="DM190" t="e">
        <f>AND('Eventos en ensayos por ID'!D38,"AAAAAD7HT3Q=")</f>
        <v>#VALUE!</v>
      </c>
      <c r="DN190" t="e">
        <f>AND('Eventos en ensayos por ID'!E38,"AAAAAD7HT3U=")</f>
        <v>#VALUE!</v>
      </c>
      <c r="DO190" t="e">
        <f>AND('Eventos en ensayos por ID'!F38,"AAAAAD7HT3Y=")</f>
        <v>#VALUE!</v>
      </c>
      <c r="DP190" t="e">
        <f>AND('Eventos en ensayos por ID'!G38,"AAAAAD7HT3c=")</f>
        <v>#VALUE!</v>
      </c>
      <c r="DQ190">
        <f>IF('Eventos en ensayos por ID'!39:39,"AAAAAD7HT3g=",0)</f>
        <v>0</v>
      </c>
      <c r="DR190" t="e">
        <f>AND('Eventos en ensayos por ID'!A39,"AAAAAD7HT3k=")</f>
        <v>#VALUE!</v>
      </c>
      <c r="DS190" t="e">
        <f>AND('Eventos en ensayos por ID'!B39,"AAAAAD7HT3o=")</f>
        <v>#VALUE!</v>
      </c>
      <c r="DT190" t="e">
        <f>AND('Eventos en ensayos por ID'!C39,"AAAAAD7HT3s=")</f>
        <v>#VALUE!</v>
      </c>
      <c r="DU190" t="e">
        <f>AND('Eventos en ensayos por ID'!D39,"AAAAAD7HT3w=")</f>
        <v>#VALUE!</v>
      </c>
      <c r="DV190" t="e">
        <f>AND('Eventos en ensayos por ID'!E39,"AAAAAD7HT30=")</f>
        <v>#VALUE!</v>
      </c>
      <c r="DW190" t="e">
        <f>AND('Eventos en ensayos por ID'!F39,"AAAAAD7HT34=")</f>
        <v>#VALUE!</v>
      </c>
      <c r="DX190" t="e">
        <f>AND('Eventos en ensayos por ID'!G39,"AAAAAD7HT38=")</f>
        <v>#VALUE!</v>
      </c>
      <c r="DY190">
        <f>IF('Eventos en ensayos por ID'!40:40,"AAAAAD7HT4A=",0)</f>
        <v>0</v>
      </c>
      <c r="DZ190" t="e">
        <f>AND('Eventos en ensayos por ID'!A40,"AAAAAD7HT4E=")</f>
        <v>#VALUE!</v>
      </c>
      <c r="EA190" t="e">
        <f>AND('Eventos en ensayos por ID'!B40,"AAAAAD7HT4I=")</f>
        <v>#VALUE!</v>
      </c>
      <c r="EB190" t="e">
        <f>AND('Eventos en ensayos por ID'!C40,"AAAAAD7HT4M=")</f>
        <v>#VALUE!</v>
      </c>
      <c r="EC190" t="e">
        <f>AND('Eventos en ensayos por ID'!D40,"AAAAAD7HT4Q=")</f>
        <v>#VALUE!</v>
      </c>
      <c r="ED190" t="e">
        <f>AND('Eventos en ensayos por ID'!E40,"AAAAAD7HT4U=")</f>
        <v>#VALUE!</v>
      </c>
      <c r="EE190" t="e">
        <f>AND('Eventos en ensayos por ID'!F40,"AAAAAD7HT4Y=")</f>
        <v>#VALUE!</v>
      </c>
      <c r="EF190" t="e">
        <f>AND('Eventos en ensayos por ID'!G40,"AAAAAD7HT4c=")</f>
        <v>#VALUE!</v>
      </c>
      <c r="EG190">
        <f>IF('Eventos en ensayos por ID'!41:41,"AAAAAD7HT4g=",0)</f>
        <v>0</v>
      </c>
      <c r="EH190" t="e">
        <f>AND('Eventos en ensayos por ID'!A41,"AAAAAD7HT4k=")</f>
        <v>#VALUE!</v>
      </c>
      <c r="EI190" t="e">
        <f>AND('Eventos en ensayos por ID'!B41,"AAAAAD7HT4o=")</f>
        <v>#VALUE!</v>
      </c>
      <c r="EJ190" t="e">
        <f>AND('Eventos en ensayos por ID'!C41,"AAAAAD7HT4s=")</f>
        <v>#VALUE!</v>
      </c>
      <c r="EK190" t="e">
        <f>AND('Eventos en ensayos por ID'!D41,"AAAAAD7HT4w=")</f>
        <v>#VALUE!</v>
      </c>
      <c r="EL190" t="e">
        <f>AND('Eventos en ensayos por ID'!E41,"AAAAAD7HT40=")</f>
        <v>#VALUE!</v>
      </c>
      <c r="EM190" t="e">
        <f>AND('Eventos en ensayos por ID'!F41,"AAAAAD7HT44=")</f>
        <v>#VALUE!</v>
      </c>
      <c r="EN190" t="e">
        <f>AND('Eventos en ensayos por ID'!G41,"AAAAAD7HT48=")</f>
        <v>#VALUE!</v>
      </c>
      <c r="EO190">
        <f>IF('Eventos en ensayos por ID'!42:42,"AAAAAD7HT5A=",0)</f>
        <v>0</v>
      </c>
      <c r="EP190" t="e">
        <f>AND('Eventos en ensayos por ID'!A42,"AAAAAD7HT5E=")</f>
        <v>#VALUE!</v>
      </c>
      <c r="EQ190" t="e">
        <f>AND('Eventos en ensayos por ID'!B42,"AAAAAD7HT5I=")</f>
        <v>#VALUE!</v>
      </c>
      <c r="ER190" t="e">
        <f>AND('Eventos en ensayos por ID'!C42,"AAAAAD7HT5M=")</f>
        <v>#VALUE!</v>
      </c>
      <c r="ES190" t="e">
        <f>AND('Eventos en ensayos por ID'!D42,"AAAAAD7HT5Q=")</f>
        <v>#VALUE!</v>
      </c>
      <c r="ET190" t="e">
        <f>AND('Eventos en ensayos por ID'!E42,"AAAAAD7HT5U=")</f>
        <v>#VALUE!</v>
      </c>
      <c r="EU190" t="e">
        <f>AND('Eventos en ensayos por ID'!F42,"AAAAAD7HT5Y=")</f>
        <v>#VALUE!</v>
      </c>
      <c r="EV190" t="e">
        <f>AND('Eventos en ensayos por ID'!G42,"AAAAAD7HT5c=")</f>
        <v>#VALUE!</v>
      </c>
      <c r="EW190">
        <f>IF('Eventos en ensayos por ID'!43:43,"AAAAAD7HT5g=",0)</f>
        <v>0</v>
      </c>
      <c r="EX190" t="e">
        <f>AND('Eventos en ensayos por ID'!A43,"AAAAAD7HT5k=")</f>
        <v>#VALUE!</v>
      </c>
      <c r="EY190" t="e">
        <f>AND('Eventos en ensayos por ID'!B43,"AAAAAD7HT5o=")</f>
        <v>#VALUE!</v>
      </c>
      <c r="EZ190" t="e">
        <f>AND('Eventos en ensayos por ID'!C43,"AAAAAD7HT5s=")</f>
        <v>#VALUE!</v>
      </c>
      <c r="FA190" t="e">
        <f>AND('Eventos en ensayos por ID'!D43,"AAAAAD7HT5w=")</f>
        <v>#VALUE!</v>
      </c>
      <c r="FB190" t="e">
        <f>AND('Eventos en ensayos por ID'!E43,"AAAAAD7HT50=")</f>
        <v>#VALUE!</v>
      </c>
      <c r="FC190" t="e">
        <f>AND('Eventos en ensayos por ID'!F43,"AAAAAD7HT54=")</f>
        <v>#VALUE!</v>
      </c>
      <c r="FD190" t="e">
        <f>AND('Eventos en ensayos por ID'!G43,"AAAAAD7HT58=")</f>
        <v>#VALUE!</v>
      </c>
      <c r="FE190">
        <f>IF('Eventos en ensayos por ID'!44:44,"AAAAAD7HT6A=",0)</f>
        <v>0</v>
      </c>
      <c r="FF190" t="e">
        <f>AND('Eventos en ensayos por ID'!A44,"AAAAAD7HT6E=")</f>
        <v>#VALUE!</v>
      </c>
      <c r="FG190" t="e">
        <f>AND('Eventos en ensayos por ID'!B44,"AAAAAD7HT6I=")</f>
        <v>#VALUE!</v>
      </c>
      <c r="FH190" t="e">
        <f>AND('Eventos en ensayos por ID'!C44,"AAAAAD7HT6M=")</f>
        <v>#VALUE!</v>
      </c>
      <c r="FI190" t="e">
        <f>AND('Eventos en ensayos por ID'!D44,"AAAAAD7HT6Q=")</f>
        <v>#VALUE!</v>
      </c>
      <c r="FJ190" t="e">
        <f>AND('Eventos en ensayos por ID'!E44,"AAAAAD7HT6U=")</f>
        <v>#VALUE!</v>
      </c>
      <c r="FK190" t="e">
        <f>AND('Eventos en ensayos por ID'!F44,"AAAAAD7HT6Y=")</f>
        <v>#VALUE!</v>
      </c>
      <c r="FL190" t="e">
        <f>AND('Eventos en ensayos por ID'!G44,"AAAAAD7HT6c=")</f>
        <v>#VALUE!</v>
      </c>
      <c r="FM190">
        <f>IF('Eventos en ensayos por ID'!45:45,"AAAAAD7HT6g=",0)</f>
        <v>0</v>
      </c>
      <c r="FN190" t="e">
        <f>AND('Eventos en ensayos por ID'!A45,"AAAAAD7HT6k=")</f>
        <v>#VALUE!</v>
      </c>
      <c r="FO190" t="e">
        <f>AND('Eventos en ensayos por ID'!B45,"AAAAAD7HT6o=")</f>
        <v>#VALUE!</v>
      </c>
      <c r="FP190" t="e">
        <f>AND('Eventos en ensayos por ID'!C45,"AAAAAD7HT6s=")</f>
        <v>#VALUE!</v>
      </c>
      <c r="FQ190" t="e">
        <f>AND('Eventos en ensayos por ID'!D45,"AAAAAD7HT6w=")</f>
        <v>#VALUE!</v>
      </c>
      <c r="FR190" t="e">
        <f>AND('Eventos en ensayos por ID'!E45,"AAAAAD7HT60=")</f>
        <v>#VALUE!</v>
      </c>
      <c r="FS190" t="e">
        <f>AND('Eventos en ensayos por ID'!F45,"AAAAAD7HT64=")</f>
        <v>#VALUE!</v>
      </c>
      <c r="FT190" t="e">
        <f>AND('Eventos en ensayos por ID'!G45,"AAAAAD7HT68=")</f>
        <v>#VALUE!</v>
      </c>
      <c r="FU190">
        <f>IF('Eventos en ensayos por ID'!46:46,"AAAAAD7HT7A=",0)</f>
        <v>0</v>
      </c>
      <c r="FV190" t="e">
        <f>AND('Eventos en ensayos por ID'!A46,"AAAAAD7HT7E=")</f>
        <v>#VALUE!</v>
      </c>
      <c r="FW190" t="e">
        <f>AND('Eventos en ensayos por ID'!B46,"AAAAAD7HT7I=")</f>
        <v>#VALUE!</v>
      </c>
      <c r="FX190" t="e">
        <f>AND('Eventos en ensayos por ID'!C46,"AAAAAD7HT7M=")</f>
        <v>#VALUE!</v>
      </c>
      <c r="FY190" t="e">
        <f>AND('Eventos en ensayos por ID'!D46,"AAAAAD7HT7Q=")</f>
        <v>#VALUE!</v>
      </c>
      <c r="FZ190" t="e">
        <f>AND('Eventos en ensayos por ID'!E46,"AAAAAD7HT7U=")</f>
        <v>#VALUE!</v>
      </c>
      <c r="GA190" t="e">
        <f>AND('Eventos en ensayos por ID'!F46,"AAAAAD7HT7Y=")</f>
        <v>#VALUE!</v>
      </c>
      <c r="GB190" t="e">
        <f>AND('Eventos en ensayos por ID'!G46,"AAAAAD7HT7c=")</f>
        <v>#VALUE!</v>
      </c>
      <c r="GC190">
        <f>IF('Eventos en ensayos por ID'!47:47,"AAAAAD7HT7g=",0)</f>
        <v>0</v>
      </c>
      <c r="GD190" t="e">
        <f>AND('Eventos en ensayos por ID'!A47,"AAAAAD7HT7k=")</f>
        <v>#VALUE!</v>
      </c>
      <c r="GE190" t="e">
        <f>AND('Eventos en ensayos por ID'!B47,"AAAAAD7HT7o=")</f>
        <v>#VALUE!</v>
      </c>
      <c r="GF190" t="e">
        <f>AND('Eventos en ensayos por ID'!C47,"AAAAAD7HT7s=")</f>
        <v>#VALUE!</v>
      </c>
      <c r="GG190" t="e">
        <f>AND('Eventos en ensayos por ID'!D47,"AAAAAD7HT7w=")</f>
        <v>#VALUE!</v>
      </c>
      <c r="GH190" t="e">
        <f>AND('Eventos en ensayos por ID'!E47,"AAAAAD7HT70=")</f>
        <v>#VALUE!</v>
      </c>
      <c r="GI190" t="e">
        <f>AND('Eventos en ensayos por ID'!F47,"AAAAAD7HT74=")</f>
        <v>#VALUE!</v>
      </c>
      <c r="GJ190" t="e">
        <f>AND('Eventos en ensayos por ID'!G47,"AAAAAD7HT78=")</f>
        <v>#VALUE!</v>
      </c>
      <c r="GK190">
        <f>IF('Eventos en ensayos por ID'!48:48,"AAAAAD7HT8A=",0)</f>
        <v>0</v>
      </c>
      <c r="GL190" t="e">
        <f>AND('Eventos en ensayos por ID'!A48,"AAAAAD7HT8E=")</f>
        <v>#VALUE!</v>
      </c>
      <c r="GM190" t="e">
        <f>AND('Eventos en ensayos por ID'!B48,"AAAAAD7HT8I=")</f>
        <v>#VALUE!</v>
      </c>
      <c r="GN190" t="e">
        <f>AND('Eventos en ensayos por ID'!C48,"AAAAAD7HT8M=")</f>
        <v>#VALUE!</v>
      </c>
      <c r="GO190" t="e">
        <f>AND('Eventos en ensayos por ID'!D48,"AAAAAD7HT8Q=")</f>
        <v>#VALUE!</v>
      </c>
      <c r="GP190" t="e">
        <f>AND('Eventos en ensayos por ID'!E48,"AAAAAD7HT8U=")</f>
        <v>#VALUE!</v>
      </c>
      <c r="GQ190" t="e">
        <f>AND('Eventos en ensayos por ID'!F48,"AAAAAD7HT8Y=")</f>
        <v>#VALUE!</v>
      </c>
      <c r="GR190" t="e">
        <f>AND('Eventos en ensayos por ID'!G48,"AAAAAD7HT8c=")</f>
        <v>#VALUE!</v>
      </c>
      <c r="GS190">
        <f>IF('Eventos en ensayos por ID'!49:49,"AAAAAD7HT8g=",0)</f>
        <v>0</v>
      </c>
      <c r="GT190" t="e">
        <f>AND('Eventos en ensayos por ID'!A49,"AAAAAD7HT8k=")</f>
        <v>#VALUE!</v>
      </c>
      <c r="GU190" t="e">
        <f>AND('Eventos en ensayos por ID'!B49,"AAAAAD7HT8o=")</f>
        <v>#VALUE!</v>
      </c>
      <c r="GV190" t="e">
        <f>AND('Eventos en ensayos por ID'!C49,"AAAAAD7HT8s=")</f>
        <v>#VALUE!</v>
      </c>
      <c r="GW190" t="e">
        <f>AND('Eventos en ensayos por ID'!D49,"AAAAAD7HT8w=")</f>
        <v>#VALUE!</v>
      </c>
      <c r="GX190" t="e">
        <f>AND('Eventos en ensayos por ID'!E49,"AAAAAD7HT80=")</f>
        <v>#VALUE!</v>
      </c>
      <c r="GY190" t="e">
        <f>AND('Eventos en ensayos por ID'!F49,"AAAAAD7HT84=")</f>
        <v>#VALUE!</v>
      </c>
      <c r="GZ190" t="e">
        <f>AND('Eventos en ensayos por ID'!G49,"AAAAAD7HT88=")</f>
        <v>#VALUE!</v>
      </c>
      <c r="HA190">
        <f>IF('Eventos en ensayos por ID'!50:50,"AAAAAD7HT9A=",0)</f>
        <v>0</v>
      </c>
      <c r="HB190" t="e">
        <f>AND('Eventos en ensayos por ID'!A50,"AAAAAD7HT9E=")</f>
        <v>#VALUE!</v>
      </c>
      <c r="HC190" t="e">
        <f>AND('Eventos en ensayos por ID'!B50,"AAAAAD7HT9I=")</f>
        <v>#VALUE!</v>
      </c>
      <c r="HD190" t="e">
        <f>AND('Eventos en ensayos por ID'!C50,"AAAAAD7HT9M=")</f>
        <v>#VALUE!</v>
      </c>
      <c r="HE190" t="e">
        <f>AND('Eventos en ensayos por ID'!D50,"AAAAAD7HT9Q=")</f>
        <v>#VALUE!</v>
      </c>
      <c r="HF190" t="e">
        <f>AND('Eventos en ensayos por ID'!E50,"AAAAAD7HT9U=")</f>
        <v>#VALUE!</v>
      </c>
      <c r="HG190" t="e">
        <f>AND('Eventos en ensayos por ID'!F50,"AAAAAD7HT9Y=")</f>
        <v>#VALUE!</v>
      </c>
      <c r="HH190" t="e">
        <f>AND('Eventos en ensayos por ID'!G50,"AAAAAD7HT9c=")</f>
        <v>#VALUE!</v>
      </c>
      <c r="HI190">
        <f>IF('Eventos en ensayos por ID'!51:51,"AAAAAD7HT9g=",0)</f>
        <v>0</v>
      </c>
      <c r="HJ190" t="e">
        <f>AND('Eventos en ensayos por ID'!A51,"AAAAAD7HT9k=")</f>
        <v>#VALUE!</v>
      </c>
      <c r="HK190" t="e">
        <f>AND('Eventos en ensayos por ID'!B51,"AAAAAD7HT9o=")</f>
        <v>#VALUE!</v>
      </c>
      <c r="HL190" t="e">
        <f>AND('Eventos en ensayos por ID'!C51,"AAAAAD7HT9s=")</f>
        <v>#VALUE!</v>
      </c>
      <c r="HM190" t="e">
        <f>AND('Eventos en ensayos por ID'!D51,"AAAAAD7HT9w=")</f>
        <v>#VALUE!</v>
      </c>
      <c r="HN190" t="e">
        <f>AND('Eventos en ensayos por ID'!E51,"AAAAAD7HT90=")</f>
        <v>#VALUE!</v>
      </c>
      <c r="HO190" t="e">
        <f>AND('Eventos en ensayos por ID'!F51,"AAAAAD7HT94=")</f>
        <v>#VALUE!</v>
      </c>
      <c r="HP190" t="e">
        <f>AND('Eventos en ensayos por ID'!G51,"AAAAAD7HT98=")</f>
        <v>#VALUE!</v>
      </c>
      <c r="HQ190">
        <f>IF('Eventos en ensayos por ID'!52:52,"AAAAAD7HT+A=",0)</f>
        <v>0</v>
      </c>
      <c r="HR190" t="e">
        <f>AND('Eventos en ensayos por ID'!A52,"AAAAAD7HT+E=")</f>
        <v>#VALUE!</v>
      </c>
      <c r="HS190" t="e">
        <f>AND('Eventos en ensayos por ID'!B52,"AAAAAD7HT+I=")</f>
        <v>#VALUE!</v>
      </c>
      <c r="HT190" t="e">
        <f>AND('Eventos en ensayos por ID'!C52,"AAAAAD7HT+M=")</f>
        <v>#VALUE!</v>
      </c>
      <c r="HU190" t="e">
        <f>AND('Eventos en ensayos por ID'!D52,"AAAAAD7HT+Q=")</f>
        <v>#VALUE!</v>
      </c>
      <c r="HV190" t="e">
        <f>AND('Eventos en ensayos por ID'!E52,"AAAAAD7HT+U=")</f>
        <v>#VALUE!</v>
      </c>
      <c r="HW190" t="e">
        <f>AND('Eventos en ensayos por ID'!F52,"AAAAAD7HT+Y=")</f>
        <v>#VALUE!</v>
      </c>
      <c r="HX190" t="e">
        <f>AND('Eventos en ensayos por ID'!G52,"AAAAAD7HT+c=")</f>
        <v>#VALUE!</v>
      </c>
      <c r="HY190">
        <f>IF('Eventos en ensayos por ID'!53:53,"AAAAAD7HT+g=",0)</f>
        <v>0</v>
      </c>
      <c r="HZ190" t="e">
        <f>AND('Eventos en ensayos por ID'!A53,"AAAAAD7HT+k=")</f>
        <v>#VALUE!</v>
      </c>
      <c r="IA190" t="e">
        <f>AND('Eventos en ensayos por ID'!B53,"AAAAAD7HT+o=")</f>
        <v>#VALUE!</v>
      </c>
      <c r="IB190" t="e">
        <f>AND('Eventos en ensayos por ID'!C53,"AAAAAD7HT+s=")</f>
        <v>#VALUE!</v>
      </c>
      <c r="IC190" t="e">
        <f>AND('Eventos en ensayos por ID'!D53,"AAAAAD7HT+w=")</f>
        <v>#VALUE!</v>
      </c>
      <c r="ID190" t="e">
        <f>AND('Eventos en ensayos por ID'!E53,"AAAAAD7HT+0=")</f>
        <v>#VALUE!</v>
      </c>
      <c r="IE190" t="e">
        <f>AND('Eventos en ensayos por ID'!F53,"AAAAAD7HT+4=")</f>
        <v>#VALUE!</v>
      </c>
      <c r="IF190" t="e">
        <f>AND('Eventos en ensayos por ID'!G53,"AAAAAD7HT+8=")</f>
        <v>#VALUE!</v>
      </c>
      <c r="IG190">
        <f>IF('Eventos en ensayos por ID'!54:54,"AAAAAD7HT/A=",0)</f>
        <v>0</v>
      </c>
      <c r="IH190" t="e">
        <f>AND('Eventos en ensayos por ID'!A54,"AAAAAD7HT/E=")</f>
        <v>#VALUE!</v>
      </c>
      <c r="II190" t="e">
        <f>AND('Eventos en ensayos por ID'!B54,"AAAAAD7HT/I=")</f>
        <v>#VALUE!</v>
      </c>
      <c r="IJ190" t="e">
        <f>AND('Eventos en ensayos por ID'!C54,"AAAAAD7HT/M=")</f>
        <v>#VALUE!</v>
      </c>
      <c r="IK190" t="e">
        <f>AND('Eventos en ensayos por ID'!D54,"AAAAAD7HT/Q=")</f>
        <v>#VALUE!</v>
      </c>
      <c r="IL190" t="e">
        <f>AND('Eventos en ensayos por ID'!E54,"AAAAAD7HT/U=")</f>
        <v>#VALUE!</v>
      </c>
      <c r="IM190" t="e">
        <f>AND('Eventos en ensayos por ID'!F54,"AAAAAD7HT/Y=")</f>
        <v>#VALUE!</v>
      </c>
      <c r="IN190" t="e">
        <f>AND('Eventos en ensayos por ID'!G54,"AAAAAD7HT/c=")</f>
        <v>#VALUE!</v>
      </c>
      <c r="IO190">
        <f>IF('Eventos en ensayos por ID'!55:55,"AAAAAD7HT/g=",0)</f>
        <v>0</v>
      </c>
      <c r="IP190" t="e">
        <f>AND('Eventos en ensayos por ID'!A55,"AAAAAD7HT/k=")</f>
        <v>#VALUE!</v>
      </c>
      <c r="IQ190" t="e">
        <f>AND('Eventos en ensayos por ID'!B55,"AAAAAD7HT/o=")</f>
        <v>#VALUE!</v>
      </c>
      <c r="IR190" t="e">
        <f>AND('Eventos en ensayos por ID'!C55,"AAAAAD7HT/s=")</f>
        <v>#VALUE!</v>
      </c>
      <c r="IS190" t="e">
        <f>AND('Eventos en ensayos por ID'!D55,"AAAAAD7HT/w=")</f>
        <v>#VALUE!</v>
      </c>
      <c r="IT190" t="e">
        <f>AND('Eventos en ensayos por ID'!E55,"AAAAAD7HT/0=")</f>
        <v>#VALUE!</v>
      </c>
      <c r="IU190" t="e">
        <f>AND('Eventos en ensayos por ID'!F55,"AAAAAD7HT/4=")</f>
        <v>#VALUE!</v>
      </c>
      <c r="IV190" t="e">
        <f>AND('Eventos en ensayos por ID'!G55,"AAAAAD7HT/8=")</f>
        <v>#VALUE!</v>
      </c>
    </row>
    <row r="191" spans="1:256" x14ac:dyDescent="0.25">
      <c r="A191" t="str">
        <f>IF('Eventos en ensayos por ID'!56:56,"AAAAAH92aQA=",0)</f>
        <v>AAAAAH92aQA=</v>
      </c>
      <c r="B191" t="e">
        <f>AND('Eventos en ensayos por ID'!A56,"AAAAAH92aQE=")</f>
        <v>#VALUE!</v>
      </c>
      <c r="C191" t="e">
        <f>AND('Eventos en ensayos por ID'!B56,"AAAAAH92aQI=")</f>
        <v>#VALUE!</v>
      </c>
      <c r="D191" t="e">
        <f>AND('Eventos en ensayos por ID'!C56,"AAAAAH92aQM=")</f>
        <v>#VALUE!</v>
      </c>
      <c r="E191" t="e">
        <f>AND('Eventos en ensayos por ID'!D56,"AAAAAH92aQQ=")</f>
        <v>#VALUE!</v>
      </c>
      <c r="F191" t="e">
        <f>AND('Eventos en ensayos por ID'!E56,"AAAAAH92aQU=")</f>
        <v>#VALUE!</v>
      </c>
      <c r="G191" t="e">
        <f>AND('Eventos en ensayos por ID'!F56,"AAAAAH92aQY=")</f>
        <v>#VALUE!</v>
      </c>
      <c r="H191" t="e">
        <f>AND('Eventos en ensayos por ID'!G56,"AAAAAH92aQc=")</f>
        <v>#VALUE!</v>
      </c>
      <c r="I191">
        <f>IF('Eventos en ensayos por ID'!57:57,"AAAAAH92aQg=",0)</f>
        <v>0</v>
      </c>
      <c r="J191" t="e">
        <f>AND('Eventos en ensayos por ID'!A57,"AAAAAH92aQk=")</f>
        <v>#VALUE!</v>
      </c>
      <c r="K191" t="e">
        <f>AND('Eventos en ensayos por ID'!B57,"AAAAAH92aQo=")</f>
        <v>#VALUE!</v>
      </c>
      <c r="L191" t="e">
        <f>AND('Eventos en ensayos por ID'!C57,"AAAAAH92aQs=")</f>
        <v>#VALUE!</v>
      </c>
      <c r="M191" t="e">
        <f>AND('Eventos en ensayos por ID'!D57,"AAAAAH92aQw=")</f>
        <v>#VALUE!</v>
      </c>
      <c r="N191" t="e">
        <f>AND('Eventos en ensayos por ID'!E57,"AAAAAH92aQ0=")</f>
        <v>#VALUE!</v>
      </c>
      <c r="O191" t="e">
        <f>AND('Eventos en ensayos por ID'!F57,"AAAAAH92aQ4=")</f>
        <v>#VALUE!</v>
      </c>
      <c r="P191" t="e">
        <f>AND('Eventos en ensayos por ID'!G57,"AAAAAH92aQ8=")</f>
        <v>#VALUE!</v>
      </c>
      <c r="Q191">
        <f>IF('Eventos en ensayos por ID'!58:58,"AAAAAH92aRA=",0)</f>
        <v>0</v>
      </c>
      <c r="R191" t="e">
        <f>AND('Eventos en ensayos por ID'!A58,"AAAAAH92aRE=")</f>
        <v>#VALUE!</v>
      </c>
      <c r="S191" t="e">
        <f>AND('Eventos en ensayos por ID'!B58,"AAAAAH92aRI=")</f>
        <v>#VALUE!</v>
      </c>
      <c r="T191" t="e">
        <f>AND('Eventos en ensayos por ID'!C58,"AAAAAH92aRM=")</f>
        <v>#VALUE!</v>
      </c>
      <c r="U191" t="e">
        <f>AND('Eventos en ensayos por ID'!D58,"AAAAAH92aRQ=")</f>
        <v>#VALUE!</v>
      </c>
      <c r="V191" t="e">
        <f>AND('Eventos en ensayos por ID'!E58,"AAAAAH92aRU=")</f>
        <v>#VALUE!</v>
      </c>
      <c r="W191" t="e">
        <f>AND('Eventos en ensayos por ID'!F58,"AAAAAH92aRY=")</f>
        <v>#VALUE!</v>
      </c>
      <c r="X191" t="e">
        <f>AND('Eventos en ensayos por ID'!G58,"AAAAAH92aRc=")</f>
        <v>#VALUE!</v>
      </c>
      <c r="Y191">
        <f>IF('Eventos en ensayos por ID'!59:59,"AAAAAH92aRg=",0)</f>
        <v>0</v>
      </c>
      <c r="Z191" t="e">
        <f>AND('Eventos en ensayos por ID'!A59,"AAAAAH92aRk=")</f>
        <v>#VALUE!</v>
      </c>
      <c r="AA191" t="e">
        <f>AND('Eventos en ensayos por ID'!B59,"AAAAAH92aRo=")</f>
        <v>#VALUE!</v>
      </c>
      <c r="AB191" t="e">
        <f>AND('Eventos en ensayos por ID'!C59,"AAAAAH92aRs=")</f>
        <v>#VALUE!</v>
      </c>
      <c r="AC191" t="e">
        <f>AND('Eventos en ensayos por ID'!D59,"AAAAAH92aRw=")</f>
        <v>#VALUE!</v>
      </c>
      <c r="AD191" t="e">
        <f>AND('Eventos en ensayos por ID'!E59,"AAAAAH92aR0=")</f>
        <v>#VALUE!</v>
      </c>
      <c r="AE191" t="e">
        <f>AND('Eventos en ensayos por ID'!F59,"AAAAAH92aR4=")</f>
        <v>#VALUE!</v>
      </c>
      <c r="AF191" t="e">
        <f>AND('Eventos en ensayos por ID'!G59,"AAAAAH92aR8=")</f>
        <v>#VALUE!</v>
      </c>
      <c r="AG191">
        <f>IF('Eventos en ensayos por ID'!60:60,"AAAAAH92aSA=",0)</f>
        <v>0</v>
      </c>
      <c r="AH191" t="e">
        <f>AND('Eventos en ensayos por ID'!A60,"AAAAAH92aSE=")</f>
        <v>#VALUE!</v>
      </c>
      <c r="AI191" t="e">
        <f>AND('Eventos en ensayos por ID'!B60,"AAAAAH92aSI=")</f>
        <v>#VALUE!</v>
      </c>
      <c r="AJ191" t="e">
        <f>AND('Eventos en ensayos por ID'!C60,"AAAAAH92aSM=")</f>
        <v>#VALUE!</v>
      </c>
      <c r="AK191" t="e">
        <f>AND('Eventos en ensayos por ID'!D60,"AAAAAH92aSQ=")</f>
        <v>#VALUE!</v>
      </c>
      <c r="AL191" t="e">
        <f>AND('Eventos en ensayos por ID'!E60,"AAAAAH92aSU=")</f>
        <v>#VALUE!</v>
      </c>
      <c r="AM191" t="e">
        <f>AND('Eventos en ensayos por ID'!F60,"AAAAAH92aSY=")</f>
        <v>#VALUE!</v>
      </c>
      <c r="AN191" t="e">
        <f>AND('Eventos en ensayos por ID'!G60,"AAAAAH92aSc=")</f>
        <v>#VALUE!</v>
      </c>
      <c r="AO191">
        <f>IF('Eventos en ensayos por ID'!61:61,"AAAAAH92aSg=",0)</f>
        <v>0</v>
      </c>
      <c r="AP191" t="e">
        <f>AND('Eventos en ensayos por ID'!A61,"AAAAAH92aSk=")</f>
        <v>#VALUE!</v>
      </c>
      <c r="AQ191" t="e">
        <f>AND('Eventos en ensayos por ID'!B61,"AAAAAH92aSo=")</f>
        <v>#VALUE!</v>
      </c>
      <c r="AR191" t="e">
        <f>AND('Eventos en ensayos por ID'!C61,"AAAAAH92aSs=")</f>
        <v>#VALUE!</v>
      </c>
      <c r="AS191" t="e">
        <f>AND('Eventos en ensayos por ID'!D61,"AAAAAH92aSw=")</f>
        <v>#VALUE!</v>
      </c>
      <c r="AT191" t="e">
        <f>AND('Eventos en ensayos por ID'!E61,"AAAAAH92aS0=")</f>
        <v>#VALUE!</v>
      </c>
      <c r="AU191" t="e">
        <f>AND('Eventos en ensayos por ID'!F61,"AAAAAH92aS4=")</f>
        <v>#VALUE!</v>
      </c>
      <c r="AV191" t="e">
        <f>AND('Eventos en ensayos por ID'!G61,"AAAAAH92aS8=")</f>
        <v>#VALUE!</v>
      </c>
      <c r="AW191">
        <f>IF('Eventos en ensayos por ID'!62:62,"AAAAAH92aTA=",0)</f>
        <v>0</v>
      </c>
      <c r="AX191" t="e">
        <f>AND('Eventos en ensayos por ID'!A62,"AAAAAH92aTE=")</f>
        <v>#VALUE!</v>
      </c>
      <c r="AY191" t="e">
        <f>AND('Eventos en ensayos por ID'!B62,"AAAAAH92aTI=")</f>
        <v>#VALUE!</v>
      </c>
      <c r="AZ191" t="e">
        <f>AND('Eventos en ensayos por ID'!C62,"AAAAAH92aTM=")</f>
        <v>#VALUE!</v>
      </c>
      <c r="BA191" t="e">
        <f>AND('Eventos en ensayos por ID'!D62,"AAAAAH92aTQ=")</f>
        <v>#VALUE!</v>
      </c>
      <c r="BB191" t="e">
        <f>AND('Eventos en ensayos por ID'!E62,"AAAAAH92aTU=")</f>
        <v>#VALUE!</v>
      </c>
      <c r="BC191" t="e">
        <f>AND('Eventos en ensayos por ID'!F62,"AAAAAH92aTY=")</f>
        <v>#VALUE!</v>
      </c>
      <c r="BD191" t="e">
        <f>AND('Eventos en ensayos por ID'!G62,"AAAAAH92aTc=")</f>
        <v>#VALUE!</v>
      </c>
      <c r="BE191">
        <f>IF('Eventos en ensayos por ID'!63:63,"AAAAAH92aTg=",0)</f>
        <v>0</v>
      </c>
      <c r="BF191" t="e">
        <f>AND('Eventos en ensayos por ID'!A63,"AAAAAH92aTk=")</f>
        <v>#VALUE!</v>
      </c>
      <c r="BG191" t="e">
        <f>AND('Eventos en ensayos por ID'!B63,"AAAAAH92aTo=")</f>
        <v>#VALUE!</v>
      </c>
      <c r="BH191" t="e">
        <f>AND('Eventos en ensayos por ID'!C63,"AAAAAH92aTs=")</f>
        <v>#VALUE!</v>
      </c>
      <c r="BI191" t="e">
        <f>AND('Eventos en ensayos por ID'!D63,"AAAAAH92aTw=")</f>
        <v>#VALUE!</v>
      </c>
      <c r="BJ191" t="e">
        <f>AND('Eventos en ensayos por ID'!E63,"AAAAAH92aT0=")</f>
        <v>#VALUE!</v>
      </c>
      <c r="BK191" t="e">
        <f>AND('Eventos en ensayos por ID'!F63,"AAAAAH92aT4=")</f>
        <v>#VALUE!</v>
      </c>
      <c r="BL191" t="e">
        <f>AND('Eventos en ensayos por ID'!G63,"AAAAAH92aT8=")</f>
        <v>#VALUE!</v>
      </c>
      <c r="BM191">
        <f>IF('Eventos en ensayos por ID'!64:64,"AAAAAH92aUA=",0)</f>
        <v>0</v>
      </c>
      <c r="BN191" t="e">
        <f>AND('Eventos en ensayos por ID'!A64,"AAAAAH92aUE=")</f>
        <v>#VALUE!</v>
      </c>
      <c r="BO191" t="e">
        <f>AND('Eventos en ensayos por ID'!B64,"AAAAAH92aUI=")</f>
        <v>#VALUE!</v>
      </c>
      <c r="BP191" t="e">
        <f>AND('Eventos en ensayos por ID'!C64,"AAAAAH92aUM=")</f>
        <v>#VALUE!</v>
      </c>
      <c r="BQ191" t="e">
        <f>AND('Eventos en ensayos por ID'!D64,"AAAAAH92aUQ=")</f>
        <v>#VALUE!</v>
      </c>
      <c r="BR191" t="e">
        <f>AND('Eventos en ensayos por ID'!E64,"AAAAAH92aUU=")</f>
        <v>#VALUE!</v>
      </c>
      <c r="BS191" t="e">
        <f>AND('Eventos en ensayos por ID'!F64,"AAAAAH92aUY=")</f>
        <v>#VALUE!</v>
      </c>
      <c r="BT191" t="e">
        <f>AND('Eventos en ensayos por ID'!G64,"AAAAAH92aUc=")</f>
        <v>#VALUE!</v>
      </c>
      <c r="BU191">
        <f>IF('Eventos en ensayos por ID'!65:65,"AAAAAH92aUg=",0)</f>
        <v>0</v>
      </c>
      <c r="BV191" t="e">
        <f>AND('Eventos en ensayos por ID'!A65,"AAAAAH92aUk=")</f>
        <v>#VALUE!</v>
      </c>
      <c r="BW191" t="e">
        <f>AND('Eventos en ensayos por ID'!B65,"AAAAAH92aUo=")</f>
        <v>#VALUE!</v>
      </c>
      <c r="BX191" t="e">
        <f>AND('Eventos en ensayos por ID'!C65,"AAAAAH92aUs=")</f>
        <v>#VALUE!</v>
      </c>
      <c r="BY191" t="e">
        <f>AND('Eventos en ensayos por ID'!D65,"AAAAAH92aUw=")</f>
        <v>#VALUE!</v>
      </c>
      <c r="BZ191" t="e">
        <f>AND('Eventos en ensayos por ID'!E65,"AAAAAH92aU0=")</f>
        <v>#VALUE!</v>
      </c>
      <c r="CA191" t="e">
        <f>AND('Eventos en ensayos por ID'!F65,"AAAAAH92aU4=")</f>
        <v>#VALUE!</v>
      </c>
      <c r="CB191" t="e">
        <f>AND('Eventos en ensayos por ID'!G65,"AAAAAH92aU8=")</f>
        <v>#VALUE!</v>
      </c>
      <c r="CC191">
        <f>IF('Eventos en ensayos por ID'!66:66,"AAAAAH92aVA=",0)</f>
        <v>0</v>
      </c>
      <c r="CD191" t="e">
        <f>AND('Eventos en ensayos por ID'!A66,"AAAAAH92aVE=")</f>
        <v>#VALUE!</v>
      </c>
      <c r="CE191" t="e">
        <f>AND('Eventos en ensayos por ID'!B66,"AAAAAH92aVI=")</f>
        <v>#VALUE!</v>
      </c>
      <c r="CF191" t="e">
        <f>AND('Eventos en ensayos por ID'!C66,"AAAAAH92aVM=")</f>
        <v>#VALUE!</v>
      </c>
      <c r="CG191" t="e">
        <f>AND('Eventos en ensayos por ID'!D66,"AAAAAH92aVQ=")</f>
        <v>#VALUE!</v>
      </c>
      <c r="CH191" t="e">
        <f>AND('Eventos en ensayos por ID'!E66,"AAAAAH92aVU=")</f>
        <v>#VALUE!</v>
      </c>
      <c r="CI191" t="e">
        <f>AND('Eventos en ensayos por ID'!F66,"AAAAAH92aVY=")</f>
        <v>#VALUE!</v>
      </c>
      <c r="CJ191" t="e">
        <f>AND('Eventos en ensayos por ID'!G66,"AAAAAH92aVc=")</f>
        <v>#VALUE!</v>
      </c>
      <c r="CK191">
        <f>IF('Eventos en ensayos por ID'!67:67,"AAAAAH92aVg=",0)</f>
        <v>0</v>
      </c>
      <c r="CL191" t="e">
        <f>AND('Eventos en ensayos por ID'!A67,"AAAAAH92aVk=")</f>
        <v>#VALUE!</v>
      </c>
      <c r="CM191" t="e">
        <f>AND('Eventos en ensayos por ID'!B67,"AAAAAH92aVo=")</f>
        <v>#VALUE!</v>
      </c>
      <c r="CN191" t="e">
        <f>AND('Eventos en ensayos por ID'!C67,"AAAAAH92aVs=")</f>
        <v>#VALUE!</v>
      </c>
      <c r="CO191" t="e">
        <f>AND('Eventos en ensayos por ID'!D67,"AAAAAH92aVw=")</f>
        <v>#VALUE!</v>
      </c>
      <c r="CP191" t="e">
        <f>AND('Eventos en ensayos por ID'!E67,"AAAAAH92aV0=")</f>
        <v>#VALUE!</v>
      </c>
      <c r="CQ191" t="e">
        <f>AND('Eventos en ensayos por ID'!F67,"AAAAAH92aV4=")</f>
        <v>#VALUE!</v>
      </c>
      <c r="CR191" t="e">
        <f>AND('Eventos en ensayos por ID'!G67,"AAAAAH92aV8=")</f>
        <v>#VALUE!</v>
      </c>
      <c r="CS191">
        <f>IF('Eventos en ensayos por ID'!68:68,"AAAAAH92aWA=",0)</f>
        <v>0</v>
      </c>
      <c r="CT191" t="e">
        <f>AND('Eventos en ensayos por ID'!A68,"AAAAAH92aWE=")</f>
        <v>#VALUE!</v>
      </c>
      <c r="CU191" t="e">
        <f>AND('Eventos en ensayos por ID'!B68,"AAAAAH92aWI=")</f>
        <v>#VALUE!</v>
      </c>
      <c r="CV191" t="e">
        <f>AND('Eventos en ensayos por ID'!C68,"AAAAAH92aWM=")</f>
        <v>#VALUE!</v>
      </c>
      <c r="CW191" t="e">
        <f>AND('Eventos en ensayos por ID'!D68,"AAAAAH92aWQ=")</f>
        <v>#VALUE!</v>
      </c>
      <c r="CX191" t="e">
        <f>AND('Eventos en ensayos por ID'!E68,"AAAAAH92aWU=")</f>
        <v>#VALUE!</v>
      </c>
      <c r="CY191" t="e">
        <f>AND('Eventos en ensayos por ID'!F68,"AAAAAH92aWY=")</f>
        <v>#VALUE!</v>
      </c>
      <c r="CZ191" t="e">
        <f>AND('Eventos en ensayos por ID'!G68,"AAAAAH92aWc=")</f>
        <v>#VALUE!</v>
      </c>
      <c r="DA191">
        <f>IF('Eventos en ensayos por ID'!69:69,"AAAAAH92aWg=",0)</f>
        <v>0</v>
      </c>
      <c r="DB191" t="e">
        <f>AND('Eventos en ensayos por ID'!A69,"AAAAAH92aWk=")</f>
        <v>#VALUE!</v>
      </c>
      <c r="DC191" t="e">
        <f>AND('Eventos en ensayos por ID'!B69,"AAAAAH92aWo=")</f>
        <v>#VALUE!</v>
      </c>
      <c r="DD191" t="e">
        <f>AND('Eventos en ensayos por ID'!C69,"AAAAAH92aWs=")</f>
        <v>#VALUE!</v>
      </c>
      <c r="DE191" t="e">
        <f>AND('Eventos en ensayos por ID'!D69,"AAAAAH92aWw=")</f>
        <v>#VALUE!</v>
      </c>
      <c r="DF191" t="e">
        <f>AND('Eventos en ensayos por ID'!E69,"AAAAAH92aW0=")</f>
        <v>#VALUE!</v>
      </c>
      <c r="DG191" t="e">
        <f>AND('Eventos en ensayos por ID'!F69,"AAAAAH92aW4=")</f>
        <v>#VALUE!</v>
      </c>
      <c r="DH191" t="e">
        <f>AND('Eventos en ensayos por ID'!G69,"AAAAAH92aW8=")</f>
        <v>#VALUE!</v>
      </c>
      <c r="DI191">
        <f>IF('Eventos en ensayos por ID'!70:70,"AAAAAH92aXA=",0)</f>
        <v>0</v>
      </c>
      <c r="DJ191" t="e">
        <f>AND('Eventos en ensayos por ID'!A70,"AAAAAH92aXE=")</f>
        <v>#VALUE!</v>
      </c>
      <c r="DK191" t="e">
        <f>AND('Eventos en ensayos por ID'!B70,"AAAAAH92aXI=")</f>
        <v>#VALUE!</v>
      </c>
      <c r="DL191" t="e">
        <f>AND('Eventos en ensayos por ID'!C70,"AAAAAH92aXM=")</f>
        <v>#VALUE!</v>
      </c>
      <c r="DM191" t="e">
        <f>AND('Eventos en ensayos por ID'!D70,"AAAAAH92aXQ=")</f>
        <v>#VALUE!</v>
      </c>
      <c r="DN191" t="e">
        <f>AND('Eventos en ensayos por ID'!E70,"AAAAAH92aXU=")</f>
        <v>#VALUE!</v>
      </c>
      <c r="DO191" t="e">
        <f>AND('Eventos en ensayos por ID'!F70,"AAAAAH92aXY=")</f>
        <v>#VALUE!</v>
      </c>
      <c r="DP191" t="e">
        <f>AND('Eventos en ensayos por ID'!G70,"AAAAAH92aXc=")</f>
        <v>#VALUE!</v>
      </c>
      <c r="DQ191">
        <f>IF('Eventos en ensayos por ID'!71:71,"AAAAAH92aXg=",0)</f>
        <v>0</v>
      </c>
      <c r="DR191" t="e">
        <f>AND('Eventos en ensayos por ID'!A71,"AAAAAH92aXk=")</f>
        <v>#VALUE!</v>
      </c>
      <c r="DS191" t="e">
        <f>AND('Eventos en ensayos por ID'!B71,"AAAAAH92aXo=")</f>
        <v>#VALUE!</v>
      </c>
      <c r="DT191" t="e">
        <f>AND('Eventos en ensayos por ID'!C71,"AAAAAH92aXs=")</f>
        <v>#VALUE!</v>
      </c>
      <c r="DU191" t="e">
        <f>AND('Eventos en ensayos por ID'!D71,"AAAAAH92aXw=")</f>
        <v>#VALUE!</v>
      </c>
      <c r="DV191" t="e">
        <f>AND('Eventos en ensayos por ID'!E71,"AAAAAH92aX0=")</f>
        <v>#VALUE!</v>
      </c>
      <c r="DW191" t="e">
        <f>AND('Eventos en ensayos por ID'!F71,"AAAAAH92aX4=")</f>
        <v>#VALUE!</v>
      </c>
      <c r="DX191" t="e">
        <f>AND('Eventos en ensayos por ID'!G71,"AAAAAH92aX8=")</f>
        <v>#VALUE!</v>
      </c>
      <c r="DY191">
        <f>IF('Eventos en ensayos por ID'!72:72,"AAAAAH92aYA=",0)</f>
        <v>0</v>
      </c>
      <c r="DZ191" t="e">
        <f>AND('Eventos en ensayos por ID'!A72,"AAAAAH92aYE=")</f>
        <v>#VALUE!</v>
      </c>
      <c r="EA191" t="e">
        <f>AND('Eventos en ensayos por ID'!B72,"AAAAAH92aYI=")</f>
        <v>#VALUE!</v>
      </c>
      <c r="EB191" t="e">
        <f>AND('Eventos en ensayos por ID'!C72,"AAAAAH92aYM=")</f>
        <v>#VALUE!</v>
      </c>
      <c r="EC191" t="e">
        <f>AND('Eventos en ensayos por ID'!D72,"AAAAAH92aYQ=")</f>
        <v>#VALUE!</v>
      </c>
      <c r="ED191" t="e">
        <f>AND('Eventos en ensayos por ID'!E72,"AAAAAH92aYU=")</f>
        <v>#VALUE!</v>
      </c>
      <c r="EE191" t="e">
        <f>AND('Eventos en ensayos por ID'!F72,"AAAAAH92aYY=")</f>
        <v>#VALUE!</v>
      </c>
      <c r="EF191" t="e">
        <f>AND('Eventos en ensayos por ID'!G72,"AAAAAH92aYc=")</f>
        <v>#VALUE!</v>
      </c>
      <c r="EG191">
        <f>IF('Eventos en ensayos por ID'!73:73,"AAAAAH92aYg=",0)</f>
        <v>0</v>
      </c>
      <c r="EH191" t="e">
        <f>AND('Eventos en ensayos por ID'!A73,"AAAAAH92aYk=")</f>
        <v>#VALUE!</v>
      </c>
      <c r="EI191" t="e">
        <f>AND('Eventos en ensayos por ID'!B73,"AAAAAH92aYo=")</f>
        <v>#VALUE!</v>
      </c>
      <c r="EJ191" t="e">
        <f>AND('Eventos en ensayos por ID'!C73,"AAAAAH92aYs=")</f>
        <v>#VALUE!</v>
      </c>
      <c r="EK191" t="e">
        <f>AND('Eventos en ensayos por ID'!D73,"AAAAAH92aYw=")</f>
        <v>#VALUE!</v>
      </c>
      <c r="EL191" t="e">
        <f>AND('Eventos en ensayos por ID'!E73,"AAAAAH92aY0=")</f>
        <v>#VALUE!</v>
      </c>
      <c r="EM191" t="e">
        <f>AND('Eventos en ensayos por ID'!F73,"AAAAAH92aY4=")</f>
        <v>#VALUE!</v>
      </c>
      <c r="EN191" t="e">
        <f>AND('Eventos en ensayos por ID'!G73,"AAAAAH92aY8=")</f>
        <v>#VALUE!</v>
      </c>
      <c r="EO191">
        <f>IF('Eventos en ensayos por ID'!74:74,"AAAAAH92aZA=",0)</f>
        <v>0</v>
      </c>
      <c r="EP191" t="e">
        <f>AND('Eventos en ensayos por ID'!A74,"AAAAAH92aZE=")</f>
        <v>#VALUE!</v>
      </c>
      <c r="EQ191" t="e">
        <f>AND('Eventos en ensayos por ID'!B74,"AAAAAH92aZI=")</f>
        <v>#VALUE!</v>
      </c>
      <c r="ER191" t="e">
        <f>AND('Eventos en ensayos por ID'!C74,"AAAAAH92aZM=")</f>
        <v>#VALUE!</v>
      </c>
      <c r="ES191" t="e">
        <f>AND('Eventos en ensayos por ID'!D74,"AAAAAH92aZQ=")</f>
        <v>#VALUE!</v>
      </c>
      <c r="ET191" t="e">
        <f>AND('Eventos en ensayos por ID'!E74,"AAAAAH92aZU=")</f>
        <v>#VALUE!</v>
      </c>
      <c r="EU191" t="e">
        <f>AND('Eventos en ensayos por ID'!F74,"AAAAAH92aZY=")</f>
        <v>#VALUE!</v>
      </c>
      <c r="EV191" t="e">
        <f>AND('Eventos en ensayos por ID'!G74,"AAAAAH92aZc=")</f>
        <v>#VALUE!</v>
      </c>
      <c r="EW191">
        <f>IF('Eventos en ensayos por ID'!75:75,"AAAAAH92aZg=",0)</f>
        <v>0</v>
      </c>
      <c r="EX191" t="e">
        <f>AND('Eventos en ensayos por ID'!A75,"AAAAAH92aZk=")</f>
        <v>#VALUE!</v>
      </c>
      <c r="EY191" t="e">
        <f>AND('Eventos en ensayos por ID'!B75,"AAAAAH92aZo=")</f>
        <v>#VALUE!</v>
      </c>
      <c r="EZ191" t="e">
        <f>AND('Eventos en ensayos por ID'!C75,"AAAAAH92aZs=")</f>
        <v>#VALUE!</v>
      </c>
      <c r="FA191" t="e">
        <f>AND('Eventos en ensayos por ID'!D75,"AAAAAH92aZw=")</f>
        <v>#VALUE!</v>
      </c>
      <c r="FB191" t="e">
        <f>AND('Eventos en ensayos por ID'!E75,"AAAAAH92aZ0=")</f>
        <v>#VALUE!</v>
      </c>
      <c r="FC191" t="e">
        <f>AND('Eventos en ensayos por ID'!F75,"AAAAAH92aZ4=")</f>
        <v>#VALUE!</v>
      </c>
      <c r="FD191" t="e">
        <f>AND('Eventos en ensayos por ID'!G75,"AAAAAH92aZ8=")</f>
        <v>#VALUE!</v>
      </c>
      <c r="FE191">
        <f>IF('Eventos en ensayos por ID'!76:76,"AAAAAH92aaA=",0)</f>
        <v>0</v>
      </c>
      <c r="FF191" t="e">
        <f>AND('Eventos en ensayos por ID'!A76,"AAAAAH92aaE=")</f>
        <v>#VALUE!</v>
      </c>
      <c r="FG191" t="e">
        <f>AND('Eventos en ensayos por ID'!B76,"AAAAAH92aaI=")</f>
        <v>#VALUE!</v>
      </c>
      <c r="FH191" t="e">
        <f>AND('Eventos en ensayos por ID'!C76,"AAAAAH92aaM=")</f>
        <v>#VALUE!</v>
      </c>
      <c r="FI191" t="e">
        <f>AND('Eventos en ensayos por ID'!D76,"AAAAAH92aaQ=")</f>
        <v>#VALUE!</v>
      </c>
      <c r="FJ191" t="e">
        <f>AND('Eventos en ensayos por ID'!E76,"AAAAAH92aaU=")</f>
        <v>#VALUE!</v>
      </c>
      <c r="FK191" t="e">
        <f>AND('Eventos en ensayos por ID'!F76,"AAAAAH92aaY=")</f>
        <v>#VALUE!</v>
      </c>
      <c r="FL191" t="e">
        <f>AND('Eventos en ensayos por ID'!G76,"AAAAAH92aac=")</f>
        <v>#VALUE!</v>
      </c>
      <c r="FM191">
        <f>IF('Eventos en ensayos por ID'!77:77,"AAAAAH92aag=",0)</f>
        <v>0</v>
      </c>
      <c r="FN191" t="e">
        <f>AND('Eventos en ensayos por ID'!A77,"AAAAAH92aak=")</f>
        <v>#VALUE!</v>
      </c>
      <c r="FO191" t="e">
        <f>AND('Eventos en ensayos por ID'!B77,"AAAAAH92aao=")</f>
        <v>#VALUE!</v>
      </c>
      <c r="FP191" t="e">
        <f>AND('Eventos en ensayos por ID'!C77,"AAAAAH92aas=")</f>
        <v>#VALUE!</v>
      </c>
      <c r="FQ191" t="e">
        <f>AND('Eventos en ensayos por ID'!D77,"AAAAAH92aaw=")</f>
        <v>#VALUE!</v>
      </c>
      <c r="FR191" t="e">
        <f>AND('Eventos en ensayos por ID'!E77,"AAAAAH92aa0=")</f>
        <v>#VALUE!</v>
      </c>
      <c r="FS191" t="e">
        <f>AND('Eventos en ensayos por ID'!F77,"AAAAAH92aa4=")</f>
        <v>#VALUE!</v>
      </c>
      <c r="FT191" t="e">
        <f>AND('Eventos en ensayos por ID'!G77,"AAAAAH92aa8=")</f>
        <v>#VALUE!</v>
      </c>
      <c r="FU191">
        <f>IF('Eventos en ensayos por ID'!78:78,"AAAAAH92abA=",0)</f>
        <v>0</v>
      </c>
      <c r="FV191" t="e">
        <f>AND('Eventos en ensayos por ID'!A78,"AAAAAH92abE=")</f>
        <v>#VALUE!</v>
      </c>
      <c r="FW191" t="e">
        <f>AND('Eventos en ensayos por ID'!B78,"AAAAAH92abI=")</f>
        <v>#VALUE!</v>
      </c>
      <c r="FX191" t="e">
        <f>AND('Eventos en ensayos por ID'!C78,"AAAAAH92abM=")</f>
        <v>#VALUE!</v>
      </c>
      <c r="FY191" t="e">
        <f>AND('Eventos en ensayos por ID'!D78,"AAAAAH92abQ=")</f>
        <v>#VALUE!</v>
      </c>
      <c r="FZ191" t="e">
        <f>AND('Eventos en ensayos por ID'!E78,"AAAAAH92abU=")</f>
        <v>#VALUE!</v>
      </c>
      <c r="GA191" t="e">
        <f>AND('Eventos en ensayos por ID'!F78,"AAAAAH92abY=")</f>
        <v>#VALUE!</v>
      </c>
      <c r="GB191" t="e">
        <f>AND('Eventos en ensayos por ID'!G78,"AAAAAH92abc=")</f>
        <v>#VALUE!</v>
      </c>
      <c r="GC191">
        <f>IF('Eventos en ensayos por ID'!79:79,"AAAAAH92abg=",0)</f>
        <v>0</v>
      </c>
      <c r="GD191" t="e">
        <f>AND('Eventos en ensayos por ID'!A79,"AAAAAH92abk=")</f>
        <v>#VALUE!</v>
      </c>
      <c r="GE191" t="e">
        <f>AND('Eventos en ensayos por ID'!B79,"AAAAAH92abo=")</f>
        <v>#VALUE!</v>
      </c>
      <c r="GF191" t="e">
        <f>AND('Eventos en ensayos por ID'!C79,"AAAAAH92abs=")</f>
        <v>#VALUE!</v>
      </c>
      <c r="GG191" t="e">
        <f>AND('Eventos en ensayos por ID'!D79,"AAAAAH92abw=")</f>
        <v>#VALUE!</v>
      </c>
      <c r="GH191" t="e">
        <f>AND('Eventos en ensayos por ID'!E79,"AAAAAH92ab0=")</f>
        <v>#VALUE!</v>
      </c>
      <c r="GI191" t="e">
        <f>AND('Eventos en ensayos por ID'!F79,"AAAAAH92ab4=")</f>
        <v>#VALUE!</v>
      </c>
      <c r="GJ191" t="e">
        <f>AND('Eventos en ensayos por ID'!G79,"AAAAAH92ab8=")</f>
        <v>#VALUE!</v>
      </c>
      <c r="GK191">
        <f>IF('Eventos en ensayos por ID'!80:80,"AAAAAH92acA=",0)</f>
        <v>0</v>
      </c>
      <c r="GL191" t="e">
        <f>AND('Eventos en ensayos por ID'!A80,"AAAAAH92acE=")</f>
        <v>#VALUE!</v>
      </c>
      <c r="GM191" t="e">
        <f>AND('Eventos en ensayos por ID'!B80,"AAAAAH92acI=")</f>
        <v>#VALUE!</v>
      </c>
      <c r="GN191" t="e">
        <f>AND('Eventos en ensayos por ID'!C80,"AAAAAH92acM=")</f>
        <v>#VALUE!</v>
      </c>
      <c r="GO191" t="e">
        <f>AND('Eventos en ensayos por ID'!D80,"AAAAAH92acQ=")</f>
        <v>#VALUE!</v>
      </c>
      <c r="GP191" t="e">
        <f>AND('Eventos en ensayos por ID'!E80,"AAAAAH92acU=")</f>
        <v>#VALUE!</v>
      </c>
      <c r="GQ191" t="e">
        <f>AND('Eventos en ensayos por ID'!F80,"AAAAAH92acY=")</f>
        <v>#VALUE!</v>
      </c>
      <c r="GR191" t="e">
        <f>AND('Eventos en ensayos por ID'!G80,"AAAAAH92acc=")</f>
        <v>#VALUE!</v>
      </c>
      <c r="GS191">
        <f>IF('Eventos en ensayos por ID'!81:81,"AAAAAH92acg=",0)</f>
        <v>0</v>
      </c>
      <c r="GT191" t="e">
        <f>AND('Eventos en ensayos por ID'!A81,"AAAAAH92ack=")</f>
        <v>#VALUE!</v>
      </c>
      <c r="GU191" t="e">
        <f>AND('Eventos en ensayos por ID'!B81,"AAAAAH92aco=")</f>
        <v>#VALUE!</v>
      </c>
      <c r="GV191" t="e">
        <f>AND('Eventos en ensayos por ID'!C81,"AAAAAH92acs=")</f>
        <v>#VALUE!</v>
      </c>
      <c r="GW191" t="e">
        <f>AND('Eventos en ensayos por ID'!D81,"AAAAAH92acw=")</f>
        <v>#VALUE!</v>
      </c>
      <c r="GX191" t="e">
        <f>AND('Eventos en ensayos por ID'!E81,"AAAAAH92ac0=")</f>
        <v>#VALUE!</v>
      </c>
      <c r="GY191" t="e">
        <f>AND('Eventos en ensayos por ID'!F81,"AAAAAH92ac4=")</f>
        <v>#VALUE!</v>
      </c>
      <c r="GZ191" t="e">
        <f>AND('Eventos en ensayos por ID'!G81,"AAAAAH92ac8=")</f>
        <v>#VALUE!</v>
      </c>
      <c r="HA191">
        <f>IF('Eventos en ensayos por ID'!82:82,"AAAAAH92adA=",0)</f>
        <v>0</v>
      </c>
      <c r="HB191" t="e">
        <f>AND('Eventos en ensayos por ID'!A82,"AAAAAH92adE=")</f>
        <v>#VALUE!</v>
      </c>
      <c r="HC191" t="e">
        <f>AND('Eventos en ensayos por ID'!B82,"AAAAAH92adI=")</f>
        <v>#VALUE!</v>
      </c>
      <c r="HD191" t="e">
        <f>AND('Eventos en ensayos por ID'!C82,"AAAAAH92adM=")</f>
        <v>#VALUE!</v>
      </c>
      <c r="HE191" t="e">
        <f>AND('Eventos en ensayos por ID'!D82,"AAAAAH92adQ=")</f>
        <v>#VALUE!</v>
      </c>
      <c r="HF191" t="e">
        <f>AND('Eventos en ensayos por ID'!E82,"AAAAAH92adU=")</f>
        <v>#VALUE!</v>
      </c>
      <c r="HG191" t="e">
        <f>AND('Eventos en ensayos por ID'!F82,"AAAAAH92adY=")</f>
        <v>#VALUE!</v>
      </c>
      <c r="HH191" t="e">
        <f>AND('Eventos en ensayos por ID'!G82,"AAAAAH92adc=")</f>
        <v>#VALUE!</v>
      </c>
      <c r="HI191">
        <f>IF('Eventos en ensayos por ID'!83:83,"AAAAAH92adg=",0)</f>
        <v>0</v>
      </c>
      <c r="HJ191" t="e">
        <f>AND('Eventos en ensayos por ID'!A83,"AAAAAH92adk=")</f>
        <v>#VALUE!</v>
      </c>
      <c r="HK191" t="e">
        <f>AND('Eventos en ensayos por ID'!B83,"AAAAAH92ado=")</f>
        <v>#VALUE!</v>
      </c>
      <c r="HL191" t="e">
        <f>AND('Eventos en ensayos por ID'!C83,"AAAAAH92ads=")</f>
        <v>#VALUE!</v>
      </c>
      <c r="HM191" t="e">
        <f>AND('Eventos en ensayos por ID'!D83,"AAAAAH92adw=")</f>
        <v>#VALUE!</v>
      </c>
      <c r="HN191" t="e">
        <f>AND('Eventos en ensayos por ID'!E83,"AAAAAH92ad0=")</f>
        <v>#VALUE!</v>
      </c>
      <c r="HO191" t="e">
        <f>AND('Eventos en ensayos por ID'!F83,"AAAAAH92ad4=")</f>
        <v>#VALUE!</v>
      </c>
      <c r="HP191" t="e">
        <f>AND('Eventos en ensayos por ID'!G83,"AAAAAH92ad8=")</f>
        <v>#VALUE!</v>
      </c>
      <c r="HQ191">
        <f>IF('Eventos en ensayos por ID'!84:84,"AAAAAH92aeA=",0)</f>
        <v>0</v>
      </c>
      <c r="HR191" t="e">
        <f>AND('Eventos en ensayos por ID'!A84,"AAAAAH92aeE=")</f>
        <v>#VALUE!</v>
      </c>
      <c r="HS191" t="e">
        <f>AND('Eventos en ensayos por ID'!B84,"AAAAAH92aeI=")</f>
        <v>#VALUE!</v>
      </c>
      <c r="HT191" t="e">
        <f>AND('Eventos en ensayos por ID'!C84,"AAAAAH92aeM=")</f>
        <v>#VALUE!</v>
      </c>
      <c r="HU191" t="e">
        <f>AND('Eventos en ensayos por ID'!D84,"AAAAAH92aeQ=")</f>
        <v>#VALUE!</v>
      </c>
      <c r="HV191" t="e">
        <f>AND('Eventos en ensayos por ID'!E84,"AAAAAH92aeU=")</f>
        <v>#VALUE!</v>
      </c>
      <c r="HW191" t="e">
        <f>AND('Eventos en ensayos por ID'!F84,"AAAAAH92aeY=")</f>
        <v>#VALUE!</v>
      </c>
      <c r="HX191" t="e">
        <f>AND('Eventos en ensayos por ID'!G84,"AAAAAH92aec=")</f>
        <v>#VALUE!</v>
      </c>
      <c r="HY191">
        <f>IF('Eventos en ensayos por ID'!85:85,"AAAAAH92aeg=",0)</f>
        <v>0</v>
      </c>
      <c r="HZ191" t="e">
        <f>AND('Eventos en ensayos por ID'!A85,"AAAAAH92aek=")</f>
        <v>#VALUE!</v>
      </c>
      <c r="IA191" t="e">
        <f>AND('Eventos en ensayos por ID'!B85,"AAAAAH92aeo=")</f>
        <v>#VALUE!</v>
      </c>
      <c r="IB191" t="e">
        <f>AND('Eventos en ensayos por ID'!C85,"AAAAAH92aes=")</f>
        <v>#VALUE!</v>
      </c>
      <c r="IC191" t="e">
        <f>AND('Eventos en ensayos por ID'!D85,"AAAAAH92aew=")</f>
        <v>#VALUE!</v>
      </c>
      <c r="ID191" t="e">
        <f>AND('Eventos en ensayos por ID'!E85,"AAAAAH92ae0=")</f>
        <v>#VALUE!</v>
      </c>
      <c r="IE191" t="e">
        <f>AND('Eventos en ensayos por ID'!F85,"AAAAAH92ae4=")</f>
        <v>#VALUE!</v>
      </c>
      <c r="IF191" t="e">
        <f>AND('Eventos en ensayos por ID'!G85,"AAAAAH92ae8=")</f>
        <v>#VALUE!</v>
      </c>
      <c r="IG191">
        <f>IF('Eventos en ensayos por ID'!86:86,"AAAAAH92afA=",0)</f>
        <v>0</v>
      </c>
      <c r="IH191" t="e">
        <f>AND('Eventos en ensayos por ID'!A86,"AAAAAH92afE=")</f>
        <v>#VALUE!</v>
      </c>
      <c r="II191" t="e">
        <f>AND('Eventos en ensayos por ID'!B86,"AAAAAH92afI=")</f>
        <v>#VALUE!</v>
      </c>
      <c r="IJ191" t="e">
        <f>AND('Eventos en ensayos por ID'!C86,"AAAAAH92afM=")</f>
        <v>#VALUE!</v>
      </c>
      <c r="IK191" t="e">
        <f>AND('Eventos en ensayos por ID'!D86,"AAAAAH92afQ=")</f>
        <v>#VALUE!</v>
      </c>
      <c r="IL191" t="e">
        <f>AND('Eventos en ensayos por ID'!E86,"AAAAAH92afU=")</f>
        <v>#VALUE!</v>
      </c>
      <c r="IM191" t="e">
        <f>AND('Eventos en ensayos por ID'!F86,"AAAAAH92afY=")</f>
        <v>#VALUE!</v>
      </c>
      <c r="IN191" t="e">
        <f>AND('Eventos en ensayos por ID'!G86,"AAAAAH92afc=")</f>
        <v>#VALUE!</v>
      </c>
      <c r="IO191">
        <f>IF('Eventos en ensayos por ID'!87:87,"AAAAAH92afg=",0)</f>
        <v>0</v>
      </c>
      <c r="IP191" t="e">
        <f>AND('Eventos en ensayos por ID'!A87,"AAAAAH92afk=")</f>
        <v>#VALUE!</v>
      </c>
      <c r="IQ191" t="e">
        <f>AND('Eventos en ensayos por ID'!B87,"AAAAAH92afo=")</f>
        <v>#VALUE!</v>
      </c>
      <c r="IR191" t="e">
        <f>AND('Eventos en ensayos por ID'!C87,"AAAAAH92afs=")</f>
        <v>#VALUE!</v>
      </c>
      <c r="IS191" t="e">
        <f>AND('Eventos en ensayos por ID'!D87,"AAAAAH92afw=")</f>
        <v>#VALUE!</v>
      </c>
      <c r="IT191" t="e">
        <f>AND('Eventos en ensayos por ID'!E87,"AAAAAH92af0=")</f>
        <v>#VALUE!</v>
      </c>
      <c r="IU191" t="e">
        <f>AND('Eventos en ensayos por ID'!F87,"AAAAAH92af4=")</f>
        <v>#VALUE!</v>
      </c>
      <c r="IV191" t="e">
        <f>AND('Eventos en ensayos por ID'!G87,"AAAAAH92af8=")</f>
        <v>#VALUE!</v>
      </c>
    </row>
    <row r="192" spans="1:256" x14ac:dyDescent="0.25">
      <c r="A192" t="str">
        <f>IF('Eventos en ensayos por ID'!88:88,"AAAAAGM//QA=",0)</f>
        <v>AAAAAGM//QA=</v>
      </c>
      <c r="B192" t="e">
        <f>AND('Eventos en ensayos por ID'!A88,"AAAAAGM//QE=")</f>
        <v>#VALUE!</v>
      </c>
      <c r="C192" t="e">
        <f>AND('Eventos en ensayos por ID'!B88,"AAAAAGM//QI=")</f>
        <v>#VALUE!</v>
      </c>
      <c r="D192" t="e">
        <f>AND('Eventos en ensayos por ID'!C88,"AAAAAGM//QM=")</f>
        <v>#VALUE!</v>
      </c>
      <c r="E192" t="e">
        <f>AND('Eventos en ensayos por ID'!D88,"AAAAAGM//QQ=")</f>
        <v>#VALUE!</v>
      </c>
      <c r="F192" t="e">
        <f>AND('Eventos en ensayos por ID'!E88,"AAAAAGM//QU=")</f>
        <v>#VALUE!</v>
      </c>
      <c r="G192" t="e">
        <f>AND('Eventos en ensayos por ID'!F88,"AAAAAGM//QY=")</f>
        <v>#VALUE!</v>
      </c>
      <c r="H192" t="e">
        <f>AND('Eventos en ensayos por ID'!G88,"AAAAAGM//Qc=")</f>
        <v>#VALUE!</v>
      </c>
      <c r="I192">
        <f>IF('Eventos en ensayos por ID'!89:89,"AAAAAGM//Qg=",0)</f>
        <v>0</v>
      </c>
      <c r="J192" t="e">
        <f>AND('Eventos en ensayos por ID'!A89,"AAAAAGM//Qk=")</f>
        <v>#VALUE!</v>
      </c>
      <c r="K192" t="e">
        <f>AND('Eventos en ensayos por ID'!B89,"AAAAAGM//Qo=")</f>
        <v>#VALUE!</v>
      </c>
      <c r="L192" t="e">
        <f>AND('Eventos en ensayos por ID'!C89,"AAAAAGM//Qs=")</f>
        <v>#VALUE!</v>
      </c>
      <c r="M192" t="e">
        <f>AND('Eventos en ensayos por ID'!D89,"AAAAAGM//Qw=")</f>
        <v>#VALUE!</v>
      </c>
      <c r="N192" t="e">
        <f>AND('Eventos en ensayos por ID'!E89,"AAAAAGM//Q0=")</f>
        <v>#VALUE!</v>
      </c>
      <c r="O192" t="e">
        <f>AND('Eventos en ensayos por ID'!F89,"AAAAAGM//Q4=")</f>
        <v>#VALUE!</v>
      </c>
      <c r="P192" t="e">
        <f>AND('Eventos en ensayos por ID'!G89,"AAAAAGM//Q8=")</f>
        <v>#VALUE!</v>
      </c>
      <c r="Q192">
        <f>IF('Eventos en ensayos por ID'!90:90,"AAAAAGM//RA=",0)</f>
        <v>0</v>
      </c>
      <c r="R192" t="e">
        <f>AND('Eventos en ensayos por ID'!A90,"AAAAAGM//RE=")</f>
        <v>#VALUE!</v>
      </c>
      <c r="S192" t="e">
        <f>AND('Eventos en ensayos por ID'!B90,"AAAAAGM//RI=")</f>
        <v>#VALUE!</v>
      </c>
      <c r="T192" t="e">
        <f>AND('Eventos en ensayos por ID'!C90,"AAAAAGM//RM=")</f>
        <v>#VALUE!</v>
      </c>
      <c r="U192" t="e">
        <f>AND('Eventos en ensayos por ID'!D90,"AAAAAGM//RQ=")</f>
        <v>#VALUE!</v>
      </c>
      <c r="V192" t="e">
        <f>AND('Eventos en ensayos por ID'!E90,"AAAAAGM//RU=")</f>
        <v>#VALUE!</v>
      </c>
      <c r="W192" t="e">
        <f>AND('Eventos en ensayos por ID'!F90,"AAAAAGM//RY=")</f>
        <v>#VALUE!</v>
      </c>
      <c r="X192" t="e">
        <f>AND('Eventos en ensayos por ID'!G90,"AAAAAGM//Rc=")</f>
        <v>#VALUE!</v>
      </c>
      <c r="Y192">
        <f>IF('Eventos en ensayos por ID'!91:91,"AAAAAGM//Rg=",0)</f>
        <v>0</v>
      </c>
      <c r="Z192" t="e">
        <f>AND('Eventos en ensayos por ID'!A91,"AAAAAGM//Rk=")</f>
        <v>#VALUE!</v>
      </c>
      <c r="AA192" t="e">
        <f>AND('Eventos en ensayos por ID'!B91,"AAAAAGM//Ro=")</f>
        <v>#VALUE!</v>
      </c>
      <c r="AB192" t="e">
        <f>AND('Eventos en ensayos por ID'!C91,"AAAAAGM//Rs=")</f>
        <v>#VALUE!</v>
      </c>
      <c r="AC192" t="e">
        <f>AND('Eventos en ensayos por ID'!D91,"AAAAAGM//Rw=")</f>
        <v>#VALUE!</v>
      </c>
      <c r="AD192" t="e">
        <f>AND('Eventos en ensayos por ID'!E91,"AAAAAGM//R0=")</f>
        <v>#VALUE!</v>
      </c>
      <c r="AE192" t="e">
        <f>AND('Eventos en ensayos por ID'!F91,"AAAAAGM//R4=")</f>
        <v>#VALUE!</v>
      </c>
      <c r="AF192" t="e">
        <f>AND('Eventos en ensayos por ID'!G91,"AAAAAGM//R8=")</f>
        <v>#VALUE!</v>
      </c>
      <c r="AG192">
        <f>IF('Eventos en ensayos por ID'!92:92,"AAAAAGM//SA=",0)</f>
        <v>0</v>
      </c>
      <c r="AH192" t="e">
        <f>AND('Eventos en ensayos por ID'!A92,"AAAAAGM//SE=")</f>
        <v>#VALUE!</v>
      </c>
      <c r="AI192" t="e">
        <f>AND('Eventos en ensayos por ID'!B92,"AAAAAGM//SI=")</f>
        <v>#VALUE!</v>
      </c>
      <c r="AJ192" t="e">
        <f>AND('Eventos en ensayos por ID'!C92,"AAAAAGM//SM=")</f>
        <v>#VALUE!</v>
      </c>
      <c r="AK192" t="e">
        <f>AND('Eventos en ensayos por ID'!D92,"AAAAAGM//SQ=")</f>
        <v>#VALUE!</v>
      </c>
      <c r="AL192" t="e">
        <f>AND('Eventos en ensayos por ID'!E92,"AAAAAGM//SU=")</f>
        <v>#VALUE!</v>
      </c>
      <c r="AM192" t="e">
        <f>AND('Eventos en ensayos por ID'!F92,"AAAAAGM//SY=")</f>
        <v>#VALUE!</v>
      </c>
      <c r="AN192" t="e">
        <f>AND('Eventos en ensayos por ID'!G92,"AAAAAGM//Sc=")</f>
        <v>#VALUE!</v>
      </c>
      <c r="AO192">
        <f>IF('Eventos en ensayos por ID'!93:93,"AAAAAGM//Sg=",0)</f>
        <v>0</v>
      </c>
      <c r="AP192" t="e">
        <f>AND('Eventos en ensayos por ID'!A93,"AAAAAGM//Sk=")</f>
        <v>#VALUE!</v>
      </c>
      <c r="AQ192" t="e">
        <f>AND('Eventos en ensayos por ID'!B93,"AAAAAGM//So=")</f>
        <v>#VALUE!</v>
      </c>
      <c r="AR192" t="e">
        <f>AND('Eventos en ensayos por ID'!C93,"AAAAAGM//Ss=")</f>
        <v>#VALUE!</v>
      </c>
      <c r="AS192" t="e">
        <f>AND('Eventos en ensayos por ID'!D93,"AAAAAGM//Sw=")</f>
        <v>#VALUE!</v>
      </c>
      <c r="AT192" t="e">
        <f>AND('Eventos en ensayos por ID'!E93,"AAAAAGM//S0=")</f>
        <v>#VALUE!</v>
      </c>
      <c r="AU192" t="e">
        <f>AND('Eventos en ensayos por ID'!F93,"AAAAAGM//S4=")</f>
        <v>#VALUE!</v>
      </c>
      <c r="AV192" t="e">
        <f>AND('Eventos en ensayos por ID'!G93,"AAAAAGM//S8=")</f>
        <v>#VALUE!</v>
      </c>
      <c r="AW192">
        <f>IF('Eventos en ensayos por ID'!94:94,"AAAAAGM//TA=",0)</f>
        <v>0</v>
      </c>
      <c r="AX192" t="e">
        <f>AND('Eventos en ensayos por ID'!A94,"AAAAAGM//TE=")</f>
        <v>#VALUE!</v>
      </c>
      <c r="AY192" t="e">
        <f>AND('Eventos en ensayos por ID'!B94,"AAAAAGM//TI=")</f>
        <v>#VALUE!</v>
      </c>
      <c r="AZ192" t="e">
        <f>AND('Eventos en ensayos por ID'!C94,"AAAAAGM//TM=")</f>
        <v>#VALUE!</v>
      </c>
      <c r="BA192" t="e">
        <f>AND('Eventos en ensayos por ID'!D94,"AAAAAGM//TQ=")</f>
        <v>#VALUE!</v>
      </c>
      <c r="BB192" t="e">
        <f>AND('Eventos en ensayos por ID'!E94,"AAAAAGM//TU=")</f>
        <v>#VALUE!</v>
      </c>
      <c r="BC192" t="e">
        <f>AND('Eventos en ensayos por ID'!F94,"AAAAAGM//TY=")</f>
        <v>#VALUE!</v>
      </c>
      <c r="BD192" t="e">
        <f>AND('Eventos en ensayos por ID'!G94,"AAAAAGM//Tc=")</f>
        <v>#VALUE!</v>
      </c>
      <c r="BE192">
        <f>IF('Eventos en ensayos por ID'!95:95,"AAAAAGM//Tg=",0)</f>
        <v>0</v>
      </c>
      <c r="BF192" t="e">
        <f>AND('Eventos en ensayos por ID'!A95,"AAAAAGM//Tk=")</f>
        <v>#VALUE!</v>
      </c>
      <c r="BG192" t="e">
        <f>AND('Eventos en ensayos por ID'!B95,"AAAAAGM//To=")</f>
        <v>#VALUE!</v>
      </c>
      <c r="BH192" t="e">
        <f>AND('Eventos en ensayos por ID'!C95,"AAAAAGM//Ts=")</f>
        <v>#VALUE!</v>
      </c>
      <c r="BI192" t="e">
        <f>AND('Eventos en ensayos por ID'!D95,"AAAAAGM//Tw=")</f>
        <v>#VALUE!</v>
      </c>
      <c r="BJ192" t="e">
        <f>AND('Eventos en ensayos por ID'!E95,"AAAAAGM//T0=")</f>
        <v>#VALUE!</v>
      </c>
      <c r="BK192" t="e">
        <f>AND('Eventos en ensayos por ID'!F95,"AAAAAGM//T4=")</f>
        <v>#VALUE!</v>
      </c>
      <c r="BL192" t="e">
        <f>AND('Eventos en ensayos por ID'!G95,"AAAAAGM//T8=")</f>
        <v>#VALUE!</v>
      </c>
      <c r="BM192">
        <f>IF('Eventos en ensayos por ID'!96:96,"AAAAAGM//UA=",0)</f>
        <v>0</v>
      </c>
      <c r="BN192" t="e">
        <f>AND('Eventos en ensayos por ID'!A96,"AAAAAGM//UE=")</f>
        <v>#VALUE!</v>
      </c>
      <c r="BO192" t="e">
        <f>AND('Eventos en ensayos por ID'!B96,"AAAAAGM//UI=")</f>
        <v>#VALUE!</v>
      </c>
      <c r="BP192" t="e">
        <f>AND('Eventos en ensayos por ID'!C96,"AAAAAGM//UM=")</f>
        <v>#VALUE!</v>
      </c>
      <c r="BQ192" t="e">
        <f>AND('Eventos en ensayos por ID'!D96,"AAAAAGM//UQ=")</f>
        <v>#VALUE!</v>
      </c>
      <c r="BR192" t="e">
        <f>AND('Eventos en ensayos por ID'!E96,"AAAAAGM//UU=")</f>
        <v>#VALUE!</v>
      </c>
      <c r="BS192" t="e">
        <f>AND('Eventos en ensayos por ID'!F96,"AAAAAGM//UY=")</f>
        <v>#VALUE!</v>
      </c>
      <c r="BT192" t="e">
        <f>AND('Eventos en ensayos por ID'!G96,"AAAAAGM//Uc=")</f>
        <v>#VALUE!</v>
      </c>
      <c r="BU192">
        <f>IF('Eventos en ensayos por ID'!97:97,"AAAAAGM//Ug=",0)</f>
        <v>0</v>
      </c>
      <c r="BV192" t="e">
        <f>AND('Eventos en ensayos por ID'!A97,"AAAAAGM//Uk=")</f>
        <v>#VALUE!</v>
      </c>
      <c r="BW192" t="e">
        <f>AND('Eventos en ensayos por ID'!B97,"AAAAAGM//Uo=")</f>
        <v>#VALUE!</v>
      </c>
      <c r="BX192" t="e">
        <f>AND('Eventos en ensayos por ID'!C97,"AAAAAGM//Us=")</f>
        <v>#VALUE!</v>
      </c>
      <c r="BY192" t="e">
        <f>AND('Eventos en ensayos por ID'!D97,"AAAAAGM//Uw=")</f>
        <v>#VALUE!</v>
      </c>
      <c r="BZ192" t="e">
        <f>AND('Eventos en ensayos por ID'!E97,"AAAAAGM//U0=")</f>
        <v>#VALUE!</v>
      </c>
      <c r="CA192" t="e">
        <f>AND('Eventos en ensayos por ID'!F97,"AAAAAGM//U4=")</f>
        <v>#VALUE!</v>
      </c>
      <c r="CB192" t="e">
        <f>AND('Eventos en ensayos por ID'!G97,"AAAAAGM//U8=")</f>
        <v>#VALUE!</v>
      </c>
      <c r="CC192">
        <f>IF('Eventos en ensayos por ID'!98:98,"AAAAAGM//VA=",0)</f>
        <v>0</v>
      </c>
      <c r="CD192" t="e">
        <f>AND('Eventos en ensayos por ID'!A98,"AAAAAGM//VE=")</f>
        <v>#VALUE!</v>
      </c>
      <c r="CE192" t="e">
        <f>AND('Eventos en ensayos por ID'!B98,"AAAAAGM//VI=")</f>
        <v>#VALUE!</v>
      </c>
      <c r="CF192" t="e">
        <f>AND('Eventos en ensayos por ID'!C98,"AAAAAGM//VM=")</f>
        <v>#VALUE!</v>
      </c>
      <c r="CG192" t="e">
        <f>AND('Eventos en ensayos por ID'!D98,"AAAAAGM//VQ=")</f>
        <v>#VALUE!</v>
      </c>
      <c r="CH192" t="e">
        <f>AND('Eventos en ensayos por ID'!E98,"AAAAAGM//VU=")</f>
        <v>#VALUE!</v>
      </c>
      <c r="CI192" t="e">
        <f>AND('Eventos en ensayos por ID'!F98,"AAAAAGM//VY=")</f>
        <v>#VALUE!</v>
      </c>
      <c r="CJ192" t="e">
        <f>AND('Eventos en ensayos por ID'!G98,"AAAAAGM//Vc=")</f>
        <v>#VALUE!</v>
      </c>
      <c r="CK192">
        <f>IF('Eventos en ensayos por ID'!99:99,"AAAAAGM//Vg=",0)</f>
        <v>0</v>
      </c>
      <c r="CL192" t="e">
        <f>AND('Eventos en ensayos por ID'!A99,"AAAAAGM//Vk=")</f>
        <v>#VALUE!</v>
      </c>
      <c r="CM192" t="e">
        <f>AND('Eventos en ensayos por ID'!B99,"AAAAAGM//Vo=")</f>
        <v>#VALUE!</v>
      </c>
      <c r="CN192" t="e">
        <f>AND('Eventos en ensayos por ID'!C99,"AAAAAGM//Vs=")</f>
        <v>#VALUE!</v>
      </c>
      <c r="CO192" t="e">
        <f>AND('Eventos en ensayos por ID'!D99,"AAAAAGM//Vw=")</f>
        <v>#VALUE!</v>
      </c>
      <c r="CP192" t="e">
        <f>AND('Eventos en ensayos por ID'!E99,"AAAAAGM//V0=")</f>
        <v>#VALUE!</v>
      </c>
      <c r="CQ192" t="e">
        <f>AND('Eventos en ensayos por ID'!F99,"AAAAAGM//V4=")</f>
        <v>#VALUE!</v>
      </c>
      <c r="CR192" t="e">
        <f>AND('Eventos en ensayos por ID'!G99,"AAAAAGM//V8=")</f>
        <v>#VALUE!</v>
      </c>
      <c r="CS192">
        <f>IF('Eventos en ensayos por ID'!100:100,"AAAAAGM//WA=",0)</f>
        <v>0</v>
      </c>
      <c r="CT192" t="e">
        <f>AND('Eventos en ensayos por ID'!A100,"AAAAAGM//WE=")</f>
        <v>#VALUE!</v>
      </c>
      <c r="CU192" t="e">
        <f>AND('Eventos en ensayos por ID'!B100,"AAAAAGM//WI=")</f>
        <v>#VALUE!</v>
      </c>
      <c r="CV192" t="e">
        <f>AND('Eventos en ensayos por ID'!C100,"AAAAAGM//WM=")</f>
        <v>#VALUE!</v>
      </c>
      <c r="CW192" t="e">
        <f>AND('Eventos en ensayos por ID'!D100,"AAAAAGM//WQ=")</f>
        <v>#VALUE!</v>
      </c>
      <c r="CX192" t="e">
        <f>AND('Eventos en ensayos por ID'!E100,"AAAAAGM//WU=")</f>
        <v>#VALUE!</v>
      </c>
      <c r="CY192" t="e">
        <f>AND('Eventos en ensayos por ID'!F100,"AAAAAGM//WY=")</f>
        <v>#VALUE!</v>
      </c>
      <c r="CZ192" t="e">
        <f>AND('Eventos en ensayos por ID'!G100,"AAAAAGM//Wc=")</f>
        <v>#VALUE!</v>
      </c>
      <c r="DA192">
        <f>IF('Eventos en ensayos por ID'!101:101,"AAAAAGM//Wg=",0)</f>
        <v>0</v>
      </c>
      <c r="DB192" t="e">
        <f>AND('Eventos en ensayos por ID'!A101,"AAAAAGM//Wk=")</f>
        <v>#VALUE!</v>
      </c>
      <c r="DC192" t="e">
        <f>AND('Eventos en ensayos por ID'!B101,"AAAAAGM//Wo=")</f>
        <v>#VALUE!</v>
      </c>
      <c r="DD192" t="e">
        <f>AND('Eventos en ensayos por ID'!C101,"AAAAAGM//Ws=")</f>
        <v>#VALUE!</v>
      </c>
      <c r="DE192" t="e">
        <f>AND('Eventos en ensayos por ID'!D101,"AAAAAGM//Ww=")</f>
        <v>#VALUE!</v>
      </c>
      <c r="DF192" t="e">
        <f>AND('Eventos en ensayos por ID'!E101,"AAAAAGM//W0=")</f>
        <v>#VALUE!</v>
      </c>
      <c r="DG192" t="e">
        <f>AND('Eventos en ensayos por ID'!F101,"AAAAAGM//W4=")</f>
        <v>#VALUE!</v>
      </c>
      <c r="DH192" t="e">
        <f>AND('Eventos en ensayos por ID'!G101,"AAAAAGM//W8=")</f>
        <v>#VALUE!</v>
      </c>
      <c r="DI192">
        <f>IF('Eventos en ensayos por ID'!102:102,"AAAAAGM//XA=",0)</f>
        <v>0</v>
      </c>
      <c r="DJ192" t="e">
        <f>AND('Eventos en ensayos por ID'!A102,"AAAAAGM//XE=")</f>
        <v>#VALUE!</v>
      </c>
      <c r="DK192" t="e">
        <f>AND('Eventos en ensayos por ID'!B102,"AAAAAGM//XI=")</f>
        <v>#VALUE!</v>
      </c>
      <c r="DL192" t="e">
        <f>AND('Eventos en ensayos por ID'!C102,"AAAAAGM//XM=")</f>
        <v>#VALUE!</v>
      </c>
      <c r="DM192" t="e">
        <f>AND('Eventos en ensayos por ID'!D102,"AAAAAGM//XQ=")</f>
        <v>#VALUE!</v>
      </c>
      <c r="DN192" t="e">
        <f>AND('Eventos en ensayos por ID'!E102,"AAAAAGM//XU=")</f>
        <v>#VALUE!</v>
      </c>
      <c r="DO192" t="e">
        <f>AND('Eventos en ensayos por ID'!F102,"AAAAAGM//XY=")</f>
        <v>#VALUE!</v>
      </c>
      <c r="DP192" t="e">
        <f>AND('Eventos en ensayos por ID'!G102,"AAAAAGM//Xc=")</f>
        <v>#VALUE!</v>
      </c>
      <c r="DQ192">
        <f>IF('Eventos en ensayos por ID'!103:103,"AAAAAGM//Xg=",0)</f>
        <v>0</v>
      </c>
      <c r="DR192" t="e">
        <f>AND('Eventos en ensayos por ID'!A103,"AAAAAGM//Xk=")</f>
        <v>#VALUE!</v>
      </c>
      <c r="DS192" t="e">
        <f>AND('Eventos en ensayos por ID'!B103,"AAAAAGM//Xo=")</f>
        <v>#VALUE!</v>
      </c>
      <c r="DT192" t="e">
        <f>AND('Eventos en ensayos por ID'!C103,"AAAAAGM//Xs=")</f>
        <v>#VALUE!</v>
      </c>
      <c r="DU192" t="e">
        <f>AND('Eventos en ensayos por ID'!D103,"AAAAAGM//Xw=")</f>
        <v>#VALUE!</v>
      </c>
      <c r="DV192" t="e">
        <f>AND('Eventos en ensayos por ID'!E103,"AAAAAGM//X0=")</f>
        <v>#VALUE!</v>
      </c>
      <c r="DW192" t="e">
        <f>AND('Eventos en ensayos por ID'!F103,"AAAAAGM//X4=")</f>
        <v>#VALUE!</v>
      </c>
      <c r="DX192" t="e">
        <f>AND('Eventos en ensayos por ID'!G103,"AAAAAGM//X8=")</f>
        <v>#VALUE!</v>
      </c>
      <c r="DY192">
        <f>IF('Eventos en ensayos por ID'!104:104,"AAAAAGM//YA=",0)</f>
        <v>0</v>
      </c>
      <c r="DZ192" t="e">
        <f>AND('Eventos en ensayos por ID'!A104,"AAAAAGM//YE=")</f>
        <v>#VALUE!</v>
      </c>
      <c r="EA192" t="e">
        <f>AND('Eventos en ensayos por ID'!B104,"AAAAAGM//YI=")</f>
        <v>#VALUE!</v>
      </c>
      <c r="EB192" t="e">
        <f>AND('Eventos en ensayos por ID'!C104,"AAAAAGM//YM=")</f>
        <v>#VALUE!</v>
      </c>
      <c r="EC192" t="e">
        <f>AND('Eventos en ensayos por ID'!D104,"AAAAAGM//YQ=")</f>
        <v>#VALUE!</v>
      </c>
      <c r="ED192" t="e">
        <f>AND('Eventos en ensayos por ID'!E104,"AAAAAGM//YU=")</f>
        <v>#VALUE!</v>
      </c>
      <c r="EE192" t="e">
        <f>AND('Eventos en ensayos por ID'!F104,"AAAAAGM//YY=")</f>
        <v>#VALUE!</v>
      </c>
      <c r="EF192" t="e">
        <f>AND('Eventos en ensayos por ID'!G104,"AAAAAGM//Yc=")</f>
        <v>#VALUE!</v>
      </c>
      <c r="EG192">
        <f>IF('Eventos en ensayos por ID'!105:105,"AAAAAGM//Yg=",0)</f>
        <v>0</v>
      </c>
      <c r="EH192" t="e">
        <f>AND('Eventos en ensayos por ID'!A105,"AAAAAGM//Yk=")</f>
        <v>#VALUE!</v>
      </c>
      <c r="EI192" t="e">
        <f>AND('Eventos en ensayos por ID'!B105,"AAAAAGM//Yo=")</f>
        <v>#VALUE!</v>
      </c>
      <c r="EJ192" t="e">
        <f>AND('Eventos en ensayos por ID'!C105,"AAAAAGM//Ys=")</f>
        <v>#VALUE!</v>
      </c>
      <c r="EK192" t="e">
        <f>AND('Eventos en ensayos por ID'!D105,"AAAAAGM//Yw=")</f>
        <v>#VALUE!</v>
      </c>
      <c r="EL192" t="e">
        <f>AND('Eventos en ensayos por ID'!E105,"AAAAAGM//Y0=")</f>
        <v>#VALUE!</v>
      </c>
      <c r="EM192" t="e">
        <f>AND('Eventos en ensayos por ID'!F105,"AAAAAGM//Y4=")</f>
        <v>#VALUE!</v>
      </c>
      <c r="EN192" t="e">
        <f>AND('Eventos en ensayos por ID'!G105,"AAAAAGM//Y8=")</f>
        <v>#VALUE!</v>
      </c>
      <c r="EO192">
        <f>IF('Eventos en ensayos por ID'!106:106,"AAAAAGM//ZA=",0)</f>
        <v>0</v>
      </c>
      <c r="EP192" t="e">
        <f>AND('Eventos en ensayos por ID'!A106,"AAAAAGM//ZE=")</f>
        <v>#VALUE!</v>
      </c>
      <c r="EQ192" t="e">
        <f>AND('Eventos en ensayos por ID'!B106,"AAAAAGM//ZI=")</f>
        <v>#VALUE!</v>
      </c>
      <c r="ER192" t="e">
        <f>AND('Eventos en ensayos por ID'!C106,"AAAAAGM//ZM=")</f>
        <v>#VALUE!</v>
      </c>
      <c r="ES192" t="e">
        <f>AND('Eventos en ensayos por ID'!D106,"AAAAAGM//ZQ=")</f>
        <v>#VALUE!</v>
      </c>
      <c r="ET192" t="e">
        <f>AND('Eventos en ensayos por ID'!E106,"AAAAAGM//ZU=")</f>
        <v>#VALUE!</v>
      </c>
      <c r="EU192" t="e">
        <f>AND('Eventos en ensayos por ID'!F106,"AAAAAGM//ZY=")</f>
        <v>#VALUE!</v>
      </c>
      <c r="EV192" t="e">
        <f>AND('Eventos en ensayos por ID'!G106,"AAAAAGM//Zc=")</f>
        <v>#VALUE!</v>
      </c>
      <c r="EW192">
        <f>IF('Eventos en ensayos por ID'!107:107,"AAAAAGM//Zg=",0)</f>
        <v>0</v>
      </c>
      <c r="EX192" t="e">
        <f>AND('Eventos en ensayos por ID'!A107,"AAAAAGM//Zk=")</f>
        <v>#VALUE!</v>
      </c>
      <c r="EY192" t="e">
        <f>AND('Eventos en ensayos por ID'!B107,"AAAAAGM//Zo=")</f>
        <v>#VALUE!</v>
      </c>
      <c r="EZ192" t="e">
        <f>AND('Eventos en ensayos por ID'!C107,"AAAAAGM//Zs=")</f>
        <v>#VALUE!</v>
      </c>
      <c r="FA192" t="e">
        <f>AND('Eventos en ensayos por ID'!D107,"AAAAAGM//Zw=")</f>
        <v>#VALUE!</v>
      </c>
      <c r="FB192" t="e">
        <f>AND('Eventos en ensayos por ID'!E107,"AAAAAGM//Z0=")</f>
        <v>#VALUE!</v>
      </c>
      <c r="FC192" t="e">
        <f>AND('Eventos en ensayos por ID'!F107,"AAAAAGM//Z4=")</f>
        <v>#VALUE!</v>
      </c>
      <c r="FD192" t="e">
        <f>AND('Eventos en ensayos por ID'!G107,"AAAAAGM//Z8=")</f>
        <v>#VALUE!</v>
      </c>
      <c r="FE192">
        <f>IF('Eventos en ensayos por ID'!108:108,"AAAAAGM//aA=",0)</f>
        <v>0</v>
      </c>
      <c r="FF192" t="e">
        <f>AND('Eventos en ensayos por ID'!A108,"AAAAAGM//aE=")</f>
        <v>#VALUE!</v>
      </c>
      <c r="FG192" t="e">
        <f>AND('Eventos en ensayos por ID'!B108,"AAAAAGM//aI=")</f>
        <v>#VALUE!</v>
      </c>
      <c r="FH192" t="e">
        <f>AND('Eventos en ensayos por ID'!C108,"AAAAAGM//aM=")</f>
        <v>#VALUE!</v>
      </c>
      <c r="FI192" t="e">
        <f>AND('Eventos en ensayos por ID'!D108,"AAAAAGM//aQ=")</f>
        <v>#VALUE!</v>
      </c>
      <c r="FJ192" t="e">
        <f>AND('Eventos en ensayos por ID'!E108,"AAAAAGM//aU=")</f>
        <v>#VALUE!</v>
      </c>
      <c r="FK192" t="e">
        <f>AND('Eventos en ensayos por ID'!F108,"AAAAAGM//aY=")</f>
        <v>#VALUE!</v>
      </c>
      <c r="FL192" t="e">
        <f>AND('Eventos en ensayos por ID'!G108,"AAAAAGM//ac=")</f>
        <v>#VALUE!</v>
      </c>
      <c r="FM192">
        <f>IF('Eventos en ensayos por ID'!109:109,"AAAAAGM//ag=",0)</f>
        <v>0</v>
      </c>
      <c r="FN192" t="e">
        <f>AND('Eventos en ensayos por ID'!A109,"AAAAAGM//ak=")</f>
        <v>#VALUE!</v>
      </c>
      <c r="FO192" t="e">
        <f>AND('Eventos en ensayos por ID'!B109,"AAAAAGM//ao=")</f>
        <v>#VALUE!</v>
      </c>
      <c r="FP192" t="e">
        <f>AND('Eventos en ensayos por ID'!C109,"AAAAAGM//as=")</f>
        <v>#VALUE!</v>
      </c>
      <c r="FQ192" t="e">
        <f>AND('Eventos en ensayos por ID'!D109,"AAAAAGM//aw=")</f>
        <v>#VALUE!</v>
      </c>
      <c r="FR192" t="e">
        <f>AND('Eventos en ensayos por ID'!E109,"AAAAAGM//a0=")</f>
        <v>#VALUE!</v>
      </c>
      <c r="FS192" t="e">
        <f>AND('Eventos en ensayos por ID'!F109,"AAAAAGM//a4=")</f>
        <v>#VALUE!</v>
      </c>
      <c r="FT192" t="e">
        <f>AND('Eventos en ensayos por ID'!G109,"AAAAAGM//a8=")</f>
        <v>#VALUE!</v>
      </c>
      <c r="FU192">
        <f>IF('Eventos en ensayos por ID'!110:110,"AAAAAGM//bA=",0)</f>
        <v>0</v>
      </c>
      <c r="FV192" t="e">
        <f>AND('Eventos en ensayos por ID'!A110,"AAAAAGM//bE=")</f>
        <v>#VALUE!</v>
      </c>
      <c r="FW192" t="e">
        <f>AND('Eventos en ensayos por ID'!B110,"AAAAAGM//bI=")</f>
        <v>#VALUE!</v>
      </c>
      <c r="FX192" t="e">
        <f>AND('Eventos en ensayos por ID'!C110,"AAAAAGM//bM=")</f>
        <v>#VALUE!</v>
      </c>
      <c r="FY192" t="e">
        <f>AND('Eventos en ensayos por ID'!D110,"AAAAAGM//bQ=")</f>
        <v>#VALUE!</v>
      </c>
      <c r="FZ192" t="e">
        <f>AND('Eventos en ensayos por ID'!E110,"AAAAAGM//bU=")</f>
        <v>#VALUE!</v>
      </c>
      <c r="GA192" t="e">
        <f>AND('Eventos en ensayos por ID'!F110,"AAAAAGM//bY=")</f>
        <v>#VALUE!</v>
      </c>
      <c r="GB192" t="e">
        <f>AND('Eventos en ensayos por ID'!G110,"AAAAAGM//bc=")</f>
        <v>#VALUE!</v>
      </c>
      <c r="GC192">
        <f>IF('Eventos en ensayos por ID'!111:111,"AAAAAGM//bg=",0)</f>
        <v>0</v>
      </c>
      <c r="GD192" t="e">
        <f>AND('Eventos en ensayos por ID'!A111,"AAAAAGM//bk=")</f>
        <v>#VALUE!</v>
      </c>
      <c r="GE192" t="e">
        <f>AND('Eventos en ensayos por ID'!B111,"AAAAAGM//bo=")</f>
        <v>#VALUE!</v>
      </c>
      <c r="GF192" t="e">
        <f>AND('Eventos en ensayos por ID'!C111,"AAAAAGM//bs=")</f>
        <v>#VALUE!</v>
      </c>
      <c r="GG192" t="e">
        <f>AND('Eventos en ensayos por ID'!D111,"AAAAAGM//bw=")</f>
        <v>#VALUE!</v>
      </c>
      <c r="GH192" t="e">
        <f>AND('Eventos en ensayos por ID'!E111,"AAAAAGM//b0=")</f>
        <v>#VALUE!</v>
      </c>
      <c r="GI192" t="e">
        <f>AND('Eventos en ensayos por ID'!F111,"AAAAAGM//b4=")</f>
        <v>#VALUE!</v>
      </c>
      <c r="GJ192" t="e">
        <f>AND('Eventos en ensayos por ID'!G111,"AAAAAGM//b8=")</f>
        <v>#VALUE!</v>
      </c>
      <c r="GK192">
        <f>IF('Eventos en ensayos por ID'!112:112,"AAAAAGM//cA=",0)</f>
        <v>0</v>
      </c>
      <c r="GL192" t="e">
        <f>AND('Eventos en ensayos por ID'!A112,"AAAAAGM//cE=")</f>
        <v>#VALUE!</v>
      </c>
      <c r="GM192" t="e">
        <f>AND('Eventos en ensayos por ID'!B112,"AAAAAGM//cI=")</f>
        <v>#VALUE!</v>
      </c>
      <c r="GN192" t="e">
        <f>AND('Eventos en ensayos por ID'!C112,"AAAAAGM//cM=")</f>
        <v>#VALUE!</v>
      </c>
      <c r="GO192" t="e">
        <f>AND('Eventos en ensayos por ID'!D112,"AAAAAGM//cQ=")</f>
        <v>#VALUE!</v>
      </c>
      <c r="GP192" t="e">
        <f>AND('Eventos en ensayos por ID'!E112,"AAAAAGM//cU=")</f>
        <v>#VALUE!</v>
      </c>
      <c r="GQ192" t="e">
        <f>AND('Eventos en ensayos por ID'!F112,"AAAAAGM//cY=")</f>
        <v>#VALUE!</v>
      </c>
      <c r="GR192" t="e">
        <f>AND('Eventos en ensayos por ID'!G112,"AAAAAGM//cc=")</f>
        <v>#VALUE!</v>
      </c>
      <c r="GS192">
        <f>IF('Eventos en ensayos por ID'!113:113,"AAAAAGM//cg=",0)</f>
        <v>0</v>
      </c>
      <c r="GT192" t="e">
        <f>AND('Eventos en ensayos por ID'!A113,"AAAAAGM//ck=")</f>
        <v>#VALUE!</v>
      </c>
      <c r="GU192" t="e">
        <f>AND('Eventos en ensayos por ID'!B113,"AAAAAGM//co=")</f>
        <v>#VALUE!</v>
      </c>
      <c r="GV192" t="e">
        <f>AND('Eventos en ensayos por ID'!C113,"AAAAAGM//cs=")</f>
        <v>#VALUE!</v>
      </c>
      <c r="GW192" t="e">
        <f>AND('Eventos en ensayos por ID'!D113,"AAAAAGM//cw=")</f>
        <v>#VALUE!</v>
      </c>
      <c r="GX192" t="e">
        <f>AND('Eventos en ensayos por ID'!E113,"AAAAAGM//c0=")</f>
        <v>#VALUE!</v>
      </c>
      <c r="GY192" t="e">
        <f>AND('Eventos en ensayos por ID'!F113,"AAAAAGM//c4=")</f>
        <v>#VALUE!</v>
      </c>
      <c r="GZ192" t="e">
        <f>AND('Eventos en ensayos por ID'!G113,"AAAAAGM//c8=")</f>
        <v>#VALUE!</v>
      </c>
      <c r="HA192">
        <f>IF('Eventos en ensayos por ID'!114:114,"AAAAAGM//dA=",0)</f>
        <v>0</v>
      </c>
      <c r="HB192" t="e">
        <f>AND('Eventos en ensayos por ID'!A114,"AAAAAGM//dE=")</f>
        <v>#VALUE!</v>
      </c>
      <c r="HC192" t="e">
        <f>AND('Eventos en ensayos por ID'!B114,"AAAAAGM//dI=")</f>
        <v>#VALUE!</v>
      </c>
      <c r="HD192" t="e">
        <f>AND('Eventos en ensayos por ID'!C114,"AAAAAGM//dM=")</f>
        <v>#VALUE!</v>
      </c>
      <c r="HE192" t="e">
        <f>AND('Eventos en ensayos por ID'!D114,"AAAAAGM//dQ=")</f>
        <v>#VALUE!</v>
      </c>
      <c r="HF192" t="e">
        <f>AND('Eventos en ensayos por ID'!E114,"AAAAAGM//dU=")</f>
        <v>#VALUE!</v>
      </c>
      <c r="HG192" t="e">
        <f>AND('Eventos en ensayos por ID'!F114,"AAAAAGM//dY=")</f>
        <v>#VALUE!</v>
      </c>
      <c r="HH192" t="e">
        <f>AND('Eventos en ensayos por ID'!G114,"AAAAAGM//dc=")</f>
        <v>#VALUE!</v>
      </c>
      <c r="HI192">
        <f>IF('Eventos en ensayos por ID'!115:115,"AAAAAGM//dg=",0)</f>
        <v>0</v>
      </c>
      <c r="HJ192" t="e">
        <f>AND('Eventos en ensayos por ID'!A115,"AAAAAGM//dk=")</f>
        <v>#VALUE!</v>
      </c>
      <c r="HK192" t="e">
        <f>AND('Eventos en ensayos por ID'!B115,"AAAAAGM//do=")</f>
        <v>#VALUE!</v>
      </c>
      <c r="HL192" t="e">
        <f>AND('Eventos en ensayos por ID'!C115,"AAAAAGM//ds=")</f>
        <v>#VALUE!</v>
      </c>
      <c r="HM192" t="e">
        <f>AND('Eventos en ensayos por ID'!D115,"AAAAAGM//dw=")</f>
        <v>#VALUE!</v>
      </c>
      <c r="HN192" t="e">
        <f>AND('Eventos en ensayos por ID'!E115,"AAAAAGM//d0=")</f>
        <v>#VALUE!</v>
      </c>
      <c r="HO192" t="e">
        <f>AND('Eventos en ensayos por ID'!F115,"AAAAAGM//d4=")</f>
        <v>#VALUE!</v>
      </c>
      <c r="HP192" t="e">
        <f>AND('Eventos en ensayos por ID'!G115,"AAAAAGM//d8=")</f>
        <v>#VALUE!</v>
      </c>
      <c r="HQ192">
        <f>IF('Eventos en ensayos por ID'!116:116,"AAAAAGM//eA=",0)</f>
        <v>0</v>
      </c>
      <c r="HR192" t="e">
        <f>AND('Eventos en ensayos por ID'!A116,"AAAAAGM//eE=")</f>
        <v>#VALUE!</v>
      </c>
      <c r="HS192" t="e">
        <f>AND('Eventos en ensayos por ID'!B116,"AAAAAGM//eI=")</f>
        <v>#VALUE!</v>
      </c>
      <c r="HT192" t="e">
        <f>AND('Eventos en ensayos por ID'!C116,"AAAAAGM//eM=")</f>
        <v>#VALUE!</v>
      </c>
      <c r="HU192" t="e">
        <f>AND('Eventos en ensayos por ID'!D116,"AAAAAGM//eQ=")</f>
        <v>#VALUE!</v>
      </c>
      <c r="HV192" t="e">
        <f>AND('Eventos en ensayos por ID'!E116,"AAAAAGM//eU=")</f>
        <v>#VALUE!</v>
      </c>
      <c r="HW192" t="e">
        <f>AND('Eventos en ensayos por ID'!F116,"AAAAAGM//eY=")</f>
        <v>#VALUE!</v>
      </c>
      <c r="HX192" t="e">
        <f>AND('Eventos en ensayos por ID'!G116,"AAAAAGM//ec=")</f>
        <v>#VALUE!</v>
      </c>
      <c r="HY192">
        <f>IF('Eventos en ensayos por ID'!117:117,"AAAAAGM//eg=",0)</f>
        <v>0</v>
      </c>
      <c r="HZ192" t="e">
        <f>AND('Eventos en ensayos por ID'!A117,"AAAAAGM//ek=")</f>
        <v>#VALUE!</v>
      </c>
      <c r="IA192" t="e">
        <f>AND('Eventos en ensayos por ID'!B117,"AAAAAGM//eo=")</f>
        <v>#VALUE!</v>
      </c>
      <c r="IB192" t="e">
        <f>AND('Eventos en ensayos por ID'!C117,"AAAAAGM//es=")</f>
        <v>#VALUE!</v>
      </c>
      <c r="IC192" t="e">
        <f>AND('Eventos en ensayos por ID'!D117,"AAAAAGM//ew=")</f>
        <v>#VALUE!</v>
      </c>
      <c r="ID192" t="e">
        <f>AND('Eventos en ensayos por ID'!E117,"AAAAAGM//e0=")</f>
        <v>#VALUE!</v>
      </c>
      <c r="IE192" t="e">
        <f>AND('Eventos en ensayos por ID'!F117,"AAAAAGM//e4=")</f>
        <v>#VALUE!</v>
      </c>
      <c r="IF192" t="e">
        <f>AND('Eventos en ensayos por ID'!G117,"AAAAAGM//e8=")</f>
        <v>#VALUE!</v>
      </c>
      <c r="IG192">
        <f>IF('Eventos en ensayos por ID'!118:118,"AAAAAGM//fA=",0)</f>
        <v>0</v>
      </c>
      <c r="IH192" t="e">
        <f>AND('Eventos en ensayos por ID'!A118,"AAAAAGM//fE=")</f>
        <v>#VALUE!</v>
      </c>
      <c r="II192" t="e">
        <f>AND('Eventos en ensayos por ID'!B118,"AAAAAGM//fI=")</f>
        <v>#VALUE!</v>
      </c>
      <c r="IJ192" t="e">
        <f>AND('Eventos en ensayos por ID'!C118,"AAAAAGM//fM=")</f>
        <v>#VALUE!</v>
      </c>
      <c r="IK192" t="e">
        <f>AND('Eventos en ensayos por ID'!D118,"AAAAAGM//fQ=")</f>
        <v>#VALUE!</v>
      </c>
      <c r="IL192" t="e">
        <f>AND('Eventos en ensayos por ID'!E118,"AAAAAGM//fU=")</f>
        <v>#VALUE!</v>
      </c>
      <c r="IM192" t="e">
        <f>AND('Eventos en ensayos por ID'!F118,"AAAAAGM//fY=")</f>
        <v>#VALUE!</v>
      </c>
      <c r="IN192" t="e">
        <f>AND('Eventos en ensayos por ID'!G118,"AAAAAGM//fc=")</f>
        <v>#VALUE!</v>
      </c>
      <c r="IO192">
        <f>IF('Eventos en ensayos por ID'!119:119,"AAAAAGM//fg=",0)</f>
        <v>0</v>
      </c>
      <c r="IP192" t="e">
        <f>AND('Eventos en ensayos por ID'!A119,"AAAAAGM//fk=")</f>
        <v>#VALUE!</v>
      </c>
      <c r="IQ192" t="e">
        <f>AND('Eventos en ensayos por ID'!B119,"AAAAAGM//fo=")</f>
        <v>#VALUE!</v>
      </c>
      <c r="IR192" t="e">
        <f>AND('Eventos en ensayos por ID'!C119,"AAAAAGM//fs=")</f>
        <v>#VALUE!</v>
      </c>
      <c r="IS192" t="e">
        <f>AND('Eventos en ensayos por ID'!D119,"AAAAAGM//fw=")</f>
        <v>#VALUE!</v>
      </c>
      <c r="IT192" t="e">
        <f>AND('Eventos en ensayos por ID'!E119,"AAAAAGM//f0=")</f>
        <v>#VALUE!</v>
      </c>
      <c r="IU192" t="e">
        <f>AND('Eventos en ensayos por ID'!F119,"AAAAAGM//f4=")</f>
        <v>#VALUE!</v>
      </c>
      <c r="IV192" t="e">
        <f>AND('Eventos en ensayos por ID'!G119,"AAAAAGM//f8=")</f>
        <v>#VALUE!</v>
      </c>
    </row>
    <row r="193" spans="1:10" x14ac:dyDescent="0.25">
      <c r="A193">
        <f>IF('Eventos en ensayos por ID'!A:A,"AAAAAG7d/wA=",0)</f>
        <v>0</v>
      </c>
      <c r="B193">
        <f>IF('Eventos en ensayos por ID'!B:B,"AAAAAG7d/wE=",0)</f>
        <v>0</v>
      </c>
      <c r="C193">
        <f>IF('Eventos en ensayos por ID'!C:C,"AAAAAG7d/wI=",0)</f>
        <v>0</v>
      </c>
      <c r="D193">
        <f>IF('Eventos en ensayos por ID'!D:D,"AAAAAG7d/wM=",0)</f>
        <v>0</v>
      </c>
      <c r="E193">
        <f>IF('Eventos en ensayos por ID'!E:E,"AAAAAG7d/wQ=",0)</f>
        <v>0</v>
      </c>
      <c r="F193">
        <f>IF('Eventos en ensayos por ID'!F:F,"AAAAAG7d/wU=",0)</f>
        <v>0</v>
      </c>
      <c r="G193">
        <f>IF('Eventos en ensayos por ID'!G:G,"AAAAAG7d/wY=",0)</f>
        <v>0</v>
      </c>
      <c r="H193" t="s">
        <v>716</v>
      </c>
      <c r="I193" t="e">
        <f>IF("N",'Eventos en ensayos por ID'!_xlnm._FilterDatabase,"AAAAAG7d/wg=")</f>
        <v>#VALUE!</v>
      </c>
      <c r="J193" t="e">
        <f>IF("N",'Planilla_General_29-11-2012_10_'!_xlnm._FilterDatabase,"AAAAAG7d/wk=")</f>
        <v>#VALUE!</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Planilla_General_29-11-2012_10_</vt:lpstr>
      <vt:lpstr>Eventos en ensayos por ID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Gonzalo Gabriel Pardo Hernandez</dc:creator>
  <cp:lastModifiedBy>Jeanete Franco Navarrete</cp:lastModifiedBy>
  <dcterms:created xsi:type="dcterms:W3CDTF">2012-11-29T13:42:20Z</dcterms:created>
  <dcterms:modified xsi:type="dcterms:W3CDTF">2013-02-18T15:17:02Z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18u25s7cpDJn8H63g0TJEcfRMCHwlylRsY6BxFE7RSZo</vt:lpwstr>
  </property>
  <property fmtid="{D5CDD505-2E9C-101B-9397-08002B2CF9AE}" pid="4" name="Google.Documents.RevisionId">
    <vt:lpwstr>06799770010525905969</vt:lpwstr>
  </property>
  <property fmtid="{D5CDD505-2E9C-101B-9397-08002B2CF9AE}" pid="5" name="Google.Documents.PluginVersion">
    <vt:lpwstr>2.0.2662.553</vt:lpwstr>
  </property>
  <property fmtid="{D5CDD505-2E9C-101B-9397-08002B2CF9AE}" pid="6" name="Google.Documents.MergeIncapabilityFlags">
    <vt:i4>0</vt:i4>
  </property>
</Properties>
</file>